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x194\Desktop\DC게시글용\2022입시자료\11월수능 표준점수 자료준비\2022 수능 표점 배포용\"/>
    </mc:Choice>
  </mc:AlternateContent>
  <xr:revisionPtr revIDLastSave="0" documentId="13_ncr:1_{6F07A338-0FE5-49E5-AD9D-86F8BD2689A6}" xr6:coauthVersionLast="43" xr6:coauthVersionMax="43" xr10:uidLastSave="{00000000-0000-0000-0000-000000000000}"/>
  <workbookProtection workbookAlgorithmName="SHA-512" workbookHashValue="gU7P7UaI3MXiKdHMDQIcZTM1CLWx6k0u+BGV9dqB+pcDTpvxj5TGsQ5txvCak/7phalFGtgtgPiXTWrmso4UWQ==" workbookSaltValue="mNabhH0wOE5CqATba6EQYQ==" workbookSpinCount="100000" lockStructure="1"/>
  <bookViews>
    <workbookView xWindow="-120" yWindow="-120" windowWidth="29040" windowHeight="15840" tabRatio="729" xr2:uid="{333EF654-F1C0-4C75-A1B5-746C5243B153}"/>
  </bookViews>
  <sheets>
    <sheet name="   본인점수 입력   " sheetId="1" r:id="rId1"/>
    <sheet name="       가 군       " sheetId="17" r:id="rId2"/>
    <sheet name="       나 군       " sheetId="22" r:id="rId3"/>
    <sheet name="       다 군       " sheetId="21" r:id="rId4"/>
    <sheet name="  숭실.국민.인하  " sheetId="20" r:id="rId5"/>
    <sheet name="배치점수 계산기" sheetId="5" state="hidden" r:id="rId6"/>
    <sheet name="환산공식" sheetId="6" state="hidden" r:id="rId7"/>
    <sheet name="변표 테이블" sheetId="13" state="hidden" r:id="rId8"/>
  </sheets>
  <definedNames>
    <definedName name="_xlnm._FilterDatabase" localSheetId="1" hidden="1">'       가 군       '!$C$7:$I$7</definedName>
    <definedName name="_xlnm._FilterDatabase" localSheetId="2" hidden="1">'       나 군       '!$C$7:$I$7</definedName>
    <definedName name="_xlnm._FilterDatabase" localSheetId="3" hidden="1">'       다 군       '!$C$7:$I$7</definedName>
    <definedName name="_xlnm._FilterDatabase" localSheetId="4" hidden="1">'  숭실.국민.인하  '!$C$7:$I$7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17" l="1"/>
  <c r="E9" i="17"/>
  <c r="D10" i="17"/>
  <c r="E10" i="17"/>
  <c r="D11" i="17"/>
  <c r="E11" i="17"/>
  <c r="D12" i="17"/>
  <c r="E12" i="17"/>
  <c r="D13" i="17"/>
  <c r="E13" i="17"/>
  <c r="D14" i="17"/>
  <c r="E14" i="17"/>
  <c r="D15" i="17"/>
  <c r="E15" i="17"/>
  <c r="D16" i="17"/>
  <c r="E16" i="17"/>
  <c r="D17" i="17"/>
  <c r="E17" i="17"/>
  <c r="D18" i="17"/>
  <c r="E18" i="17"/>
  <c r="D19" i="17"/>
  <c r="E19" i="17"/>
  <c r="D20" i="17"/>
  <c r="E20" i="17"/>
  <c r="D21" i="17"/>
  <c r="E21" i="17"/>
  <c r="D22" i="17"/>
  <c r="E22" i="17"/>
  <c r="D23" i="17"/>
  <c r="E23" i="17"/>
  <c r="D24" i="17"/>
  <c r="E24" i="17"/>
  <c r="D25" i="17"/>
  <c r="E25" i="17"/>
  <c r="D26" i="17"/>
  <c r="E26" i="17"/>
  <c r="D27" i="17"/>
  <c r="E27" i="17"/>
  <c r="D28" i="17"/>
  <c r="E28" i="17"/>
  <c r="D29" i="17"/>
  <c r="E29" i="17"/>
  <c r="D30" i="17"/>
  <c r="E30" i="17"/>
  <c r="D31" i="17"/>
  <c r="E31" i="17"/>
  <c r="D32" i="17"/>
  <c r="E32" i="17"/>
  <c r="D33" i="17"/>
  <c r="E33" i="17"/>
  <c r="D34" i="17"/>
  <c r="E34" i="17"/>
  <c r="D35" i="17"/>
  <c r="E35" i="17"/>
  <c r="D36" i="17"/>
  <c r="E36" i="17"/>
  <c r="D37" i="17"/>
  <c r="E37" i="17"/>
  <c r="D38" i="17"/>
  <c r="E38" i="17"/>
  <c r="D39" i="17"/>
  <c r="E39" i="17"/>
  <c r="D40" i="17"/>
  <c r="E40" i="17"/>
  <c r="D41" i="17"/>
  <c r="E41" i="17"/>
  <c r="D42" i="17"/>
  <c r="E42" i="17"/>
  <c r="D43" i="17"/>
  <c r="E43" i="17"/>
  <c r="D44" i="17"/>
  <c r="E44" i="17"/>
  <c r="D45" i="17"/>
  <c r="E45" i="17"/>
  <c r="D46" i="17"/>
  <c r="E46" i="17"/>
  <c r="D47" i="17"/>
  <c r="E47" i="17"/>
  <c r="D48" i="17"/>
  <c r="E48" i="17"/>
  <c r="D49" i="17"/>
  <c r="E49" i="17"/>
  <c r="D50" i="17"/>
  <c r="E50" i="17"/>
  <c r="D51" i="17"/>
  <c r="E51" i="17"/>
  <c r="D52" i="17"/>
  <c r="E52" i="17"/>
  <c r="D53" i="17"/>
  <c r="E53" i="17"/>
  <c r="D54" i="17"/>
  <c r="E54" i="17"/>
  <c r="D55" i="17"/>
  <c r="E55" i="17"/>
  <c r="D56" i="17"/>
  <c r="E56" i="17"/>
  <c r="D57" i="17"/>
  <c r="E57" i="17"/>
  <c r="D58" i="17"/>
  <c r="E58" i="17"/>
  <c r="D59" i="17"/>
  <c r="E59" i="17"/>
  <c r="D60" i="17"/>
  <c r="E60" i="17"/>
  <c r="D61" i="17"/>
  <c r="E61" i="17"/>
  <c r="D62" i="17"/>
  <c r="E62" i="17"/>
  <c r="D63" i="17"/>
  <c r="E63" i="17"/>
  <c r="D64" i="17"/>
  <c r="E64" i="17"/>
  <c r="D65" i="17"/>
  <c r="E65" i="17"/>
  <c r="D66" i="17"/>
  <c r="E66" i="17"/>
  <c r="D67" i="17"/>
  <c r="E67" i="17"/>
  <c r="D68" i="17"/>
  <c r="E68" i="17"/>
  <c r="D69" i="17"/>
  <c r="E69" i="17"/>
  <c r="D70" i="17"/>
  <c r="E70" i="17"/>
  <c r="D71" i="17"/>
  <c r="E71" i="17"/>
  <c r="D72" i="17"/>
  <c r="E72" i="17"/>
  <c r="D73" i="17"/>
  <c r="E73" i="17"/>
  <c r="D74" i="17"/>
  <c r="E74" i="17"/>
  <c r="D75" i="17"/>
  <c r="E75" i="17"/>
  <c r="D76" i="17"/>
  <c r="E76" i="17"/>
  <c r="D77" i="17"/>
  <c r="E77" i="17"/>
  <c r="D78" i="17"/>
  <c r="E78" i="17"/>
  <c r="D79" i="17"/>
  <c r="E79" i="17"/>
  <c r="D80" i="17"/>
  <c r="E80" i="17"/>
  <c r="D81" i="17"/>
  <c r="E81" i="17"/>
  <c r="D82" i="17"/>
  <c r="E82" i="17"/>
  <c r="D83" i="17"/>
  <c r="E83" i="17"/>
  <c r="D84" i="17"/>
  <c r="E84" i="17"/>
  <c r="D85" i="17"/>
  <c r="E85" i="17"/>
  <c r="D86" i="17"/>
  <c r="E86" i="17"/>
  <c r="D87" i="17"/>
  <c r="E87" i="17"/>
  <c r="D88" i="17"/>
  <c r="E88" i="17"/>
  <c r="D89" i="17"/>
  <c r="E89" i="17"/>
  <c r="D90" i="17"/>
  <c r="E90" i="17"/>
  <c r="D91" i="17"/>
  <c r="E91" i="17"/>
  <c r="D92" i="17"/>
  <c r="E92" i="17"/>
  <c r="D93" i="17"/>
  <c r="E93" i="17"/>
  <c r="D94" i="17"/>
  <c r="E94" i="17"/>
  <c r="D95" i="17"/>
  <c r="E95" i="17"/>
  <c r="D96" i="17"/>
  <c r="E96" i="17"/>
  <c r="D97" i="17"/>
  <c r="E97" i="17"/>
  <c r="D98" i="17"/>
  <c r="E98" i="17"/>
  <c r="D99" i="17"/>
  <c r="E99" i="17"/>
  <c r="D100" i="17"/>
  <c r="E100" i="17"/>
  <c r="D101" i="17"/>
  <c r="E101" i="17"/>
  <c r="D102" i="17"/>
  <c r="E102" i="17"/>
  <c r="D103" i="17"/>
  <c r="E103" i="17"/>
  <c r="D104" i="17"/>
  <c r="E104" i="17"/>
  <c r="D105" i="17"/>
  <c r="E105" i="17"/>
  <c r="D106" i="17"/>
  <c r="E106" i="17"/>
  <c r="D107" i="17"/>
  <c r="E107" i="17"/>
  <c r="D108" i="17"/>
  <c r="E108" i="17"/>
  <c r="D109" i="17"/>
  <c r="E109" i="17"/>
  <c r="D110" i="17"/>
  <c r="E110" i="17"/>
  <c r="D111" i="17"/>
  <c r="E111" i="17"/>
  <c r="D112" i="17"/>
  <c r="E112" i="17"/>
  <c r="D113" i="17"/>
  <c r="E113" i="17"/>
  <c r="D114" i="17"/>
  <c r="E114" i="17"/>
  <c r="D115" i="17"/>
  <c r="E115" i="17"/>
  <c r="D116" i="17"/>
  <c r="E116" i="17"/>
  <c r="D117" i="17"/>
  <c r="E117" i="17"/>
  <c r="D118" i="17"/>
  <c r="E118" i="17"/>
  <c r="D119" i="17"/>
  <c r="E119" i="17"/>
  <c r="D120" i="17"/>
  <c r="E120" i="17"/>
  <c r="D121" i="17"/>
  <c r="E121" i="17"/>
  <c r="D122" i="17"/>
  <c r="E122" i="17"/>
  <c r="D123" i="17"/>
  <c r="E123" i="17"/>
  <c r="D124" i="17"/>
  <c r="E124" i="17"/>
  <c r="D125" i="17"/>
  <c r="E125" i="17"/>
  <c r="D126" i="17"/>
  <c r="E126" i="17"/>
  <c r="D127" i="17"/>
  <c r="E127" i="17"/>
  <c r="D128" i="17"/>
  <c r="E128" i="17"/>
  <c r="D129" i="17"/>
  <c r="E129" i="17"/>
  <c r="D130" i="17"/>
  <c r="E130" i="17"/>
  <c r="D131" i="17"/>
  <c r="E131" i="17"/>
  <c r="D132" i="17"/>
  <c r="E132" i="17"/>
  <c r="D133" i="17"/>
  <c r="E133" i="17"/>
  <c r="D134" i="17"/>
  <c r="E134" i="17"/>
  <c r="D135" i="17"/>
  <c r="E135" i="17"/>
  <c r="D136" i="17"/>
  <c r="E136" i="17"/>
  <c r="D137" i="17"/>
  <c r="E137" i="17"/>
  <c r="D138" i="17"/>
  <c r="E138" i="17"/>
  <c r="D139" i="17"/>
  <c r="E139" i="17"/>
  <c r="D140" i="17"/>
  <c r="E140" i="17"/>
  <c r="D141" i="17"/>
  <c r="E141" i="17"/>
  <c r="D142" i="17"/>
  <c r="E142" i="17"/>
  <c r="D143" i="17"/>
  <c r="E143" i="17"/>
  <c r="D144" i="17"/>
  <c r="E144" i="17"/>
  <c r="D145" i="17"/>
  <c r="E145" i="17"/>
  <c r="D146" i="17"/>
  <c r="E146" i="17"/>
  <c r="D147" i="17"/>
  <c r="E147" i="17"/>
  <c r="D148" i="17"/>
  <c r="E148" i="17"/>
  <c r="D149" i="17"/>
  <c r="E149" i="17"/>
  <c r="D150" i="17"/>
  <c r="E150" i="17"/>
  <c r="D151" i="17"/>
  <c r="E151" i="17"/>
  <c r="D152" i="17"/>
  <c r="E152" i="17"/>
  <c r="D153" i="17"/>
  <c r="E153" i="17"/>
  <c r="D154" i="17"/>
  <c r="E154" i="17"/>
  <c r="D155" i="17"/>
  <c r="E155" i="17"/>
  <c r="D156" i="17"/>
  <c r="E156" i="17"/>
  <c r="D157" i="17"/>
  <c r="E157" i="17"/>
  <c r="D158" i="17"/>
  <c r="E158" i="17"/>
  <c r="D159" i="17"/>
  <c r="E159" i="17"/>
  <c r="D160" i="17"/>
  <c r="E160" i="17"/>
  <c r="D161" i="17"/>
  <c r="E161" i="17"/>
  <c r="D162" i="17"/>
  <c r="E162" i="17"/>
  <c r="D163" i="17"/>
  <c r="E163" i="17"/>
  <c r="D164" i="17"/>
  <c r="E164" i="17"/>
  <c r="D165" i="17"/>
  <c r="E165" i="17"/>
  <c r="D166" i="17"/>
  <c r="E166" i="17"/>
  <c r="D167" i="17"/>
  <c r="E167" i="17"/>
  <c r="D168" i="17"/>
  <c r="E168" i="17"/>
  <c r="D169" i="17"/>
  <c r="E169" i="17"/>
  <c r="D170" i="17"/>
  <c r="E170" i="17"/>
  <c r="D171" i="17"/>
  <c r="E171" i="17"/>
  <c r="D172" i="17"/>
  <c r="E172" i="17"/>
  <c r="D173" i="17"/>
  <c r="E173" i="17"/>
  <c r="D174" i="17"/>
  <c r="E174" i="17"/>
  <c r="D175" i="17"/>
  <c r="E175" i="17"/>
  <c r="D176" i="17"/>
  <c r="E176" i="17"/>
  <c r="D177" i="17"/>
  <c r="E177" i="17"/>
  <c r="D178" i="17"/>
  <c r="E178" i="17"/>
  <c r="D179" i="17"/>
  <c r="E179" i="17"/>
  <c r="D180" i="17"/>
  <c r="E180" i="17"/>
  <c r="D181" i="17"/>
  <c r="E181" i="17"/>
  <c r="D182" i="17"/>
  <c r="E182" i="17"/>
  <c r="D183" i="17"/>
  <c r="E183" i="17"/>
  <c r="D184" i="17"/>
  <c r="E184" i="17"/>
  <c r="D185" i="17"/>
  <c r="E185" i="17"/>
  <c r="D186" i="17"/>
  <c r="E186" i="17"/>
  <c r="D187" i="17"/>
  <c r="E187" i="17"/>
  <c r="D188" i="17"/>
  <c r="E188" i="17"/>
  <c r="D189" i="17"/>
  <c r="E189" i="17"/>
  <c r="D190" i="17"/>
  <c r="E190" i="17"/>
  <c r="D191" i="17"/>
  <c r="E191" i="17"/>
  <c r="D192" i="17"/>
  <c r="E192" i="17"/>
  <c r="D193" i="17"/>
  <c r="E193" i="17"/>
  <c r="D194" i="17"/>
  <c r="E194" i="17"/>
  <c r="D195" i="17"/>
  <c r="E195" i="17"/>
  <c r="D196" i="17"/>
  <c r="E196" i="17"/>
  <c r="D197" i="17"/>
  <c r="E197" i="17"/>
  <c r="D198" i="17"/>
  <c r="E198" i="17"/>
  <c r="D199" i="17"/>
  <c r="E199" i="17"/>
  <c r="D200" i="17"/>
  <c r="E200" i="17"/>
  <c r="D201" i="17"/>
  <c r="E201" i="17"/>
  <c r="D202" i="17"/>
  <c r="E202" i="17"/>
  <c r="D203" i="17"/>
  <c r="E203" i="17"/>
  <c r="D204" i="17"/>
  <c r="E204" i="17"/>
  <c r="D205" i="17"/>
  <c r="E205" i="17"/>
  <c r="D206" i="17"/>
  <c r="E206" i="17"/>
  <c r="D207" i="17"/>
  <c r="E207" i="17"/>
  <c r="D208" i="17"/>
  <c r="E208" i="17"/>
  <c r="D209" i="17"/>
  <c r="E209" i="17"/>
  <c r="D210" i="17"/>
  <c r="E210" i="17"/>
  <c r="D211" i="17"/>
  <c r="E211" i="17"/>
  <c r="D212" i="17"/>
  <c r="E212" i="17"/>
  <c r="D213" i="17"/>
  <c r="E213" i="17"/>
  <c r="D214" i="17"/>
  <c r="E214" i="17"/>
  <c r="D215" i="17"/>
  <c r="E215" i="17"/>
  <c r="D216" i="17"/>
  <c r="E216" i="17"/>
  <c r="D217" i="17"/>
  <c r="E217" i="17"/>
  <c r="D218" i="17"/>
  <c r="E218" i="17"/>
  <c r="D219" i="17"/>
  <c r="E219" i="17"/>
  <c r="D220" i="17"/>
  <c r="E220" i="17"/>
  <c r="D221" i="17"/>
  <c r="E221" i="17"/>
  <c r="D222" i="17"/>
  <c r="E222" i="17"/>
  <c r="D223" i="17"/>
  <c r="E223" i="17"/>
  <c r="D224" i="17"/>
  <c r="E224" i="17"/>
  <c r="D225" i="17"/>
  <c r="E225" i="17"/>
  <c r="D226" i="17"/>
  <c r="E226" i="17"/>
  <c r="D227" i="17"/>
  <c r="E227" i="17"/>
  <c r="D228" i="17"/>
  <c r="E228" i="17"/>
  <c r="D229" i="17"/>
  <c r="E229" i="17"/>
  <c r="D230" i="17"/>
  <c r="E230" i="17"/>
  <c r="D231" i="17"/>
  <c r="E231" i="17"/>
  <c r="D232" i="17"/>
  <c r="E232" i="17"/>
  <c r="D233" i="17"/>
  <c r="E233" i="17"/>
  <c r="D234" i="17"/>
  <c r="E234" i="17"/>
  <c r="D235" i="17"/>
  <c r="E235" i="17"/>
  <c r="D236" i="17"/>
  <c r="E236" i="17"/>
  <c r="D237" i="17"/>
  <c r="E237" i="17"/>
  <c r="D238" i="17"/>
  <c r="E238" i="17"/>
  <c r="D239" i="17"/>
  <c r="E239" i="17"/>
  <c r="D240" i="17"/>
  <c r="E240" i="17"/>
  <c r="D241" i="17"/>
  <c r="E241" i="17"/>
  <c r="D242" i="17"/>
  <c r="E242" i="17"/>
  <c r="D243" i="17"/>
  <c r="E243" i="17"/>
  <c r="D244" i="17"/>
  <c r="E244" i="17"/>
  <c r="D245" i="17"/>
  <c r="E245" i="17"/>
  <c r="D246" i="17"/>
  <c r="E246" i="17"/>
  <c r="D247" i="17"/>
  <c r="E247" i="17"/>
  <c r="D248" i="17"/>
  <c r="E248" i="17"/>
  <c r="D249" i="17"/>
  <c r="E249" i="17"/>
  <c r="D250" i="17"/>
  <c r="E250" i="17"/>
  <c r="D251" i="17"/>
  <c r="E251" i="17"/>
  <c r="D252" i="17"/>
  <c r="E252" i="17"/>
  <c r="D253" i="17"/>
  <c r="E253" i="17"/>
  <c r="D254" i="17"/>
  <c r="E254" i="17"/>
  <c r="D255" i="17"/>
  <c r="E255" i="17"/>
  <c r="D256" i="17"/>
  <c r="E256" i="17"/>
  <c r="D257" i="17"/>
  <c r="E257" i="17"/>
  <c r="D258" i="17"/>
  <c r="E258" i="17"/>
  <c r="D259" i="17"/>
  <c r="E259" i="17"/>
  <c r="D260" i="17"/>
  <c r="E260" i="17"/>
  <c r="D261" i="17"/>
  <c r="E261" i="17"/>
  <c r="D262" i="17"/>
  <c r="E262" i="17"/>
  <c r="D263" i="17"/>
  <c r="E263" i="17"/>
  <c r="D264" i="17"/>
  <c r="E264" i="17"/>
  <c r="D265" i="17"/>
  <c r="E265" i="17"/>
  <c r="D266" i="17"/>
  <c r="E266" i="17"/>
  <c r="D267" i="17"/>
  <c r="E267" i="17"/>
  <c r="D268" i="17"/>
  <c r="E268" i="17"/>
  <c r="D269" i="17"/>
  <c r="E269" i="17"/>
  <c r="D270" i="17"/>
  <c r="E270" i="17"/>
  <c r="D271" i="17"/>
  <c r="E271" i="17"/>
  <c r="D272" i="17"/>
  <c r="E272" i="17"/>
  <c r="D273" i="17"/>
  <c r="E273" i="17"/>
  <c r="D274" i="17"/>
  <c r="E274" i="17"/>
  <c r="D275" i="17"/>
  <c r="E275" i="17"/>
  <c r="D276" i="17"/>
  <c r="E276" i="17"/>
  <c r="D277" i="17"/>
  <c r="E277" i="17"/>
  <c r="D278" i="17"/>
  <c r="E278" i="17"/>
  <c r="D279" i="17"/>
  <c r="E279" i="17"/>
  <c r="D280" i="17"/>
  <c r="E280" i="17"/>
  <c r="D281" i="17"/>
  <c r="E281" i="17"/>
  <c r="D282" i="17"/>
  <c r="E282" i="17"/>
  <c r="D283" i="17"/>
  <c r="E283" i="17"/>
  <c r="D284" i="17"/>
  <c r="E284" i="17"/>
  <c r="D285" i="17"/>
  <c r="E285" i="17"/>
  <c r="D286" i="17"/>
  <c r="E286" i="17"/>
  <c r="D287" i="17"/>
  <c r="E287" i="17"/>
  <c r="D288" i="17"/>
  <c r="E288" i="17"/>
  <c r="D289" i="17"/>
  <c r="E289" i="17"/>
  <c r="D290" i="17"/>
  <c r="E290" i="17"/>
  <c r="D291" i="17"/>
  <c r="E291" i="17"/>
  <c r="D292" i="17"/>
  <c r="E292" i="17"/>
  <c r="D293" i="17"/>
  <c r="E293" i="17"/>
  <c r="D294" i="17"/>
  <c r="E294" i="17"/>
  <c r="D295" i="17"/>
  <c r="E295" i="17"/>
  <c r="D296" i="17"/>
  <c r="E296" i="17"/>
  <c r="D297" i="17"/>
  <c r="E297" i="17"/>
  <c r="D298" i="17"/>
  <c r="E298" i="17"/>
  <c r="D299" i="17"/>
  <c r="E299" i="17"/>
  <c r="D300" i="17"/>
  <c r="E300" i="17"/>
  <c r="D301" i="17"/>
  <c r="E301" i="17"/>
  <c r="D302" i="17"/>
  <c r="E302" i="17"/>
  <c r="D303" i="17"/>
  <c r="E303" i="17"/>
  <c r="D304" i="17"/>
  <c r="E304" i="17"/>
  <c r="D305" i="17"/>
  <c r="E305" i="17"/>
  <c r="D306" i="17"/>
  <c r="E306" i="17"/>
  <c r="D307" i="17"/>
  <c r="E307" i="17"/>
  <c r="D308" i="17"/>
  <c r="E308" i="17"/>
  <c r="D309" i="17"/>
  <c r="E309" i="17"/>
  <c r="D310" i="17"/>
  <c r="E310" i="17"/>
  <c r="D311" i="17"/>
  <c r="E311" i="17"/>
  <c r="D312" i="17"/>
  <c r="E312" i="17"/>
  <c r="D313" i="17"/>
  <c r="E313" i="17"/>
  <c r="D314" i="17"/>
  <c r="E314" i="17"/>
  <c r="D315" i="17"/>
  <c r="E315" i="17"/>
  <c r="D316" i="17"/>
  <c r="E316" i="17"/>
  <c r="D317" i="17"/>
  <c r="E317" i="17"/>
  <c r="E8" i="17"/>
  <c r="D8" i="17"/>
  <c r="S261" i="22" l="1"/>
  <c r="T260" i="22"/>
  <c r="R258" i="22"/>
  <c r="X257" i="22"/>
  <c r="W257" i="22"/>
  <c r="R257" i="22"/>
  <c r="W256" i="22"/>
  <c r="X255" i="22"/>
  <c r="T255" i="22"/>
  <c r="S255" i="22"/>
  <c r="X254" i="22"/>
  <c r="T254" i="22"/>
  <c r="Q254" i="22"/>
  <c r="P254" i="22"/>
  <c r="Q253" i="22"/>
  <c r="S253" i="22"/>
  <c r="W252" i="22"/>
  <c r="T251" i="22"/>
  <c r="R250" i="22"/>
  <c r="Q249" i="22"/>
  <c r="W248" i="22"/>
  <c r="X247" i="22"/>
  <c r="W247" i="22"/>
  <c r="T247" i="22"/>
  <c r="R247" i="22"/>
  <c r="P247" i="22"/>
  <c r="W246" i="22"/>
  <c r="T245" i="22"/>
  <c r="R245" i="22"/>
  <c r="S244" i="22"/>
  <c r="W243" i="22"/>
  <c r="T243" i="22"/>
  <c r="R243" i="22"/>
  <c r="P243" i="22"/>
  <c r="W242" i="22"/>
  <c r="S239" i="22"/>
  <c r="S238" i="22"/>
  <c r="Q238" i="22"/>
  <c r="T237" i="22"/>
  <c r="R237" i="22"/>
  <c r="X236" i="22"/>
  <c r="T236" i="22"/>
  <c r="Q236" i="22"/>
  <c r="W235" i="22"/>
  <c r="Q234" i="22"/>
  <c r="Q233" i="22"/>
  <c r="X231" i="22"/>
  <c r="W231" i="22"/>
  <c r="R231" i="22"/>
  <c r="P231" i="22"/>
  <c r="W230" i="22"/>
  <c r="T230" i="22"/>
  <c r="R230" i="22"/>
  <c r="P230" i="22"/>
  <c r="S229" i="22"/>
  <c r="T229" i="22"/>
  <c r="X228" i="22"/>
  <c r="S228" i="22"/>
  <c r="R228" i="22"/>
  <c r="P228" i="22"/>
  <c r="W228" i="22"/>
  <c r="Q227" i="22"/>
  <c r="T227" i="22"/>
  <c r="T224" i="22"/>
  <c r="T223" i="22"/>
  <c r="S223" i="22"/>
  <c r="X222" i="22"/>
  <c r="W222" i="22"/>
  <c r="T222" i="22"/>
  <c r="R222" i="22"/>
  <c r="P222" i="22"/>
  <c r="X221" i="22"/>
  <c r="W221" i="22"/>
  <c r="S221" i="22"/>
  <c r="P221" i="22"/>
  <c r="T221" i="22"/>
  <c r="P220" i="22"/>
  <c r="X219" i="22"/>
  <c r="T219" i="22"/>
  <c r="W217" i="22"/>
  <c r="S217" i="22"/>
  <c r="X216" i="22"/>
  <c r="W216" i="22"/>
  <c r="R216" i="22"/>
  <c r="P216" i="22"/>
  <c r="T216" i="22"/>
  <c r="X215" i="22"/>
  <c r="T215" i="22"/>
  <c r="Q215" i="22"/>
  <c r="P215" i="22"/>
  <c r="W215" i="22"/>
  <c r="Q213" i="22"/>
  <c r="X210" i="22"/>
  <c r="W210" i="22"/>
  <c r="R210" i="22"/>
  <c r="P210" i="22"/>
  <c r="W209" i="22"/>
  <c r="T209" i="22"/>
  <c r="R209" i="22"/>
  <c r="P209" i="22"/>
  <c r="R208" i="22"/>
  <c r="S207" i="22"/>
  <c r="W206" i="22"/>
  <c r="T206" i="22"/>
  <c r="P206" i="22"/>
  <c r="Q205" i="22"/>
  <c r="Q203" i="22"/>
  <c r="P203" i="22"/>
  <c r="X202" i="22"/>
  <c r="T202" i="22"/>
  <c r="R202" i="22"/>
  <c r="P202" i="22"/>
  <c r="S201" i="22"/>
  <c r="P200" i="22"/>
  <c r="P199" i="22"/>
  <c r="S199" i="22"/>
  <c r="T196" i="22"/>
  <c r="Q196" i="22"/>
  <c r="W195" i="22"/>
  <c r="W194" i="22"/>
  <c r="P194" i="22"/>
  <c r="S194" i="22"/>
  <c r="X193" i="22"/>
  <c r="W193" i="22"/>
  <c r="T193" i="22"/>
  <c r="R193" i="22"/>
  <c r="P193" i="22"/>
  <c r="T191" i="22"/>
  <c r="T190" i="22"/>
  <c r="T189" i="22"/>
  <c r="S189" i="22"/>
  <c r="Q187" i="22"/>
  <c r="X186" i="22"/>
  <c r="S186" i="22"/>
  <c r="P186" i="22"/>
  <c r="X185" i="22"/>
  <c r="S185" i="22"/>
  <c r="P185" i="22"/>
  <c r="R184" i="22"/>
  <c r="Q183" i="22"/>
  <c r="S181" i="22"/>
  <c r="Q180" i="22"/>
  <c r="T179" i="22"/>
  <c r="W178" i="22"/>
  <c r="T177" i="22"/>
  <c r="X175" i="22"/>
  <c r="R175" i="22"/>
  <c r="P175" i="22"/>
  <c r="W174" i="22"/>
  <c r="T174" i="22"/>
  <c r="Q174" i="22"/>
  <c r="P174" i="22"/>
  <c r="X174" i="22"/>
  <c r="T173" i="22"/>
  <c r="S172" i="22"/>
  <c r="T171" i="22"/>
  <c r="W170" i="22"/>
  <c r="T170" i="22"/>
  <c r="P170" i="22"/>
  <c r="T169" i="22"/>
  <c r="T168" i="22"/>
  <c r="S168" i="22"/>
  <c r="W167" i="22"/>
  <c r="X164" i="22"/>
  <c r="R164" i="22"/>
  <c r="P164" i="22"/>
  <c r="R163" i="22"/>
  <c r="T163" i="22"/>
  <c r="W162" i="22"/>
  <c r="R162" i="22"/>
  <c r="X160" i="22"/>
  <c r="W160" i="22"/>
  <c r="S160" i="22"/>
  <c r="R160" i="22"/>
  <c r="P160" i="22"/>
  <c r="W159" i="22"/>
  <c r="X156" i="22"/>
  <c r="W156" i="22"/>
  <c r="R156" i="22"/>
  <c r="P156" i="22"/>
  <c r="S155" i="22"/>
  <c r="R155" i="22"/>
  <c r="X154" i="22"/>
  <c r="T154" i="22"/>
  <c r="R154" i="22"/>
  <c r="W152" i="22"/>
  <c r="T152" i="22"/>
  <c r="R152" i="22"/>
  <c r="P152" i="22"/>
  <c r="W151" i="22"/>
  <c r="S151" i="22"/>
  <c r="Q150" i="22"/>
  <c r="Q149" i="22"/>
  <c r="X148" i="22"/>
  <c r="W148" i="22"/>
  <c r="R148" i="22"/>
  <c r="P148" i="22"/>
  <c r="S147" i="22"/>
  <c r="X146" i="22"/>
  <c r="T146" i="22"/>
  <c r="P146" i="22"/>
  <c r="S145" i="22"/>
  <c r="Q145" i="22"/>
  <c r="X144" i="22"/>
  <c r="W144" i="22"/>
  <c r="S144" i="22"/>
  <c r="R144" i="22"/>
  <c r="P144" i="22"/>
  <c r="T142" i="22"/>
  <c r="S142" i="22"/>
  <c r="W141" i="22"/>
  <c r="T141" i="22"/>
  <c r="Q141" i="22"/>
  <c r="T139" i="22"/>
  <c r="R139" i="22"/>
  <c r="X138" i="22"/>
  <c r="R138" i="22"/>
  <c r="P138" i="22"/>
  <c r="S137" i="22"/>
  <c r="X136" i="22"/>
  <c r="R136" i="22"/>
  <c r="P136" i="22"/>
  <c r="X135" i="22"/>
  <c r="X134" i="22"/>
  <c r="T134" i="22"/>
  <c r="R134" i="22"/>
  <c r="P134" i="22"/>
  <c r="W134" i="22"/>
  <c r="T132" i="22"/>
  <c r="R132" i="22"/>
  <c r="T131" i="22"/>
  <c r="T129" i="22"/>
  <c r="T128" i="22"/>
  <c r="P128" i="22"/>
  <c r="R128" i="22"/>
  <c r="Q127" i="22"/>
  <c r="R126" i="22"/>
  <c r="W126" i="22"/>
  <c r="S125" i="22"/>
  <c r="R124" i="22"/>
  <c r="R123" i="22"/>
  <c r="X122" i="22"/>
  <c r="T122" i="22"/>
  <c r="P122" i="22"/>
  <c r="Q121" i="22"/>
  <c r="P121" i="22"/>
  <c r="T121" i="22"/>
  <c r="T120" i="22"/>
  <c r="S120" i="22"/>
  <c r="R118" i="22"/>
  <c r="W118" i="22"/>
  <c r="S117" i="22"/>
  <c r="Q117" i="22"/>
  <c r="R115" i="22"/>
  <c r="Q115" i="22"/>
  <c r="P113" i="22"/>
  <c r="Q113" i="22"/>
  <c r="S112" i="22"/>
  <c r="R111" i="22"/>
  <c r="T111" i="22"/>
  <c r="X110" i="22"/>
  <c r="R110" i="22"/>
  <c r="P110" i="22"/>
  <c r="T109" i="22"/>
  <c r="X108" i="22"/>
  <c r="W108" i="22"/>
  <c r="R108" i="22"/>
  <c r="P108" i="22"/>
  <c r="Q107" i="22"/>
  <c r="S105" i="22"/>
  <c r="X104" i="22"/>
  <c r="W104" i="22"/>
  <c r="T104" i="22"/>
  <c r="S104" i="22"/>
  <c r="R100" i="22"/>
  <c r="X100" i="22"/>
  <c r="T99" i="22"/>
  <c r="X98" i="22"/>
  <c r="W98" i="22"/>
  <c r="T98" i="22"/>
  <c r="R98" i="22"/>
  <c r="P98" i="22"/>
  <c r="X97" i="22"/>
  <c r="T97" i="22"/>
  <c r="Q97" i="22"/>
  <c r="S97" i="22"/>
  <c r="T96" i="22"/>
  <c r="P96" i="22"/>
  <c r="X95" i="22"/>
  <c r="S95" i="22"/>
  <c r="S94" i="22"/>
  <c r="R94" i="22"/>
  <c r="Q93" i="22"/>
  <c r="X91" i="22"/>
  <c r="W91" i="22"/>
  <c r="T91" i="22"/>
  <c r="S91" i="22"/>
  <c r="P91" i="22"/>
  <c r="X90" i="22"/>
  <c r="R90" i="22"/>
  <c r="P90" i="22"/>
  <c r="Q89" i="22"/>
  <c r="R89" i="22"/>
  <c r="T88" i="22"/>
  <c r="S88" i="22"/>
  <c r="X87" i="22"/>
  <c r="S87" i="22"/>
  <c r="R86" i="22"/>
  <c r="S86" i="22"/>
  <c r="W85" i="22"/>
  <c r="Q85" i="22"/>
  <c r="R83" i="22"/>
  <c r="P83" i="22"/>
  <c r="S83" i="22"/>
  <c r="X82" i="22"/>
  <c r="R82" i="22"/>
  <c r="P82" i="22"/>
  <c r="R81" i="22"/>
  <c r="X80" i="22"/>
  <c r="Q79" i="22"/>
  <c r="R78" i="22"/>
  <c r="W77" i="22"/>
  <c r="Q77" i="22"/>
  <c r="Q76" i="22"/>
  <c r="X75" i="22"/>
  <c r="T75" i="22"/>
  <c r="P75" i="22"/>
  <c r="X74" i="22"/>
  <c r="R74" i="22"/>
  <c r="T74" i="22"/>
  <c r="X72" i="22"/>
  <c r="T72" i="22"/>
  <c r="Q72" i="22"/>
  <c r="P72" i="22"/>
  <c r="T71" i="22"/>
  <c r="S70" i="22"/>
  <c r="W69" i="22"/>
  <c r="Q69" i="22"/>
  <c r="X68" i="22"/>
  <c r="Q68" i="22"/>
  <c r="R67" i="22"/>
  <c r="P67" i="22"/>
  <c r="X66" i="22"/>
  <c r="W66" i="22"/>
  <c r="S66" i="22"/>
  <c r="R66" i="22"/>
  <c r="P66" i="22"/>
  <c r="T66" i="22"/>
  <c r="P65" i="22"/>
  <c r="X65" i="22"/>
  <c r="X63" i="22"/>
  <c r="S63" i="22"/>
  <c r="P63" i="22"/>
  <c r="W63" i="22"/>
  <c r="T62" i="22"/>
  <c r="W61" i="22"/>
  <c r="Q61" i="22"/>
  <c r="X59" i="22"/>
  <c r="W59" i="22"/>
  <c r="T59" i="22"/>
  <c r="R59" i="22"/>
  <c r="P59" i="22"/>
  <c r="T56" i="22"/>
  <c r="Q56" i="22"/>
  <c r="X56" i="22"/>
  <c r="T54" i="22"/>
  <c r="X52" i="22"/>
  <c r="Q52" i="22"/>
  <c r="T52" i="22"/>
  <c r="X50" i="22"/>
  <c r="W50" i="22"/>
  <c r="R50" i="22"/>
  <c r="P50" i="22"/>
  <c r="T50" i="22"/>
  <c r="X49" i="22"/>
  <c r="P49" i="22"/>
  <c r="R49" i="22"/>
  <c r="P48" i="22"/>
  <c r="Q48" i="22"/>
  <c r="W45" i="22"/>
  <c r="T45" i="22"/>
  <c r="Q45" i="22"/>
  <c r="Q44" i="22"/>
  <c r="R43" i="22"/>
  <c r="P43" i="22"/>
  <c r="X42" i="22"/>
  <c r="R42" i="22"/>
  <c r="P42" i="22"/>
  <c r="T42" i="22"/>
  <c r="R41" i="22"/>
  <c r="P41" i="22"/>
  <c r="W41" i="22"/>
  <c r="X40" i="22"/>
  <c r="T40" i="22"/>
  <c r="Q40" i="22"/>
  <c r="W40" i="22"/>
  <c r="S39" i="22"/>
  <c r="W38" i="22"/>
  <c r="S38" i="22"/>
  <c r="R35" i="22"/>
  <c r="P33" i="22"/>
  <c r="X32" i="22"/>
  <c r="T31" i="22"/>
  <c r="R31" i="22"/>
  <c r="W30" i="22"/>
  <c r="T30" i="22"/>
  <c r="S29" i="22"/>
  <c r="X28" i="22"/>
  <c r="W28" i="22"/>
  <c r="S28" i="22"/>
  <c r="R28" i="22"/>
  <c r="P28" i="22"/>
  <c r="X27" i="22"/>
  <c r="S26" i="22"/>
  <c r="X25" i="22"/>
  <c r="W25" i="22"/>
  <c r="S25" i="22"/>
  <c r="P25" i="22"/>
  <c r="X24" i="22"/>
  <c r="T23" i="22"/>
  <c r="R23" i="22"/>
  <c r="W22" i="22"/>
  <c r="T22" i="22"/>
  <c r="X21" i="22"/>
  <c r="S21" i="22"/>
  <c r="X20" i="22"/>
  <c r="W20" i="22"/>
  <c r="S20" i="22"/>
  <c r="R20" i="22"/>
  <c r="P20" i="22"/>
  <c r="X19" i="22"/>
  <c r="P19" i="22"/>
  <c r="W19" i="22"/>
  <c r="S18" i="22"/>
  <c r="W17" i="22"/>
  <c r="P17" i="22"/>
  <c r="S16" i="22"/>
  <c r="X16" i="22"/>
  <c r="T14" i="22"/>
  <c r="W13" i="22"/>
  <c r="T13" i="22"/>
  <c r="R13" i="22"/>
  <c r="P13" i="22"/>
  <c r="S12" i="22"/>
  <c r="R11" i="22"/>
  <c r="T9" i="22"/>
  <c r="S9" i="22"/>
  <c r="X8" i="22"/>
  <c r="C4" i="22"/>
  <c r="R45" i="21"/>
  <c r="P45" i="21"/>
  <c r="X44" i="21"/>
  <c r="S44" i="21"/>
  <c r="X43" i="21"/>
  <c r="T43" i="21"/>
  <c r="S43" i="21"/>
  <c r="P43" i="21"/>
  <c r="S42" i="21"/>
  <c r="T42" i="21"/>
  <c r="X41" i="21"/>
  <c r="X39" i="21"/>
  <c r="R39" i="21"/>
  <c r="P39" i="21"/>
  <c r="W38" i="21"/>
  <c r="R38" i="21"/>
  <c r="X37" i="21"/>
  <c r="W37" i="21"/>
  <c r="T37" i="21"/>
  <c r="R37" i="21"/>
  <c r="P37" i="21"/>
  <c r="W36" i="21"/>
  <c r="T35" i="21"/>
  <c r="X33" i="21"/>
  <c r="X31" i="21"/>
  <c r="T31" i="21"/>
  <c r="P31" i="21"/>
  <c r="S30" i="21"/>
  <c r="W29" i="21"/>
  <c r="R29" i="21"/>
  <c r="P29" i="21"/>
  <c r="W28" i="21"/>
  <c r="T27" i="21"/>
  <c r="T26" i="21"/>
  <c r="X25" i="21"/>
  <c r="X23" i="21"/>
  <c r="W23" i="21"/>
  <c r="R23" i="21"/>
  <c r="P23" i="21"/>
  <c r="X22" i="21"/>
  <c r="W22" i="21"/>
  <c r="X21" i="21"/>
  <c r="W21" i="21"/>
  <c r="R21" i="21"/>
  <c r="S20" i="21"/>
  <c r="P20" i="21"/>
  <c r="W20" i="21"/>
  <c r="T18" i="21"/>
  <c r="X17" i="21"/>
  <c r="X15" i="21"/>
  <c r="W15" i="21"/>
  <c r="R15" i="21"/>
  <c r="P15" i="21"/>
  <c r="T14" i="21"/>
  <c r="S13" i="21"/>
  <c r="W12" i="21"/>
  <c r="P11" i="21"/>
  <c r="S10" i="21"/>
  <c r="T10" i="21"/>
  <c r="X9" i="21"/>
  <c r="T8" i="21"/>
  <c r="C4" i="21"/>
  <c r="X19" i="20"/>
  <c r="X16" i="20"/>
  <c r="W16" i="20"/>
  <c r="T16" i="20"/>
  <c r="R16" i="20"/>
  <c r="P16" i="20"/>
  <c r="S15" i="20"/>
  <c r="R15" i="20"/>
  <c r="T15" i="20"/>
  <c r="X14" i="20"/>
  <c r="P14" i="20"/>
  <c r="W14" i="20"/>
  <c r="X12" i="20"/>
  <c r="R12" i="20"/>
  <c r="P12" i="20"/>
  <c r="X11" i="20"/>
  <c r="T9" i="20"/>
  <c r="W8" i="20"/>
  <c r="R8" i="20"/>
  <c r="P8" i="20"/>
  <c r="C4" i="20"/>
  <c r="S84" i="6"/>
  <c r="S83" i="6"/>
  <c r="W9" i="20" l="1"/>
  <c r="S12" i="20"/>
  <c r="T12" i="20"/>
  <c r="S8" i="20"/>
  <c r="X9" i="20"/>
  <c r="P17" i="20"/>
  <c r="T8" i="20"/>
  <c r="W15" i="20"/>
  <c r="T17" i="20"/>
  <c r="W12" i="20"/>
  <c r="X13" i="20"/>
  <c r="P13" i="20"/>
  <c r="W17" i="20"/>
  <c r="X8" i="20"/>
  <c r="P9" i="20"/>
  <c r="S13" i="20"/>
  <c r="S16" i="20"/>
  <c r="X17" i="20"/>
  <c r="S11" i="21"/>
  <c r="W14" i="21"/>
  <c r="P22" i="21"/>
  <c r="S26" i="21"/>
  <c r="P27" i="21"/>
  <c r="S29" i="21"/>
  <c r="W30" i="21"/>
  <c r="S35" i="21"/>
  <c r="X38" i="21"/>
  <c r="W45" i="21"/>
  <c r="S45" i="21"/>
  <c r="T11" i="21"/>
  <c r="W13" i="21"/>
  <c r="X14" i="21"/>
  <c r="X20" i="21"/>
  <c r="P21" i="21"/>
  <c r="R22" i="21"/>
  <c r="T23" i="21"/>
  <c r="S27" i="21"/>
  <c r="T29" i="21"/>
  <c r="X30" i="21"/>
  <c r="T45" i="21"/>
  <c r="X19" i="21"/>
  <c r="P12" i="21"/>
  <c r="X13" i="21"/>
  <c r="S22" i="21"/>
  <c r="P36" i="21"/>
  <c r="X11" i="21"/>
  <c r="S12" i="21"/>
  <c r="P14" i="21"/>
  <c r="S18" i="21"/>
  <c r="P19" i="21"/>
  <c r="S21" i="21"/>
  <c r="T22" i="21"/>
  <c r="P28" i="21"/>
  <c r="R31" i="21"/>
  <c r="P35" i="21"/>
  <c r="X35" i="21"/>
  <c r="S36" i="21"/>
  <c r="P38" i="21"/>
  <c r="W39" i="21"/>
  <c r="T39" i="21"/>
  <c r="X45" i="21"/>
  <c r="P13" i="21"/>
  <c r="R14" i="21"/>
  <c r="T15" i="21"/>
  <c r="S19" i="21"/>
  <c r="T21" i="21"/>
  <c r="X27" i="21"/>
  <c r="S28" i="21"/>
  <c r="X29" i="21"/>
  <c r="R30" i="21"/>
  <c r="W31" i="21"/>
  <c r="T34" i="21"/>
  <c r="S34" i="21"/>
  <c r="X12" i="21"/>
  <c r="R13" i="21"/>
  <c r="S14" i="21"/>
  <c r="T19" i="21"/>
  <c r="X36" i="21"/>
  <c r="T38" i="21"/>
  <c r="S38" i="21"/>
  <c r="X28" i="21"/>
  <c r="P30" i="21"/>
  <c r="T30" i="21"/>
  <c r="T13" i="21"/>
  <c r="W44" i="21"/>
  <c r="P44" i="21"/>
  <c r="S37" i="21"/>
  <c r="W51" i="22"/>
  <c r="T51" i="22"/>
  <c r="R51" i="22"/>
  <c r="P51" i="22"/>
  <c r="W54" i="22"/>
  <c r="S54" i="22"/>
  <c r="Q54" i="22"/>
  <c r="W37" i="22"/>
  <c r="R37" i="22"/>
  <c r="P37" i="22"/>
  <c r="T21" i="22"/>
  <c r="R21" i="22"/>
  <c r="P21" i="22"/>
  <c r="W21" i="22"/>
  <c r="R29" i="22"/>
  <c r="P29" i="22"/>
  <c r="W29" i="22"/>
  <c r="T29" i="22"/>
  <c r="X29" i="22"/>
  <c r="W36" i="22"/>
  <c r="T36" i="22"/>
  <c r="Q36" i="22"/>
  <c r="P36" i="22"/>
  <c r="X36" i="22"/>
  <c r="W101" i="22"/>
  <c r="T101" i="22"/>
  <c r="Q101" i="22"/>
  <c r="P101" i="22"/>
  <c r="X101" i="22"/>
  <c r="W226" i="22"/>
  <c r="P226" i="22"/>
  <c r="X226" i="22"/>
  <c r="X37" i="22"/>
  <c r="X51" i="22"/>
  <c r="T58" i="22"/>
  <c r="R58" i="22"/>
  <c r="P58" i="22"/>
  <c r="X58" i="22"/>
  <c r="W58" i="22"/>
  <c r="W102" i="22"/>
  <c r="X102" i="22"/>
  <c r="S102" i="22"/>
  <c r="P102" i="22"/>
  <c r="S47" i="22"/>
  <c r="P47" i="22"/>
  <c r="W47" i="22"/>
  <c r="S153" i="22"/>
  <c r="P153" i="22"/>
  <c r="S177" i="22"/>
  <c r="P177" i="22"/>
  <c r="W177" i="22"/>
  <c r="X177" i="22"/>
  <c r="R177" i="22"/>
  <c r="W179" i="22"/>
  <c r="Q179" i="22"/>
  <c r="P179" i="22"/>
  <c r="R130" i="22"/>
  <c r="X130" i="22"/>
  <c r="W130" i="22"/>
  <c r="T130" i="22"/>
  <c r="P130" i="22"/>
  <c r="T17" i="22"/>
  <c r="S17" i="22"/>
  <c r="X17" i="22"/>
  <c r="S192" i="22"/>
  <c r="R192" i="22"/>
  <c r="R214" i="22"/>
  <c r="W214" i="22"/>
  <c r="P214" i="22"/>
  <c r="X214" i="22"/>
  <c r="T214" i="22"/>
  <c r="S214" i="22"/>
  <c r="S10" i="22"/>
  <c r="P12" i="22"/>
  <c r="T15" i="22"/>
  <c r="R15" i="22"/>
  <c r="W27" i="22"/>
  <c r="R27" i="22"/>
  <c r="P27" i="22"/>
  <c r="T80" i="22"/>
  <c r="P80" i="22"/>
  <c r="P140" i="22"/>
  <c r="T140" i="22"/>
  <c r="Q140" i="22"/>
  <c r="Q161" i="22"/>
  <c r="T212" i="22"/>
  <c r="R212" i="22"/>
  <c r="X114" i="22"/>
  <c r="W114" i="22"/>
  <c r="R114" i="22"/>
  <c r="P114" i="22"/>
  <c r="Q119" i="22"/>
  <c r="P119" i="22"/>
  <c r="T37" i="22"/>
  <c r="S51" i="22"/>
  <c r="S58" i="22"/>
  <c r="R102" i="22"/>
  <c r="T114" i="22"/>
  <c r="S143" i="22"/>
  <c r="Q143" i="22"/>
  <c r="T166" i="22"/>
  <c r="R166" i="22"/>
  <c r="R12" i="22"/>
  <c r="X12" i="22"/>
  <c r="W12" i="22"/>
  <c r="W11" i="22"/>
  <c r="X11" i="22"/>
  <c r="P11" i="22"/>
  <c r="T12" i="22"/>
  <c r="Q84" i="22"/>
  <c r="T84" i="22"/>
  <c r="R112" i="22"/>
  <c r="P112" i="22"/>
  <c r="W112" i="22"/>
  <c r="T112" i="22"/>
  <c r="X112" i="22"/>
  <c r="S42" i="22"/>
  <c r="W43" i="22"/>
  <c r="W67" i="22"/>
  <c r="W70" i="22"/>
  <c r="W83" i="22"/>
  <c r="T90" i="22"/>
  <c r="S90" i="22"/>
  <c r="T103" i="22"/>
  <c r="S103" i="22"/>
  <c r="W103" i="22"/>
  <c r="X113" i="22"/>
  <c r="R120" i="22"/>
  <c r="W132" i="22"/>
  <c r="T155" i="22"/>
  <c r="R171" i="22"/>
  <c r="X171" i="22"/>
  <c r="T176" i="22"/>
  <c r="R176" i="22"/>
  <c r="W176" i="22"/>
  <c r="Q197" i="22"/>
  <c r="S197" i="22"/>
  <c r="W198" i="22"/>
  <c r="P198" i="22"/>
  <c r="X198" i="22"/>
  <c r="R201" i="22"/>
  <c r="W201" i="22"/>
  <c r="T201" i="22"/>
  <c r="T241" i="22"/>
  <c r="P251" i="22"/>
  <c r="S251" i="22"/>
  <c r="X251" i="22"/>
  <c r="W251" i="22"/>
  <c r="W9" i="22"/>
  <c r="X13" i="22"/>
  <c r="R19" i="22"/>
  <c r="T25" i="22"/>
  <c r="T28" i="22"/>
  <c r="W33" i="22"/>
  <c r="S34" i="22"/>
  <c r="X43" i="22"/>
  <c r="T61" i="22"/>
  <c r="X67" i="22"/>
  <c r="R75" i="22"/>
  <c r="S78" i="22"/>
  <c r="T82" i="22"/>
  <c r="W82" i="22"/>
  <c r="S82" i="22"/>
  <c r="X83" i="22"/>
  <c r="T87" i="22"/>
  <c r="P87" i="22"/>
  <c r="W87" i="22"/>
  <c r="P88" i="22"/>
  <c r="T94" i="22"/>
  <c r="W96" i="22"/>
  <c r="P104" i="22"/>
  <c r="T108" i="22"/>
  <c r="P109" i="22"/>
  <c r="W110" i="22"/>
  <c r="T110" i="22"/>
  <c r="S110" i="22"/>
  <c r="W120" i="22"/>
  <c r="W128" i="22"/>
  <c r="Q142" i="22"/>
  <c r="W146" i="22"/>
  <c r="R146" i="22"/>
  <c r="W164" i="22"/>
  <c r="T164" i="22"/>
  <c r="S167" i="22"/>
  <c r="X176" i="22"/>
  <c r="W186" i="22"/>
  <c r="R186" i="22"/>
  <c r="T186" i="22"/>
  <c r="Q244" i="22"/>
  <c r="P244" i="22"/>
  <c r="X244" i="22"/>
  <c r="W244" i="22"/>
  <c r="Q250" i="22"/>
  <c r="S252" i="22"/>
  <c r="Q252" i="22"/>
  <c r="P252" i="22"/>
  <c r="R260" i="22"/>
  <c r="Q260" i="22"/>
  <c r="T261" i="22"/>
  <c r="P261" i="22"/>
  <c r="R261" i="22"/>
  <c r="X261" i="22"/>
  <c r="W261" i="22"/>
  <c r="X9" i="22"/>
  <c r="W14" i="22"/>
  <c r="X33" i="22"/>
  <c r="P35" i="22"/>
  <c r="W42" i="22"/>
  <c r="P44" i="22"/>
  <c r="P68" i="22"/>
  <c r="S73" i="22"/>
  <c r="P74" i="22"/>
  <c r="S75" i="22"/>
  <c r="T78" i="22"/>
  <c r="W90" i="22"/>
  <c r="X96" i="22"/>
  <c r="S99" i="22"/>
  <c r="R104" i="22"/>
  <c r="Q109" i="22"/>
  <c r="X120" i="22"/>
  <c r="X128" i="22"/>
  <c r="T138" i="22"/>
  <c r="W138" i="22"/>
  <c r="R147" i="22"/>
  <c r="W155" i="22"/>
  <c r="P162" i="22"/>
  <c r="T162" i="22"/>
  <c r="T194" i="22"/>
  <c r="X194" i="22"/>
  <c r="R194" i="22"/>
  <c r="X201" i="22"/>
  <c r="T204" i="22"/>
  <c r="R204" i="22"/>
  <c r="R205" i="22"/>
  <c r="W205" i="22"/>
  <c r="T239" i="22"/>
  <c r="W239" i="22"/>
  <c r="R239" i="22"/>
  <c r="P239" i="22"/>
  <c r="X239" i="22"/>
  <c r="X241" i="22"/>
  <c r="S248" i="22"/>
  <c r="X248" i="22"/>
  <c r="P248" i="22"/>
  <c r="Q248" i="22"/>
  <c r="P249" i="22"/>
  <c r="X249" i="22"/>
  <c r="X258" i="22"/>
  <c r="T258" i="22"/>
  <c r="W258" i="22"/>
  <c r="P259" i="22"/>
  <c r="W259" i="22"/>
  <c r="T68" i="22"/>
  <c r="S74" i="22"/>
  <c r="W136" i="22"/>
  <c r="S136" i="22"/>
  <c r="S139" i="22"/>
  <c r="T147" i="22"/>
  <c r="R185" i="22"/>
  <c r="T185" i="22"/>
  <c r="Q188" i="22"/>
  <c r="T188" i="22"/>
  <c r="Q191" i="22"/>
  <c r="W208" i="22"/>
  <c r="P208" i="22"/>
  <c r="X208" i="22"/>
  <c r="R224" i="22"/>
  <c r="P237" i="22"/>
  <c r="P9" i="22"/>
  <c r="S13" i="22"/>
  <c r="T20" i="22"/>
  <c r="S33" i="22"/>
  <c r="X35" i="22"/>
  <c r="S43" i="22"/>
  <c r="S50" i="22"/>
  <c r="S59" i="22"/>
  <c r="R65" i="22"/>
  <c r="S67" i="22"/>
  <c r="W75" i="22"/>
  <c r="X79" i="22"/>
  <c r="X88" i="22"/>
  <c r="R91" i="22"/>
  <c r="T95" i="22"/>
  <c r="P95" i="22"/>
  <c r="R96" i="22"/>
  <c r="W97" i="22"/>
  <c r="W99" i="22"/>
  <c r="P103" i="22"/>
  <c r="T107" i="22"/>
  <c r="W109" i="22"/>
  <c r="P120" i="22"/>
  <c r="S126" i="22"/>
  <c r="T136" i="22"/>
  <c r="W139" i="22"/>
  <c r="T149" i="22"/>
  <c r="P154" i="22"/>
  <c r="W154" i="22"/>
  <c r="X162" i="22"/>
  <c r="P168" i="22"/>
  <c r="R168" i="22"/>
  <c r="W168" i="22"/>
  <c r="X168" i="22"/>
  <c r="X170" i="22"/>
  <c r="R170" i="22"/>
  <c r="P176" i="22"/>
  <c r="X190" i="22"/>
  <c r="S198" i="22"/>
  <c r="T211" i="22"/>
  <c r="W211" i="22"/>
  <c r="R232" i="22"/>
  <c r="X237" i="22"/>
  <c r="W255" i="22"/>
  <c r="P255" i="22"/>
  <c r="R255" i="22"/>
  <c r="T33" i="22"/>
  <c r="T43" i="22"/>
  <c r="T67" i="22"/>
  <c r="W68" i="22"/>
  <c r="W74" i="22"/>
  <c r="T83" i="22"/>
  <c r="T86" i="22"/>
  <c r="S96" i="22"/>
  <c r="X109" i="22"/>
  <c r="T113" i="22"/>
  <c r="S113" i="22"/>
  <c r="R122" i="22"/>
  <c r="W122" i="22"/>
  <c r="S128" i="22"/>
  <c r="W147" i="22"/>
  <c r="S163" i="22"/>
  <c r="W163" i="22"/>
  <c r="S176" i="22"/>
  <c r="W185" i="22"/>
  <c r="T195" i="22"/>
  <c r="P195" i="22"/>
  <c r="T198" i="22"/>
  <c r="P201" i="22"/>
  <c r="W224" i="22"/>
  <c r="P224" i="22"/>
  <c r="X224" i="22"/>
  <c r="W227" i="22"/>
  <c r="P227" i="22"/>
  <c r="X227" i="22"/>
  <c r="R251" i="22"/>
  <c r="W238" i="22"/>
  <c r="T240" i="22"/>
  <c r="W240" i="22"/>
  <c r="X245" i="22"/>
  <c r="P245" i="22"/>
  <c r="Q246" i="22"/>
  <c r="R256" i="22"/>
  <c r="P256" i="22"/>
  <c r="S152" i="22"/>
  <c r="T156" i="22"/>
  <c r="W172" i="22"/>
  <c r="X184" i="22"/>
  <c r="X209" i="22"/>
  <c r="S209" i="22"/>
  <c r="T233" i="22"/>
  <c r="S235" i="22"/>
  <c r="X235" i="22"/>
  <c r="S246" i="22"/>
  <c r="T257" i="22"/>
  <c r="P257" i="22"/>
  <c r="S257" i="22"/>
  <c r="S134" i="22"/>
  <c r="T144" i="22"/>
  <c r="T148" i="22"/>
  <c r="X152" i="22"/>
  <c r="T158" i="22"/>
  <c r="R158" i="22"/>
  <c r="S159" i="22"/>
  <c r="T160" i="22"/>
  <c r="W175" i="22"/>
  <c r="T175" i="22"/>
  <c r="W202" i="22"/>
  <c r="S202" i="22"/>
  <c r="X206" i="22"/>
  <c r="S206" i="22"/>
  <c r="T210" i="22"/>
  <c r="S210" i="22"/>
  <c r="S218" i="22"/>
  <c r="Q219" i="22"/>
  <c r="W220" i="22"/>
  <c r="R220" i="22"/>
  <c r="T231" i="22"/>
  <c r="S231" i="22"/>
  <c r="W181" i="22"/>
  <c r="S193" i="22"/>
  <c r="S222" i="22"/>
  <c r="T228" i="22"/>
  <c r="X230" i="22"/>
  <c r="S243" i="22"/>
  <c r="X203" i="22"/>
  <c r="S230" i="22"/>
  <c r="W236" i="22"/>
  <c r="X243" i="22"/>
  <c r="S247" i="22"/>
  <c r="Q16" i="22"/>
  <c r="Q24" i="22"/>
  <c r="Q32" i="22"/>
  <c r="X46" i="22"/>
  <c r="P46" i="22"/>
  <c r="R46" i="22"/>
  <c r="S53" i="22"/>
  <c r="X53" i="22"/>
  <c r="P53" i="22"/>
  <c r="R53" i="22"/>
  <c r="R55" i="22"/>
  <c r="Q55" i="22"/>
  <c r="W57" i="22"/>
  <c r="T57" i="22"/>
  <c r="Q57" i="22"/>
  <c r="S60" i="22"/>
  <c r="R60" i="22"/>
  <c r="R64" i="22"/>
  <c r="W64" i="22"/>
  <c r="S64" i="22"/>
  <c r="W92" i="22"/>
  <c r="S92" i="22"/>
  <c r="R92" i="22"/>
  <c r="T92" i="22"/>
  <c r="Q8" i="22"/>
  <c r="R8" i="22"/>
  <c r="T10" i="22"/>
  <c r="Q11" i="22"/>
  <c r="P14" i="22"/>
  <c r="X14" i="22"/>
  <c r="R16" i="22"/>
  <c r="T18" i="22"/>
  <c r="Q19" i="22"/>
  <c r="P22" i="22"/>
  <c r="X22" i="22"/>
  <c r="R24" i="22"/>
  <c r="T26" i="22"/>
  <c r="Q27" i="22"/>
  <c r="P30" i="22"/>
  <c r="X30" i="22"/>
  <c r="R32" i="22"/>
  <c r="T34" i="22"/>
  <c r="Q35" i="22"/>
  <c r="T39" i="22"/>
  <c r="R40" i="22"/>
  <c r="S40" i="22"/>
  <c r="Q41" i="22"/>
  <c r="S45" i="22"/>
  <c r="X45" i="22"/>
  <c r="P45" i="22"/>
  <c r="R45" i="22"/>
  <c r="S46" i="22"/>
  <c r="R47" i="22"/>
  <c r="Q47" i="22"/>
  <c r="W49" i="22"/>
  <c r="T49" i="22"/>
  <c r="Q49" i="22"/>
  <c r="S52" i="22"/>
  <c r="R52" i="22"/>
  <c r="T53" i="22"/>
  <c r="S55" i="22"/>
  <c r="R56" i="22"/>
  <c r="W56" i="22"/>
  <c r="S56" i="22"/>
  <c r="R57" i="22"/>
  <c r="T60" i="22"/>
  <c r="T63" i="22"/>
  <c r="T64" i="22"/>
  <c r="S65" i="22"/>
  <c r="X76" i="22"/>
  <c r="W84" i="22"/>
  <c r="S84" i="22"/>
  <c r="R84" i="22"/>
  <c r="S8" i="22"/>
  <c r="Q14" i="22"/>
  <c r="Q22" i="22"/>
  <c r="S24" i="22"/>
  <c r="Q30" i="22"/>
  <c r="S32" i="22"/>
  <c r="S44" i="22"/>
  <c r="R44" i="22"/>
  <c r="T46" i="22"/>
  <c r="R48" i="22"/>
  <c r="W48" i="22"/>
  <c r="S48" i="22"/>
  <c r="T55" i="22"/>
  <c r="S57" i="22"/>
  <c r="X92" i="22"/>
  <c r="T8" i="22"/>
  <c r="Q9" i="22"/>
  <c r="S11" i="22"/>
  <c r="R14" i="22"/>
  <c r="W15" i="22"/>
  <c r="T16" i="22"/>
  <c r="Q17" i="22"/>
  <c r="S19" i="22"/>
  <c r="R22" i="22"/>
  <c r="W23" i="22"/>
  <c r="T24" i="22"/>
  <c r="Q25" i="22"/>
  <c r="S27" i="22"/>
  <c r="R30" i="22"/>
  <c r="W31" i="22"/>
  <c r="T32" i="22"/>
  <c r="Q33" i="22"/>
  <c r="S35" i="22"/>
  <c r="R36" i="22"/>
  <c r="S41" i="22"/>
  <c r="T44" i="22"/>
  <c r="T47" i="22"/>
  <c r="T48" i="22"/>
  <c r="S49" i="22"/>
  <c r="W60" i="22"/>
  <c r="W62" i="22"/>
  <c r="W71" i="22"/>
  <c r="X73" i="22"/>
  <c r="P79" i="22"/>
  <c r="Q106" i="22"/>
  <c r="R9" i="22"/>
  <c r="W10" i="22"/>
  <c r="T11" i="22"/>
  <c r="Q12" i="22"/>
  <c r="S14" i="22"/>
  <c r="P15" i="22"/>
  <c r="X15" i="22"/>
  <c r="R17" i="22"/>
  <c r="W18" i="22"/>
  <c r="T19" i="22"/>
  <c r="Q20" i="22"/>
  <c r="S22" i="22"/>
  <c r="P23" i="22"/>
  <c r="X23" i="22"/>
  <c r="R25" i="22"/>
  <c r="W26" i="22"/>
  <c r="T27" i="22"/>
  <c r="Q28" i="22"/>
  <c r="S30" i="22"/>
  <c r="P31" i="22"/>
  <c r="X31" i="22"/>
  <c r="R33" i="22"/>
  <c r="W34" i="22"/>
  <c r="T35" i="22"/>
  <c r="S36" i="22"/>
  <c r="S37" i="22"/>
  <c r="Q37" i="22"/>
  <c r="Q38" i="22"/>
  <c r="W39" i="22"/>
  <c r="T41" i="22"/>
  <c r="W52" i="22"/>
  <c r="W53" i="22"/>
  <c r="X60" i="22"/>
  <c r="X64" i="22"/>
  <c r="Q70" i="22"/>
  <c r="X71" i="22"/>
  <c r="P76" i="22"/>
  <c r="T77" i="22"/>
  <c r="S77" i="22"/>
  <c r="R77" i="22"/>
  <c r="X77" i="22"/>
  <c r="P77" i="22"/>
  <c r="Q81" i="22"/>
  <c r="X84" i="22"/>
  <c r="T93" i="22"/>
  <c r="S93" i="22"/>
  <c r="R93" i="22"/>
  <c r="X93" i="22"/>
  <c r="P93" i="22"/>
  <c r="W93" i="22"/>
  <c r="P10" i="22"/>
  <c r="X10" i="22"/>
  <c r="Q15" i="22"/>
  <c r="P18" i="22"/>
  <c r="X18" i="22"/>
  <c r="Q23" i="22"/>
  <c r="P26" i="22"/>
  <c r="X26" i="22"/>
  <c r="Q31" i="22"/>
  <c r="P34" i="22"/>
  <c r="X34" i="22"/>
  <c r="X38" i="22"/>
  <c r="P38" i="22"/>
  <c r="R38" i="22"/>
  <c r="P39" i="22"/>
  <c r="X39" i="22"/>
  <c r="W44" i="22"/>
  <c r="W46" i="22"/>
  <c r="W55" i="22"/>
  <c r="X57" i="22"/>
  <c r="Q62" i="22"/>
  <c r="X70" i="22"/>
  <c r="P70" i="22"/>
  <c r="R70" i="22"/>
  <c r="P71" i="22"/>
  <c r="P73" i="22"/>
  <c r="T79" i="22"/>
  <c r="R79" i="22"/>
  <c r="S79" i="22"/>
  <c r="W8" i="22"/>
  <c r="Q10" i="22"/>
  <c r="W16" i="22"/>
  <c r="Q18" i="22"/>
  <c r="W24" i="22"/>
  <c r="Q26" i="22"/>
  <c r="W32" i="22"/>
  <c r="Q34" i="22"/>
  <c r="Q39" i="22"/>
  <c r="X44" i="22"/>
  <c r="X48" i="22"/>
  <c r="X55" i="22"/>
  <c r="P60" i="22"/>
  <c r="X62" i="22"/>
  <c r="P62" i="22"/>
  <c r="R62" i="22"/>
  <c r="P64" i="22"/>
  <c r="S69" i="22"/>
  <c r="X69" i="22"/>
  <c r="P69" i="22"/>
  <c r="R69" i="22"/>
  <c r="R71" i="22"/>
  <c r="Q71" i="22"/>
  <c r="W73" i="22"/>
  <c r="T73" i="22"/>
  <c r="Q73" i="22"/>
  <c r="W76" i="22"/>
  <c r="S76" i="22"/>
  <c r="R76" i="22"/>
  <c r="X81" i="22"/>
  <c r="P81" i="22"/>
  <c r="W81" i="22"/>
  <c r="T81" i="22"/>
  <c r="S81" i="22"/>
  <c r="P92" i="22"/>
  <c r="S106" i="22"/>
  <c r="X106" i="22"/>
  <c r="W106" i="22"/>
  <c r="T106" i="22"/>
  <c r="R106" i="22"/>
  <c r="P106" i="22"/>
  <c r="P8" i="22"/>
  <c r="R10" i="22"/>
  <c r="Q13" i="22"/>
  <c r="S15" i="22"/>
  <c r="P16" i="22"/>
  <c r="R18" i="22"/>
  <c r="Q21" i="22"/>
  <c r="S23" i="22"/>
  <c r="P24" i="22"/>
  <c r="R26" i="22"/>
  <c r="Q29" i="22"/>
  <c r="S31" i="22"/>
  <c r="P32" i="22"/>
  <c r="R34" i="22"/>
  <c r="W35" i="22"/>
  <c r="T38" i="22"/>
  <c r="R39" i="22"/>
  <c r="P40" i="22"/>
  <c r="X41" i="22"/>
  <c r="Q46" i="22"/>
  <c r="X47" i="22"/>
  <c r="P52" i="22"/>
  <c r="Q53" i="22"/>
  <c r="X54" i="22"/>
  <c r="P54" i="22"/>
  <c r="R54" i="22"/>
  <c r="P55" i="22"/>
  <c r="P56" i="22"/>
  <c r="P57" i="22"/>
  <c r="Q60" i="22"/>
  <c r="S61" i="22"/>
  <c r="X61" i="22"/>
  <c r="P61" i="22"/>
  <c r="R61" i="22"/>
  <c r="S62" i="22"/>
  <c r="R63" i="22"/>
  <c r="Q63" i="22"/>
  <c r="Q64" i="22"/>
  <c r="W65" i="22"/>
  <c r="T65" i="22"/>
  <c r="Q65" i="22"/>
  <c r="S68" i="22"/>
  <c r="R68" i="22"/>
  <c r="T69" i="22"/>
  <c r="T70" i="22"/>
  <c r="S71" i="22"/>
  <c r="R72" i="22"/>
  <c r="W72" i="22"/>
  <c r="S72" i="22"/>
  <c r="R73" i="22"/>
  <c r="T76" i="22"/>
  <c r="W79" i="22"/>
  <c r="P84" i="22"/>
  <c r="T85" i="22"/>
  <c r="S85" i="22"/>
  <c r="R85" i="22"/>
  <c r="X85" i="22"/>
  <c r="P85" i="22"/>
  <c r="X89" i="22"/>
  <c r="P89" i="22"/>
  <c r="W89" i="22"/>
  <c r="T89" i="22"/>
  <c r="S89" i="22"/>
  <c r="Q92" i="22"/>
  <c r="Q100" i="22"/>
  <c r="R105" i="22"/>
  <c r="Q111" i="22"/>
  <c r="P116" i="22"/>
  <c r="Q118" i="22"/>
  <c r="S124" i="22"/>
  <c r="Q124" i="22"/>
  <c r="Q129" i="22"/>
  <c r="X131" i="22"/>
  <c r="P131" i="22"/>
  <c r="S131" i="22"/>
  <c r="X133" i="22"/>
  <c r="P133" i="22"/>
  <c r="R133" i="22"/>
  <c r="T133" i="22"/>
  <c r="R135" i="22"/>
  <c r="T135" i="22"/>
  <c r="S135" i="22"/>
  <c r="T137" i="22"/>
  <c r="W137" i="22"/>
  <c r="R137" i="22"/>
  <c r="S116" i="22"/>
  <c r="Q116" i="22"/>
  <c r="X123" i="22"/>
  <c r="P123" i="22"/>
  <c r="S123" i="22"/>
  <c r="X125" i="22"/>
  <c r="P125" i="22"/>
  <c r="R125" i="22"/>
  <c r="T125" i="22"/>
  <c r="R127" i="22"/>
  <c r="T127" i="22"/>
  <c r="S127" i="22"/>
  <c r="R129" i="22"/>
  <c r="S150" i="22"/>
  <c r="X150" i="22"/>
  <c r="P150" i="22"/>
  <c r="W150" i="22"/>
  <c r="R150" i="22"/>
  <c r="X157" i="22"/>
  <c r="P157" i="22"/>
  <c r="W157" i="22"/>
  <c r="T157" i="22"/>
  <c r="S157" i="22"/>
  <c r="R157" i="22"/>
  <c r="Q87" i="22"/>
  <c r="Q95" i="22"/>
  <c r="S100" i="22"/>
  <c r="T105" i="22"/>
  <c r="X107" i="22"/>
  <c r="P107" i="22"/>
  <c r="R107" i="22"/>
  <c r="S111" i="22"/>
  <c r="X115" i="22"/>
  <c r="P115" i="22"/>
  <c r="S115" i="22"/>
  <c r="R116" i="22"/>
  <c r="X117" i="22"/>
  <c r="P117" i="22"/>
  <c r="R117" i="22"/>
  <c r="T117" i="22"/>
  <c r="S118" i="22"/>
  <c r="R119" i="22"/>
  <c r="T119" i="22"/>
  <c r="S119" i="22"/>
  <c r="R121" i="22"/>
  <c r="T123" i="22"/>
  <c r="T124" i="22"/>
  <c r="T126" i="22"/>
  <c r="S129" i="22"/>
  <c r="X141" i="22"/>
  <c r="P141" i="22"/>
  <c r="S141" i="22"/>
  <c r="R141" i="22"/>
  <c r="T145" i="22"/>
  <c r="R145" i="22"/>
  <c r="W145" i="22"/>
  <c r="T150" i="22"/>
  <c r="Q153" i="22"/>
  <c r="Q42" i="22"/>
  <c r="Q50" i="22"/>
  <c r="Q58" i="22"/>
  <c r="Q66" i="22"/>
  <c r="Q74" i="22"/>
  <c r="W80" i="22"/>
  <c r="Q82" i="22"/>
  <c r="R87" i="22"/>
  <c r="W88" i="22"/>
  <c r="Q90" i="22"/>
  <c r="R95" i="22"/>
  <c r="P97" i="22"/>
  <c r="T100" i="22"/>
  <c r="R101" i="22"/>
  <c r="S101" i="22"/>
  <c r="Q102" i="22"/>
  <c r="X103" i="22"/>
  <c r="S107" i="22"/>
  <c r="Q108" i="22"/>
  <c r="R113" i="22"/>
  <c r="T115" i="22"/>
  <c r="T116" i="22"/>
  <c r="T118" i="22"/>
  <c r="S121" i="22"/>
  <c r="W131" i="22"/>
  <c r="W133" i="22"/>
  <c r="W135" i="22"/>
  <c r="X137" i="22"/>
  <c r="S140" i="22"/>
  <c r="R140" i="22"/>
  <c r="X145" i="22"/>
  <c r="T161" i="22"/>
  <c r="S161" i="22"/>
  <c r="R161" i="22"/>
  <c r="X161" i="22"/>
  <c r="P161" i="22"/>
  <c r="W161" i="22"/>
  <c r="W105" i="22"/>
  <c r="W123" i="22"/>
  <c r="W125" i="22"/>
  <c r="W127" i="22"/>
  <c r="W129" i="22"/>
  <c r="T153" i="22"/>
  <c r="R153" i="22"/>
  <c r="W153" i="22"/>
  <c r="W78" i="22"/>
  <c r="Q80" i="22"/>
  <c r="W86" i="22"/>
  <c r="Q88" i="22"/>
  <c r="W94" i="22"/>
  <c r="R97" i="22"/>
  <c r="Q103" i="22"/>
  <c r="X105" i="22"/>
  <c r="S108" i="22"/>
  <c r="W111" i="22"/>
  <c r="W115" i="22"/>
  <c r="W117" i="22"/>
  <c r="W119" i="22"/>
  <c r="W121" i="22"/>
  <c r="W124" i="22"/>
  <c r="X126" i="22"/>
  <c r="X127" i="22"/>
  <c r="X129" i="22"/>
  <c r="X132" i="22"/>
  <c r="R143" i="22"/>
  <c r="X143" i="22"/>
  <c r="P143" i="22"/>
  <c r="T143" i="22"/>
  <c r="Q151" i="22"/>
  <c r="X153" i="22"/>
  <c r="Q43" i="22"/>
  <c r="Q51" i="22"/>
  <c r="Q59" i="22"/>
  <c r="Q67" i="22"/>
  <c r="Q75" i="22"/>
  <c r="P78" i="22"/>
  <c r="X78" i="22"/>
  <c r="R80" i="22"/>
  <c r="Q83" i="22"/>
  <c r="P86" i="22"/>
  <c r="X86" i="22"/>
  <c r="R88" i="22"/>
  <c r="Q91" i="22"/>
  <c r="P94" i="22"/>
  <c r="X94" i="22"/>
  <c r="S98" i="22"/>
  <c r="Q98" i="22"/>
  <c r="Q99" i="22"/>
  <c r="W100" i="22"/>
  <c r="T102" i="22"/>
  <c r="R103" i="22"/>
  <c r="P105" i="22"/>
  <c r="R109" i="22"/>
  <c r="S109" i="22"/>
  <c r="Q110" i="22"/>
  <c r="X111" i="22"/>
  <c r="W113" i="22"/>
  <c r="W116" i="22"/>
  <c r="X118" i="22"/>
  <c r="X119" i="22"/>
  <c r="X121" i="22"/>
  <c r="X124" i="22"/>
  <c r="P126" i="22"/>
  <c r="Q131" i="22"/>
  <c r="P132" i="22"/>
  <c r="Q133" i="22"/>
  <c r="Q134" i="22"/>
  <c r="P135" i="22"/>
  <c r="P137" i="22"/>
  <c r="W140" i="22"/>
  <c r="X142" i="22"/>
  <c r="P142" i="22"/>
  <c r="W142" i="22"/>
  <c r="R142" i="22"/>
  <c r="Q157" i="22"/>
  <c r="Q78" i="22"/>
  <c r="S80" i="22"/>
  <c r="Q86" i="22"/>
  <c r="Q94" i="22"/>
  <c r="W95" i="22"/>
  <c r="X99" i="22"/>
  <c r="P99" i="22"/>
  <c r="R99" i="22"/>
  <c r="P100" i="22"/>
  <c r="Q105" i="22"/>
  <c r="W107" i="22"/>
  <c r="P111" i="22"/>
  <c r="X116" i="22"/>
  <c r="P118" i="22"/>
  <c r="Q123" i="22"/>
  <c r="P124" i="22"/>
  <c r="Q125" i="22"/>
  <c r="Q126" i="22"/>
  <c r="P127" i="22"/>
  <c r="P129" i="22"/>
  <c r="R131" i="22"/>
  <c r="S132" i="22"/>
  <c r="Q132" i="22"/>
  <c r="S133" i="22"/>
  <c r="Q135" i="22"/>
  <c r="Q137" i="22"/>
  <c r="X140" i="22"/>
  <c r="W143" i="22"/>
  <c r="P145" i="22"/>
  <c r="X149" i="22"/>
  <c r="P149" i="22"/>
  <c r="S149" i="22"/>
  <c r="R149" i="22"/>
  <c r="W149" i="22"/>
  <c r="R151" i="22"/>
  <c r="X151" i="22"/>
  <c r="P151" i="22"/>
  <c r="T151" i="22"/>
  <c r="Q96" i="22"/>
  <c r="Q104" i="22"/>
  <c r="Q112" i="22"/>
  <c r="S114" i="22"/>
  <c r="Q120" i="22"/>
  <c r="S122" i="22"/>
  <c r="Q128" i="22"/>
  <c r="S130" i="22"/>
  <c r="Q136" i="22"/>
  <c r="S138" i="22"/>
  <c r="P139" i="22"/>
  <c r="X139" i="22"/>
  <c r="Q144" i="22"/>
  <c r="S146" i="22"/>
  <c r="P147" i="22"/>
  <c r="X147" i="22"/>
  <c r="Q152" i="22"/>
  <c r="S154" i="22"/>
  <c r="P155" i="22"/>
  <c r="X155" i="22"/>
  <c r="W158" i="22"/>
  <c r="T159" i="22"/>
  <c r="Q160" i="22"/>
  <c r="S162" i="22"/>
  <c r="P163" i="22"/>
  <c r="X163" i="22"/>
  <c r="R165" i="22"/>
  <c r="W166" i="22"/>
  <c r="T167" i="22"/>
  <c r="Q168" i="22"/>
  <c r="S170" i="22"/>
  <c r="P171" i="22"/>
  <c r="S175" i="22"/>
  <c r="Q176" i="22"/>
  <c r="X178" i="22"/>
  <c r="X179" i="22"/>
  <c r="X182" i="22"/>
  <c r="Q189" i="22"/>
  <c r="P190" i="22"/>
  <c r="P191" i="22"/>
  <c r="P192" i="22"/>
  <c r="Q195" i="22"/>
  <c r="W197" i="22"/>
  <c r="Q199" i="22"/>
  <c r="R200" i="22"/>
  <c r="Q139" i="22"/>
  <c r="Q147" i="22"/>
  <c r="Q155" i="22"/>
  <c r="P158" i="22"/>
  <c r="X158" i="22"/>
  <c r="Q163" i="22"/>
  <c r="S165" i="22"/>
  <c r="P166" i="22"/>
  <c r="X166" i="22"/>
  <c r="W169" i="22"/>
  <c r="S171" i="22"/>
  <c r="Q171" i="22"/>
  <c r="Q172" i="22"/>
  <c r="W173" i="22"/>
  <c r="P178" i="22"/>
  <c r="Q181" i="22"/>
  <c r="P182" i="22"/>
  <c r="P183" i="22"/>
  <c r="P184" i="22"/>
  <c r="P187" i="22"/>
  <c r="X189" i="22"/>
  <c r="P189" i="22"/>
  <c r="R189" i="22"/>
  <c r="Q190" i="22"/>
  <c r="W192" i="22"/>
  <c r="T192" i="22"/>
  <c r="Q192" i="22"/>
  <c r="R207" i="22"/>
  <c r="X207" i="22"/>
  <c r="P207" i="22"/>
  <c r="W207" i="22"/>
  <c r="T207" i="22"/>
  <c r="Q158" i="22"/>
  <c r="T165" i="22"/>
  <c r="Q166" i="22"/>
  <c r="P169" i="22"/>
  <c r="X169" i="22"/>
  <c r="X172" i="22"/>
  <c r="P172" i="22"/>
  <c r="R172" i="22"/>
  <c r="P173" i="22"/>
  <c r="X173" i="22"/>
  <c r="Q178" i="22"/>
  <c r="X181" i="22"/>
  <c r="P181" i="22"/>
  <c r="R181" i="22"/>
  <c r="Q182" i="22"/>
  <c r="W184" i="22"/>
  <c r="T184" i="22"/>
  <c r="Q184" i="22"/>
  <c r="S188" i="22"/>
  <c r="X188" i="22"/>
  <c r="P188" i="22"/>
  <c r="R188" i="22"/>
  <c r="R190" i="22"/>
  <c r="S190" i="22"/>
  <c r="R191" i="22"/>
  <c r="W191" i="22"/>
  <c r="S191" i="22"/>
  <c r="S195" i="22"/>
  <c r="R195" i="22"/>
  <c r="R199" i="22"/>
  <c r="W199" i="22"/>
  <c r="T199" i="22"/>
  <c r="Q169" i="22"/>
  <c r="Q173" i="22"/>
  <c r="R178" i="22"/>
  <c r="S180" i="22"/>
  <c r="X180" i="22"/>
  <c r="P180" i="22"/>
  <c r="R180" i="22"/>
  <c r="R182" i="22"/>
  <c r="S182" i="22"/>
  <c r="R183" i="22"/>
  <c r="W183" i="22"/>
  <c r="S183" i="22"/>
  <c r="S187" i="22"/>
  <c r="R187" i="22"/>
  <c r="X200" i="22"/>
  <c r="Q148" i="22"/>
  <c r="Q156" i="22"/>
  <c r="S158" i="22"/>
  <c r="P159" i="22"/>
  <c r="X159" i="22"/>
  <c r="Q164" i="22"/>
  <c r="S166" i="22"/>
  <c r="P167" i="22"/>
  <c r="X167" i="22"/>
  <c r="R169" i="22"/>
  <c r="T172" i="22"/>
  <c r="R173" i="22"/>
  <c r="S178" i="22"/>
  <c r="S179" i="22"/>
  <c r="R179" i="22"/>
  <c r="T180" i="22"/>
  <c r="T181" i="22"/>
  <c r="T182" i="22"/>
  <c r="T183" i="22"/>
  <c r="S184" i="22"/>
  <c r="T187" i="22"/>
  <c r="X195" i="22"/>
  <c r="X197" i="22"/>
  <c r="P197" i="22"/>
  <c r="T197" i="22"/>
  <c r="R197" i="22"/>
  <c r="X199" i="22"/>
  <c r="Q159" i="22"/>
  <c r="W165" i="22"/>
  <c r="Q167" i="22"/>
  <c r="S169" i="22"/>
  <c r="S173" i="22"/>
  <c r="T178" i="22"/>
  <c r="X205" i="22"/>
  <c r="P205" i="22"/>
  <c r="T205" i="22"/>
  <c r="S205" i="22"/>
  <c r="Q114" i="22"/>
  <c r="Q122" i="22"/>
  <c r="Q130" i="22"/>
  <c r="Q138" i="22"/>
  <c r="Q146" i="22"/>
  <c r="S148" i="22"/>
  <c r="Q154" i="22"/>
  <c r="S156" i="22"/>
  <c r="R159" i="22"/>
  <c r="Q162" i="22"/>
  <c r="S164" i="22"/>
  <c r="P165" i="22"/>
  <c r="X165" i="22"/>
  <c r="R167" i="22"/>
  <c r="Q170" i="22"/>
  <c r="W171" i="22"/>
  <c r="R174" i="22"/>
  <c r="S174" i="22"/>
  <c r="Q175" i="22"/>
  <c r="W187" i="22"/>
  <c r="W188" i="22"/>
  <c r="W189" i="22"/>
  <c r="W190" i="22"/>
  <c r="X191" i="22"/>
  <c r="X192" i="22"/>
  <c r="S196" i="22"/>
  <c r="X196" i="22"/>
  <c r="P196" i="22"/>
  <c r="W196" i="22"/>
  <c r="R196" i="22"/>
  <c r="T203" i="22"/>
  <c r="S203" i="22"/>
  <c r="R203" i="22"/>
  <c r="W203" i="22"/>
  <c r="Q207" i="22"/>
  <c r="T213" i="22"/>
  <c r="P213" i="22"/>
  <c r="X213" i="22"/>
  <c r="W213" i="22"/>
  <c r="S213" i="22"/>
  <c r="R213" i="22"/>
  <c r="Q165" i="22"/>
  <c r="W180" i="22"/>
  <c r="W182" i="22"/>
  <c r="X183" i="22"/>
  <c r="X187" i="22"/>
  <c r="W200" i="22"/>
  <c r="T200" i="22"/>
  <c r="S200" i="22"/>
  <c r="Q200" i="22"/>
  <c r="X225" i="22"/>
  <c r="P225" i="22"/>
  <c r="R225" i="22"/>
  <c r="Q208" i="22"/>
  <c r="P211" i="22"/>
  <c r="X211" i="22"/>
  <c r="T218" i="22"/>
  <c r="R219" i="22"/>
  <c r="S219" i="22"/>
  <c r="Q220" i="22"/>
  <c r="S225" i="22"/>
  <c r="Q226" i="22"/>
  <c r="P232" i="22"/>
  <c r="W232" i="22"/>
  <c r="S232" i="22"/>
  <c r="W234" i="22"/>
  <c r="Q211" i="22"/>
  <c r="W223" i="22"/>
  <c r="T225" i="22"/>
  <c r="R226" i="22"/>
  <c r="T232" i="22"/>
  <c r="Q198" i="22"/>
  <c r="W204" i="22"/>
  <c r="Q206" i="22"/>
  <c r="S208" i="22"/>
  <c r="R211" i="22"/>
  <c r="W212" i="22"/>
  <c r="R215" i="22"/>
  <c r="S220" i="22"/>
  <c r="Q221" i="22"/>
  <c r="X223" i="22"/>
  <c r="S226" i="22"/>
  <c r="W229" i="22"/>
  <c r="X233" i="22"/>
  <c r="Q177" i="22"/>
  <c r="Q185" i="22"/>
  <c r="Q193" i="22"/>
  <c r="R198" i="22"/>
  <c r="Q201" i="22"/>
  <c r="P204" i="22"/>
  <c r="X204" i="22"/>
  <c r="R206" i="22"/>
  <c r="T208" i="22"/>
  <c r="Q209" i="22"/>
  <c r="S211" i="22"/>
  <c r="P212" i="22"/>
  <c r="X212" i="22"/>
  <c r="S215" i="22"/>
  <c r="S216" i="22"/>
  <c r="Q216" i="22"/>
  <c r="Q217" i="22"/>
  <c r="W218" i="22"/>
  <c r="T220" i="22"/>
  <c r="R221" i="22"/>
  <c r="P223" i="22"/>
  <c r="T226" i="22"/>
  <c r="R227" i="22"/>
  <c r="S227" i="22"/>
  <c r="Q228" i="22"/>
  <c r="X229" i="22"/>
  <c r="X232" i="22"/>
  <c r="P235" i="22"/>
  <c r="S249" i="22"/>
  <c r="W249" i="22"/>
  <c r="T249" i="22"/>
  <c r="R249" i="22"/>
  <c r="Q204" i="22"/>
  <c r="Q212" i="22"/>
  <c r="X217" i="22"/>
  <c r="P217" i="22"/>
  <c r="R217" i="22"/>
  <c r="P218" i="22"/>
  <c r="X218" i="22"/>
  <c r="W219" i="22"/>
  <c r="Q223" i="22"/>
  <c r="W225" i="22"/>
  <c r="P229" i="22"/>
  <c r="P233" i="22"/>
  <c r="T235" i="22"/>
  <c r="R235" i="22"/>
  <c r="Q235" i="22"/>
  <c r="Q218" i="22"/>
  <c r="R223" i="22"/>
  <c r="Q229" i="22"/>
  <c r="X234" i="22"/>
  <c r="P234" i="22"/>
  <c r="T234" i="22"/>
  <c r="R234" i="22"/>
  <c r="Q186" i="22"/>
  <c r="Q194" i="22"/>
  <c r="Q202" i="22"/>
  <c r="S204" i="22"/>
  <c r="Q210" i="22"/>
  <c r="S212" i="22"/>
  <c r="T217" i="22"/>
  <c r="R218" i="22"/>
  <c r="P219" i="22"/>
  <c r="X220" i="22"/>
  <c r="S224" i="22"/>
  <c r="Q224" i="22"/>
  <c r="Q225" i="22"/>
  <c r="R229" i="22"/>
  <c r="Q232" i="22"/>
  <c r="S233" i="22"/>
  <c r="W233" i="22"/>
  <c r="R233" i="22"/>
  <c r="S234" i="22"/>
  <c r="R240" i="22"/>
  <c r="S240" i="22"/>
  <c r="Q240" i="22"/>
  <c r="P240" i="22"/>
  <c r="X240" i="22"/>
  <c r="X250" i="22"/>
  <c r="P250" i="22"/>
  <c r="T250" i="22"/>
  <c r="W250" i="22"/>
  <c r="S250" i="22"/>
  <c r="X253" i="22"/>
  <c r="P253" i="22"/>
  <c r="T253" i="22"/>
  <c r="R253" i="22"/>
  <c r="Q214" i="22"/>
  <c r="Q222" i="22"/>
  <c r="Q230" i="22"/>
  <c r="P236" i="22"/>
  <c r="P241" i="22"/>
  <c r="Q242" i="22"/>
  <c r="W245" i="22"/>
  <c r="S245" i="22"/>
  <c r="Q245" i="22"/>
  <c r="T246" i="22"/>
  <c r="X246" i="22"/>
  <c r="P246" i="22"/>
  <c r="R246" i="22"/>
  <c r="X252" i="22"/>
  <c r="R252" i="22"/>
  <c r="T252" i="22"/>
  <c r="P258" i="22"/>
  <c r="X260" i="22"/>
  <c r="P260" i="22"/>
  <c r="W260" i="22"/>
  <c r="S260" i="22"/>
  <c r="S241" i="22"/>
  <c r="W241" i="22"/>
  <c r="Q241" i="22"/>
  <c r="X242" i="22"/>
  <c r="P242" i="22"/>
  <c r="T242" i="22"/>
  <c r="R242" i="22"/>
  <c r="R248" i="22"/>
  <c r="T248" i="22"/>
  <c r="W253" i="22"/>
  <c r="S259" i="22"/>
  <c r="X259" i="22"/>
  <c r="T259" i="22"/>
  <c r="Q259" i="22"/>
  <c r="R236" i="22"/>
  <c r="S236" i="22"/>
  <c r="W237" i="22"/>
  <c r="S237" i="22"/>
  <c r="Q237" i="22"/>
  <c r="T238" i="22"/>
  <c r="X238" i="22"/>
  <c r="P238" i="22"/>
  <c r="R238" i="22"/>
  <c r="R241" i="22"/>
  <c r="S242" i="22"/>
  <c r="R244" i="22"/>
  <c r="T244" i="22"/>
  <c r="T256" i="22"/>
  <c r="S256" i="22"/>
  <c r="X256" i="22"/>
  <c r="Q256" i="22"/>
  <c r="Q258" i="22"/>
  <c r="S258" i="22"/>
  <c r="R259" i="22"/>
  <c r="Q243" i="22"/>
  <c r="Q251" i="22"/>
  <c r="R254" i="22"/>
  <c r="S254" i="22"/>
  <c r="Q255" i="22"/>
  <c r="Q261" i="22"/>
  <c r="Q231" i="22"/>
  <c r="Q239" i="22"/>
  <c r="Q247" i="22"/>
  <c r="W254" i="22"/>
  <c r="Q257" i="22"/>
  <c r="Q9" i="21"/>
  <c r="T16" i="21"/>
  <c r="Q17" i="21"/>
  <c r="T24" i="21"/>
  <c r="Q25" i="21"/>
  <c r="T32" i="21"/>
  <c r="Q33" i="21"/>
  <c r="T40" i="21"/>
  <c r="Q41" i="21"/>
  <c r="R9" i="21"/>
  <c r="W10" i="21"/>
  <c r="Q12" i="21"/>
  <c r="R17" i="21"/>
  <c r="W18" i="21"/>
  <c r="Q20" i="21"/>
  <c r="R25" i="21"/>
  <c r="W26" i="21"/>
  <c r="Q28" i="21"/>
  <c r="R33" i="21"/>
  <c r="W34" i="21"/>
  <c r="Q36" i="21"/>
  <c r="R41" i="21"/>
  <c r="W42" i="21"/>
  <c r="Q44" i="21"/>
  <c r="S9" i="21"/>
  <c r="P10" i="21"/>
  <c r="X10" i="21"/>
  <c r="R12" i="21"/>
  <c r="Q15" i="21"/>
  <c r="S17" i="21"/>
  <c r="P18" i="21"/>
  <c r="X18" i="21"/>
  <c r="R20" i="21"/>
  <c r="Q23" i="21"/>
  <c r="S25" i="21"/>
  <c r="P26" i="21"/>
  <c r="X26" i="21"/>
  <c r="R28" i="21"/>
  <c r="Q31" i="21"/>
  <c r="S33" i="21"/>
  <c r="P34" i="21"/>
  <c r="X34" i="21"/>
  <c r="R36" i="21"/>
  <c r="Q39" i="21"/>
  <c r="S41" i="21"/>
  <c r="P42" i="21"/>
  <c r="X42" i="21"/>
  <c r="R44" i="21"/>
  <c r="T9" i="21"/>
  <c r="Q10" i="21"/>
  <c r="T17" i="21"/>
  <c r="Q18" i="21"/>
  <c r="T25" i="21"/>
  <c r="Q26" i="21"/>
  <c r="W32" i="21"/>
  <c r="T33" i="21"/>
  <c r="Q34" i="21"/>
  <c r="W40" i="21"/>
  <c r="T41" i="21"/>
  <c r="Q42" i="21"/>
  <c r="W8" i="21"/>
  <c r="W16" i="21"/>
  <c r="W24" i="21"/>
  <c r="P8" i="21"/>
  <c r="X8" i="21"/>
  <c r="R10" i="21"/>
  <c r="W11" i="21"/>
  <c r="T12" i="21"/>
  <c r="Q13" i="21"/>
  <c r="S15" i="21"/>
  <c r="P16" i="21"/>
  <c r="X16" i="21"/>
  <c r="R18" i="21"/>
  <c r="W19" i="21"/>
  <c r="T20" i="21"/>
  <c r="Q21" i="21"/>
  <c r="S23" i="21"/>
  <c r="P24" i="21"/>
  <c r="X24" i="21"/>
  <c r="R26" i="21"/>
  <c r="W27" i="21"/>
  <c r="T28" i="21"/>
  <c r="Q29" i="21"/>
  <c r="S31" i="21"/>
  <c r="P32" i="21"/>
  <c r="X32" i="21"/>
  <c r="R34" i="21"/>
  <c r="W35" i="21"/>
  <c r="T36" i="21"/>
  <c r="Q37" i="21"/>
  <c r="S39" i="21"/>
  <c r="P40" i="21"/>
  <c r="X40" i="21"/>
  <c r="R42" i="21"/>
  <c r="W43" i="21"/>
  <c r="T44" i="21"/>
  <c r="Q45" i="21"/>
  <c r="Q16" i="21"/>
  <c r="Q24" i="21"/>
  <c r="Q32" i="21"/>
  <c r="Q40" i="21"/>
  <c r="R8" i="21"/>
  <c r="Q11" i="21"/>
  <c r="R16" i="21"/>
  <c r="W17" i="21"/>
  <c r="Q19" i="21"/>
  <c r="R24" i="21"/>
  <c r="W25" i="21"/>
  <c r="Q27" i="21"/>
  <c r="R32" i="21"/>
  <c r="W33" i="21"/>
  <c r="Q35" i="21"/>
  <c r="R40" i="21"/>
  <c r="W41" i="21"/>
  <c r="Q43" i="21"/>
  <c r="Q8" i="21"/>
  <c r="W9" i="21"/>
  <c r="S8" i="21"/>
  <c r="P9" i="21"/>
  <c r="R11" i="21"/>
  <c r="Q14" i="21"/>
  <c r="S16" i="21"/>
  <c r="P17" i="21"/>
  <c r="R19" i="21"/>
  <c r="Q22" i="21"/>
  <c r="S24" i="21"/>
  <c r="P25" i="21"/>
  <c r="R27" i="21"/>
  <c r="Q30" i="21"/>
  <c r="S32" i="21"/>
  <c r="P33" i="21"/>
  <c r="R35" i="21"/>
  <c r="Q38" i="21"/>
  <c r="S40" i="21"/>
  <c r="P41" i="21"/>
  <c r="R43" i="21"/>
  <c r="Q10" i="20"/>
  <c r="T10" i="20"/>
  <c r="Q19" i="20"/>
  <c r="Q11" i="20"/>
  <c r="T13" i="20"/>
  <c r="T18" i="20"/>
  <c r="R19" i="20"/>
  <c r="Q9" i="20"/>
  <c r="S11" i="20"/>
  <c r="R14" i="20"/>
  <c r="Q17" i="20"/>
  <c r="S19" i="20"/>
  <c r="R9" i="20"/>
  <c r="W10" i="20"/>
  <c r="T11" i="20"/>
  <c r="Q12" i="20"/>
  <c r="S14" i="20"/>
  <c r="P15" i="20"/>
  <c r="X15" i="20"/>
  <c r="R17" i="20"/>
  <c r="W18" i="20"/>
  <c r="T19" i="20"/>
  <c r="R11" i="20"/>
  <c r="Q14" i="20"/>
  <c r="S9" i="20"/>
  <c r="P10" i="20"/>
  <c r="X10" i="20"/>
  <c r="W13" i="20"/>
  <c r="T14" i="20"/>
  <c r="Q15" i="20"/>
  <c r="S17" i="20"/>
  <c r="P18" i="20"/>
  <c r="X18" i="20"/>
  <c r="Q18" i="20"/>
  <c r="Q13" i="20"/>
  <c r="R18" i="20"/>
  <c r="R10" i="20"/>
  <c r="W11" i="20"/>
  <c r="W19" i="20"/>
  <c r="Q8" i="20"/>
  <c r="S10" i="20"/>
  <c r="P11" i="20"/>
  <c r="R13" i="20"/>
  <c r="Q16" i="20"/>
  <c r="S18" i="20"/>
  <c r="P19" i="20"/>
  <c r="U521" i="5" l="1"/>
  <c r="W9" i="17"/>
  <c r="X9" i="17"/>
  <c r="W10" i="17"/>
  <c r="X10" i="17"/>
  <c r="W11" i="17"/>
  <c r="X11" i="17"/>
  <c r="W12" i="17"/>
  <c r="X12" i="17"/>
  <c r="W13" i="17"/>
  <c r="X13" i="17"/>
  <c r="W14" i="17"/>
  <c r="X14" i="17"/>
  <c r="W15" i="17"/>
  <c r="X15" i="17"/>
  <c r="W16" i="17"/>
  <c r="X16" i="17"/>
  <c r="W17" i="17"/>
  <c r="X17" i="17"/>
  <c r="W18" i="17"/>
  <c r="X18" i="17"/>
  <c r="W19" i="17"/>
  <c r="X19" i="17"/>
  <c r="W20" i="17"/>
  <c r="X20" i="17"/>
  <c r="W21" i="17"/>
  <c r="X21" i="17"/>
  <c r="W22" i="17"/>
  <c r="X22" i="17"/>
  <c r="W23" i="17"/>
  <c r="X23" i="17"/>
  <c r="W24" i="17"/>
  <c r="X24" i="17"/>
  <c r="W25" i="17"/>
  <c r="X25" i="17"/>
  <c r="W26" i="17"/>
  <c r="X26" i="17"/>
  <c r="W27" i="17"/>
  <c r="X27" i="17"/>
  <c r="W28" i="17"/>
  <c r="X28" i="17"/>
  <c r="W29" i="17"/>
  <c r="X29" i="17"/>
  <c r="W30" i="17"/>
  <c r="X30" i="17"/>
  <c r="W31" i="17"/>
  <c r="X31" i="17"/>
  <c r="W32" i="17"/>
  <c r="X32" i="17"/>
  <c r="W33" i="17"/>
  <c r="X33" i="17"/>
  <c r="W34" i="17"/>
  <c r="X34" i="17"/>
  <c r="W35" i="17"/>
  <c r="X35" i="17"/>
  <c r="W36" i="17"/>
  <c r="X36" i="17"/>
  <c r="W37" i="17"/>
  <c r="X37" i="17"/>
  <c r="W38" i="17"/>
  <c r="X38" i="17"/>
  <c r="W39" i="17"/>
  <c r="X39" i="17"/>
  <c r="W40" i="17"/>
  <c r="X40" i="17"/>
  <c r="W41" i="17"/>
  <c r="X41" i="17"/>
  <c r="W42" i="17"/>
  <c r="X42" i="17"/>
  <c r="W43" i="17"/>
  <c r="X43" i="17"/>
  <c r="W44" i="17"/>
  <c r="X44" i="17"/>
  <c r="W45" i="17"/>
  <c r="X45" i="17"/>
  <c r="W46" i="17"/>
  <c r="X46" i="17"/>
  <c r="W47" i="17"/>
  <c r="X47" i="17"/>
  <c r="W48" i="17"/>
  <c r="X48" i="17"/>
  <c r="W49" i="17"/>
  <c r="X49" i="17"/>
  <c r="W50" i="17"/>
  <c r="X50" i="17"/>
  <c r="W51" i="17"/>
  <c r="X51" i="17"/>
  <c r="W52" i="17"/>
  <c r="X52" i="17"/>
  <c r="W53" i="17"/>
  <c r="X53" i="17"/>
  <c r="W54" i="17"/>
  <c r="X54" i="17"/>
  <c r="W55" i="17"/>
  <c r="X55" i="17"/>
  <c r="W56" i="17"/>
  <c r="X56" i="17"/>
  <c r="W57" i="17"/>
  <c r="X57" i="17"/>
  <c r="W58" i="17"/>
  <c r="X58" i="17"/>
  <c r="W59" i="17"/>
  <c r="X59" i="17"/>
  <c r="W60" i="17"/>
  <c r="X60" i="17"/>
  <c r="W61" i="17"/>
  <c r="X61" i="17"/>
  <c r="W62" i="17"/>
  <c r="X62" i="17"/>
  <c r="W63" i="17"/>
  <c r="X63" i="17"/>
  <c r="W64" i="17"/>
  <c r="X64" i="17"/>
  <c r="W65" i="17"/>
  <c r="X65" i="17"/>
  <c r="W66" i="17"/>
  <c r="X66" i="17"/>
  <c r="W67" i="17"/>
  <c r="X67" i="17"/>
  <c r="W68" i="17"/>
  <c r="X68" i="17"/>
  <c r="W69" i="17"/>
  <c r="X69" i="17"/>
  <c r="W70" i="17"/>
  <c r="X70" i="17"/>
  <c r="W71" i="17"/>
  <c r="X71" i="17"/>
  <c r="W72" i="17"/>
  <c r="X72" i="17"/>
  <c r="W73" i="17"/>
  <c r="X73" i="17"/>
  <c r="W74" i="17"/>
  <c r="X74" i="17"/>
  <c r="W75" i="17"/>
  <c r="X75" i="17"/>
  <c r="W76" i="17"/>
  <c r="X76" i="17"/>
  <c r="W77" i="17"/>
  <c r="X77" i="17"/>
  <c r="W78" i="17"/>
  <c r="X78" i="17"/>
  <c r="W79" i="17"/>
  <c r="X79" i="17"/>
  <c r="W80" i="17"/>
  <c r="X80" i="17"/>
  <c r="W81" i="17"/>
  <c r="X81" i="17"/>
  <c r="W82" i="17"/>
  <c r="X82" i="17"/>
  <c r="W83" i="17"/>
  <c r="X83" i="17"/>
  <c r="W84" i="17"/>
  <c r="X84" i="17"/>
  <c r="W85" i="17"/>
  <c r="X85" i="17"/>
  <c r="W86" i="17"/>
  <c r="X86" i="17"/>
  <c r="W87" i="17"/>
  <c r="X87" i="17"/>
  <c r="W88" i="17"/>
  <c r="X88" i="17"/>
  <c r="W89" i="17"/>
  <c r="X89" i="17"/>
  <c r="W90" i="17"/>
  <c r="X90" i="17"/>
  <c r="W91" i="17"/>
  <c r="X91" i="17"/>
  <c r="W92" i="17"/>
  <c r="X92" i="17"/>
  <c r="W93" i="17"/>
  <c r="X93" i="17"/>
  <c r="W94" i="17"/>
  <c r="X94" i="17"/>
  <c r="W95" i="17"/>
  <c r="X95" i="17"/>
  <c r="W96" i="17"/>
  <c r="X96" i="17"/>
  <c r="W97" i="17"/>
  <c r="X97" i="17"/>
  <c r="W98" i="17"/>
  <c r="X98" i="17"/>
  <c r="W99" i="17"/>
  <c r="X99" i="17"/>
  <c r="W100" i="17"/>
  <c r="X100" i="17"/>
  <c r="W101" i="17"/>
  <c r="X101" i="17"/>
  <c r="W102" i="17"/>
  <c r="X102" i="17"/>
  <c r="W103" i="17"/>
  <c r="X103" i="17"/>
  <c r="W104" i="17"/>
  <c r="X104" i="17"/>
  <c r="W105" i="17"/>
  <c r="X105" i="17"/>
  <c r="W106" i="17"/>
  <c r="X106" i="17"/>
  <c r="W107" i="17"/>
  <c r="X107" i="17"/>
  <c r="W108" i="17"/>
  <c r="X108" i="17"/>
  <c r="W109" i="17"/>
  <c r="X109" i="17"/>
  <c r="W110" i="17"/>
  <c r="X110" i="17"/>
  <c r="W111" i="17"/>
  <c r="X111" i="17"/>
  <c r="W112" i="17"/>
  <c r="X112" i="17"/>
  <c r="W113" i="17"/>
  <c r="X113" i="17"/>
  <c r="W114" i="17"/>
  <c r="X114" i="17"/>
  <c r="W115" i="17"/>
  <c r="X115" i="17"/>
  <c r="W116" i="17"/>
  <c r="X116" i="17"/>
  <c r="W117" i="17"/>
  <c r="X117" i="17"/>
  <c r="W118" i="17"/>
  <c r="X118" i="17"/>
  <c r="W119" i="17"/>
  <c r="X119" i="17"/>
  <c r="W120" i="17"/>
  <c r="X120" i="17"/>
  <c r="W121" i="17"/>
  <c r="X121" i="17"/>
  <c r="W122" i="17"/>
  <c r="X122" i="17"/>
  <c r="W123" i="17"/>
  <c r="X123" i="17"/>
  <c r="W124" i="17"/>
  <c r="X124" i="17"/>
  <c r="W125" i="17"/>
  <c r="X125" i="17"/>
  <c r="W126" i="17"/>
  <c r="X126" i="17"/>
  <c r="W127" i="17"/>
  <c r="X127" i="17"/>
  <c r="W128" i="17"/>
  <c r="X128" i="17"/>
  <c r="W129" i="17"/>
  <c r="X129" i="17"/>
  <c r="W130" i="17"/>
  <c r="X130" i="17"/>
  <c r="W131" i="17"/>
  <c r="X131" i="17"/>
  <c r="W132" i="17"/>
  <c r="X132" i="17"/>
  <c r="W133" i="17"/>
  <c r="X133" i="17"/>
  <c r="W134" i="17"/>
  <c r="X134" i="17"/>
  <c r="W135" i="17"/>
  <c r="X135" i="17"/>
  <c r="W136" i="17"/>
  <c r="X136" i="17"/>
  <c r="W137" i="17"/>
  <c r="X137" i="17"/>
  <c r="W138" i="17"/>
  <c r="X138" i="17"/>
  <c r="W139" i="17"/>
  <c r="X139" i="17"/>
  <c r="W140" i="17"/>
  <c r="X140" i="17"/>
  <c r="W141" i="17"/>
  <c r="X141" i="17"/>
  <c r="W142" i="17"/>
  <c r="X142" i="17"/>
  <c r="W143" i="17"/>
  <c r="X143" i="17"/>
  <c r="W144" i="17"/>
  <c r="X144" i="17"/>
  <c r="W145" i="17"/>
  <c r="X145" i="17"/>
  <c r="W146" i="17"/>
  <c r="X146" i="17"/>
  <c r="W147" i="17"/>
  <c r="X147" i="17"/>
  <c r="W148" i="17"/>
  <c r="X148" i="17"/>
  <c r="W149" i="17"/>
  <c r="X149" i="17"/>
  <c r="W150" i="17"/>
  <c r="X150" i="17"/>
  <c r="W151" i="17"/>
  <c r="X151" i="17"/>
  <c r="W152" i="17"/>
  <c r="X152" i="17"/>
  <c r="W153" i="17"/>
  <c r="X153" i="17"/>
  <c r="W154" i="17"/>
  <c r="X154" i="17"/>
  <c r="W155" i="17"/>
  <c r="X155" i="17"/>
  <c r="W156" i="17"/>
  <c r="X156" i="17"/>
  <c r="W157" i="17"/>
  <c r="X157" i="17"/>
  <c r="W158" i="17"/>
  <c r="X158" i="17"/>
  <c r="W159" i="17"/>
  <c r="X159" i="17"/>
  <c r="W160" i="17"/>
  <c r="X160" i="17"/>
  <c r="W161" i="17"/>
  <c r="X161" i="17"/>
  <c r="W162" i="17"/>
  <c r="X162" i="17"/>
  <c r="W163" i="17"/>
  <c r="X163" i="17"/>
  <c r="W164" i="17"/>
  <c r="X164" i="17"/>
  <c r="W165" i="17"/>
  <c r="X165" i="17"/>
  <c r="W166" i="17"/>
  <c r="X166" i="17"/>
  <c r="W167" i="17"/>
  <c r="X167" i="17"/>
  <c r="W168" i="17"/>
  <c r="X168" i="17"/>
  <c r="W169" i="17"/>
  <c r="X169" i="17"/>
  <c r="W170" i="17"/>
  <c r="X170" i="17"/>
  <c r="W171" i="17"/>
  <c r="X171" i="17"/>
  <c r="W172" i="17"/>
  <c r="X172" i="17"/>
  <c r="W173" i="17"/>
  <c r="X173" i="17"/>
  <c r="W174" i="17"/>
  <c r="X174" i="17"/>
  <c r="W175" i="17"/>
  <c r="X175" i="17"/>
  <c r="W176" i="17"/>
  <c r="X176" i="17"/>
  <c r="W177" i="17"/>
  <c r="X177" i="17"/>
  <c r="W178" i="17"/>
  <c r="X178" i="17"/>
  <c r="W179" i="17"/>
  <c r="X179" i="17"/>
  <c r="W180" i="17"/>
  <c r="X180" i="17"/>
  <c r="W181" i="17"/>
  <c r="X181" i="17"/>
  <c r="W182" i="17"/>
  <c r="X182" i="17"/>
  <c r="W183" i="17"/>
  <c r="X183" i="17"/>
  <c r="W184" i="17"/>
  <c r="X184" i="17"/>
  <c r="W185" i="17"/>
  <c r="X185" i="17"/>
  <c r="W186" i="17"/>
  <c r="X186" i="17"/>
  <c r="W187" i="17"/>
  <c r="X187" i="17"/>
  <c r="W188" i="17"/>
  <c r="X188" i="17"/>
  <c r="W189" i="17"/>
  <c r="X189" i="17"/>
  <c r="W190" i="17"/>
  <c r="X190" i="17"/>
  <c r="W191" i="17"/>
  <c r="X191" i="17"/>
  <c r="W192" i="17"/>
  <c r="X192" i="17"/>
  <c r="W193" i="17"/>
  <c r="X193" i="17"/>
  <c r="W194" i="17"/>
  <c r="X194" i="17"/>
  <c r="W195" i="17"/>
  <c r="X195" i="17"/>
  <c r="W196" i="17"/>
  <c r="X196" i="17"/>
  <c r="W197" i="17"/>
  <c r="X197" i="17"/>
  <c r="W198" i="17"/>
  <c r="X198" i="17"/>
  <c r="W199" i="17"/>
  <c r="X199" i="17"/>
  <c r="W200" i="17"/>
  <c r="X200" i="17"/>
  <c r="W201" i="17"/>
  <c r="X201" i="17"/>
  <c r="W202" i="17"/>
  <c r="X202" i="17"/>
  <c r="W203" i="17"/>
  <c r="X203" i="17"/>
  <c r="W204" i="17"/>
  <c r="X204" i="17"/>
  <c r="W205" i="17"/>
  <c r="X205" i="17"/>
  <c r="W206" i="17"/>
  <c r="X206" i="17"/>
  <c r="W207" i="17"/>
  <c r="X207" i="17"/>
  <c r="W208" i="17"/>
  <c r="X208" i="17"/>
  <c r="W209" i="17"/>
  <c r="X209" i="17"/>
  <c r="W210" i="17"/>
  <c r="X210" i="17"/>
  <c r="W211" i="17"/>
  <c r="X211" i="17"/>
  <c r="W212" i="17"/>
  <c r="X212" i="17"/>
  <c r="W213" i="17"/>
  <c r="X213" i="17"/>
  <c r="W214" i="17"/>
  <c r="X214" i="17"/>
  <c r="W215" i="17"/>
  <c r="X215" i="17"/>
  <c r="W216" i="17"/>
  <c r="X216" i="17"/>
  <c r="W217" i="17"/>
  <c r="X217" i="17"/>
  <c r="W218" i="17"/>
  <c r="X218" i="17"/>
  <c r="W219" i="17"/>
  <c r="X219" i="17"/>
  <c r="W220" i="17"/>
  <c r="X220" i="17"/>
  <c r="W221" i="17"/>
  <c r="X221" i="17"/>
  <c r="W222" i="17"/>
  <c r="X222" i="17"/>
  <c r="W223" i="17"/>
  <c r="X223" i="17"/>
  <c r="W224" i="17"/>
  <c r="X224" i="17"/>
  <c r="W225" i="17"/>
  <c r="X225" i="17"/>
  <c r="W226" i="17"/>
  <c r="X226" i="17"/>
  <c r="W227" i="17"/>
  <c r="X227" i="17"/>
  <c r="W228" i="17"/>
  <c r="X228" i="17"/>
  <c r="W229" i="17"/>
  <c r="X229" i="17"/>
  <c r="W230" i="17"/>
  <c r="X230" i="17"/>
  <c r="W231" i="17"/>
  <c r="X231" i="17"/>
  <c r="W232" i="17"/>
  <c r="X232" i="17"/>
  <c r="W233" i="17"/>
  <c r="X233" i="17"/>
  <c r="W234" i="17"/>
  <c r="X234" i="17"/>
  <c r="W235" i="17"/>
  <c r="X235" i="17"/>
  <c r="W236" i="17"/>
  <c r="X236" i="17"/>
  <c r="W237" i="17"/>
  <c r="X237" i="17"/>
  <c r="W238" i="17"/>
  <c r="X238" i="17"/>
  <c r="W239" i="17"/>
  <c r="X239" i="17"/>
  <c r="W240" i="17"/>
  <c r="X240" i="17"/>
  <c r="W241" i="17"/>
  <c r="X241" i="17"/>
  <c r="W242" i="17"/>
  <c r="X242" i="17"/>
  <c r="W243" i="17"/>
  <c r="X243" i="17"/>
  <c r="W244" i="17"/>
  <c r="X244" i="17"/>
  <c r="W245" i="17"/>
  <c r="X245" i="17"/>
  <c r="W246" i="17"/>
  <c r="X246" i="17"/>
  <c r="W247" i="17"/>
  <c r="X247" i="17"/>
  <c r="W248" i="17"/>
  <c r="X248" i="17"/>
  <c r="W249" i="17"/>
  <c r="X249" i="17"/>
  <c r="W250" i="17"/>
  <c r="X250" i="17"/>
  <c r="W251" i="17"/>
  <c r="X251" i="17"/>
  <c r="W252" i="17"/>
  <c r="X252" i="17"/>
  <c r="W253" i="17"/>
  <c r="X253" i="17"/>
  <c r="W254" i="17"/>
  <c r="X254" i="17"/>
  <c r="W255" i="17"/>
  <c r="X255" i="17"/>
  <c r="W256" i="17"/>
  <c r="X256" i="17"/>
  <c r="W257" i="17"/>
  <c r="X257" i="17"/>
  <c r="W258" i="17"/>
  <c r="X258" i="17"/>
  <c r="W259" i="17"/>
  <c r="X259" i="17"/>
  <c r="W260" i="17"/>
  <c r="X260" i="17"/>
  <c r="W261" i="17"/>
  <c r="X261" i="17"/>
  <c r="W262" i="17"/>
  <c r="X262" i="17"/>
  <c r="W263" i="17"/>
  <c r="X263" i="17"/>
  <c r="W264" i="17"/>
  <c r="X264" i="17"/>
  <c r="W265" i="17"/>
  <c r="X265" i="17"/>
  <c r="W266" i="17"/>
  <c r="X266" i="17"/>
  <c r="W267" i="17"/>
  <c r="X267" i="17"/>
  <c r="W268" i="17"/>
  <c r="X268" i="17"/>
  <c r="W269" i="17"/>
  <c r="X269" i="17"/>
  <c r="W270" i="17"/>
  <c r="X270" i="17"/>
  <c r="W271" i="17"/>
  <c r="X271" i="17"/>
  <c r="W272" i="17"/>
  <c r="X272" i="17"/>
  <c r="W273" i="17"/>
  <c r="X273" i="17"/>
  <c r="W274" i="17"/>
  <c r="X274" i="17"/>
  <c r="W275" i="17"/>
  <c r="X275" i="17"/>
  <c r="W276" i="17"/>
  <c r="X276" i="17"/>
  <c r="W277" i="17"/>
  <c r="X277" i="17"/>
  <c r="W278" i="17"/>
  <c r="X278" i="17"/>
  <c r="W279" i="17"/>
  <c r="X279" i="17"/>
  <c r="W280" i="17"/>
  <c r="X280" i="17"/>
  <c r="W281" i="17"/>
  <c r="X281" i="17"/>
  <c r="W282" i="17"/>
  <c r="X282" i="17"/>
  <c r="W283" i="17"/>
  <c r="X283" i="17"/>
  <c r="W284" i="17"/>
  <c r="X284" i="17"/>
  <c r="W285" i="17"/>
  <c r="X285" i="17"/>
  <c r="W286" i="17"/>
  <c r="X286" i="17"/>
  <c r="W287" i="17"/>
  <c r="X287" i="17"/>
  <c r="W288" i="17"/>
  <c r="X288" i="17"/>
  <c r="W289" i="17"/>
  <c r="X289" i="17"/>
  <c r="W290" i="17"/>
  <c r="X290" i="17"/>
  <c r="W291" i="17"/>
  <c r="X291" i="17"/>
  <c r="W292" i="17"/>
  <c r="X292" i="17"/>
  <c r="W293" i="17"/>
  <c r="X293" i="17"/>
  <c r="W294" i="17"/>
  <c r="X294" i="17"/>
  <c r="W295" i="17"/>
  <c r="X295" i="17"/>
  <c r="W296" i="17"/>
  <c r="X296" i="17"/>
  <c r="W297" i="17"/>
  <c r="X297" i="17"/>
  <c r="W298" i="17"/>
  <c r="X298" i="17"/>
  <c r="W299" i="17"/>
  <c r="X299" i="17"/>
  <c r="W300" i="17"/>
  <c r="X300" i="17"/>
  <c r="W301" i="17"/>
  <c r="X301" i="17"/>
  <c r="W302" i="17"/>
  <c r="X302" i="17"/>
  <c r="W303" i="17"/>
  <c r="X303" i="17"/>
  <c r="W304" i="17"/>
  <c r="X304" i="17"/>
  <c r="W305" i="17"/>
  <c r="X305" i="17"/>
  <c r="W306" i="17"/>
  <c r="X306" i="17"/>
  <c r="W307" i="17"/>
  <c r="X307" i="17"/>
  <c r="W308" i="17"/>
  <c r="X308" i="17"/>
  <c r="W309" i="17"/>
  <c r="X309" i="17"/>
  <c r="W310" i="17"/>
  <c r="X310" i="17"/>
  <c r="W311" i="17"/>
  <c r="X311" i="17"/>
  <c r="W312" i="17"/>
  <c r="X312" i="17"/>
  <c r="W313" i="17"/>
  <c r="X313" i="17"/>
  <c r="W314" i="17"/>
  <c r="X314" i="17"/>
  <c r="W315" i="17"/>
  <c r="X315" i="17"/>
  <c r="W316" i="17"/>
  <c r="X316" i="17"/>
  <c r="W317" i="17"/>
  <c r="X317" i="17"/>
  <c r="X8" i="17"/>
  <c r="W8" i="17"/>
  <c r="S317" i="17"/>
  <c r="P317" i="17"/>
  <c r="S316" i="17"/>
  <c r="Q316" i="17"/>
  <c r="S315" i="17"/>
  <c r="R315" i="17"/>
  <c r="Q315" i="17"/>
  <c r="P315" i="17"/>
  <c r="R313" i="17"/>
  <c r="P312" i="17"/>
  <c r="T311" i="17"/>
  <c r="R311" i="17"/>
  <c r="Q311" i="17"/>
  <c r="P311" i="17"/>
  <c r="S311" i="17"/>
  <c r="R308" i="17"/>
  <c r="Q308" i="17"/>
  <c r="T308" i="17"/>
  <c r="S307" i="17"/>
  <c r="R307" i="17"/>
  <c r="Q307" i="17"/>
  <c r="P307" i="17"/>
  <c r="T307" i="17"/>
  <c r="R306" i="17"/>
  <c r="Q306" i="17"/>
  <c r="P306" i="17"/>
  <c r="S306" i="17"/>
  <c r="T305" i="17"/>
  <c r="S305" i="17"/>
  <c r="R305" i="17"/>
  <c r="Q305" i="17"/>
  <c r="P305" i="17"/>
  <c r="S304" i="17"/>
  <c r="P304" i="17"/>
  <c r="R303" i="17"/>
  <c r="Q303" i="17"/>
  <c r="T302" i="17"/>
  <c r="S302" i="17"/>
  <c r="R302" i="17"/>
  <c r="T300" i="17"/>
  <c r="Q300" i="17"/>
  <c r="P300" i="17"/>
  <c r="S300" i="17"/>
  <c r="T299" i="17"/>
  <c r="R299" i="17"/>
  <c r="Q299" i="17"/>
  <c r="P299" i="17"/>
  <c r="S299" i="17"/>
  <c r="P298" i="17"/>
  <c r="R297" i="17"/>
  <c r="R296" i="17"/>
  <c r="P296" i="17"/>
  <c r="T295" i="17"/>
  <c r="S295" i="17"/>
  <c r="R295" i="17"/>
  <c r="Q295" i="17"/>
  <c r="T294" i="17"/>
  <c r="T292" i="17"/>
  <c r="Q292" i="17"/>
  <c r="P292" i="17"/>
  <c r="S292" i="17"/>
  <c r="T291" i="17"/>
  <c r="R291" i="17"/>
  <c r="Q291" i="17"/>
  <c r="P291" i="17"/>
  <c r="S291" i="17"/>
  <c r="S290" i="17"/>
  <c r="T288" i="17"/>
  <c r="S288" i="17"/>
  <c r="R288" i="17"/>
  <c r="Q288" i="17"/>
  <c r="T286" i="17"/>
  <c r="S286" i="17"/>
  <c r="Q286" i="17"/>
  <c r="T285" i="17"/>
  <c r="S285" i="17"/>
  <c r="T283" i="17"/>
  <c r="R283" i="17"/>
  <c r="Q283" i="17"/>
  <c r="P283" i="17"/>
  <c r="S283" i="17"/>
  <c r="P282" i="17"/>
  <c r="T281" i="17"/>
  <c r="S281" i="17"/>
  <c r="R281" i="17"/>
  <c r="Q281" i="17"/>
  <c r="T280" i="17"/>
  <c r="S280" i="17"/>
  <c r="R280" i="17"/>
  <c r="Q280" i="17"/>
  <c r="P280" i="17"/>
  <c r="P279" i="17"/>
  <c r="T278" i="17"/>
  <c r="S278" i="17"/>
  <c r="T277" i="17"/>
  <c r="S277" i="17"/>
  <c r="R277" i="17"/>
  <c r="P277" i="17"/>
  <c r="T276" i="17"/>
  <c r="S276" i="17"/>
  <c r="Q276" i="17"/>
  <c r="P276" i="17"/>
  <c r="R276" i="17"/>
  <c r="T275" i="17"/>
  <c r="R275" i="17"/>
  <c r="Q275" i="17"/>
  <c r="P275" i="17"/>
  <c r="S275" i="17"/>
  <c r="S274" i="17"/>
  <c r="T272" i="17"/>
  <c r="R272" i="17"/>
  <c r="Q272" i="17"/>
  <c r="P272" i="17"/>
  <c r="S272" i="17"/>
  <c r="R271" i="17"/>
  <c r="Q271" i="17"/>
  <c r="P271" i="17"/>
  <c r="T271" i="17"/>
  <c r="Q270" i="17"/>
  <c r="T269" i="17"/>
  <c r="S269" i="17"/>
  <c r="R269" i="17"/>
  <c r="Q269" i="17"/>
  <c r="P269" i="17"/>
  <c r="R267" i="17"/>
  <c r="Q267" i="17"/>
  <c r="T266" i="17"/>
  <c r="S266" i="17"/>
  <c r="R266" i="17"/>
  <c r="T265" i="17"/>
  <c r="T264" i="17"/>
  <c r="R264" i="17"/>
  <c r="Q264" i="17"/>
  <c r="P264" i="17"/>
  <c r="S264" i="17"/>
  <c r="Q263" i="17"/>
  <c r="P263" i="17"/>
  <c r="T261" i="17"/>
  <c r="T260" i="17"/>
  <c r="S260" i="17"/>
  <c r="R260" i="17"/>
  <c r="Q260" i="17"/>
  <c r="P260" i="17"/>
  <c r="Q259" i="17"/>
  <c r="T259" i="17"/>
  <c r="S258" i="17"/>
  <c r="T257" i="17"/>
  <c r="T256" i="17"/>
  <c r="R256" i="17"/>
  <c r="Q256" i="17"/>
  <c r="P256" i="17"/>
  <c r="S256" i="17"/>
  <c r="Q255" i="17"/>
  <c r="T254" i="17"/>
  <c r="R253" i="17"/>
  <c r="Q253" i="17"/>
  <c r="T252" i="17"/>
  <c r="S252" i="17"/>
  <c r="R252" i="17"/>
  <c r="Q252" i="17"/>
  <c r="P252" i="17"/>
  <c r="S250" i="17"/>
  <c r="T249" i="17"/>
  <c r="Q249" i="17"/>
  <c r="T248" i="17"/>
  <c r="R248" i="17"/>
  <c r="Q248" i="17"/>
  <c r="P248" i="17"/>
  <c r="S248" i="17"/>
  <c r="Q247" i="17"/>
  <c r="T246" i="17"/>
  <c r="R245" i="17"/>
  <c r="T244" i="17"/>
  <c r="S244" i="17"/>
  <c r="R244" i="17"/>
  <c r="Q244" i="17"/>
  <c r="P244" i="17"/>
  <c r="R243" i="17"/>
  <c r="T241" i="17"/>
  <c r="P241" i="17"/>
  <c r="T240" i="17"/>
  <c r="R240" i="17"/>
  <c r="Q240" i="17"/>
  <c r="P240" i="17"/>
  <c r="S240" i="17"/>
  <c r="Q239" i="17"/>
  <c r="P239" i="17"/>
  <c r="Q238" i="17"/>
  <c r="T237" i="17"/>
  <c r="R237" i="17"/>
  <c r="S236" i="17"/>
  <c r="T235" i="17"/>
  <c r="R235" i="17"/>
  <c r="Q235" i="17"/>
  <c r="P235" i="17"/>
  <c r="S235" i="17"/>
  <c r="R234" i="17"/>
  <c r="T233" i="17"/>
  <c r="T232" i="17"/>
  <c r="P232" i="17"/>
  <c r="Q232" i="17"/>
  <c r="T231" i="17"/>
  <c r="R231" i="17"/>
  <c r="Q231" i="17"/>
  <c r="P231" i="17"/>
  <c r="R230" i="17"/>
  <c r="Q230" i="17"/>
  <c r="S230" i="17"/>
  <c r="T227" i="17"/>
  <c r="R227" i="17"/>
  <c r="Q227" i="17"/>
  <c r="P227" i="17"/>
  <c r="S227" i="17"/>
  <c r="S226" i="17"/>
  <c r="R226" i="17"/>
  <c r="S225" i="17"/>
  <c r="R225" i="17"/>
  <c r="S224" i="17"/>
  <c r="P224" i="17"/>
  <c r="T223" i="17"/>
  <c r="R223" i="17"/>
  <c r="Q223" i="17"/>
  <c r="P223" i="17"/>
  <c r="R222" i="17"/>
  <c r="Q222" i="17"/>
  <c r="T221" i="17"/>
  <c r="P221" i="17"/>
  <c r="T220" i="17"/>
  <c r="S220" i="17"/>
  <c r="Q220" i="17"/>
  <c r="T219" i="17"/>
  <c r="R219" i="17"/>
  <c r="Q219" i="17"/>
  <c r="P219" i="17"/>
  <c r="S219" i="17"/>
  <c r="S218" i="17"/>
  <c r="R218" i="17"/>
  <c r="Q218" i="17"/>
  <c r="T217" i="17"/>
  <c r="S217" i="17"/>
  <c r="P217" i="17"/>
  <c r="T215" i="17"/>
  <c r="R215" i="17"/>
  <c r="Q215" i="17"/>
  <c r="P215" i="17"/>
  <c r="R214" i="17"/>
  <c r="Q214" i="17"/>
  <c r="T213" i="17"/>
  <c r="P213" i="17"/>
  <c r="T212" i="17"/>
  <c r="S212" i="17"/>
  <c r="Q212" i="17"/>
  <c r="T211" i="17"/>
  <c r="R211" i="17"/>
  <c r="Q211" i="17"/>
  <c r="P211" i="17"/>
  <c r="S211" i="17"/>
  <c r="S210" i="17"/>
  <c r="R210" i="17"/>
  <c r="Q210" i="17"/>
  <c r="T209" i="17"/>
  <c r="S209" i="17"/>
  <c r="R209" i="17"/>
  <c r="P209" i="17"/>
  <c r="S208" i="17"/>
  <c r="T208" i="17"/>
  <c r="T207" i="17"/>
  <c r="R207" i="17"/>
  <c r="Q207" i="17"/>
  <c r="P207" i="17"/>
  <c r="R206" i="17"/>
  <c r="Q206" i="17"/>
  <c r="T205" i="17"/>
  <c r="P205" i="17"/>
  <c r="T204" i="17"/>
  <c r="S204" i="17"/>
  <c r="T203" i="17"/>
  <c r="R203" i="17"/>
  <c r="Q203" i="17"/>
  <c r="P203" i="17"/>
  <c r="S203" i="17"/>
  <c r="S202" i="17"/>
  <c r="R202" i="17"/>
  <c r="Q202" i="17"/>
  <c r="T201" i="17"/>
  <c r="S201" i="17"/>
  <c r="R201" i="17"/>
  <c r="P201" i="17"/>
  <c r="T199" i="17"/>
  <c r="R199" i="17"/>
  <c r="Q199" i="17"/>
  <c r="P199" i="17"/>
  <c r="Q198" i="17"/>
  <c r="T196" i="17"/>
  <c r="S196" i="17"/>
  <c r="T195" i="17"/>
  <c r="R195" i="17"/>
  <c r="Q195" i="17"/>
  <c r="P195" i="17"/>
  <c r="S195" i="17"/>
  <c r="T194" i="17"/>
  <c r="R194" i="17"/>
  <c r="Q194" i="17"/>
  <c r="R192" i="17"/>
  <c r="T192" i="17"/>
  <c r="T191" i="17"/>
  <c r="Q191" i="17"/>
  <c r="P191" i="17"/>
  <c r="Q190" i="17"/>
  <c r="T190" i="17"/>
  <c r="T189" i="17"/>
  <c r="S189" i="17"/>
  <c r="R189" i="17"/>
  <c r="P189" i="17"/>
  <c r="R188" i="17"/>
  <c r="T187" i="17"/>
  <c r="R187" i="17"/>
  <c r="Q187" i="17"/>
  <c r="P187" i="17"/>
  <c r="S187" i="17"/>
  <c r="Q186" i="17"/>
  <c r="S186" i="17"/>
  <c r="T185" i="17"/>
  <c r="S185" i="17"/>
  <c r="R185" i="17"/>
  <c r="Q185" i="17"/>
  <c r="P185" i="17"/>
  <c r="T183" i="17"/>
  <c r="S183" i="17"/>
  <c r="R183" i="17"/>
  <c r="P183" i="17"/>
  <c r="Q182" i="17"/>
  <c r="T182" i="17"/>
  <c r="T181" i="17"/>
  <c r="S181" i="17"/>
  <c r="R181" i="17"/>
  <c r="P181" i="17"/>
  <c r="T179" i="17"/>
  <c r="R179" i="17"/>
  <c r="Q179" i="17"/>
  <c r="P179" i="17"/>
  <c r="S179" i="17"/>
  <c r="Q178" i="17"/>
  <c r="S178" i="17"/>
  <c r="T177" i="17"/>
  <c r="S177" i="17"/>
  <c r="R177" i="17"/>
  <c r="Q177" i="17"/>
  <c r="P177" i="17"/>
  <c r="T176" i="17"/>
  <c r="T175" i="17"/>
  <c r="S175" i="17"/>
  <c r="R175" i="17"/>
  <c r="P175" i="17"/>
  <c r="Q174" i="17"/>
  <c r="T173" i="17"/>
  <c r="S173" i="17"/>
  <c r="R173" i="17"/>
  <c r="P173" i="17"/>
  <c r="Q172" i="17"/>
  <c r="P172" i="17"/>
  <c r="T172" i="17"/>
  <c r="T171" i="17"/>
  <c r="R171" i="17"/>
  <c r="Q171" i="17"/>
  <c r="P171" i="17"/>
  <c r="S171" i="17"/>
  <c r="P170" i="17"/>
  <c r="T169" i="17"/>
  <c r="S169" i="17"/>
  <c r="R169" i="17"/>
  <c r="Q169" i="17"/>
  <c r="P169" i="17"/>
  <c r="T167" i="17"/>
  <c r="S167" i="17"/>
  <c r="R167" i="17"/>
  <c r="P167" i="17"/>
  <c r="T166" i="17"/>
  <c r="R166" i="17"/>
  <c r="Q166" i="17"/>
  <c r="P166" i="17"/>
  <c r="S165" i="17"/>
  <c r="T164" i="17"/>
  <c r="R164" i="17"/>
  <c r="P164" i="17"/>
  <c r="S164" i="17"/>
  <c r="T163" i="17"/>
  <c r="T162" i="17"/>
  <c r="R162" i="17"/>
  <c r="Q162" i="17"/>
  <c r="P162" i="17"/>
  <c r="S162" i="17"/>
  <c r="S160" i="17"/>
  <c r="R160" i="17"/>
  <c r="S159" i="17"/>
  <c r="Q159" i="17"/>
  <c r="P159" i="17"/>
  <c r="Q158" i="17"/>
  <c r="T157" i="17"/>
  <c r="S156" i="17"/>
  <c r="R156" i="17"/>
  <c r="S155" i="17"/>
  <c r="P155" i="17"/>
  <c r="R155" i="17"/>
  <c r="T154" i="17"/>
  <c r="R154" i="17"/>
  <c r="Q154" i="17"/>
  <c r="P154" i="17"/>
  <c r="S154" i="17"/>
  <c r="S153" i="17"/>
  <c r="S152" i="17"/>
  <c r="R152" i="17"/>
  <c r="Q152" i="17"/>
  <c r="S151" i="17"/>
  <c r="Q151" i="17"/>
  <c r="P151" i="17"/>
  <c r="Q150" i="17"/>
  <c r="T149" i="17"/>
  <c r="S149" i="17"/>
  <c r="S148" i="17"/>
  <c r="S147" i="17"/>
  <c r="P147" i="17"/>
  <c r="R147" i="17"/>
  <c r="T146" i="17"/>
  <c r="R146" i="17"/>
  <c r="Q146" i="17"/>
  <c r="P146" i="17"/>
  <c r="S146" i="17"/>
  <c r="Q145" i="17"/>
  <c r="S144" i="17"/>
  <c r="Q144" i="17"/>
  <c r="S143" i="17"/>
  <c r="P143" i="17"/>
  <c r="S142" i="17"/>
  <c r="T141" i="17"/>
  <c r="Q141" i="17"/>
  <c r="R140" i="17"/>
  <c r="T138" i="17"/>
  <c r="R138" i="17"/>
  <c r="Q138" i="17"/>
  <c r="P138" i="17"/>
  <c r="S138" i="17"/>
  <c r="S137" i="17"/>
  <c r="Q137" i="17"/>
  <c r="S136" i="17"/>
  <c r="R136" i="17"/>
  <c r="T134" i="17"/>
  <c r="Q134" i="17"/>
  <c r="P134" i="17"/>
  <c r="S134" i="17"/>
  <c r="T133" i="17"/>
  <c r="R133" i="17"/>
  <c r="Q133" i="17"/>
  <c r="P133" i="17"/>
  <c r="S133" i="17"/>
  <c r="S131" i="17"/>
  <c r="P131" i="17"/>
  <c r="T130" i="17"/>
  <c r="S130" i="17"/>
  <c r="Q130" i="17"/>
  <c r="P130" i="17"/>
  <c r="T129" i="17"/>
  <c r="R129" i="17"/>
  <c r="Q129" i="17"/>
  <c r="P129" i="17"/>
  <c r="S129" i="17"/>
  <c r="R128" i="17"/>
  <c r="S128" i="17"/>
  <c r="S127" i="17"/>
  <c r="T127" i="17"/>
  <c r="S126" i="17"/>
  <c r="T125" i="17"/>
  <c r="R125" i="17"/>
  <c r="Q125" i="17"/>
  <c r="P125" i="17"/>
  <c r="S125" i="17"/>
  <c r="S124" i="17"/>
  <c r="Q124" i="17"/>
  <c r="T123" i="17"/>
  <c r="S123" i="17"/>
  <c r="R123" i="17"/>
  <c r="P123" i="17"/>
  <c r="Q122" i="17"/>
  <c r="T122" i="17"/>
  <c r="T121" i="17"/>
  <c r="R121" i="17"/>
  <c r="Q121" i="17"/>
  <c r="P121" i="17"/>
  <c r="S121" i="17"/>
  <c r="S120" i="17"/>
  <c r="P120" i="17"/>
  <c r="T119" i="17"/>
  <c r="S119" i="17"/>
  <c r="R119" i="17"/>
  <c r="Q119" i="17"/>
  <c r="P119" i="17"/>
  <c r="R118" i="17"/>
  <c r="T117" i="17"/>
  <c r="S117" i="17"/>
  <c r="R117" i="17"/>
  <c r="S116" i="17"/>
  <c r="P115" i="17"/>
  <c r="T113" i="17"/>
  <c r="Q113" i="17"/>
  <c r="Q112" i="17"/>
  <c r="S111" i="17"/>
  <c r="Q111" i="17"/>
  <c r="P111" i="17"/>
  <c r="T109" i="17"/>
  <c r="R109" i="17"/>
  <c r="Q109" i="17"/>
  <c r="P109" i="17"/>
  <c r="S109" i="17"/>
  <c r="T105" i="17"/>
  <c r="R105" i="17"/>
  <c r="Q105" i="17"/>
  <c r="P105" i="17"/>
  <c r="S105" i="17"/>
  <c r="R104" i="17"/>
  <c r="S104" i="17"/>
  <c r="T102" i="17"/>
  <c r="S102" i="17"/>
  <c r="Q102" i="17"/>
  <c r="P102" i="17"/>
  <c r="T101" i="17"/>
  <c r="R101" i="17"/>
  <c r="Q101" i="17"/>
  <c r="P101" i="17"/>
  <c r="S101" i="17"/>
  <c r="S100" i="17"/>
  <c r="R100" i="17"/>
  <c r="Q100" i="17"/>
  <c r="T99" i="17"/>
  <c r="S99" i="17"/>
  <c r="P99" i="17"/>
  <c r="R99" i="17"/>
  <c r="T98" i="17"/>
  <c r="T97" i="17"/>
  <c r="R97" i="17"/>
  <c r="Q97" i="17"/>
  <c r="P97" i="17"/>
  <c r="S97" i="17"/>
  <c r="S96" i="17"/>
  <c r="T95" i="17"/>
  <c r="S95" i="17"/>
  <c r="R95" i="17"/>
  <c r="P95" i="17"/>
  <c r="T94" i="17"/>
  <c r="S94" i="17"/>
  <c r="P94" i="17"/>
  <c r="Q94" i="17"/>
  <c r="T93" i="17"/>
  <c r="R93" i="17"/>
  <c r="Q93" i="17"/>
  <c r="P93" i="17"/>
  <c r="S93" i="17"/>
  <c r="R92" i="17"/>
  <c r="T91" i="17"/>
  <c r="R91" i="17"/>
  <c r="S91" i="17"/>
  <c r="P90" i="17"/>
  <c r="T89" i="17"/>
  <c r="R89" i="17"/>
  <c r="Q89" i="17"/>
  <c r="P89" i="17"/>
  <c r="S89" i="17"/>
  <c r="P87" i="17"/>
  <c r="S87" i="17"/>
  <c r="T86" i="17"/>
  <c r="Q86" i="17"/>
  <c r="S85" i="17"/>
  <c r="R85" i="17"/>
  <c r="Q85" i="17"/>
  <c r="Q84" i="17"/>
  <c r="S83" i="17"/>
  <c r="T82" i="17"/>
  <c r="S82" i="17"/>
  <c r="P82" i="17"/>
  <c r="T81" i="17"/>
  <c r="R81" i="17"/>
  <c r="Q81" i="17"/>
  <c r="P81" i="17"/>
  <c r="S81" i="17"/>
  <c r="P80" i="17"/>
  <c r="S79" i="17"/>
  <c r="Q78" i="17"/>
  <c r="S77" i="17"/>
  <c r="Q77" i="17"/>
  <c r="S76" i="17"/>
  <c r="S75" i="17"/>
  <c r="T74" i="17"/>
  <c r="P74" i="17"/>
  <c r="T73" i="17"/>
  <c r="R73" i="17"/>
  <c r="Q73" i="17"/>
  <c r="P73" i="17"/>
  <c r="S73" i="17"/>
  <c r="Q72" i="17"/>
  <c r="S71" i="17"/>
  <c r="Q71" i="17"/>
  <c r="P71" i="17"/>
  <c r="T70" i="17"/>
  <c r="S70" i="17"/>
  <c r="Q70" i="17"/>
  <c r="S69" i="17"/>
  <c r="T69" i="17"/>
  <c r="R68" i="17"/>
  <c r="P68" i="17"/>
  <c r="T68" i="17"/>
  <c r="T67" i="17"/>
  <c r="S67" i="17"/>
  <c r="Q67" i="17"/>
  <c r="T66" i="17"/>
  <c r="R66" i="17"/>
  <c r="Q66" i="17"/>
  <c r="P66" i="17"/>
  <c r="S66" i="17"/>
  <c r="S65" i="17"/>
  <c r="Q65" i="17"/>
  <c r="P65" i="17"/>
  <c r="T64" i="17"/>
  <c r="R64" i="17"/>
  <c r="Q64" i="17"/>
  <c r="P64" i="17"/>
  <c r="S64" i="17"/>
  <c r="T63" i="17"/>
  <c r="S63" i="17"/>
  <c r="Q63" i="17"/>
  <c r="P63" i="17"/>
  <c r="R62" i="17"/>
  <c r="T61" i="17"/>
  <c r="S61" i="17"/>
  <c r="R61" i="17"/>
  <c r="R60" i="17"/>
  <c r="P60" i="17"/>
  <c r="T60" i="17"/>
  <c r="T59" i="17"/>
  <c r="S59" i="17"/>
  <c r="P59" i="17"/>
  <c r="R59" i="17"/>
  <c r="T58" i="17"/>
  <c r="R58" i="17"/>
  <c r="Q58" i="17"/>
  <c r="P58" i="17"/>
  <c r="S58" i="17"/>
  <c r="S57" i="17"/>
  <c r="P57" i="17"/>
  <c r="R57" i="17"/>
  <c r="R56" i="17"/>
  <c r="Q56" i="17"/>
  <c r="T55" i="17"/>
  <c r="S55" i="17"/>
  <c r="Q55" i="17"/>
  <c r="P55" i="17"/>
  <c r="R54" i="17"/>
  <c r="T53" i="17"/>
  <c r="S53" i="17"/>
  <c r="R53" i="17"/>
  <c r="R52" i="17"/>
  <c r="P52" i="17"/>
  <c r="T52" i="17"/>
  <c r="T51" i="17"/>
  <c r="S51" i="17"/>
  <c r="P51" i="17"/>
  <c r="R51" i="17"/>
  <c r="T50" i="17"/>
  <c r="R50" i="17"/>
  <c r="Q50" i="17"/>
  <c r="P50" i="17"/>
  <c r="S50" i="17"/>
  <c r="S49" i="17"/>
  <c r="P49" i="17"/>
  <c r="R49" i="17"/>
  <c r="R48" i="17"/>
  <c r="Q48" i="17"/>
  <c r="T47" i="17"/>
  <c r="S47" i="17"/>
  <c r="Q47" i="17"/>
  <c r="P47" i="17"/>
  <c r="T46" i="17"/>
  <c r="T45" i="17"/>
  <c r="P45" i="17"/>
  <c r="T44" i="17"/>
  <c r="R44" i="17"/>
  <c r="Q44" i="17"/>
  <c r="P44" i="17"/>
  <c r="S44" i="17"/>
  <c r="R43" i="17"/>
  <c r="Q43" i="17"/>
  <c r="P42" i="17"/>
  <c r="T41" i="17"/>
  <c r="P41" i="17"/>
  <c r="Q41" i="17"/>
  <c r="T40" i="17"/>
  <c r="R40" i="17"/>
  <c r="Q40" i="17"/>
  <c r="P40" i="17"/>
  <c r="S40" i="17"/>
  <c r="R39" i="17"/>
  <c r="Q39" i="17"/>
  <c r="S39" i="17"/>
  <c r="T38" i="17"/>
  <c r="T37" i="17"/>
  <c r="P37" i="17"/>
  <c r="T36" i="17"/>
  <c r="R36" i="17"/>
  <c r="Q36" i="17"/>
  <c r="P36" i="17"/>
  <c r="S36" i="17"/>
  <c r="R35" i="17"/>
  <c r="Q35" i="17"/>
  <c r="P34" i="17"/>
  <c r="T33" i="17"/>
  <c r="P33" i="17"/>
  <c r="Q33" i="17"/>
  <c r="T32" i="17"/>
  <c r="R32" i="17"/>
  <c r="Q32" i="17"/>
  <c r="P32" i="17"/>
  <c r="S32" i="17"/>
  <c r="R31" i="17"/>
  <c r="Q31" i="17"/>
  <c r="S31" i="17"/>
  <c r="T30" i="17"/>
  <c r="T29" i="17"/>
  <c r="P29" i="17"/>
  <c r="T28" i="17"/>
  <c r="R28" i="17"/>
  <c r="Q28" i="17"/>
  <c r="P28" i="17"/>
  <c r="S28" i="17"/>
  <c r="R27" i="17"/>
  <c r="Q27" i="17"/>
  <c r="P26" i="17"/>
  <c r="T25" i="17"/>
  <c r="Q25" i="17"/>
  <c r="T24" i="17"/>
  <c r="R24" i="17"/>
  <c r="Q24" i="17"/>
  <c r="P24" i="17"/>
  <c r="S24" i="17"/>
  <c r="R23" i="17"/>
  <c r="Q23" i="17"/>
  <c r="S23" i="17"/>
  <c r="T22" i="17"/>
  <c r="T21" i="17"/>
  <c r="P21" i="17"/>
  <c r="T20" i="17"/>
  <c r="R20" i="17"/>
  <c r="Q20" i="17"/>
  <c r="P20" i="17"/>
  <c r="S20" i="17"/>
  <c r="R19" i="17"/>
  <c r="Q19" i="17"/>
  <c r="R18" i="17"/>
  <c r="P18" i="17"/>
  <c r="Q17" i="17"/>
  <c r="T16" i="17"/>
  <c r="R16" i="17"/>
  <c r="Q16" i="17"/>
  <c r="P16" i="17"/>
  <c r="S16" i="17"/>
  <c r="R15" i="17"/>
  <c r="Q15" i="17"/>
  <c r="S15" i="17"/>
  <c r="R14" i="17"/>
  <c r="T14" i="17"/>
  <c r="P13" i="17"/>
  <c r="T12" i="17"/>
  <c r="R12" i="17"/>
  <c r="Q12" i="17"/>
  <c r="P12" i="17"/>
  <c r="S12" i="17"/>
  <c r="R11" i="17"/>
  <c r="Q11" i="17"/>
  <c r="R10" i="17"/>
  <c r="P10" i="17"/>
  <c r="Q9" i="17"/>
  <c r="T8" i="17"/>
  <c r="R8" i="17"/>
  <c r="Q8" i="17"/>
  <c r="P8" i="17"/>
  <c r="S8" i="17"/>
  <c r="C4" i="17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2" i="5"/>
  <c r="AH83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3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6" i="5"/>
  <c r="AH137" i="5"/>
  <c r="AH138" i="5"/>
  <c r="AH139" i="5"/>
  <c r="AH140" i="5"/>
  <c r="AH141" i="5"/>
  <c r="AH142" i="5"/>
  <c r="AH143" i="5"/>
  <c r="AH144" i="5"/>
  <c r="AH145" i="5"/>
  <c r="AH146" i="5"/>
  <c r="AH147" i="5"/>
  <c r="AH148" i="5"/>
  <c r="AH149" i="5"/>
  <c r="AH150" i="5"/>
  <c r="AH151" i="5"/>
  <c r="AH152" i="5"/>
  <c r="AH153" i="5"/>
  <c r="AH154" i="5"/>
  <c r="AH155" i="5"/>
  <c r="AH156" i="5"/>
  <c r="AH157" i="5"/>
  <c r="AH158" i="5"/>
  <c r="AH159" i="5"/>
  <c r="AH160" i="5"/>
  <c r="AH161" i="5"/>
  <c r="AH162" i="5"/>
  <c r="AH163" i="5"/>
  <c r="AH164" i="5"/>
  <c r="AH165" i="5"/>
  <c r="AH166" i="5"/>
  <c r="AH167" i="5"/>
  <c r="AH168" i="5"/>
  <c r="AH169" i="5"/>
  <c r="AH170" i="5"/>
  <c r="AH171" i="5"/>
  <c r="AH172" i="5"/>
  <c r="AH173" i="5"/>
  <c r="AH174" i="5"/>
  <c r="AH175" i="5"/>
  <c r="AH176" i="5"/>
  <c r="AH177" i="5"/>
  <c r="AH178" i="5"/>
  <c r="AH179" i="5"/>
  <c r="AH180" i="5"/>
  <c r="AH181" i="5"/>
  <c r="AH182" i="5"/>
  <c r="AH183" i="5"/>
  <c r="AH184" i="5"/>
  <c r="AH185" i="5"/>
  <c r="AH186" i="5"/>
  <c r="AH187" i="5"/>
  <c r="AH188" i="5"/>
  <c r="AH189" i="5"/>
  <c r="AH190" i="5"/>
  <c r="AH191" i="5"/>
  <c r="AH192" i="5"/>
  <c r="AH193" i="5"/>
  <c r="AH194" i="5"/>
  <c r="AH195" i="5"/>
  <c r="AH196" i="5"/>
  <c r="AH197" i="5"/>
  <c r="AH198" i="5"/>
  <c r="AH199" i="5"/>
  <c r="AH200" i="5"/>
  <c r="AH201" i="5"/>
  <c r="AH202" i="5"/>
  <c r="AH203" i="5"/>
  <c r="AH204" i="5"/>
  <c r="AH205" i="5"/>
  <c r="AH206" i="5"/>
  <c r="AH207" i="5"/>
  <c r="AH208" i="5"/>
  <c r="AH209" i="5"/>
  <c r="AH210" i="5"/>
  <c r="AH211" i="5"/>
  <c r="AH212" i="5"/>
  <c r="AH213" i="5"/>
  <c r="AH214" i="5"/>
  <c r="AH215" i="5"/>
  <c r="AH216" i="5"/>
  <c r="AH217" i="5"/>
  <c r="AH218" i="5"/>
  <c r="AH219" i="5"/>
  <c r="AH220" i="5"/>
  <c r="AH221" i="5"/>
  <c r="AH222" i="5"/>
  <c r="AH223" i="5"/>
  <c r="AH224" i="5"/>
  <c r="AH225" i="5"/>
  <c r="AH226" i="5"/>
  <c r="AH227" i="5"/>
  <c r="AH228" i="5"/>
  <c r="AH229" i="5"/>
  <c r="AH230" i="5"/>
  <c r="AH231" i="5"/>
  <c r="AH232" i="5"/>
  <c r="AH233" i="5"/>
  <c r="AH234" i="5"/>
  <c r="AH235" i="5"/>
  <c r="AH236" i="5"/>
  <c r="AH237" i="5"/>
  <c r="AH238" i="5"/>
  <c r="AH239" i="5"/>
  <c r="AH240" i="5"/>
  <c r="AH241" i="5"/>
  <c r="AH242" i="5"/>
  <c r="AH243" i="5"/>
  <c r="AH244" i="5"/>
  <c r="AH245" i="5"/>
  <c r="AH246" i="5"/>
  <c r="AH247" i="5"/>
  <c r="AH248" i="5"/>
  <c r="AH249" i="5"/>
  <c r="AH250" i="5"/>
  <c r="AH251" i="5"/>
  <c r="AH252" i="5"/>
  <c r="AH253" i="5"/>
  <c r="AH254" i="5"/>
  <c r="AH255" i="5"/>
  <c r="AH256" i="5"/>
  <c r="AH257" i="5"/>
  <c r="AH258" i="5"/>
  <c r="AH259" i="5"/>
  <c r="AH260" i="5"/>
  <c r="AH261" i="5"/>
  <c r="AH262" i="5"/>
  <c r="AH263" i="5"/>
  <c r="AH264" i="5"/>
  <c r="AH265" i="5"/>
  <c r="AH266" i="5"/>
  <c r="AH267" i="5"/>
  <c r="AH268" i="5"/>
  <c r="AH269" i="5"/>
  <c r="AH270" i="5"/>
  <c r="AH271" i="5"/>
  <c r="AH272" i="5"/>
  <c r="AH273" i="5"/>
  <c r="AH274" i="5"/>
  <c r="AH275" i="5"/>
  <c r="AH276" i="5"/>
  <c r="AH277" i="5"/>
  <c r="AH278" i="5"/>
  <c r="AH279" i="5"/>
  <c r="AH280" i="5"/>
  <c r="AH281" i="5"/>
  <c r="AH282" i="5"/>
  <c r="AH283" i="5"/>
  <c r="AH284" i="5"/>
  <c r="AH285" i="5"/>
  <c r="AH286" i="5"/>
  <c r="AH287" i="5"/>
  <c r="AH288" i="5"/>
  <c r="AH289" i="5"/>
  <c r="AH290" i="5"/>
  <c r="AH291" i="5"/>
  <c r="AH292" i="5"/>
  <c r="AH293" i="5"/>
  <c r="AH294" i="5"/>
  <c r="AH295" i="5"/>
  <c r="AH296" i="5"/>
  <c r="AH297" i="5"/>
  <c r="AH298" i="5"/>
  <c r="AH299" i="5"/>
  <c r="AH300" i="5"/>
  <c r="AH301" i="5"/>
  <c r="AH302" i="5"/>
  <c r="AH303" i="5"/>
  <c r="AH304" i="5"/>
  <c r="AH305" i="5"/>
  <c r="AH306" i="5"/>
  <c r="AH307" i="5"/>
  <c r="AH308" i="5"/>
  <c r="AH309" i="5"/>
  <c r="AH310" i="5"/>
  <c r="AH311" i="5"/>
  <c r="AH312" i="5"/>
  <c r="AH313" i="5"/>
  <c r="AH314" i="5"/>
  <c r="AH315" i="5"/>
  <c r="AH316" i="5"/>
  <c r="AH317" i="5"/>
  <c r="AH318" i="5"/>
  <c r="AH319" i="5"/>
  <c r="AH320" i="5"/>
  <c r="AH321" i="5"/>
  <c r="AH322" i="5"/>
  <c r="AH323" i="5"/>
  <c r="AH324" i="5"/>
  <c r="AH325" i="5"/>
  <c r="AH326" i="5"/>
  <c r="AH327" i="5"/>
  <c r="AH328" i="5"/>
  <c r="AH329" i="5"/>
  <c r="AH330" i="5"/>
  <c r="AH331" i="5"/>
  <c r="AH332" i="5"/>
  <c r="AH333" i="5"/>
  <c r="AH334" i="5"/>
  <c r="AH335" i="5"/>
  <c r="AH336" i="5"/>
  <c r="AH337" i="5"/>
  <c r="AH338" i="5"/>
  <c r="AH339" i="5"/>
  <c r="AH340" i="5"/>
  <c r="AH341" i="5"/>
  <c r="AH342" i="5"/>
  <c r="AH343" i="5"/>
  <c r="AH344" i="5"/>
  <c r="AH345" i="5"/>
  <c r="AH346" i="5"/>
  <c r="AH347" i="5"/>
  <c r="AH348" i="5"/>
  <c r="AH349" i="5"/>
  <c r="AH350" i="5"/>
  <c r="AH351" i="5"/>
  <c r="AH352" i="5"/>
  <c r="AH353" i="5"/>
  <c r="AH354" i="5"/>
  <c r="AH355" i="5"/>
  <c r="AH356" i="5"/>
  <c r="AH357" i="5"/>
  <c r="AH358" i="5"/>
  <c r="AH359" i="5"/>
  <c r="AH360" i="5"/>
  <c r="AH361" i="5"/>
  <c r="AH362" i="5"/>
  <c r="AH363" i="5"/>
  <c r="AH364" i="5"/>
  <c r="AH365" i="5"/>
  <c r="AH366" i="5"/>
  <c r="AH367" i="5"/>
  <c r="AH368" i="5"/>
  <c r="AH369" i="5"/>
  <c r="AH370" i="5"/>
  <c r="AH371" i="5"/>
  <c r="AH372" i="5"/>
  <c r="AH373" i="5"/>
  <c r="AH374" i="5"/>
  <c r="AH375" i="5"/>
  <c r="AH376" i="5"/>
  <c r="AH377" i="5"/>
  <c r="AH378" i="5"/>
  <c r="AH379" i="5"/>
  <c r="AH380" i="5"/>
  <c r="AH381" i="5"/>
  <c r="AH382" i="5"/>
  <c r="AH383" i="5"/>
  <c r="AH384" i="5"/>
  <c r="AH385" i="5"/>
  <c r="AH386" i="5"/>
  <c r="AH387" i="5"/>
  <c r="AH388" i="5"/>
  <c r="AH389" i="5"/>
  <c r="AH390" i="5"/>
  <c r="AH391" i="5"/>
  <c r="AH392" i="5"/>
  <c r="AH393" i="5"/>
  <c r="AH394" i="5"/>
  <c r="AH395" i="5"/>
  <c r="AH396" i="5"/>
  <c r="AH397" i="5"/>
  <c r="AH398" i="5"/>
  <c r="AH399" i="5"/>
  <c r="AH400" i="5"/>
  <c r="AH401" i="5"/>
  <c r="AH402" i="5"/>
  <c r="AH403" i="5"/>
  <c r="AH404" i="5"/>
  <c r="AH405" i="5"/>
  <c r="AH406" i="5"/>
  <c r="AH407" i="5"/>
  <c r="AH408" i="5"/>
  <c r="AH409" i="5"/>
  <c r="AH410" i="5"/>
  <c r="AH411" i="5"/>
  <c r="AH412" i="5"/>
  <c r="AH413" i="5"/>
  <c r="AH414" i="5"/>
  <c r="AH415" i="5"/>
  <c r="AH416" i="5"/>
  <c r="AH417" i="5"/>
  <c r="AH418" i="5"/>
  <c r="AH419" i="5"/>
  <c r="AH420" i="5"/>
  <c r="AH421" i="5"/>
  <c r="AH422" i="5"/>
  <c r="AH423" i="5"/>
  <c r="AH424" i="5"/>
  <c r="AH425" i="5"/>
  <c r="AH426" i="5"/>
  <c r="AH427" i="5"/>
  <c r="AH428" i="5"/>
  <c r="AH429" i="5"/>
  <c r="AH430" i="5"/>
  <c r="AH431" i="5"/>
  <c r="AH432" i="5"/>
  <c r="AH433" i="5"/>
  <c r="AH434" i="5"/>
  <c r="AH435" i="5"/>
  <c r="AH436" i="5"/>
  <c r="AH437" i="5"/>
  <c r="AH438" i="5"/>
  <c r="AH439" i="5"/>
  <c r="AH440" i="5"/>
  <c r="AH441" i="5"/>
  <c r="AH442" i="5"/>
  <c r="AH443" i="5"/>
  <c r="AH444" i="5"/>
  <c r="AH445" i="5"/>
  <c r="AH446" i="5"/>
  <c r="AH447" i="5"/>
  <c r="AH448" i="5"/>
  <c r="AH449" i="5"/>
  <c r="AH450" i="5"/>
  <c r="AH451" i="5"/>
  <c r="AH452" i="5"/>
  <c r="AH453" i="5"/>
  <c r="AH454" i="5"/>
  <c r="AH455" i="5"/>
  <c r="AH456" i="5"/>
  <c r="AH457" i="5"/>
  <c r="AH458" i="5"/>
  <c r="AH459" i="5"/>
  <c r="AH460" i="5"/>
  <c r="AH461" i="5"/>
  <c r="AH462" i="5"/>
  <c r="AH463" i="5"/>
  <c r="AH464" i="5"/>
  <c r="AH465" i="5"/>
  <c r="AH466" i="5"/>
  <c r="AH467" i="5"/>
  <c r="AH468" i="5"/>
  <c r="AH469" i="5"/>
  <c r="AH470" i="5"/>
  <c r="AH471" i="5"/>
  <c r="AH472" i="5"/>
  <c r="AH473" i="5"/>
  <c r="AH474" i="5"/>
  <c r="AH475" i="5"/>
  <c r="AH476" i="5"/>
  <c r="AH477" i="5"/>
  <c r="AH478" i="5"/>
  <c r="AH479" i="5"/>
  <c r="AH480" i="5"/>
  <c r="AH481" i="5"/>
  <c r="AH482" i="5"/>
  <c r="AH483" i="5"/>
  <c r="AH484" i="5"/>
  <c r="AH485" i="5"/>
  <c r="AH486" i="5"/>
  <c r="AH487" i="5"/>
  <c r="AH488" i="5"/>
  <c r="AH489" i="5"/>
  <c r="AH490" i="5"/>
  <c r="AH491" i="5"/>
  <c r="AH492" i="5"/>
  <c r="AH493" i="5"/>
  <c r="AH494" i="5"/>
  <c r="AH495" i="5"/>
  <c r="AH496" i="5"/>
  <c r="AH497" i="5"/>
  <c r="AH498" i="5"/>
  <c r="AH499" i="5"/>
  <c r="AH500" i="5"/>
  <c r="AH501" i="5"/>
  <c r="AH502" i="5"/>
  <c r="AH503" i="5"/>
  <c r="AH504" i="5"/>
  <c r="AH505" i="5"/>
  <c r="AH506" i="5"/>
  <c r="AH507" i="5"/>
  <c r="AH508" i="5"/>
  <c r="AH509" i="5"/>
  <c r="AH510" i="5"/>
  <c r="AH511" i="5"/>
  <c r="AH512" i="5"/>
  <c r="AH513" i="5"/>
  <c r="AH514" i="5"/>
  <c r="AH515" i="5"/>
  <c r="AH516" i="5"/>
  <c r="AH517" i="5"/>
  <c r="AH518" i="5"/>
  <c r="AH519" i="5"/>
  <c r="AH520" i="5"/>
  <c r="AH521" i="5"/>
  <c r="AH522" i="5"/>
  <c r="AH523" i="5"/>
  <c r="AH524" i="5"/>
  <c r="AH525" i="5"/>
  <c r="AH526" i="5"/>
  <c r="AH527" i="5"/>
  <c r="AH528" i="5"/>
  <c r="AH529" i="5"/>
  <c r="AH530" i="5"/>
  <c r="AH531" i="5"/>
  <c r="AH532" i="5"/>
  <c r="AH533" i="5"/>
  <c r="AH534" i="5"/>
  <c r="AH535" i="5"/>
  <c r="AH536" i="5"/>
  <c r="AH537" i="5"/>
  <c r="AH538" i="5"/>
  <c r="AH539" i="5"/>
  <c r="AH540" i="5"/>
  <c r="AH541" i="5"/>
  <c r="AH542" i="5"/>
  <c r="AH543" i="5"/>
  <c r="AH544" i="5"/>
  <c r="AH545" i="5"/>
  <c r="AH546" i="5"/>
  <c r="AH547" i="5"/>
  <c r="AH548" i="5"/>
  <c r="AH549" i="5"/>
  <c r="AH550" i="5"/>
  <c r="AH551" i="5"/>
  <c r="AH552" i="5"/>
  <c r="AH553" i="5"/>
  <c r="AH554" i="5"/>
  <c r="AH555" i="5"/>
  <c r="AH556" i="5"/>
  <c r="AH557" i="5"/>
  <c r="AH558" i="5"/>
  <c r="AH559" i="5"/>
  <c r="AH560" i="5"/>
  <c r="AH561" i="5"/>
  <c r="AH562" i="5"/>
  <c r="AH563" i="5"/>
  <c r="AH564" i="5"/>
  <c r="AH565" i="5"/>
  <c r="AH566" i="5"/>
  <c r="AH567" i="5"/>
  <c r="AH568" i="5"/>
  <c r="AH569" i="5"/>
  <c r="AH570" i="5"/>
  <c r="AH571" i="5"/>
  <c r="AH572" i="5"/>
  <c r="AH573" i="5"/>
  <c r="AH574" i="5"/>
  <c r="AH575" i="5"/>
  <c r="AH576" i="5"/>
  <c r="AH577" i="5"/>
  <c r="AH578" i="5"/>
  <c r="AH579" i="5"/>
  <c r="AH580" i="5"/>
  <c r="AH581" i="5"/>
  <c r="AH582" i="5"/>
  <c r="AH583" i="5"/>
  <c r="AH584" i="5"/>
  <c r="AH585" i="5"/>
  <c r="AH586" i="5"/>
  <c r="AH587" i="5"/>
  <c r="AH588" i="5"/>
  <c r="AH589" i="5"/>
  <c r="AH590" i="5"/>
  <c r="AH591" i="5"/>
  <c r="AH592" i="5"/>
  <c r="AH593" i="5"/>
  <c r="AH594" i="5"/>
  <c r="AH595" i="5"/>
  <c r="AH596" i="5"/>
  <c r="AH597" i="5"/>
  <c r="AH598" i="5"/>
  <c r="AH599" i="5"/>
  <c r="AH600" i="5"/>
  <c r="AH601" i="5"/>
  <c r="AH602" i="5"/>
  <c r="AH603" i="5"/>
  <c r="AH604" i="5"/>
  <c r="AH605" i="5"/>
  <c r="AH606" i="5"/>
  <c r="AH607" i="5"/>
  <c r="AH608" i="5"/>
  <c r="AH609" i="5"/>
  <c r="AH610" i="5"/>
  <c r="AH611" i="5"/>
  <c r="AH612" i="5"/>
  <c r="AH613" i="5"/>
  <c r="AH614" i="5"/>
  <c r="AH615" i="5"/>
  <c r="AH616" i="5"/>
  <c r="AH617" i="5"/>
  <c r="AH618" i="5"/>
  <c r="AH619" i="5"/>
  <c r="AH620" i="5"/>
  <c r="AH621" i="5"/>
  <c r="AH622" i="5"/>
  <c r="AH623" i="5"/>
  <c r="AH624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80" i="5"/>
  <c r="AG181" i="5"/>
  <c r="AG182" i="5"/>
  <c r="AG183" i="5"/>
  <c r="AG184" i="5"/>
  <c r="AG185" i="5"/>
  <c r="AG186" i="5"/>
  <c r="AG187" i="5"/>
  <c r="AG188" i="5"/>
  <c r="AG189" i="5"/>
  <c r="AG190" i="5"/>
  <c r="AG191" i="5"/>
  <c r="AG192" i="5"/>
  <c r="AG193" i="5"/>
  <c r="AG194" i="5"/>
  <c r="AG195" i="5"/>
  <c r="AG196" i="5"/>
  <c r="AG197" i="5"/>
  <c r="AG198" i="5"/>
  <c r="AG199" i="5"/>
  <c r="AG200" i="5"/>
  <c r="AG201" i="5"/>
  <c r="AG202" i="5"/>
  <c r="AG203" i="5"/>
  <c r="AG204" i="5"/>
  <c r="AG205" i="5"/>
  <c r="AG206" i="5"/>
  <c r="AG207" i="5"/>
  <c r="AG208" i="5"/>
  <c r="AG209" i="5"/>
  <c r="AG210" i="5"/>
  <c r="AG211" i="5"/>
  <c r="AG212" i="5"/>
  <c r="AG213" i="5"/>
  <c r="AG214" i="5"/>
  <c r="AG215" i="5"/>
  <c r="AG216" i="5"/>
  <c r="AG217" i="5"/>
  <c r="AG218" i="5"/>
  <c r="AG219" i="5"/>
  <c r="AG220" i="5"/>
  <c r="AG221" i="5"/>
  <c r="AG222" i="5"/>
  <c r="AG223" i="5"/>
  <c r="AG224" i="5"/>
  <c r="AG225" i="5"/>
  <c r="AG226" i="5"/>
  <c r="AG227" i="5"/>
  <c r="AG228" i="5"/>
  <c r="AG229" i="5"/>
  <c r="AG230" i="5"/>
  <c r="AG231" i="5"/>
  <c r="AG232" i="5"/>
  <c r="AG233" i="5"/>
  <c r="AG234" i="5"/>
  <c r="AG235" i="5"/>
  <c r="AG236" i="5"/>
  <c r="AG237" i="5"/>
  <c r="AG238" i="5"/>
  <c r="AG239" i="5"/>
  <c r="AG240" i="5"/>
  <c r="AG241" i="5"/>
  <c r="AG242" i="5"/>
  <c r="AG243" i="5"/>
  <c r="AG244" i="5"/>
  <c r="AG245" i="5"/>
  <c r="AG246" i="5"/>
  <c r="AG247" i="5"/>
  <c r="AG248" i="5"/>
  <c r="AG249" i="5"/>
  <c r="AG250" i="5"/>
  <c r="AG251" i="5"/>
  <c r="AG252" i="5"/>
  <c r="AG253" i="5"/>
  <c r="AG254" i="5"/>
  <c r="AG255" i="5"/>
  <c r="AG256" i="5"/>
  <c r="AG257" i="5"/>
  <c r="AG258" i="5"/>
  <c r="AG259" i="5"/>
  <c r="AG260" i="5"/>
  <c r="AG261" i="5"/>
  <c r="AG262" i="5"/>
  <c r="AG263" i="5"/>
  <c r="AG264" i="5"/>
  <c r="AG265" i="5"/>
  <c r="AG266" i="5"/>
  <c r="AG267" i="5"/>
  <c r="AG268" i="5"/>
  <c r="AG269" i="5"/>
  <c r="AG270" i="5"/>
  <c r="AG271" i="5"/>
  <c r="AG272" i="5"/>
  <c r="AG273" i="5"/>
  <c r="AG274" i="5"/>
  <c r="AG275" i="5"/>
  <c r="AG276" i="5"/>
  <c r="AG277" i="5"/>
  <c r="AG278" i="5"/>
  <c r="AG279" i="5"/>
  <c r="AG280" i="5"/>
  <c r="AG281" i="5"/>
  <c r="AG282" i="5"/>
  <c r="AG283" i="5"/>
  <c r="AG284" i="5"/>
  <c r="AG285" i="5"/>
  <c r="AG286" i="5"/>
  <c r="AG287" i="5"/>
  <c r="AG288" i="5"/>
  <c r="AG289" i="5"/>
  <c r="AG290" i="5"/>
  <c r="AG291" i="5"/>
  <c r="AG292" i="5"/>
  <c r="AG293" i="5"/>
  <c r="AG294" i="5"/>
  <c r="AG295" i="5"/>
  <c r="AG296" i="5"/>
  <c r="AG297" i="5"/>
  <c r="AG298" i="5"/>
  <c r="AG299" i="5"/>
  <c r="AG300" i="5"/>
  <c r="AG301" i="5"/>
  <c r="AG302" i="5"/>
  <c r="AG303" i="5"/>
  <c r="AG304" i="5"/>
  <c r="AG305" i="5"/>
  <c r="AG306" i="5"/>
  <c r="AG307" i="5"/>
  <c r="AG308" i="5"/>
  <c r="AG309" i="5"/>
  <c r="AG310" i="5"/>
  <c r="AG311" i="5"/>
  <c r="AG312" i="5"/>
  <c r="AG313" i="5"/>
  <c r="AG314" i="5"/>
  <c r="AG315" i="5"/>
  <c r="AG316" i="5"/>
  <c r="AG317" i="5"/>
  <c r="AG318" i="5"/>
  <c r="AG319" i="5"/>
  <c r="AG320" i="5"/>
  <c r="AG321" i="5"/>
  <c r="AG322" i="5"/>
  <c r="AG323" i="5"/>
  <c r="AG324" i="5"/>
  <c r="AG325" i="5"/>
  <c r="AG326" i="5"/>
  <c r="AG327" i="5"/>
  <c r="AG328" i="5"/>
  <c r="AG329" i="5"/>
  <c r="AG330" i="5"/>
  <c r="AG331" i="5"/>
  <c r="AG332" i="5"/>
  <c r="AG333" i="5"/>
  <c r="AG334" i="5"/>
  <c r="AG335" i="5"/>
  <c r="AG336" i="5"/>
  <c r="AG337" i="5"/>
  <c r="AG338" i="5"/>
  <c r="AG339" i="5"/>
  <c r="AG340" i="5"/>
  <c r="AG341" i="5"/>
  <c r="AG342" i="5"/>
  <c r="AG343" i="5"/>
  <c r="AG344" i="5"/>
  <c r="AG345" i="5"/>
  <c r="AG346" i="5"/>
  <c r="AG347" i="5"/>
  <c r="AG348" i="5"/>
  <c r="AG349" i="5"/>
  <c r="AG350" i="5"/>
  <c r="AG351" i="5"/>
  <c r="AG352" i="5"/>
  <c r="AG353" i="5"/>
  <c r="AG354" i="5"/>
  <c r="AG355" i="5"/>
  <c r="AG356" i="5"/>
  <c r="AG357" i="5"/>
  <c r="AG358" i="5"/>
  <c r="AG359" i="5"/>
  <c r="AG360" i="5"/>
  <c r="AG361" i="5"/>
  <c r="AG362" i="5"/>
  <c r="AG363" i="5"/>
  <c r="AG364" i="5"/>
  <c r="AG365" i="5"/>
  <c r="AG366" i="5"/>
  <c r="AG367" i="5"/>
  <c r="AG368" i="5"/>
  <c r="AG369" i="5"/>
  <c r="AG370" i="5"/>
  <c r="AG371" i="5"/>
  <c r="AG372" i="5"/>
  <c r="AG373" i="5"/>
  <c r="AG374" i="5"/>
  <c r="AG375" i="5"/>
  <c r="AG376" i="5"/>
  <c r="AG377" i="5"/>
  <c r="AG378" i="5"/>
  <c r="AG379" i="5"/>
  <c r="AG380" i="5"/>
  <c r="AG381" i="5"/>
  <c r="AG382" i="5"/>
  <c r="AG383" i="5"/>
  <c r="AG384" i="5"/>
  <c r="AG385" i="5"/>
  <c r="AG386" i="5"/>
  <c r="AG387" i="5"/>
  <c r="AG388" i="5"/>
  <c r="AG389" i="5"/>
  <c r="AG390" i="5"/>
  <c r="AG391" i="5"/>
  <c r="AG392" i="5"/>
  <c r="AG393" i="5"/>
  <c r="AG394" i="5"/>
  <c r="AG395" i="5"/>
  <c r="AG396" i="5"/>
  <c r="AG397" i="5"/>
  <c r="AG398" i="5"/>
  <c r="AG399" i="5"/>
  <c r="AG400" i="5"/>
  <c r="AG401" i="5"/>
  <c r="AG402" i="5"/>
  <c r="AG403" i="5"/>
  <c r="AG404" i="5"/>
  <c r="AG405" i="5"/>
  <c r="AG406" i="5"/>
  <c r="AG407" i="5"/>
  <c r="AG408" i="5"/>
  <c r="AG409" i="5"/>
  <c r="AG410" i="5"/>
  <c r="AG411" i="5"/>
  <c r="AG412" i="5"/>
  <c r="AG413" i="5"/>
  <c r="AG414" i="5"/>
  <c r="AG415" i="5"/>
  <c r="AG416" i="5"/>
  <c r="AG417" i="5"/>
  <c r="AG418" i="5"/>
  <c r="AG419" i="5"/>
  <c r="AG420" i="5"/>
  <c r="AG421" i="5"/>
  <c r="AG422" i="5"/>
  <c r="AG423" i="5"/>
  <c r="AG424" i="5"/>
  <c r="AG425" i="5"/>
  <c r="AG426" i="5"/>
  <c r="AG427" i="5"/>
  <c r="AG428" i="5"/>
  <c r="AG429" i="5"/>
  <c r="AG430" i="5"/>
  <c r="AG431" i="5"/>
  <c r="AG432" i="5"/>
  <c r="AG433" i="5"/>
  <c r="AG434" i="5"/>
  <c r="AG435" i="5"/>
  <c r="AG436" i="5"/>
  <c r="AG437" i="5"/>
  <c r="AG438" i="5"/>
  <c r="AG439" i="5"/>
  <c r="AG440" i="5"/>
  <c r="AG441" i="5"/>
  <c r="AG442" i="5"/>
  <c r="AG443" i="5"/>
  <c r="AG444" i="5"/>
  <c r="AG445" i="5"/>
  <c r="AG446" i="5"/>
  <c r="AG447" i="5"/>
  <c r="AG448" i="5"/>
  <c r="AG449" i="5"/>
  <c r="AG450" i="5"/>
  <c r="AG451" i="5"/>
  <c r="AG452" i="5"/>
  <c r="AG453" i="5"/>
  <c r="AG454" i="5"/>
  <c r="AG455" i="5"/>
  <c r="AG456" i="5"/>
  <c r="AG457" i="5"/>
  <c r="AG458" i="5"/>
  <c r="AG459" i="5"/>
  <c r="AG460" i="5"/>
  <c r="AG461" i="5"/>
  <c r="AG462" i="5"/>
  <c r="AG463" i="5"/>
  <c r="AG464" i="5"/>
  <c r="AG465" i="5"/>
  <c r="AG466" i="5"/>
  <c r="AG467" i="5"/>
  <c r="AG468" i="5"/>
  <c r="AG469" i="5"/>
  <c r="AG470" i="5"/>
  <c r="AG471" i="5"/>
  <c r="AG472" i="5"/>
  <c r="AG473" i="5"/>
  <c r="AG474" i="5"/>
  <c r="AG475" i="5"/>
  <c r="AG476" i="5"/>
  <c r="AG477" i="5"/>
  <c r="AG478" i="5"/>
  <c r="AG479" i="5"/>
  <c r="AG480" i="5"/>
  <c r="AG481" i="5"/>
  <c r="AG482" i="5"/>
  <c r="AG483" i="5"/>
  <c r="AG484" i="5"/>
  <c r="AG485" i="5"/>
  <c r="AG486" i="5"/>
  <c r="AG487" i="5"/>
  <c r="AG488" i="5"/>
  <c r="AG489" i="5"/>
  <c r="AG490" i="5"/>
  <c r="AG491" i="5"/>
  <c r="AG492" i="5"/>
  <c r="AG493" i="5"/>
  <c r="AG494" i="5"/>
  <c r="AG495" i="5"/>
  <c r="AG496" i="5"/>
  <c r="AG497" i="5"/>
  <c r="AG498" i="5"/>
  <c r="AG499" i="5"/>
  <c r="AG500" i="5"/>
  <c r="AG501" i="5"/>
  <c r="AG502" i="5"/>
  <c r="AG503" i="5"/>
  <c r="AG504" i="5"/>
  <c r="AG505" i="5"/>
  <c r="AG506" i="5"/>
  <c r="AG507" i="5"/>
  <c r="AG508" i="5"/>
  <c r="AG509" i="5"/>
  <c r="AG510" i="5"/>
  <c r="AG511" i="5"/>
  <c r="AG512" i="5"/>
  <c r="AG513" i="5"/>
  <c r="AG514" i="5"/>
  <c r="AG515" i="5"/>
  <c r="AG516" i="5"/>
  <c r="AG517" i="5"/>
  <c r="AG518" i="5"/>
  <c r="AG519" i="5"/>
  <c r="AG520" i="5"/>
  <c r="AG521" i="5"/>
  <c r="AG522" i="5"/>
  <c r="AG523" i="5"/>
  <c r="AG524" i="5"/>
  <c r="AG525" i="5"/>
  <c r="AG526" i="5"/>
  <c r="AG527" i="5"/>
  <c r="AG528" i="5"/>
  <c r="AG529" i="5"/>
  <c r="AG530" i="5"/>
  <c r="AG531" i="5"/>
  <c r="AG532" i="5"/>
  <c r="AG533" i="5"/>
  <c r="AG534" i="5"/>
  <c r="AG535" i="5"/>
  <c r="AG536" i="5"/>
  <c r="AG537" i="5"/>
  <c r="AG538" i="5"/>
  <c r="AG539" i="5"/>
  <c r="AG540" i="5"/>
  <c r="AG541" i="5"/>
  <c r="AG542" i="5"/>
  <c r="AG543" i="5"/>
  <c r="AG544" i="5"/>
  <c r="AG545" i="5"/>
  <c r="AG546" i="5"/>
  <c r="AG547" i="5"/>
  <c r="AG548" i="5"/>
  <c r="AG549" i="5"/>
  <c r="AG550" i="5"/>
  <c r="AG551" i="5"/>
  <c r="AG552" i="5"/>
  <c r="AG553" i="5"/>
  <c r="AG554" i="5"/>
  <c r="AG555" i="5"/>
  <c r="AG556" i="5"/>
  <c r="AG557" i="5"/>
  <c r="AG558" i="5"/>
  <c r="AG559" i="5"/>
  <c r="AG560" i="5"/>
  <c r="AG561" i="5"/>
  <c r="AG562" i="5"/>
  <c r="AG563" i="5"/>
  <c r="AG564" i="5"/>
  <c r="AG565" i="5"/>
  <c r="AG566" i="5"/>
  <c r="AG567" i="5"/>
  <c r="AG568" i="5"/>
  <c r="AG569" i="5"/>
  <c r="AG570" i="5"/>
  <c r="AG571" i="5"/>
  <c r="AG572" i="5"/>
  <c r="AG573" i="5"/>
  <c r="AG574" i="5"/>
  <c r="AG575" i="5"/>
  <c r="AG576" i="5"/>
  <c r="AG577" i="5"/>
  <c r="AG578" i="5"/>
  <c r="AG579" i="5"/>
  <c r="AG580" i="5"/>
  <c r="AG581" i="5"/>
  <c r="AG582" i="5"/>
  <c r="AG583" i="5"/>
  <c r="AG584" i="5"/>
  <c r="AG585" i="5"/>
  <c r="AG586" i="5"/>
  <c r="AG587" i="5"/>
  <c r="AG588" i="5"/>
  <c r="AG589" i="5"/>
  <c r="AG590" i="5"/>
  <c r="AG591" i="5"/>
  <c r="AG592" i="5"/>
  <c r="AG593" i="5"/>
  <c r="AG594" i="5"/>
  <c r="AG595" i="5"/>
  <c r="AG596" i="5"/>
  <c r="AG597" i="5"/>
  <c r="AG598" i="5"/>
  <c r="AG599" i="5"/>
  <c r="AG600" i="5"/>
  <c r="AG601" i="5"/>
  <c r="AG602" i="5"/>
  <c r="AG603" i="5"/>
  <c r="AG604" i="5"/>
  <c r="AG605" i="5"/>
  <c r="AG606" i="5"/>
  <c r="AG607" i="5"/>
  <c r="AG608" i="5"/>
  <c r="AG609" i="5"/>
  <c r="AG610" i="5"/>
  <c r="AG611" i="5"/>
  <c r="AG612" i="5"/>
  <c r="AG613" i="5"/>
  <c r="AG614" i="5"/>
  <c r="AG615" i="5"/>
  <c r="AG616" i="5"/>
  <c r="AG617" i="5"/>
  <c r="AG618" i="5"/>
  <c r="AG619" i="5"/>
  <c r="AG620" i="5"/>
  <c r="AG621" i="5"/>
  <c r="AG622" i="5"/>
  <c r="AG623" i="5"/>
  <c r="AG624" i="5"/>
  <c r="AG11" i="5"/>
  <c r="AH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76" i="5"/>
  <c r="AF177" i="5"/>
  <c r="AF178" i="5"/>
  <c r="AF179" i="5"/>
  <c r="AF180" i="5"/>
  <c r="AF181" i="5"/>
  <c r="AF182" i="5"/>
  <c r="AF183" i="5"/>
  <c r="AF184" i="5"/>
  <c r="AF185" i="5"/>
  <c r="AF186" i="5"/>
  <c r="AF187" i="5"/>
  <c r="AF188" i="5"/>
  <c r="AF189" i="5"/>
  <c r="AF190" i="5"/>
  <c r="AF191" i="5"/>
  <c r="AF192" i="5"/>
  <c r="AF193" i="5"/>
  <c r="AF194" i="5"/>
  <c r="AF195" i="5"/>
  <c r="AF196" i="5"/>
  <c r="AF197" i="5"/>
  <c r="AF198" i="5"/>
  <c r="AF199" i="5"/>
  <c r="AF200" i="5"/>
  <c r="AF201" i="5"/>
  <c r="AF202" i="5"/>
  <c r="AF203" i="5"/>
  <c r="AF204" i="5"/>
  <c r="AF205" i="5"/>
  <c r="AF206" i="5"/>
  <c r="AF207" i="5"/>
  <c r="AF208" i="5"/>
  <c r="AF209" i="5"/>
  <c r="AF210" i="5"/>
  <c r="AF211" i="5"/>
  <c r="AF212" i="5"/>
  <c r="AF213" i="5"/>
  <c r="AF214" i="5"/>
  <c r="AF215" i="5"/>
  <c r="AF216" i="5"/>
  <c r="AF217" i="5"/>
  <c r="AF218" i="5"/>
  <c r="AF219" i="5"/>
  <c r="AF220" i="5"/>
  <c r="AF221" i="5"/>
  <c r="AF222" i="5"/>
  <c r="AF223" i="5"/>
  <c r="AF224" i="5"/>
  <c r="AF225" i="5"/>
  <c r="AF226" i="5"/>
  <c r="AF227" i="5"/>
  <c r="AF228" i="5"/>
  <c r="AF229" i="5"/>
  <c r="AF230" i="5"/>
  <c r="AF231" i="5"/>
  <c r="AF232" i="5"/>
  <c r="AF233" i="5"/>
  <c r="AF234" i="5"/>
  <c r="AF235" i="5"/>
  <c r="AF236" i="5"/>
  <c r="AF237" i="5"/>
  <c r="AF238" i="5"/>
  <c r="AF239" i="5"/>
  <c r="AF240" i="5"/>
  <c r="AF241" i="5"/>
  <c r="AF242" i="5"/>
  <c r="AF243" i="5"/>
  <c r="AF244" i="5"/>
  <c r="AF245" i="5"/>
  <c r="AF246" i="5"/>
  <c r="AF247" i="5"/>
  <c r="AF248" i="5"/>
  <c r="AF249" i="5"/>
  <c r="AF250" i="5"/>
  <c r="AF251" i="5"/>
  <c r="AF252" i="5"/>
  <c r="AF253" i="5"/>
  <c r="AF254" i="5"/>
  <c r="AF255" i="5"/>
  <c r="AF256" i="5"/>
  <c r="AF257" i="5"/>
  <c r="AF258" i="5"/>
  <c r="AF259" i="5"/>
  <c r="AF260" i="5"/>
  <c r="AF261" i="5"/>
  <c r="AF262" i="5"/>
  <c r="AF263" i="5"/>
  <c r="AF264" i="5"/>
  <c r="AF265" i="5"/>
  <c r="AF266" i="5"/>
  <c r="AF267" i="5"/>
  <c r="AF268" i="5"/>
  <c r="AF269" i="5"/>
  <c r="AF270" i="5"/>
  <c r="AF271" i="5"/>
  <c r="AF272" i="5"/>
  <c r="AF273" i="5"/>
  <c r="AF274" i="5"/>
  <c r="AF275" i="5"/>
  <c r="AF276" i="5"/>
  <c r="AF277" i="5"/>
  <c r="AF278" i="5"/>
  <c r="AF279" i="5"/>
  <c r="AF280" i="5"/>
  <c r="AF281" i="5"/>
  <c r="AF282" i="5"/>
  <c r="AF283" i="5"/>
  <c r="AF284" i="5"/>
  <c r="AF285" i="5"/>
  <c r="AF286" i="5"/>
  <c r="AF287" i="5"/>
  <c r="AF288" i="5"/>
  <c r="AF289" i="5"/>
  <c r="AF290" i="5"/>
  <c r="AF291" i="5"/>
  <c r="AF292" i="5"/>
  <c r="AF293" i="5"/>
  <c r="AF294" i="5"/>
  <c r="AF295" i="5"/>
  <c r="AF296" i="5"/>
  <c r="AF297" i="5"/>
  <c r="AF298" i="5"/>
  <c r="AF299" i="5"/>
  <c r="AF300" i="5"/>
  <c r="AF301" i="5"/>
  <c r="AF302" i="5"/>
  <c r="AF303" i="5"/>
  <c r="AF304" i="5"/>
  <c r="AF305" i="5"/>
  <c r="AF306" i="5"/>
  <c r="AF307" i="5"/>
  <c r="AF308" i="5"/>
  <c r="AF309" i="5"/>
  <c r="AF310" i="5"/>
  <c r="AF311" i="5"/>
  <c r="AF312" i="5"/>
  <c r="AF313" i="5"/>
  <c r="AF314" i="5"/>
  <c r="AF315" i="5"/>
  <c r="AF316" i="5"/>
  <c r="AF317" i="5"/>
  <c r="AF318" i="5"/>
  <c r="AF319" i="5"/>
  <c r="AF320" i="5"/>
  <c r="AF321" i="5"/>
  <c r="AF322" i="5"/>
  <c r="AF323" i="5"/>
  <c r="AF324" i="5"/>
  <c r="AF325" i="5"/>
  <c r="AF326" i="5"/>
  <c r="AF327" i="5"/>
  <c r="AF328" i="5"/>
  <c r="AF329" i="5"/>
  <c r="AF330" i="5"/>
  <c r="AF331" i="5"/>
  <c r="AF332" i="5"/>
  <c r="AF333" i="5"/>
  <c r="AF334" i="5"/>
  <c r="AF335" i="5"/>
  <c r="AF336" i="5"/>
  <c r="AF337" i="5"/>
  <c r="AF338" i="5"/>
  <c r="AF339" i="5"/>
  <c r="AF340" i="5"/>
  <c r="AF341" i="5"/>
  <c r="AF342" i="5"/>
  <c r="AF343" i="5"/>
  <c r="AF344" i="5"/>
  <c r="AF345" i="5"/>
  <c r="AF346" i="5"/>
  <c r="AF347" i="5"/>
  <c r="AF348" i="5"/>
  <c r="AF349" i="5"/>
  <c r="AF350" i="5"/>
  <c r="AF351" i="5"/>
  <c r="AF352" i="5"/>
  <c r="AF353" i="5"/>
  <c r="AF354" i="5"/>
  <c r="AF355" i="5"/>
  <c r="AF356" i="5"/>
  <c r="AF357" i="5"/>
  <c r="AF358" i="5"/>
  <c r="AF359" i="5"/>
  <c r="AF360" i="5"/>
  <c r="AF361" i="5"/>
  <c r="AF362" i="5"/>
  <c r="AF363" i="5"/>
  <c r="AF364" i="5"/>
  <c r="AF365" i="5"/>
  <c r="AF366" i="5"/>
  <c r="AF367" i="5"/>
  <c r="AF368" i="5"/>
  <c r="AF369" i="5"/>
  <c r="AF370" i="5"/>
  <c r="AF371" i="5"/>
  <c r="AF372" i="5"/>
  <c r="AF373" i="5"/>
  <c r="AF374" i="5"/>
  <c r="AF375" i="5"/>
  <c r="AF376" i="5"/>
  <c r="AF377" i="5"/>
  <c r="AF378" i="5"/>
  <c r="AF379" i="5"/>
  <c r="AF380" i="5"/>
  <c r="AF381" i="5"/>
  <c r="AF382" i="5"/>
  <c r="AF383" i="5"/>
  <c r="AF384" i="5"/>
  <c r="AF385" i="5"/>
  <c r="AF386" i="5"/>
  <c r="AF387" i="5"/>
  <c r="AF388" i="5"/>
  <c r="AF389" i="5"/>
  <c r="AF390" i="5"/>
  <c r="AF391" i="5"/>
  <c r="AF392" i="5"/>
  <c r="AF393" i="5"/>
  <c r="AF394" i="5"/>
  <c r="AF395" i="5"/>
  <c r="AF396" i="5"/>
  <c r="AF397" i="5"/>
  <c r="AF398" i="5"/>
  <c r="AF399" i="5"/>
  <c r="AF400" i="5"/>
  <c r="AF401" i="5"/>
  <c r="AF402" i="5"/>
  <c r="AF403" i="5"/>
  <c r="AF404" i="5"/>
  <c r="AF405" i="5"/>
  <c r="AF406" i="5"/>
  <c r="AF407" i="5"/>
  <c r="AF408" i="5"/>
  <c r="AF409" i="5"/>
  <c r="AF410" i="5"/>
  <c r="AF411" i="5"/>
  <c r="AF412" i="5"/>
  <c r="AF413" i="5"/>
  <c r="AF414" i="5"/>
  <c r="AF415" i="5"/>
  <c r="AF416" i="5"/>
  <c r="AF417" i="5"/>
  <c r="AF418" i="5"/>
  <c r="AF419" i="5"/>
  <c r="AF420" i="5"/>
  <c r="AF421" i="5"/>
  <c r="AF422" i="5"/>
  <c r="AF423" i="5"/>
  <c r="AF424" i="5"/>
  <c r="AF425" i="5"/>
  <c r="AF426" i="5"/>
  <c r="AF427" i="5"/>
  <c r="AF428" i="5"/>
  <c r="AF429" i="5"/>
  <c r="AF430" i="5"/>
  <c r="AF431" i="5"/>
  <c r="AF432" i="5"/>
  <c r="AF433" i="5"/>
  <c r="AF434" i="5"/>
  <c r="AF435" i="5"/>
  <c r="AF436" i="5"/>
  <c r="AF437" i="5"/>
  <c r="AF438" i="5"/>
  <c r="AF439" i="5"/>
  <c r="AF440" i="5"/>
  <c r="AF441" i="5"/>
  <c r="AF442" i="5"/>
  <c r="AF443" i="5"/>
  <c r="AF444" i="5"/>
  <c r="AF445" i="5"/>
  <c r="AF446" i="5"/>
  <c r="AF447" i="5"/>
  <c r="AF448" i="5"/>
  <c r="AF449" i="5"/>
  <c r="AF450" i="5"/>
  <c r="AF451" i="5"/>
  <c r="AF452" i="5"/>
  <c r="AF453" i="5"/>
  <c r="AF454" i="5"/>
  <c r="AF455" i="5"/>
  <c r="AF456" i="5"/>
  <c r="AF457" i="5"/>
  <c r="AF458" i="5"/>
  <c r="AF459" i="5"/>
  <c r="AF460" i="5"/>
  <c r="AF461" i="5"/>
  <c r="AF462" i="5"/>
  <c r="AF463" i="5"/>
  <c r="AF464" i="5"/>
  <c r="AF465" i="5"/>
  <c r="AF466" i="5"/>
  <c r="AF467" i="5"/>
  <c r="AF468" i="5"/>
  <c r="AF469" i="5"/>
  <c r="AF470" i="5"/>
  <c r="AF471" i="5"/>
  <c r="AF472" i="5"/>
  <c r="AF473" i="5"/>
  <c r="AF474" i="5"/>
  <c r="AF475" i="5"/>
  <c r="AF476" i="5"/>
  <c r="AF477" i="5"/>
  <c r="AF478" i="5"/>
  <c r="AF479" i="5"/>
  <c r="AF480" i="5"/>
  <c r="AF481" i="5"/>
  <c r="AF482" i="5"/>
  <c r="AF483" i="5"/>
  <c r="AF484" i="5"/>
  <c r="AF485" i="5"/>
  <c r="AF486" i="5"/>
  <c r="AF487" i="5"/>
  <c r="AF488" i="5"/>
  <c r="AF489" i="5"/>
  <c r="AF490" i="5"/>
  <c r="AF491" i="5"/>
  <c r="AF492" i="5"/>
  <c r="AF493" i="5"/>
  <c r="AF494" i="5"/>
  <c r="AF495" i="5"/>
  <c r="AF496" i="5"/>
  <c r="AF497" i="5"/>
  <c r="AF498" i="5"/>
  <c r="AF499" i="5"/>
  <c r="AF500" i="5"/>
  <c r="AF501" i="5"/>
  <c r="AF502" i="5"/>
  <c r="AF503" i="5"/>
  <c r="AF504" i="5"/>
  <c r="AF505" i="5"/>
  <c r="AF506" i="5"/>
  <c r="AF507" i="5"/>
  <c r="AF508" i="5"/>
  <c r="AF509" i="5"/>
  <c r="AF510" i="5"/>
  <c r="AF511" i="5"/>
  <c r="AF512" i="5"/>
  <c r="AF513" i="5"/>
  <c r="AF514" i="5"/>
  <c r="AF515" i="5"/>
  <c r="AF516" i="5"/>
  <c r="AF517" i="5"/>
  <c r="AF518" i="5"/>
  <c r="AF519" i="5"/>
  <c r="AF520" i="5"/>
  <c r="AF521" i="5"/>
  <c r="AF522" i="5"/>
  <c r="AF523" i="5"/>
  <c r="AF524" i="5"/>
  <c r="AF525" i="5"/>
  <c r="AF526" i="5"/>
  <c r="AF527" i="5"/>
  <c r="AF528" i="5"/>
  <c r="AF529" i="5"/>
  <c r="AF530" i="5"/>
  <c r="AF531" i="5"/>
  <c r="AF532" i="5"/>
  <c r="AF533" i="5"/>
  <c r="AF534" i="5"/>
  <c r="AF535" i="5"/>
  <c r="AF536" i="5"/>
  <c r="AF537" i="5"/>
  <c r="AF538" i="5"/>
  <c r="AF539" i="5"/>
  <c r="AF540" i="5"/>
  <c r="AF541" i="5"/>
  <c r="AF542" i="5"/>
  <c r="AF543" i="5"/>
  <c r="AF544" i="5"/>
  <c r="AF545" i="5"/>
  <c r="AF546" i="5"/>
  <c r="AF547" i="5"/>
  <c r="AF548" i="5"/>
  <c r="AF549" i="5"/>
  <c r="AF550" i="5"/>
  <c r="AF551" i="5"/>
  <c r="AF552" i="5"/>
  <c r="AF553" i="5"/>
  <c r="AF554" i="5"/>
  <c r="AF555" i="5"/>
  <c r="AF556" i="5"/>
  <c r="AF557" i="5"/>
  <c r="AF558" i="5"/>
  <c r="AF559" i="5"/>
  <c r="AF560" i="5"/>
  <c r="AF561" i="5"/>
  <c r="AF562" i="5"/>
  <c r="AF563" i="5"/>
  <c r="AF564" i="5"/>
  <c r="AF565" i="5"/>
  <c r="AF566" i="5"/>
  <c r="AF567" i="5"/>
  <c r="AF568" i="5"/>
  <c r="AF569" i="5"/>
  <c r="AF570" i="5"/>
  <c r="AF571" i="5"/>
  <c r="AF572" i="5"/>
  <c r="AF573" i="5"/>
  <c r="AF574" i="5"/>
  <c r="AF575" i="5"/>
  <c r="AF576" i="5"/>
  <c r="AF577" i="5"/>
  <c r="AF578" i="5"/>
  <c r="AF579" i="5"/>
  <c r="AF580" i="5"/>
  <c r="AF581" i="5"/>
  <c r="AF582" i="5"/>
  <c r="AF583" i="5"/>
  <c r="AF584" i="5"/>
  <c r="AF585" i="5"/>
  <c r="AF586" i="5"/>
  <c r="AF587" i="5"/>
  <c r="AF588" i="5"/>
  <c r="AF589" i="5"/>
  <c r="AF590" i="5"/>
  <c r="AF591" i="5"/>
  <c r="AF592" i="5"/>
  <c r="AF593" i="5"/>
  <c r="AF594" i="5"/>
  <c r="AF595" i="5"/>
  <c r="AF596" i="5"/>
  <c r="AF597" i="5"/>
  <c r="AF598" i="5"/>
  <c r="AF599" i="5"/>
  <c r="AF600" i="5"/>
  <c r="AF601" i="5"/>
  <c r="AF602" i="5"/>
  <c r="AF603" i="5"/>
  <c r="AF604" i="5"/>
  <c r="AF605" i="5"/>
  <c r="AF606" i="5"/>
  <c r="AF607" i="5"/>
  <c r="AF608" i="5"/>
  <c r="AF609" i="5"/>
  <c r="AF610" i="5"/>
  <c r="AF611" i="5"/>
  <c r="AF612" i="5"/>
  <c r="AF613" i="5"/>
  <c r="AF614" i="5"/>
  <c r="AF615" i="5"/>
  <c r="AF616" i="5"/>
  <c r="AF617" i="5"/>
  <c r="AF618" i="5"/>
  <c r="AF619" i="5"/>
  <c r="AF620" i="5"/>
  <c r="AF621" i="5"/>
  <c r="AF622" i="5"/>
  <c r="AF623" i="5"/>
  <c r="AF624" i="5"/>
  <c r="AF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149" i="5"/>
  <c r="AE150" i="5"/>
  <c r="AE151" i="5"/>
  <c r="AE152" i="5"/>
  <c r="AE153" i="5"/>
  <c r="AE154" i="5"/>
  <c r="AE155" i="5"/>
  <c r="AE156" i="5"/>
  <c r="AE157" i="5"/>
  <c r="AE158" i="5"/>
  <c r="AE159" i="5"/>
  <c r="AE160" i="5"/>
  <c r="AE161" i="5"/>
  <c r="AE162" i="5"/>
  <c r="AE163" i="5"/>
  <c r="AE164" i="5"/>
  <c r="AE165" i="5"/>
  <c r="AE166" i="5"/>
  <c r="AE167" i="5"/>
  <c r="AE168" i="5"/>
  <c r="AE169" i="5"/>
  <c r="AE170" i="5"/>
  <c r="AE171" i="5"/>
  <c r="AE172" i="5"/>
  <c r="AE173" i="5"/>
  <c r="AE174" i="5"/>
  <c r="AE175" i="5"/>
  <c r="AE176" i="5"/>
  <c r="AE177" i="5"/>
  <c r="AE178" i="5"/>
  <c r="AE179" i="5"/>
  <c r="AE180" i="5"/>
  <c r="AE181" i="5"/>
  <c r="AE182" i="5"/>
  <c r="AE183" i="5"/>
  <c r="AE184" i="5"/>
  <c r="AE185" i="5"/>
  <c r="AE186" i="5"/>
  <c r="AE187" i="5"/>
  <c r="AE188" i="5"/>
  <c r="AE189" i="5"/>
  <c r="AE190" i="5"/>
  <c r="AE191" i="5"/>
  <c r="AE192" i="5"/>
  <c r="AE193" i="5"/>
  <c r="AE194" i="5"/>
  <c r="AE195" i="5"/>
  <c r="AE196" i="5"/>
  <c r="AE197" i="5"/>
  <c r="AE198" i="5"/>
  <c r="AE199" i="5"/>
  <c r="AE200" i="5"/>
  <c r="AE201" i="5"/>
  <c r="AE202" i="5"/>
  <c r="AE203" i="5"/>
  <c r="AE204" i="5"/>
  <c r="AE205" i="5"/>
  <c r="AE206" i="5"/>
  <c r="AE207" i="5"/>
  <c r="AE208" i="5"/>
  <c r="AE209" i="5"/>
  <c r="AE210" i="5"/>
  <c r="AE211" i="5"/>
  <c r="AE212" i="5"/>
  <c r="AE213" i="5"/>
  <c r="AE214" i="5"/>
  <c r="AE215" i="5"/>
  <c r="AE216" i="5"/>
  <c r="AE217" i="5"/>
  <c r="AE218" i="5"/>
  <c r="AE219" i="5"/>
  <c r="AE220" i="5"/>
  <c r="AE221" i="5"/>
  <c r="AE222" i="5"/>
  <c r="AE223" i="5"/>
  <c r="AE224" i="5"/>
  <c r="AE225" i="5"/>
  <c r="AE226" i="5"/>
  <c r="AE227" i="5"/>
  <c r="AE228" i="5"/>
  <c r="AE229" i="5"/>
  <c r="AE230" i="5"/>
  <c r="AE231" i="5"/>
  <c r="AE232" i="5"/>
  <c r="AE233" i="5"/>
  <c r="AE234" i="5"/>
  <c r="AE235" i="5"/>
  <c r="AE236" i="5"/>
  <c r="AE237" i="5"/>
  <c r="AE238" i="5"/>
  <c r="AE239" i="5"/>
  <c r="AE240" i="5"/>
  <c r="AE241" i="5"/>
  <c r="AE242" i="5"/>
  <c r="AE243" i="5"/>
  <c r="AE244" i="5"/>
  <c r="AE245" i="5"/>
  <c r="AE246" i="5"/>
  <c r="AE247" i="5"/>
  <c r="AE248" i="5"/>
  <c r="AE249" i="5"/>
  <c r="AE250" i="5"/>
  <c r="AE251" i="5"/>
  <c r="AE252" i="5"/>
  <c r="AE253" i="5"/>
  <c r="AE254" i="5"/>
  <c r="AE255" i="5"/>
  <c r="AE256" i="5"/>
  <c r="AE257" i="5"/>
  <c r="AE258" i="5"/>
  <c r="AE259" i="5"/>
  <c r="AE260" i="5"/>
  <c r="AE261" i="5"/>
  <c r="AE262" i="5"/>
  <c r="AE263" i="5"/>
  <c r="AE264" i="5"/>
  <c r="AE265" i="5"/>
  <c r="AE266" i="5"/>
  <c r="AE267" i="5"/>
  <c r="AE268" i="5"/>
  <c r="AE269" i="5"/>
  <c r="AE270" i="5"/>
  <c r="AE271" i="5"/>
  <c r="AE272" i="5"/>
  <c r="AE273" i="5"/>
  <c r="AE274" i="5"/>
  <c r="AE275" i="5"/>
  <c r="AE276" i="5"/>
  <c r="AE277" i="5"/>
  <c r="AE278" i="5"/>
  <c r="AE279" i="5"/>
  <c r="AE280" i="5"/>
  <c r="AE281" i="5"/>
  <c r="AE282" i="5"/>
  <c r="AE283" i="5"/>
  <c r="AE284" i="5"/>
  <c r="AE285" i="5"/>
  <c r="AE286" i="5"/>
  <c r="AE287" i="5"/>
  <c r="AE288" i="5"/>
  <c r="AE289" i="5"/>
  <c r="AE290" i="5"/>
  <c r="AE291" i="5"/>
  <c r="AE292" i="5"/>
  <c r="AE293" i="5"/>
  <c r="AE294" i="5"/>
  <c r="AE295" i="5"/>
  <c r="AE296" i="5"/>
  <c r="AE297" i="5"/>
  <c r="AE298" i="5"/>
  <c r="AE299" i="5"/>
  <c r="AE300" i="5"/>
  <c r="AE301" i="5"/>
  <c r="AE302" i="5"/>
  <c r="AE303" i="5"/>
  <c r="AE304" i="5"/>
  <c r="AE305" i="5"/>
  <c r="AE306" i="5"/>
  <c r="AE307" i="5"/>
  <c r="AE308" i="5"/>
  <c r="AE309" i="5"/>
  <c r="AE310" i="5"/>
  <c r="AE311" i="5"/>
  <c r="AE312" i="5"/>
  <c r="AE313" i="5"/>
  <c r="AE314" i="5"/>
  <c r="AE315" i="5"/>
  <c r="AE316" i="5"/>
  <c r="AE317" i="5"/>
  <c r="AE318" i="5"/>
  <c r="AE319" i="5"/>
  <c r="AE320" i="5"/>
  <c r="AE321" i="5"/>
  <c r="AE322" i="5"/>
  <c r="AE323" i="5"/>
  <c r="AE324" i="5"/>
  <c r="AE325" i="5"/>
  <c r="AE326" i="5"/>
  <c r="AE327" i="5"/>
  <c r="AE328" i="5"/>
  <c r="AE329" i="5"/>
  <c r="AE330" i="5"/>
  <c r="AE331" i="5"/>
  <c r="AE332" i="5"/>
  <c r="AE333" i="5"/>
  <c r="AE334" i="5"/>
  <c r="AE335" i="5"/>
  <c r="AE336" i="5"/>
  <c r="AE337" i="5"/>
  <c r="AE338" i="5"/>
  <c r="AE339" i="5"/>
  <c r="AE340" i="5"/>
  <c r="AE341" i="5"/>
  <c r="AE342" i="5"/>
  <c r="AE343" i="5"/>
  <c r="AE344" i="5"/>
  <c r="AE345" i="5"/>
  <c r="AE346" i="5"/>
  <c r="AE347" i="5"/>
  <c r="AE348" i="5"/>
  <c r="AE349" i="5"/>
  <c r="AE350" i="5"/>
  <c r="AE351" i="5"/>
  <c r="AE352" i="5"/>
  <c r="AE353" i="5"/>
  <c r="AE354" i="5"/>
  <c r="AE355" i="5"/>
  <c r="AE356" i="5"/>
  <c r="AE357" i="5"/>
  <c r="AE358" i="5"/>
  <c r="AE359" i="5"/>
  <c r="AE360" i="5"/>
  <c r="AE361" i="5"/>
  <c r="AE362" i="5"/>
  <c r="AE363" i="5"/>
  <c r="AE364" i="5"/>
  <c r="AE365" i="5"/>
  <c r="AE366" i="5"/>
  <c r="AE367" i="5"/>
  <c r="AE368" i="5"/>
  <c r="AE369" i="5"/>
  <c r="AE370" i="5"/>
  <c r="AE371" i="5"/>
  <c r="AE372" i="5"/>
  <c r="AE373" i="5"/>
  <c r="AE374" i="5"/>
  <c r="AE375" i="5"/>
  <c r="AE376" i="5"/>
  <c r="AE377" i="5"/>
  <c r="AE378" i="5"/>
  <c r="AE379" i="5"/>
  <c r="AE380" i="5"/>
  <c r="AE381" i="5"/>
  <c r="AE382" i="5"/>
  <c r="AE383" i="5"/>
  <c r="AE384" i="5"/>
  <c r="AE385" i="5"/>
  <c r="AE386" i="5"/>
  <c r="AE387" i="5"/>
  <c r="AE388" i="5"/>
  <c r="AE389" i="5"/>
  <c r="AE390" i="5"/>
  <c r="AE391" i="5"/>
  <c r="AE392" i="5"/>
  <c r="AE393" i="5"/>
  <c r="AE394" i="5"/>
  <c r="AE395" i="5"/>
  <c r="AE396" i="5"/>
  <c r="AE397" i="5"/>
  <c r="AE398" i="5"/>
  <c r="AE399" i="5"/>
  <c r="AE400" i="5"/>
  <c r="AE401" i="5"/>
  <c r="AE402" i="5"/>
  <c r="AE403" i="5"/>
  <c r="AE404" i="5"/>
  <c r="AE405" i="5"/>
  <c r="AE406" i="5"/>
  <c r="AE407" i="5"/>
  <c r="AE408" i="5"/>
  <c r="AE409" i="5"/>
  <c r="AE410" i="5"/>
  <c r="AE411" i="5"/>
  <c r="AE412" i="5"/>
  <c r="AE413" i="5"/>
  <c r="AE414" i="5"/>
  <c r="AE415" i="5"/>
  <c r="AE416" i="5"/>
  <c r="AE417" i="5"/>
  <c r="AE418" i="5"/>
  <c r="AE419" i="5"/>
  <c r="AE420" i="5"/>
  <c r="AE421" i="5"/>
  <c r="AE422" i="5"/>
  <c r="AE423" i="5"/>
  <c r="AE424" i="5"/>
  <c r="AE425" i="5"/>
  <c r="AE426" i="5"/>
  <c r="AE427" i="5"/>
  <c r="AE428" i="5"/>
  <c r="AE429" i="5"/>
  <c r="AE430" i="5"/>
  <c r="AE431" i="5"/>
  <c r="AE432" i="5"/>
  <c r="AE433" i="5"/>
  <c r="AE434" i="5"/>
  <c r="AE435" i="5"/>
  <c r="AE436" i="5"/>
  <c r="AE437" i="5"/>
  <c r="AE438" i="5"/>
  <c r="AE439" i="5"/>
  <c r="AE440" i="5"/>
  <c r="AE441" i="5"/>
  <c r="AE442" i="5"/>
  <c r="AE443" i="5"/>
  <c r="AE444" i="5"/>
  <c r="AE445" i="5"/>
  <c r="AE446" i="5"/>
  <c r="AE447" i="5"/>
  <c r="AE448" i="5"/>
  <c r="AE449" i="5"/>
  <c r="AE450" i="5"/>
  <c r="AE451" i="5"/>
  <c r="AE452" i="5"/>
  <c r="AE453" i="5"/>
  <c r="AE454" i="5"/>
  <c r="AE455" i="5"/>
  <c r="AE456" i="5"/>
  <c r="AE457" i="5"/>
  <c r="AE458" i="5"/>
  <c r="AE459" i="5"/>
  <c r="AE460" i="5"/>
  <c r="AE461" i="5"/>
  <c r="AE462" i="5"/>
  <c r="AE463" i="5"/>
  <c r="AE464" i="5"/>
  <c r="AE465" i="5"/>
  <c r="AE466" i="5"/>
  <c r="AE467" i="5"/>
  <c r="AE468" i="5"/>
  <c r="AE469" i="5"/>
  <c r="AE470" i="5"/>
  <c r="AE471" i="5"/>
  <c r="AE472" i="5"/>
  <c r="AE473" i="5"/>
  <c r="AE474" i="5"/>
  <c r="AE475" i="5"/>
  <c r="AE476" i="5"/>
  <c r="AE477" i="5"/>
  <c r="AE478" i="5"/>
  <c r="AE479" i="5"/>
  <c r="AE480" i="5"/>
  <c r="AE481" i="5"/>
  <c r="AE482" i="5"/>
  <c r="AE483" i="5"/>
  <c r="AE484" i="5"/>
  <c r="AE485" i="5"/>
  <c r="AE486" i="5"/>
  <c r="AE487" i="5"/>
  <c r="AE488" i="5"/>
  <c r="AE489" i="5"/>
  <c r="AE490" i="5"/>
  <c r="AE491" i="5"/>
  <c r="AE492" i="5"/>
  <c r="AE493" i="5"/>
  <c r="AE494" i="5"/>
  <c r="AE495" i="5"/>
  <c r="AE496" i="5"/>
  <c r="AE497" i="5"/>
  <c r="AE498" i="5"/>
  <c r="AE499" i="5"/>
  <c r="AE500" i="5"/>
  <c r="AE501" i="5"/>
  <c r="AE502" i="5"/>
  <c r="AE503" i="5"/>
  <c r="AE504" i="5"/>
  <c r="AE505" i="5"/>
  <c r="AE506" i="5"/>
  <c r="AE507" i="5"/>
  <c r="AE508" i="5"/>
  <c r="AE509" i="5"/>
  <c r="AE510" i="5"/>
  <c r="AE511" i="5"/>
  <c r="AE512" i="5"/>
  <c r="AE513" i="5"/>
  <c r="AE514" i="5"/>
  <c r="AE515" i="5"/>
  <c r="AE516" i="5"/>
  <c r="AE517" i="5"/>
  <c r="AE518" i="5"/>
  <c r="AE519" i="5"/>
  <c r="AE520" i="5"/>
  <c r="AE521" i="5"/>
  <c r="AE522" i="5"/>
  <c r="AE523" i="5"/>
  <c r="AE524" i="5"/>
  <c r="AE525" i="5"/>
  <c r="AE526" i="5"/>
  <c r="AE527" i="5"/>
  <c r="AE528" i="5"/>
  <c r="AE529" i="5"/>
  <c r="AE530" i="5"/>
  <c r="AE531" i="5"/>
  <c r="AE532" i="5"/>
  <c r="AE533" i="5"/>
  <c r="AE534" i="5"/>
  <c r="AE535" i="5"/>
  <c r="AE536" i="5"/>
  <c r="AE537" i="5"/>
  <c r="AE538" i="5"/>
  <c r="AE539" i="5"/>
  <c r="AE540" i="5"/>
  <c r="AE541" i="5"/>
  <c r="AE542" i="5"/>
  <c r="AE543" i="5"/>
  <c r="AE544" i="5"/>
  <c r="AE545" i="5"/>
  <c r="AE546" i="5"/>
  <c r="AE547" i="5"/>
  <c r="AE548" i="5"/>
  <c r="AE549" i="5"/>
  <c r="AE550" i="5"/>
  <c r="AE551" i="5"/>
  <c r="AE552" i="5"/>
  <c r="AE553" i="5"/>
  <c r="AE554" i="5"/>
  <c r="AE555" i="5"/>
  <c r="AE556" i="5"/>
  <c r="AE557" i="5"/>
  <c r="AE558" i="5"/>
  <c r="AE559" i="5"/>
  <c r="AE560" i="5"/>
  <c r="AE561" i="5"/>
  <c r="AE562" i="5"/>
  <c r="AE563" i="5"/>
  <c r="AE564" i="5"/>
  <c r="AE565" i="5"/>
  <c r="AE566" i="5"/>
  <c r="AE567" i="5"/>
  <c r="AE568" i="5"/>
  <c r="AE569" i="5"/>
  <c r="AE570" i="5"/>
  <c r="AE571" i="5"/>
  <c r="AE572" i="5"/>
  <c r="AE573" i="5"/>
  <c r="AE574" i="5"/>
  <c r="AE575" i="5"/>
  <c r="AE576" i="5"/>
  <c r="AE577" i="5"/>
  <c r="AE578" i="5"/>
  <c r="AE579" i="5"/>
  <c r="AE580" i="5"/>
  <c r="AE581" i="5"/>
  <c r="AE582" i="5"/>
  <c r="AE583" i="5"/>
  <c r="AE584" i="5"/>
  <c r="AE585" i="5"/>
  <c r="AE586" i="5"/>
  <c r="AE587" i="5"/>
  <c r="AE588" i="5"/>
  <c r="AE589" i="5"/>
  <c r="AE590" i="5"/>
  <c r="AE591" i="5"/>
  <c r="AE592" i="5"/>
  <c r="AE593" i="5"/>
  <c r="AE594" i="5"/>
  <c r="AE595" i="5"/>
  <c r="AE596" i="5"/>
  <c r="AE597" i="5"/>
  <c r="AE598" i="5"/>
  <c r="AE599" i="5"/>
  <c r="AE600" i="5"/>
  <c r="AE601" i="5"/>
  <c r="AE602" i="5"/>
  <c r="AE603" i="5"/>
  <c r="AE604" i="5"/>
  <c r="AE605" i="5"/>
  <c r="AE606" i="5"/>
  <c r="AE607" i="5"/>
  <c r="AE608" i="5"/>
  <c r="AE609" i="5"/>
  <c r="AE610" i="5"/>
  <c r="AE611" i="5"/>
  <c r="AE612" i="5"/>
  <c r="AE613" i="5"/>
  <c r="AE614" i="5"/>
  <c r="AE615" i="5"/>
  <c r="AE616" i="5"/>
  <c r="AE617" i="5"/>
  <c r="AE618" i="5"/>
  <c r="AE619" i="5"/>
  <c r="AE620" i="5"/>
  <c r="AE621" i="5"/>
  <c r="AE622" i="5"/>
  <c r="AE623" i="5"/>
  <c r="AE624" i="5"/>
  <c r="AE11" i="5"/>
  <c r="Y12" i="5"/>
  <c r="Z12" i="5"/>
  <c r="Y13" i="5"/>
  <c r="Z13" i="5"/>
  <c r="Y14" i="5"/>
  <c r="Z14" i="5"/>
  <c r="Y15" i="5"/>
  <c r="Z15" i="5"/>
  <c r="Y16" i="5"/>
  <c r="Z16" i="5"/>
  <c r="Y17" i="5"/>
  <c r="Z17" i="5"/>
  <c r="Y18" i="5"/>
  <c r="Z18" i="5"/>
  <c r="Y19" i="5"/>
  <c r="Z19" i="5"/>
  <c r="Y20" i="5"/>
  <c r="Z20" i="5"/>
  <c r="Y21" i="5"/>
  <c r="Z21" i="5"/>
  <c r="Y22" i="5"/>
  <c r="Z22" i="5"/>
  <c r="Y23" i="5"/>
  <c r="Z23" i="5"/>
  <c r="Y24" i="5"/>
  <c r="Z24" i="5"/>
  <c r="Y25" i="5"/>
  <c r="Z25" i="5"/>
  <c r="Y26" i="5"/>
  <c r="Z26" i="5"/>
  <c r="Y27" i="5"/>
  <c r="Z27" i="5"/>
  <c r="Y28" i="5"/>
  <c r="Z28" i="5"/>
  <c r="Y29" i="5"/>
  <c r="Z29" i="5"/>
  <c r="Y30" i="5"/>
  <c r="Z30" i="5"/>
  <c r="Y31" i="5"/>
  <c r="Z31" i="5"/>
  <c r="Y32" i="5"/>
  <c r="Z32" i="5"/>
  <c r="Y33" i="5"/>
  <c r="Z33" i="5"/>
  <c r="Y34" i="5"/>
  <c r="Z34" i="5"/>
  <c r="Y35" i="5"/>
  <c r="Z35" i="5"/>
  <c r="Y36" i="5"/>
  <c r="Z36" i="5"/>
  <c r="Y37" i="5"/>
  <c r="Z37" i="5"/>
  <c r="Y38" i="5"/>
  <c r="Z38" i="5"/>
  <c r="Y39" i="5"/>
  <c r="Z39" i="5"/>
  <c r="Y40" i="5"/>
  <c r="Z40" i="5"/>
  <c r="Y41" i="5"/>
  <c r="Z41" i="5"/>
  <c r="Y42" i="5"/>
  <c r="Z42" i="5"/>
  <c r="Y43" i="5"/>
  <c r="Z43" i="5"/>
  <c r="Y44" i="5"/>
  <c r="Z44" i="5"/>
  <c r="Y45" i="5"/>
  <c r="Z45" i="5"/>
  <c r="Y46" i="5"/>
  <c r="Z46" i="5"/>
  <c r="Y47" i="5"/>
  <c r="Z47" i="5"/>
  <c r="Y48" i="5"/>
  <c r="Z48" i="5"/>
  <c r="Y49" i="5"/>
  <c r="Z49" i="5"/>
  <c r="Y50" i="5"/>
  <c r="Z50" i="5"/>
  <c r="Y51" i="5"/>
  <c r="Z51" i="5"/>
  <c r="Y52" i="5"/>
  <c r="Z52" i="5"/>
  <c r="Y53" i="5"/>
  <c r="Z53" i="5"/>
  <c r="Y54" i="5"/>
  <c r="Z54" i="5"/>
  <c r="Y55" i="5"/>
  <c r="Z55" i="5"/>
  <c r="Y56" i="5"/>
  <c r="Z56" i="5"/>
  <c r="Y57" i="5"/>
  <c r="Z57" i="5"/>
  <c r="Y58" i="5"/>
  <c r="Z58" i="5"/>
  <c r="Y59" i="5"/>
  <c r="Z59" i="5"/>
  <c r="Y60" i="5"/>
  <c r="Z60" i="5"/>
  <c r="Y61" i="5"/>
  <c r="Z61" i="5"/>
  <c r="Y62" i="5"/>
  <c r="Z62" i="5"/>
  <c r="Y63" i="5"/>
  <c r="Z63" i="5"/>
  <c r="Y524" i="5"/>
  <c r="Z524" i="5"/>
  <c r="Y545" i="5"/>
  <c r="Z545" i="5"/>
  <c r="Y546" i="5"/>
  <c r="Z546" i="5"/>
  <c r="Y577" i="5"/>
  <c r="Z577" i="5"/>
  <c r="Y591" i="5"/>
  <c r="Z591" i="5"/>
  <c r="Y615" i="5"/>
  <c r="Z615" i="5"/>
  <c r="Z11" i="5"/>
  <c r="Y11" i="5"/>
  <c r="S14" i="17" l="1"/>
  <c r="P17" i="17"/>
  <c r="R9" i="17"/>
  <c r="Q10" i="17"/>
  <c r="P11" i="17"/>
  <c r="T15" i="17"/>
  <c r="R17" i="17"/>
  <c r="Q18" i="17"/>
  <c r="P19" i="17"/>
  <c r="T23" i="17"/>
  <c r="R25" i="17"/>
  <c r="Q26" i="17"/>
  <c r="P27" i="17"/>
  <c r="T31" i="17"/>
  <c r="R33" i="17"/>
  <c r="Q34" i="17"/>
  <c r="P35" i="17"/>
  <c r="T39" i="17"/>
  <c r="R41" i="17"/>
  <c r="Q42" i="17"/>
  <c r="P43" i="17"/>
  <c r="P48" i="17"/>
  <c r="T54" i="17"/>
  <c r="P56" i="17"/>
  <c r="T62" i="17"/>
  <c r="R65" i="17"/>
  <c r="T65" i="17"/>
  <c r="P67" i="17"/>
  <c r="R67" i="17"/>
  <c r="Q69" i="17"/>
  <c r="P70" i="17"/>
  <c r="R70" i="17"/>
  <c r="R71" i="17"/>
  <c r="T71" i="17"/>
  <c r="R79" i="17"/>
  <c r="P79" i="17"/>
  <c r="T79" i="17"/>
  <c r="Q79" i="17"/>
  <c r="P84" i="17"/>
  <c r="T84" i="17"/>
  <c r="S84" i="17"/>
  <c r="R84" i="17"/>
  <c r="R86" i="17"/>
  <c r="P86" i="17"/>
  <c r="S86" i="17"/>
  <c r="S17" i="17"/>
  <c r="S25" i="17"/>
  <c r="R26" i="17"/>
  <c r="S33" i="17"/>
  <c r="R34" i="17"/>
  <c r="S41" i="17"/>
  <c r="R42" i="17"/>
  <c r="R69" i="17"/>
  <c r="T72" i="17"/>
  <c r="P72" i="17"/>
  <c r="Q75" i="17"/>
  <c r="R75" i="17"/>
  <c r="T75" i="17"/>
  <c r="P75" i="17"/>
  <c r="Q87" i="17"/>
  <c r="T87" i="17"/>
  <c r="R90" i="17"/>
  <c r="T90" i="17"/>
  <c r="S90" i="17"/>
  <c r="Q90" i="17"/>
  <c r="Q92" i="17"/>
  <c r="T10" i="17"/>
  <c r="S11" i="17"/>
  <c r="Q13" i="17"/>
  <c r="P14" i="17"/>
  <c r="T18" i="17"/>
  <c r="S19" i="17"/>
  <c r="Q21" i="17"/>
  <c r="P22" i="17"/>
  <c r="T26" i="17"/>
  <c r="S27" i="17"/>
  <c r="Q29" i="17"/>
  <c r="P30" i="17"/>
  <c r="T34" i="17"/>
  <c r="S35" i="17"/>
  <c r="Q37" i="17"/>
  <c r="P38" i="17"/>
  <c r="T42" i="17"/>
  <c r="S43" i="17"/>
  <c r="Q45" i="17"/>
  <c r="P46" i="17"/>
  <c r="S48" i="17"/>
  <c r="T49" i="17"/>
  <c r="S52" i="17"/>
  <c r="P53" i="17"/>
  <c r="S56" i="17"/>
  <c r="T57" i="17"/>
  <c r="S60" i="17"/>
  <c r="P61" i="17"/>
  <c r="Q68" i="17"/>
  <c r="R72" i="17"/>
  <c r="P78" i="17"/>
  <c r="R78" i="17"/>
  <c r="S78" i="17"/>
  <c r="R82" i="17"/>
  <c r="Q82" i="17"/>
  <c r="P88" i="17"/>
  <c r="T88" i="17"/>
  <c r="S88" i="17"/>
  <c r="R88" i="17"/>
  <c r="Q88" i="17"/>
  <c r="S9" i="17"/>
  <c r="T9" i="17"/>
  <c r="S10" i="17"/>
  <c r="T17" i="17"/>
  <c r="S18" i="17"/>
  <c r="S26" i="17"/>
  <c r="S34" i="17"/>
  <c r="S42" i="17"/>
  <c r="T11" i="17"/>
  <c r="R13" i="17"/>
  <c r="Q14" i="17"/>
  <c r="P15" i="17"/>
  <c r="T19" i="17"/>
  <c r="R21" i="17"/>
  <c r="Q22" i="17"/>
  <c r="P23" i="17"/>
  <c r="T27" i="17"/>
  <c r="R29" i="17"/>
  <c r="Q30" i="17"/>
  <c r="P31" i="17"/>
  <c r="T35" i="17"/>
  <c r="R37" i="17"/>
  <c r="Q38" i="17"/>
  <c r="P39" i="17"/>
  <c r="T43" i="17"/>
  <c r="R45" i="17"/>
  <c r="Q46" i="17"/>
  <c r="R47" i="17"/>
  <c r="T48" i="17"/>
  <c r="Q51" i="17"/>
  <c r="P54" i="17"/>
  <c r="R55" i="17"/>
  <c r="T56" i="17"/>
  <c r="Q59" i="17"/>
  <c r="P62" i="17"/>
  <c r="R63" i="17"/>
  <c r="S72" i="17"/>
  <c r="R74" i="17"/>
  <c r="Q74" i="17"/>
  <c r="S74" i="17"/>
  <c r="T78" i="17"/>
  <c r="S13" i="17"/>
  <c r="S21" i="17"/>
  <c r="R22" i="17"/>
  <c r="S29" i="17"/>
  <c r="R30" i="17"/>
  <c r="S37" i="17"/>
  <c r="R38" i="17"/>
  <c r="S45" i="17"/>
  <c r="R46" i="17"/>
  <c r="Q52" i="17"/>
  <c r="Q54" i="17"/>
  <c r="Q60" i="17"/>
  <c r="Q62" i="17"/>
  <c r="T77" i="17"/>
  <c r="P77" i="17"/>
  <c r="R77" i="17"/>
  <c r="Q83" i="17"/>
  <c r="R83" i="17"/>
  <c r="P83" i="17"/>
  <c r="T83" i="17"/>
  <c r="T13" i="17"/>
  <c r="S22" i="17"/>
  <c r="P25" i="17"/>
  <c r="S38" i="17"/>
  <c r="S46" i="17"/>
  <c r="P69" i="17"/>
  <c r="T80" i="17"/>
  <c r="R80" i="17"/>
  <c r="Q80" i="17"/>
  <c r="T92" i="17"/>
  <c r="P92" i="17"/>
  <c r="S92" i="17"/>
  <c r="P9" i="17"/>
  <c r="S30" i="17"/>
  <c r="Q49" i="17"/>
  <c r="Q53" i="17"/>
  <c r="S54" i="17"/>
  <c r="Q57" i="17"/>
  <c r="Q61" i="17"/>
  <c r="S62" i="17"/>
  <c r="S68" i="17"/>
  <c r="P76" i="17"/>
  <c r="T76" i="17"/>
  <c r="R76" i="17"/>
  <c r="Q76" i="17"/>
  <c r="S80" i="17"/>
  <c r="R87" i="17"/>
  <c r="P85" i="17"/>
  <c r="Q95" i="17"/>
  <c r="T100" i="17"/>
  <c r="P100" i="17"/>
  <c r="R113" i="17"/>
  <c r="P113" i="17"/>
  <c r="S113" i="17"/>
  <c r="P116" i="17"/>
  <c r="T116" i="17"/>
  <c r="R116" i="17"/>
  <c r="Q103" i="17"/>
  <c r="R98" i="17"/>
  <c r="R106" i="17"/>
  <c r="P106" i="17"/>
  <c r="Q107" i="17"/>
  <c r="P107" i="17"/>
  <c r="T108" i="17"/>
  <c r="P108" i="17"/>
  <c r="Q108" i="17"/>
  <c r="T112" i="17"/>
  <c r="P112" i="17"/>
  <c r="R112" i="17"/>
  <c r="P96" i="17"/>
  <c r="T96" i="17"/>
  <c r="P103" i="17"/>
  <c r="Q106" i="17"/>
  <c r="R107" i="17"/>
  <c r="R108" i="17"/>
  <c r="R110" i="17"/>
  <c r="T110" i="17"/>
  <c r="P110" i="17"/>
  <c r="S112" i="17"/>
  <c r="Q115" i="17"/>
  <c r="S115" i="17"/>
  <c r="R115" i="17"/>
  <c r="Q135" i="17"/>
  <c r="T135" i="17"/>
  <c r="P135" i="17"/>
  <c r="S135" i="17"/>
  <c r="R135" i="17"/>
  <c r="T85" i="17"/>
  <c r="Q91" i="17"/>
  <c r="P98" i="17"/>
  <c r="R103" i="17"/>
  <c r="P104" i="17"/>
  <c r="T104" i="17"/>
  <c r="S106" i="17"/>
  <c r="S107" i="17"/>
  <c r="S108" i="17"/>
  <c r="Q110" i="17"/>
  <c r="T115" i="17"/>
  <c r="R94" i="17"/>
  <c r="Q96" i="17"/>
  <c r="Q98" i="17"/>
  <c r="Q99" i="17"/>
  <c r="S103" i="17"/>
  <c r="T106" i="17"/>
  <c r="T107" i="17"/>
  <c r="S110" i="17"/>
  <c r="P114" i="17"/>
  <c r="T114" i="17"/>
  <c r="R114" i="17"/>
  <c r="Q114" i="17"/>
  <c r="P91" i="17"/>
  <c r="R96" i="17"/>
  <c r="S98" i="17"/>
  <c r="R102" i="17"/>
  <c r="T103" i="17"/>
  <c r="Q104" i="17"/>
  <c r="S114" i="17"/>
  <c r="Q116" i="17"/>
  <c r="S118" i="17"/>
  <c r="Q118" i="17"/>
  <c r="P118" i="17"/>
  <c r="T118" i="17"/>
  <c r="T111" i="17"/>
  <c r="Q117" i="17"/>
  <c r="T132" i="17"/>
  <c r="P132" i="17"/>
  <c r="Q132" i="17"/>
  <c r="R132" i="17"/>
  <c r="R139" i="17"/>
  <c r="T139" i="17"/>
  <c r="Q139" i="17"/>
  <c r="S139" i="17"/>
  <c r="P117" i="17"/>
  <c r="T124" i="17"/>
  <c r="P124" i="17"/>
  <c r="R124" i="17"/>
  <c r="S132" i="17"/>
  <c r="T120" i="17"/>
  <c r="R122" i="17"/>
  <c r="S122" i="17"/>
  <c r="Q131" i="17"/>
  <c r="T131" i="17"/>
  <c r="R131" i="17"/>
  <c r="R126" i="17"/>
  <c r="T126" i="17"/>
  <c r="P139" i="17"/>
  <c r="Q120" i="17"/>
  <c r="P126" i="17"/>
  <c r="Q127" i="17"/>
  <c r="P127" i="17"/>
  <c r="P128" i="17"/>
  <c r="T128" i="17"/>
  <c r="R111" i="17"/>
  <c r="R120" i="17"/>
  <c r="P122" i="17"/>
  <c r="Q126" i="17"/>
  <c r="R127" i="17"/>
  <c r="Q128" i="17"/>
  <c r="Q140" i="17"/>
  <c r="T140" i="17"/>
  <c r="S140" i="17"/>
  <c r="P140" i="17"/>
  <c r="Q123" i="17"/>
  <c r="R130" i="17"/>
  <c r="T145" i="17"/>
  <c r="R145" i="17"/>
  <c r="P145" i="17"/>
  <c r="S145" i="17"/>
  <c r="P148" i="17"/>
  <c r="T150" i="17"/>
  <c r="S150" i="17"/>
  <c r="R150" i="17"/>
  <c r="P150" i="17"/>
  <c r="P152" i="17"/>
  <c r="T152" i="17"/>
  <c r="P141" i="17"/>
  <c r="R141" i="17"/>
  <c r="S141" i="17"/>
  <c r="R148" i="17"/>
  <c r="Q156" i="17"/>
  <c r="P156" i="17"/>
  <c r="T156" i="17"/>
  <c r="P157" i="17"/>
  <c r="S157" i="17"/>
  <c r="R157" i="17"/>
  <c r="Q157" i="17"/>
  <c r="T161" i="17"/>
  <c r="S161" i="17"/>
  <c r="R161" i="17"/>
  <c r="Q161" i="17"/>
  <c r="P161" i="17"/>
  <c r="P136" i="17"/>
  <c r="T136" i="17"/>
  <c r="P144" i="17"/>
  <c r="T144" i="17"/>
  <c r="R144" i="17"/>
  <c r="Q148" i="17"/>
  <c r="T148" i="17"/>
  <c r="T153" i="17"/>
  <c r="R153" i="17"/>
  <c r="Q153" i="17"/>
  <c r="P153" i="17"/>
  <c r="R134" i="17"/>
  <c r="Q136" i="17"/>
  <c r="T137" i="17"/>
  <c r="R137" i="17"/>
  <c r="P137" i="17"/>
  <c r="T143" i="17"/>
  <c r="R143" i="17"/>
  <c r="Q143" i="17"/>
  <c r="T142" i="17"/>
  <c r="R142" i="17"/>
  <c r="P142" i="17"/>
  <c r="Q142" i="17"/>
  <c r="P149" i="17"/>
  <c r="R149" i="17"/>
  <c r="Q149" i="17"/>
  <c r="Q147" i="17"/>
  <c r="R151" i="17"/>
  <c r="Q155" i="17"/>
  <c r="P158" i="17"/>
  <c r="R159" i="17"/>
  <c r="T160" i="17"/>
  <c r="R168" i="17"/>
  <c r="R163" i="17"/>
  <c r="Q165" i="17"/>
  <c r="T168" i="17"/>
  <c r="R172" i="17"/>
  <c r="S172" i="17"/>
  <c r="S184" i="17"/>
  <c r="R184" i="17"/>
  <c r="Q184" i="17"/>
  <c r="P184" i="17"/>
  <c r="T184" i="17"/>
  <c r="T147" i="17"/>
  <c r="T151" i="17"/>
  <c r="T155" i="17"/>
  <c r="R158" i="17"/>
  <c r="T159" i="17"/>
  <c r="R165" i="17"/>
  <c r="S158" i="17"/>
  <c r="P163" i="17"/>
  <c r="T170" i="17"/>
  <c r="S170" i="17"/>
  <c r="R170" i="17"/>
  <c r="Q170" i="17"/>
  <c r="Q176" i="17"/>
  <c r="T158" i="17"/>
  <c r="P160" i="17"/>
  <c r="Q163" i="17"/>
  <c r="Q164" i="17"/>
  <c r="P174" i="17"/>
  <c r="T174" i="17"/>
  <c r="S174" i="17"/>
  <c r="R174" i="17"/>
  <c r="R176" i="17"/>
  <c r="R180" i="17"/>
  <c r="S180" i="17"/>
  <c r="Q180" i="17"/>
  <c r="P180" i="17"/>
  <c r="T180" i="17"/>
  <c r="Q160" i="17"/>
  <c r="S163" i="17"/>
  <c r="S168" i="17"/>
  <c r="P168" i="17"/>
  <c r="S176" i="17"/>
  <c r="P176" i="17"/>
  <c r="P165" i="17"/>
  <c r="T165" i="17"/>
  <c r="Q168" i="17"/>
  <c r="P178" i="17"/>
  <c r="P186" i="17"/>
  <c r="T188" i="17"/>
  <c r="P192" i="17"/>
  <c r="P193" i="17"/>
  <c r="R200" i="17"/>
  <c r="Q200" i="17"/>
  <c r="P200" i="17"/>
  <c r="R178" i="17"/>
  <c r="R182" i="17"/>
  <c r="R186" i="17"/>
  <c r="R190" i="17"/>
  <c r="S192" i="17"/>
  <c r="S200" i="17"/>
  <c r="S166" i="17"/>
  <c r="S182" i="17"/>
  <c r="S190" i="17"/>
  <c r="R191" i="17"/>
  <c r="Q193" i="17"/>
  <c r="T200" i="17"/>
  <c r="R216" i="17"/>
  <c r="T216" i="17"/>
  <c r="S216" i="17"/>
  <c r="Q216" i="17"/>
  <c r="P216" i="17"/>
  <c r="R193" i="17"/>
  <c r="P194" i="17"/>
  <c r="P198" i="17"/>
  <c r="T198" i="17"/>
  <c r="S198" i="17"/>
  <c r="R198" i="17"/>
  <c r="R208" i="17"/>
  <c r="Q208" i="17"/>
  <c r="P208" i="17"/>
  <c r="T178" i="17"/>
  <c r="P182" i="17"/>
  <c r="T186" i="17"/>
  <c r="P188" i="17"/>
  <c r="P190" i="17"/>
  <c r="S193" i="17"/>
  <c r="Q197" i="17"/>
  <c r="S197" i="17"/>
  <c r="P197" i="17"/>
  <c r="Q188" i="17"/>
  <c r="Q192" i="17"/>
  <c r="T193" i="17"/>
  <c r="R197" i="17"/>
  <c r="Q167" i="17"/>
  <c r="Q173" i="17"/>
  <c r="Q175" i="17"/>
  <c r="Q181" i="17"/>
  <c r="Q183" i="17"/>
  <c r="S188" i="17"/>
  <c r="Q189" i="17"/>
  <c r="S191" i="17"/>
  <c r="S194" i="17"/>
  <c r="R196" i="17"/>
  <c r="P196" i="17"/>
  <c r="Q196" i="17"/>
  <c r="T197" i="17"/>
  <c r="R204" i="17"/>
  <c r="P204" i="17"/>
  <c r="Q204" i="17"/>
  <c r="Q205" i="17"/>
  <c r="Q213" i="17"/>
  <c r="Q221" i="17"/>
  <c r="Q224" i="17"/>
  <c r="R224" i="17"/>
  <c r="P225" i="17"/>
  <c r="Q225" i="17"/>
  <c r="T226" i="17"/>
  <c r="P226" i="17"/>
  <c r="Q226" i="17"/>
  <c r="R228" i="17"/>
  <c r="P228" i="17"/>
  <c r="T229" i="17"/>
  <c r="Q229" i="17"/>
  <c r="P229" i="17"/>
  <c r="R236" i="17"/>
  <c r="Q236" i="17"/>
  <c r="T236" i="17"/>
  <c r="Q242" i="17"/>
  <c r="P242" i="17"/>
  <c r="R242" i="17"/>
  <c r="S242" i="17"/>
  <c r="Q228" i="17"/>
  <c r="R229" i="17"/>
  <c r="R205" i="17"/>
  <c r="P206" i="17"/>
  <c r="T206" i="17"/>
  <c r="R213" i="17"/>
  <c r="P214" i="17"/>
  <c r="T214" i="17"/>
  <c r="R221" i="17"/>
  <c r="P222" i="17"/>
  <c r="T222" i="17"/>
  <c r="T224" i="17"/>
  <c r="T225" i="17"/>
  <c r="S228" i="17"/>
  <c r="S229" i="17"/>
  <c r="R241" i="17"/>
  <c r="S241" i="17"/>
  <c r="Q241" i="17"/>
  <c r="P245" i="17"/>
  <c r="S245" i="17"/>
  <c r="Q245" i="17"/>
  <c r="T245" i="17"/>
  <c r="Q201" i="17"/>
  <c r="S205" i="17"/>
  <c r="Q209" i="17"/>
  <c r="S213" i="17"/>
  <c r="Q217" i="17"/>
  <c r="S221" i="17"/>
  <c r="T228" i="17"/>
  <c r="T234" i="17"/>
  <c r="Q234" i="17"/>
  <c r="P234" i="17"/>
  <c r="S234" i="17"/>
  <c r="S237" i="17"/>
  <c r="Q237" i="17"/>
  <c r="P237" i="17"/>
  <c r="R238" i="17"/>
  <c r="T238" i="17"/>
  <c r="S238" i="17"/>
  <c r="P238" i="17"/>
  <c r="R212" i="17"/>
  <c r="R220" i="17"/>
  <c r="T242" i="17"/>
  <c r="Q250" i="17"/>
  <c r="P250" i="17"/>
  <c r="R250" i="17"/>
  <c r="T250" i="17"/>
  <c r="T202" i="17"/>
  <c r="P202" i="17"/>
  <c r="S206" i="17"/>
  <c r="T210" i="17"/>
  <c r="P210" i="17"/>
  <c r="P212" i="17"/>
  <c r="S214" i="17"/>
  <c r="R217" i="17"/>
  <c r="T218" i="17"/>
  <c r="P218" i="17"/>
  <c r="P220" i="17"/>
  <c r="S222" i="17"/>
  <c r="P233" i="17"/>
  <c r="R233" i="17"/>
  <c r="Q233" i="17"/>
  <c r="S233" i="17"/>
  <c r="P236" i="17"/>
  <c r="P243" i="17"/>
  <c r="S243" i="17"/>
  <c r="T243" i="17"/>
  <c r="Q243" i="17"/>
  <c r="S199" i="17"/>
  <c r="S207" i="17"/>
  <c r="S215" i="17"/>
  <c r="S223" i="17"/>
  <c r="T230" i="17"/>
  <c r="S231" i="17"/>
  <c r="R232" i="17"/>
  <c r="Q254" i="17"/>
  <c r="P254" i="17"/>
  <c r="R254" i="17"/>
  <c r="S254" i="17"/>
  <c r="P257" i="17"/>
  <c r="R261" i="17"/>
  <c r="Q261" i="17"/>
  <c r="P261" i="17"/>
  <c r="S232" i="17"/>
  <c r="T247" i="17"/>
  <c r="S247" i="17"/>
  <c r="R247" i="17"/>
  <c r="P247" i="17"/>
  <c r="R249" i="17"/>
  <c r="S249" i="17"/>
  <c r="S257" i="17"/>
  <c r="Q268" i="17"/>
  <c r="P268" i="17"/>
  <c r="T268" i="17"/>
  <c r="S268" i="17"/>
  <c r="R268" i="17"/>
  <c r="T239" i="17"/>
  <c r="S239" i="17"/>
  <c r="P251" i="17"/>
  <c r="S251" i="17"/>
  <c r="R251" i="17"/>
  <c r="T251" i="17"/>
  <c r="P253" i="17"/>
  <c r="S253" i="17"/>
  <c r="R257" i="17"/>
  <c r="Q257" i="17"/>
  <c r="P230" i="17"/>
  <c r="Q246" i="17"/>
  <c r="P246" i="17"/>
  <c r="R246" i="17"/>
  <c r="S246" i="17"/>
  <c r="Q251" i="17"/>
  <c r="T253" i="17"/>
  <c r="S261" i="17"/>
  <c r="T255" i="17"/>
  <c r="S255" i="17"/>
  <c r="R255" i="17"/>
  <c r="P255" i="17"/>
  <c r="Q258" i="17"/>
  <c r="P258" i="17"/>
  <c r="T258" i="17"/>
  <c r="R258" i="17"/>
  <c r="R239" i="17"/>
  <c r="P249" i="17"/>
  <c r="Q262" i="17"/>
  <c r="P262" i="17"/>
  <c r="T262" i="17"/>
  <c r="S262" i="17"/>
  <c r="R262" i="17"/>
  <c r="S265" i="17"/>
  <c r="T279" i="17"/>
  <c r="S279" i="17"/>
  <c r="R279" i="17"/>
  <c r="Q279" i="17"/>
  <c r="T282" i="17"/>
  <c r="R282" i="17"/>
  <c r="S282" i="17"/>
  <c r="Q282" i="17"/>
  <c r="P259" i="17"/>
  <c r="T263" i="17"/>
  <c r="P267" i="17"/>
  <c r="T270" i="17"/>
  <c r="R265" i="17"/>
  <c r="Q265" i="17"/>
  <c r="P270" i="17"/>
  <c r="R273" i="17"/>
  <c r="Q273" i="17"/>
  <c r="P273" i="17"/>
  <c r="T274" i="17"/>
  <c r="R274" i="17"/>
  <c r="Q274" i="17"/>
  <c r="P274" i="17"/>
  <c r="R259" i="17"/>
  <c r="R263" i="17"/>
  <c r="S267" i="17"/>
  <c r="R270" i="17"/>
  <c r="S273" i="17"/>
  <c r="S259" i="17"/>
  <c r="S263" i="17"/>
  <c r="P265" i="17"/>
  <c r="Q266" i="17"/>
  <c r="P266" i="17"/>
  <c r="T267" i="17"/>
  <c r="S270" i="17"/>
  <c r="T273" i="17"/>
  <c r="R284" i="17"/>
  <c r="P289" i="17"/>
  <c r="P278" i="17"/>
  <c r="T287" i="17"/>
  <c r="Q294" i="17"/>
  <c r="P294" i="17"/>
  <c r="R294" i="17"/>
  <c r="S294" i="17"/>
  <c r="P303" i="17"/>
  <c r="T303" i="17"/>
  <c r="S303" i="17"/>
  <c r="P284" i="17"/>
  <c r="Q289" i="17"/>
  <c r="R293" i="17"/>
  <c r="Q293" i="17"/>
  <c r="T293" i="17"/>
  <c r="T298" i="17"/>
  <c r="Q298" i="17"/>
  <c r="Q309" i="17"/>
  <c r="P309" i="17"/>
  <c r="T309" i="17"/>
  <c r="P314" i="17"/>
  <c r="S314" i="17"/>
  <c r="R314" i="17"/>
  <c r="T314" i="17"/>
  <c r="Q277" i="17"/>
  <c r="Q284" i="17"/>
  <c r="Q285" i="17"/>
  <c r="P287" i="17"/>
  <c r="R289" i="17"/>
  <c r="T290" i="17"/>
  <c r="R290" i="17"/>
  <c r="P293" i="17"/>
  <c r="R298" i="17"/>
  <c r="S284" i="17"/>
  <c r="Q287" i="17"/>
  <c r="S289" i="17"/>
  <c r="S293" i="17"/>
  <c r="S298" i="17"/>
  <c r="R301" i="17"/>
  <c r="Q301" i="17"/>
  <c r="S301" i="17"/>
  <c r="P301" i="17"/>
  <c r="S308" i="17"/>
  <c r="P308" i="17"/>
  <c r="Q314" i="17"/>
  <c r="S271" i="17"/>
  <c r="Q278" i="17"/>
  <c r="T284" i="17"/>
  <c r="P285" i="17"/>
  <c r="R287" i="17"/>
  <c r="T289" i="17"/>
  <c r="P290" i="17"/>
  <c r="Q297" i="17"/>
  <c r="P297" i="17"/>
  <c r="S297" i="17"/>
  <c r="T301" i="17"/>
  <c r="R304" i="17"/>
  <c r="Q304" i="17"/>
  <c r="T304" i="17"/>
  <c r="R309" i="17"/>
  <c r="R278" i="17"/>
  <c r="P281" i="17"/>
  <c r="R285" i="17"/>
  <c r="P286" i="17"/>
  <c r="R286" i="17"/>
  <c r="S287" i="17"/>
  <c r="P288" i="17"/>
  <c r="Q290" i="17"/>
  <c r="T296" i="17"/>
  <c r="S296" i="17"/>
  <c r="Q296" i="17"/>
  <c r="T297" i="17"/>
  <c r="S309" i="17"/>
  <c r="Q313" i="17"/>
  <c r="P313" i="17"/>
  <c r="S313" i="17"/>
  <c r="T313" i="17"/>
  <c r="Q302" i="17"/>
  <c r="P302" i="17"/>
  <c r="T310" i="17"/>
  <c r="S310" i="17"/>
  <c r="R310" i="17"/>
  <c r="P310" i="17"/>
  <c r="Q310" i="17"/>
  <c r="R312" i="17"/>
  <c r="T312" i="17"/>
  <c r="Q312" i="17"/>
  <c r="P316" i="17"/>
  <c r="R317" i="17"/>
  <c r="Q317" i="17"/>
  <c r="T317" i="17"/>
  <c r="P295" i="17"/>
  <c r="S312" i="17"/>
  <c r="T316" i="17"/>
  <c r="R316" i="17"/>
  <c r="T306" i="17"/>
  <c r="R292" i="17"/>
  <c r="R300" i="17"/>
  <c r="T315" i="17"/>
  <c r="AC15" i="1" l="1"/>
  <c r="Y29" i="1"/>
  <c r="Z29" i="1"/>
  <c r="CW8" i="6" s="1"/>
  <c r="X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B29" i="1"/>
  <c r="CP8" i="6" l="1"/>
  <c r="CV8" i="6"/>
  <c r="CQ8" i="6"/>
  <c r="CO8" i="6"/>
  <c r="H40" i="1" l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G40" i="1"/>
  <c r="W12" i="5" l="1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149" i="5"/>
  <c r="W150" i="5"/>
  <c r="W151" i="5"/>
  <c r="W152" i="5"/>
  <c r="W153" i="5"/>
  <c r="W154" i="5"/>
  <c r="W155" i="5"/>
  <c r="W156" i="5"/>
  <c r="W157" i="5"/>
  <c r="W158" i="5"/>
  <c r="W159" i="5"/>
  <c r="W160" i="5"/>
  <c r="W161" i="5"/>
  <c r="W162" i="5"/>
  <c r="W163" i="5"/>
  <c r="W164" i="5"/>
  <c r="W165" i="5"/>
  <c r="W166" i="5"/>
  <c r="W167" i="5"/>
  <c r="W168" i="5"/>
  <c r="W169" i="5"/>
  <c r="W170" i="5"/>
  <c r="W171" i="5"/>
  <c r="W172" i="5"/>
  <c r="W173" i="5"/>
  <c r="W174" i="5"/>
  <c r="W175" i="5"/>
  <c r="W176" i="5"/>
  <c r="W177" i="5"/>
  <c r="W178" i="5"/>
  <c r="W179" i="5"/>
  <c r="W180" i="5"/>
  <c r="W181" i="5"/>
  <c r="W182" i="5"/>
  <c r="W183" i="5"/>
  <c r="W184" i="5"/>
  <c r="W185" i="5"/>
  <c r="W186" i="5"/>
  <c r="W187" i="5"/>
  <c r="W188" i="5"/>
  <c r="W189" i="5"/>
  <c r="W190" i="5"/>
  <c r="W191" i="5"/>
  <c r="W192" i="5"/>
  <c r="W193" i="5"/>
  <c r="W194" i="5"/>
  <c r="W195" i="5"/>
  <c r="W196" i="5"/>
  <c r="W197" i="5"/>
  <c r="W198" i="5"/>
  <c r="W199" i="5"/>
  <c r="W200" i="5"/>
  <c r="W201" i="5"/>
  <c r="W202" i="5"/>
  <c r="W203" i="5"/>
  <c r="W204" i="5"/>
  <c r="W205" i="5"/>
  <c r="W206" i="5"/>
  <c r="W207" i="5"/>
  <c r="W208" i="5"/>
  <c r="W209" i="5"/>
  <c r="W210" i="5"/>
  <c r="W211" i="5"/>
  <c r="W212" i="5"/>
  <c r="W213" i="5"/>
  <c r="W214" i="5"/>
  <c r="W215" i="5"/>
  <c r="W216" i="5"/>
  <c r="W217" i="5"/>
  <c r="W218" i="5"/>
  <c r="W219" i="5"/>
  <c r="W220" i="5"/>
  <c r="W221" i="5"/>
  <c r="W222" i="5"/>
  <c r="W223" i="5"/>
  <c r="W224" i="5"/>
  <c r="W225" i="5"/>
  <c r="W226" i="5"/>
  <c r="W227" i="5"/>
  <c r="W228" i="5"/>
  <c r="W229" i="5"/>
  <c r="W230" i="5"/>
  <c r="W231" i="5"/>
  <c r="W232" i="5"/>
  <c r="W233" i="5"/>
  <c r="W234" i="5"/>
  <c r="W235" i="5"/>
  <c r="W236" i="5"/>
  <c r="W237" i="5"/>
  <c r="W238" i="5"/>
  <c r="W239" i="5"/>
  <c r="W240" i="5"/>
  <c r="W241" i="5"/>
  <c r="W242" i="5"/>
  <c r="W243" i="5"/>
  <c r="W244" i="5"/>
  <c r="W245" i="5"/>
  <c r="W246" i="5"/>
  <c r="W247" i="5"/>
  <c r="W248" i="5"/>
  <c r="W249" i="5"/>
  <c r="W250" i="5"/>
  <c r="W251" i="5"/>
  <c r="W252" i="5"/>
  <c r="W253" i="5"/>
  <c r="W254" i="5"/>
  <c r="W255" i="5"/>
  <c r="W256" i="5"/>
  <c r="W257" i="5"/>
  <c r="W258" i="5"/>
  <c r="W259" i="5"/>
  <c r="W260" i="5"/>
  <c r="W261" i="5"/>
  <c r="W262" i="5"/>
  <c r="W263" i="5"/>
  <c r="W264" i="5"/>
  <c r="W265" i="5"/>
  <c r="W266" i="5"/>
  <c r="W267" i="5"/>
  <c r="W268" i="5"/>
  <c r="W269" i="5"/>
  <c r="W270" i="5"/>
  <c r="W271" i="5"/>
  <c r="W272" i="5"/>
  <c r="W273" i="5"/>
  <c r="W274" i="5"/>
  <c r="W275" i="5"/>
  <c r="W276" i="5"/>
  <c r="W277" i="5"/>
  <c r="W278" i="5"/>
  <c r="W279" i="5"/>
  <c r="W280" i="5"/>
  <c r="W281" i="5"/>
  <c r="W282" i="5"/>
  <c r="W283" i="5"/>
  <c r="W284" i="5"/>
  <c r="W285" i="5"/>
  <c r="W286" i="5"/>
  <c r="W287" i="5"/>
  <c r="W288" i="5"/>
  <c r="W289" i="5"/>
  <c r="W290" i="5"/>
  <c r="W291" i="5"/>
  <c r="W292" i="5"/>
  <c r="W293" i="5"/>
  <c r="W294" i="5"/>
  <c r="W295" i="5"/>
  <c r="W296" i="5"/>
  <c r="W297" i="5"/>
  <c r="W298" i="5"/>
  <c r="W299" i="5"/>
  <c r="W300" i="5"/>
  <c r="W301" i="5"/>
  <c r="W302" i="5"/>
  <c r="W303" i="5"/>
  <c r="W304" i="5"/>
  <c r="W305" i="5"/>
  <c r="W306" i="5"/>
  <c r="W307" i="5"/>
  <c r="W308" i="5"/>
  <c r="W309" i="5"/>
  <c r="W310" i="5"/>
  <c r="W311" i="5"/>
  <c r="W312" i="5"/>
  <c r="W313" i="5"/>
  <c r="W314" i="5"/>
  <c r="W315" i="5"/>
  <c r="W316" i="5"/>
  <c r="W317" i="5"/>
  <c r="W318" i="5"/>
  <c r="W319" i="5"/>
  <c r="W320" i="5"/>
  <c r="W321" i="5"/>
  <c r="W322" i="5"/>
  <c r="W323" i="5"/>
  <c r="W324" i="5"/>
  <c r="W325" i="5"/>
  <c r="W326" i="5"/>
  <c r="W327" i="5"/>
  <c r="W328" i="5"/>
  <c r="W329" i="5"/>
  <c r="W330" i="5"/>
  <c r="W331" i="5"/>
  <c r="W332" i="5"/>
  <c r="W333" i="5"/>
  <c r="W334" i="5"/>
  <c r="W335" i="5"/>
  <c r="W336" i="5"/>
  <c r="W337" i="5"/>
  <c r="W338" i="5"/>
  <c r="W339" i="5"/>
  <c r="W340" i="5"/>
  <c r="W341" i="5"/>
  <c r="W342" i="5"/>
  <c r="W343" i="5"/>
  <c r="W344" i="5"/>
  <c r="W345" i="5"/>
  <c r="W346" i="5"/>
  <c r="W347" i="5"/>
  <c r="W348" i="5"/>
  <c r="W349" i="5"/>
  <c r="W350" i="5"/>
  <c r="W351" i="5"/>
  <c r="W352" i="5"/>
  <c r="W353" i="5"/>
  <c r="W354" i="5"/>
  <c r="W355" i="5"/>
  <c r="W356" i="5"/>
  <c r="W357" i="5"/>
  <c r="W358" i="5"/>
  <c r="W359" i="5"/>
  <c r="W360" i="5"/>
  <c r="W361" i="5"/>
  <c r="W362" i="5"/>
  <c r="W363" i="5"/>
  <c r="W364" i="5"/>
  <c r="W365" i="5"/>
  <c r="W366" i="5"/>
  <c r="W367" i="5"/>
  <c r="W368" i="5"/>
  <c r="W369" i="5"/>
  <c r="W370" i="5"/>
  <c r="W371" i="5"/>
  <c r="W372" i="5"/>
  <c r="W373" i="5"/>
  <c r="W374" i="5"/>
  <c r="W375" i="5"/>
  <c r="W376" i="5"/>
  <c r="W377" i="5"/>
  <c r="W378" i="5"/>
  <c r="W379" i="5"/>
  <c r="W380" i="5"/>
  <c r="W381" i="5"/>
  <c r="W382" i="5"/>
  <c r="W383" i="5"/>
  <c r="W384" i="5"/>
  <c r="W385" i="5"/>
  <c r="W386" i="5"/>
  <c r="W387" i="5"/>
  <c r="W388" i="5"/>
  <c r="W389" i="5"/>
  <c r="W390" i="5"/>
  <c r="W391" i="5"/>
  <c r="W392" i="5"/>
  <c r="W393" i="5"/>
  <c r="W394" i="5"/>
  <c r="W395" i="5"/>
  <c r="W396" i="5"/>
  <c r="W397" i="5"/>
  <c r="W398" i="5"/>
  <c r="W399" i="5"/>
  <c r="W400" i="5"/>
  <c r="W401" i="5"/>
  <c r="W402" i="5"/>
  <c r="W403" i="5"/>
  <c r="W404" i="5"/>
  <c r="W405" i="5"/>
  <c r="W406" i="5"/>
  <c r="W407" i="5"/>
  <c r="W408" i="5"/>
  <c r="W409" i="5"/>
  <c r="W410" i="5"/>
  <c r="W411" i="5"/>
  <c r="W412" i="5"/>
  <c r="W413" i="5"/>
  <c r="W414" i="5"/>
  <c r="W415" i="5"/>
  <c r="W416" i="5"/>
  <c r="W417" i="5"/>
  <c r="W418" i="5"/>
  <c r="W419" i="5"/>
  <c r="W420" i="5"/>
  <c r="W421" i="5"/>
  <c r="W422" i="5"/>
  <c r="W423" i="5"/>
  <c r="W424" i="5"/>
  <c r="W425" i="5"/>
  <c r="W426" i="5"/>
  <c r="W427" i="5"/>
  <c r="W428" i="5"/>
  <c r="W429" i="5"/>
  <c r="W430" i="5"/>
  <c r="W431" i="5"/>
  <c r="W432" i="5"/>
  <c r="W433" i="5"/>
  <c r="W434" i="5"/>
  <c r="W435" i="5"/>
  <c r="W436" i="5"/>
  <c r="W437" i="5"/>
  <c r="W438" i="5"/>
  <c r="W439" i="5"/>
  <c r="W440" i="5"/>
  <c r="W441" i="5"/>
  <c r="W442" i="5"/>
  <c r="W443" i="5"/>
  <c r="W444" i="5"/>
  <c r="W445" i="5"/>
  <c r="W446" i="5"/>
  <c r="W447" i="5"/>
  <c r="W448" i="5"/>
  <c r="W449" i="5"/>
  <c r="W450" i="5"/>
  <c r="W451" i="5"/>
  <c r="W452" i="5"/>
  <c r="W453" i="5"/>
  <c r="W454" i="5"/>
  <c r="W455" i="5"/>
  <c r="W456" i="5"/>
  <c r="W457" i="5"/>
  <c r="W458" i="5"/>
  <c r="W459" i="5"/>
  <c r="W460" i="5"/>
  <c r="W461" i="5"/>
  <c r="W462" i="5"/>
  <c r="W463" i="5"/>
  <c r="W464" i="5"/>
  <c r="W465" i="5"/>
  <c r="W466" i="5"/>
  <c r="W467" i="5"/>
  <c r="W468" i="5"/>
  <c r="W469" i="5"/>
  <c r="W470" i="5"/>
  <c r="W471" i="5"/>
  <c r="W472" i="5"/>
  <c r="W473" i="5"/>
  <c r="W474" i="5"/>
  <c r="W475" i="5"/>
  <c r="W476" i="5"/>
  <c r="W477" i="5"/>
  <c r="W478" i="5"/>
  <c r="W479" i="5"/>
  <c r="W480" i="5"/>
  <c r="W481" i="5"/>
  <c r="W482" i="5"/>
  <c r="W483" i="5"/>
  <c r="W484" i="5"/>
  <c r="W485" i="5"/>
  <c r="W486" i="5"/>
  <c r="W487" i="5"/>
  <c r="W488" i="5"/>
  <c r="W489" i="5"/>
  <c r="W490" i="5"/>
  <c r="W491" i="5"/>
  <c r="W492" i="5"/>
  <c r="W493" i="5"/>
  <c r="W494" i="5"/>
  <c r="W495" i="5"/>
  <c r="W496" i="5"/>
  <c r="W497" i="5"/>
  <c r="W498" i="5"/>
  <c r="W499" i="5"/>
  <c r="W500" i="5"/>
  <c r="W501" i="5"/>
  <c r="W502" i="5"/>
  <c r="W503" i="5"/>
  <c r="W504" i="5"/>
  <c r="W505" i="5"/>
  <c r="W506" i="5"/>
  <c r="W507" i="5"/>
  <c r="W508" i="5"/>
  <c r="W509" i="5"/>
  <c r="W510" i="5"/>
  <c r="W511" i="5"/>
  <c r="W512" i="5"/>
  <c r="W513" i="5"/>
  <c r="W514" i="5"/>
  <c r="W515" i="5"/>
  <c r="W516" i="5"/>
  <c r="W517" i="5"/>
  <c r="W518" i="5"/>
  <c r="W519" i="5"/>
  <c r="W520" i="5"/>
  <c r="W521" i="5"/>
  <c r="W522" i="5"/>
  <c r="W523" i="5"/>
  <c r="W524" i="5"/>
  <c r="W525" i="5"/>
  <c r="W526" i="5"/>
  <c r="W527" i="5"/>
  <c r="W528" i="5"/>
  <c r="W529" i="5"/>
  <c r="W530" i="5"/>
  <c r="W531" i="5"/>
  <c r="W532" i="5"/>
  <c r="W533" i="5"/>
  <c r="W534" i="5"/>
  <c r="W535" i="5"/>
  <c r="W536" i="5"/>
  <c r="W537" i="5"/>
  <c r="W538" i="5"/>
  <c r="W539" i="5"/>
  <c r="W540" i="5"/>
  <c r="W541" i="5"/>
  <c r="W542" i="5"/>
  <c r="W543" i="5"/>
  <c r="W544" i="5"/>
  <c r="W545" i="5"/>
  <c r="W546" i="5"/>
  <c r="W547" i="5"/>
  <c r="W548" i="5"/>
  <c r="W549" i="5"/>
  <c r="W550" i="5"/>
  <c r="W551" i="5"/>
  <c r="W552" i="5"/>
  <c r="W553" i="5"/>
  <c r="W554" i="5"/>
  <c r="W555" i="5"/>
  <c r="W556" i="5"/>
  <c r="W557" i="5"/>
  <c r="W558" i="5"/>
  <c r="W559" i="5"/>
  <c r="W560" i="5"/>
  <c r="W561" i="5"/>
  <c r="W562" i="5"/>
  <c r="W563" i="5"/>
  <c r="W564" i="5"/>
  <c r="W565" i="5"/>
  <c r="W566" i="5"/>
  <c r="W567" i="5"/>
  <c r="W568" i="5"/>
  <c r="W569" i="5"/>
  <c r="W570" i="5"/>
  <c r="W571" i="5"/>
  <c r="W572" i="5"/>
  <c r="W573" i="5"/>
  <c r="W574" i="5"/>
  <c r="W575" i="5"/>
  <c r="W576" i="5"/>
  <c r="W577" i="5"/>
  <c r="W578" i="5"/>
  <c r="W579" i="5"/>
  <c r="W580" i="5"/>
  <c r="W581" i="5"/>
  <c r="W582" i="5"/>
  <c r="W583" i="5"/>
  <c r="W584" i="5"/>
  <c r="W585" i="5"/>
  <c r="W586" i="5"/>
  <c r="W587" i="5"/>
  <c r="W588" i="5"/>
  <c r="W589" i="5"/>
  <c r="W590" i="5"/>
  <c r="W591" i="5"/>
  <c r="W592" i="5"/>
  <c r="W593" i="5"/>
  <c r="W594" i="5"/>
  <c r="W595" i="5"/>
  <c r="W596" i="5"/>
  <c r="W597" i="5"/>
  <c r="W598" i="5"/>
  <c r="W599" i="5"/>
  <c r="W600" i="5"/>
  <c r="W601" i="5"/>
  <c r="W602" i="5"/>
  <c r="W603" i="5"/>
  <c r="W604" i="5"/>
  <c r="W605" i="5"/>
  <c r="W606" i="5"/>
  <c r="W607" i="5"/>
  <c r="W608" i="5"/>
  <c r="W609" i="5"/>
  <c r="W610" i="5"/>
  <c r="W611" i="5"/>
  <c r="W612" i="5"/>
  <c r="W613" i="5"/>
  <c r="W614" i="5"/>
  <c r="W615" i="5"/>
  <c r="W616" i="5"/>
  <c r="W617" i="5"/>
  <c r="W618" i="5"/>
  <c r="W619" i="5"/>
  <c r="W620" i="5"/>
  <c r="W621" i="5"/>
  <c r="W622" i="5"/>
  <c r="W623" i="5"/>
  <c r="W624" i="5"/>
  <c r="W11" i="5"/>
  <c r="V13" i="5" l="1"/>
  <c r="X13" i="5" s="1"/>
  <c r="V16" i="5"/>
  <c r="X16" i="5" s="1"/>
  <c r="V18" i="5"/>
  <c r="X18" i="5" s="1"/>
  <c r="V19" i="5"/>
  <c r="X19" i="5" s="1"/>
  <c r="V21" i="5"/>
  <c r="X21" i="5" s="1"/>
  <c r="V22" i="5"/>
  <c r="X22" i="5" s="1"/>
  <c r="V24" i="5"/>
  <c r="X24" i="5" s="1"/>
  <c r="V25" i="5"/>
  <c r="X25" i="5" s="1"/>
  <c r="V27" i="5"/>
  <c r="X27" i="5" s="1"/>
  <c r="V28" i="5"/>
  <c r="X28" i="5" s="1"/>
  <c r="V29" i="5"/>
  <c r="X29" i="5" s="1"/>
  <c r="V30" i="5"/>
  <c r="X30" i="5" s="1"/>
  <c r="V32" i="5"/>
  <c r="X32" i="5" s="1"/>
  <c r="V35" i="5"/>
  <c r="X35" i="5" s="1"/>
  <c r="V37" i="5"/>
  <c r="X37" i="5" s="1"/>
  <c r="V38" i="5"/>
  <c r="X38" i="5" s="1"/>
  <c r="V40" i="5"/>
  <c r="X40" i="5" s="1"/>
  <c r="V41" i="5"/>
  <c r="X41" i="5" s="1"/>
  <c r="V42" i="5"/>
  <c r="X42" i="5" s="1"/>
  <c r="V43" i="5"/>
  <c r="X43" i="5" s="1"/>
  <c r="V45" i="5"/>
  <c r="X45" i="5" s="1"/>
  <c r="V46" i="5"/>
  <c r="X46" i="5" s="1"/>
  <c r="V50" i="5"/>
  <c r="X50" i="5" s="1"/>
  <c r="V51" i="5"/>
  <c r="X51" i="5" s="1"/>
  <c r="V53" i="5"/>
  <c r="X53" i="5" s="1"/>
  <c r="V54" i="5"/>
  <c r="X54" i="5" s="1"/>
  <c r="V57" i="5"/>
  <c r="X57" i="5" s="1"/>
  <c r="V58" i="5"/>
  <c r="X58" i="5" s="1"/>
  <c r="V59" i="5"/>
  <c r="X59" i="5" s="1"/>
  <c r="V61" i="5"/>
  <c r="X61" i="5" s="1"/>
  <c r="V64" i="5"/>
  <c r="X64" i="5" s="1"/>
  <c r="V66" i="5"/>
  <c r="X66" i="5" s="1"/>
  <c r="V67" i="5"/>
  <c r="X67" i="5" s="1"/>
  <c r="V68" i="5"/>
  <c r="X68" i="5" s="1"/>
  <c r="V69" i="5"/>
  <c r="X69" i="5" s="1"/>
  <c r="V70" i="5"/>
  <c r="X70" i="5" s="1"/>
  <c r="V72" i="5"/>
  <c r="X72" i="5" s="1"/>
  <c r="V74" i="5"/>
  <c r="X74" i="5" s="1"/>
  <c r="V75" i="5"/>
  <c r="X75" i="5" s="1"/>
  <c r="V77" i="5"/>
  <c r="X77" i="5" s="1"/>
  <c r="V78" i="5"/>
  <c r="X78" i="5" s="1"/>
  <c r="V80" i="5"/>
  <c r="X80" i="5" s="1"/>
  <c r="V81" i="5"/>
  <c r="X81" i="5" s="1"/>
  <c r="V82" i="5"/>
  <c r="X82" i="5" s="1"/>
  <c r="V83" i="5"/>
  <c r="X83" i="5" s="1"/>
  <c r="V84" i="5"/>
  <c r="X84" i="5" s="1"/>
  <c r="V85" i="5"/>
  <c r="X85" i="5" s="1"/>
  <c r="V90" i="5"/>
  <c r="X90" i="5" s="1"/>
  <c r="V91" i="5"/>
  <c r="X91" i="5" s="1"/>
  <c r="V93" i="5"/>
  <c r="X93" i="5" s="1"/>
  <c r="V99" i="5"/>
  <c r="X99" i="5" s="1"/>
  <c r="V101" i="5"/>
  <c r="X101" i="5" s="1"/>
  <c r="V102" i="5"/>
  <c r="X102" i="5" s="1"/>
  <c r="V104" i="5"/>
  <c r="X104" i="5" s="1"/>
  <c r="V105" i="5"/>
  <c r="X105" i="5" s="1"/>
  <c r="V106" i="5"/>
  <c r="X106" i="5" s="1"/>
  <c r="V107" i="5"/>
  <c r="X107" i="5" s="1"/>
  <c r="V108" i="5"/>
  <c r="X108" i="5" s="1"/>
  <c r="V109" i="5"/>
  <c r="X109" i="5" s="1"/>
  <c r="V113" i="5"/>
  <c r="X113" i="5" s="1"/>
  <c r="V114" i="5"/>
  <c r="X114" i="5" s="1"/>
  <c r="V115" i="5"/>
  <c r="X115" i="5" s="1"/>
  <c r="V117" i="5"/>
  <c r="X117" i="5" s="1"/>
  <c r="V118" i="5"/>
  <c r="X118" i="5" s="1"/>
  <c r="V120" i="5"/>
  <c r="X120" i="5" s="1"/>
  <c r="V122" i="5"/>
  <c r="X122" i="5" s="1"/>
  <c r="V123" i="5"/>
  <c r="X123" i="5" s="1"/>
  <c r="V125" i="5"/>
  <c r="X125" i="5" s="1"/>
  <c r="V129" i="5"/>
  <c r="X129" i="5" s="1"/>
  <c r="V130" i="5"/>
  <c r="X130" i="5" s="1"/>
  <c r="V131" i="5"/>
  <c r="X131" i="5" s="1"/>
  <c r="V133" i="5"/>
  <c r="X133" i="5" s="1"/>
  <c r="V134" i="5"/>
  <c r="X134" i="5" s="1"/>
  <c r="V136" i="5"/>
  <c r="X136" i="5" s="1"/>
  <c r="V138" i="5"/>
  <c r="X138" i="5" s="1"/>
  <c r="V139" i="5"/>
  <c r="X139" i="5" s="1"/>
  <c r="V141" i="5"/>
  <c r="X141" i="5" s="1"/>
  <c r="V144" i="5"/>
  <c r="X144" i="5" s="1"/>
  <c r="V146" i="5"/>
  <c r="X146" i="5" s="1"/>
  <c r="V147" i="5"/>
  <c r="X147" i="5" s="1"/>
  <c r="V148" i="5"/>
  <c r="X148" i="5" s="1"/>
  <c r="V149" i="5"/>
  <c r="X149" i="5" s="1"/>
  <c r="V152" i="5"/>
  <c r="X152" i="5" s="1"/>
  <c r="V153" i="5"/>
  <c r="X153" i="5" s="1"/>
  <c r="V155" i="5"/>
  <c r="X155" i="5" s="1"/>
  <c r="V157" i="5"/>
  <c r="X157" i="5" s="1"/>
  <c r="V160" i="5"/>
  <c r="X160" i="5" s="1"/>
  <c r="V161" i="5"/>
  <c r="X161" i="5" s="1"/>
  <c r="V162" i="5"/>
  <c r="X162" i="5" s="1"/>
  <c r="V163" i="5"/>
  <c r="X163" i="5" s="1"/>
  <c r="V164" i="5"/>
  <c r="X164" i="5" s="1"/>
  <c r="V165" i="5"/>
  <c r="X165" i="5" s="1"/>
  <c r="V166" i="5"/>
  <c r="X166" i="5" s="1"/>
  <c r="V170" i="5"/>
  <c r="X170" i="5" s="1"/>
  <c r="V171" i="5"/>
  <c r="X171" i="5" s="1"/>
  <c r="V173" i="5"/>
  <c r="X173" i="5" s="1"/>
  <c r="V174" i="5"/>
  <c r="X174" i="5" s="1"/>
  <c r="V176" i="5"/>
  <c r="X176" i="5" s="1"/>
  <c r="V177" i="5"/>
  <c r="X177" i="5" s="1"/>
  <c r="V178" i="5"/>
  <c r="X178" i="5" s="1"/>
  <c r="V179" i="5"/>
  <c r="X179" i="5" s="1"/>
  <c r="V181" i="5"/>
  <c r="X181" i="5" s="1"/>
  <c r="V182" i="5"/>
  <c r="X182" i="5" s="1"/>
  <c r="V185" i="5"/>
  <c r="X185" i="5" s="1"/>
  <c r="V186" i="5"/>
  <c r="X186" i="5" s="1"/>
  <c r="V187" i="5"/>
  <c r="X187" i="5" s="1"/>
  <c r="V189" i="5"/>
  <c r="X189" i="5" s="1"/>
  <c r="V190" i="5"/>
  <c r="X190" i="5" s="1"/>
  <c r="V192" i="5"/>
  <c r="X192" i="5" s="1"/>
  <c r="V194" i="5"/>
  <c r="X194" i="5" s="1"/>
  <c r="V195" i="5"/>
  <c r="X195" i="5" s="1"/>
  <c r="V197" i="5"/>
  <c r="X197" i="5" s="1"/>
  <c r="V198" i="5"/>
  <c r="X198" i="5" s="1"/>
  <c r="V200" i="5"/>
  <c r="X200" i="5" s="1"/>
  <c r="V201" i="5"/>
  <c r="X201" i="5" s="1"/>
  <c r="V202" i="5"/>
  <c r="X202" i="5" s="1"/>
  <c r="V203" i="5"/>
  <c r="X203" i="5" s="1"/>
  <c r="V205" i="5"/>
  <c r="X205" i="5" s="1"/>
  <c r="V206" i="5"/>
  <c r="X206" i="5" s="1"/>
  <c r="V210" i="5"/>
  <c r="X210" i="5" s="1"/>
  <c r="V211" i="5"/>
  <c r="X211" i="5" s="1"/>
  <c r="V213" i="5"/>
  <c r="X213" i="5" s="1"/>
  <c r="V214" i="5"/>
  <c r="X214" i="5" s="1"/>
  <c r="V217" i="5"/>
  <c r="X217" i="5" s="1"/>
  <c r="V218" i="5"/>
  <c r="X218" i="5" s="1"/>
  <c r="V219" i="5"/>
  <c r="X219" i="5" s="1"/>
  <c r="V220" i="5"/>
  <c r="X220" i="5" s="1"/>
  <c r="V221" i="5"/>
  <c r="X221" i="5" s="1"/>
  <c r="V222" i="5"/>
  <c r="X222" i="5" s="1"/>
  <c r="V224" i="5"/>
  <c r="X224" i="5" s="1"/>
  <c r="V225" i="5"/>
  <c r="X225" i="5" s="1"/>
  <c r="V226" i="5"/>
  <c r="X226" i="5" s="1"/>
  <c r="V227" i="5"/>
  <c r="X227" i="5" s="1"/>
  <c r="V229" i="5"/>
  <c r="X229" i="5" s="1"/>
  <c r="V232" i="5"/>
  <c r="X232" i="5" s="1"/>
  <c r="V233" i="5"/>
  <c r="X233" i="5" s="1"/>
  <c r="V234" i="5"/>
  <c r="X234" i="5" s="1"/>
  <c r="V235" i="5"/>
  <c r="X235" i="5" s="1"/>
  <c r="V237" i="5"/>
  <c r="X237" i="5" s="1"/>
  <c r="V241" i="5"/>
  <c r="X241" i="5" s="1"/>
  <c r="V242" i="5"/>
  <c r="X242" i="5" s="1"/>
  <c r="V243" i="5"/>
  <c r="X243" i="5" s="1"/>
  <c r="V245" i="5"/>
  <c r="X245" i="5" s="1"/>
  <c r="V246" i="5"/>
  <c r="X246" i="5" s="1"/>
  <c r="V249" i="5"/>
  <c r="X249" i="5" s="1"/>
  <c r="V250" i="5"/>
  <c r="X250" i="5" s="1"/>
  <c r="V251" i="5"/>
  <c r="X251" i="5" s="1"/>
  <c r="V253" i="5"/>
  <c r="X253" i="5" s="1"/>
  <c r="V254" i="5"/>
  <c r="X254" i="5" s="1"/>
  <c r="V256" i="5"/>
  <c r="X256" i="5" s="1"/>
  <c r="V258" i="5"/>
  <c r="X258" i="5" s="1"/>
  <c r="V259" i="5"/>
  <c r="X259" i="5" s="1"/>
  <c r="V260" i="5"/>
  <c r="X260" i="5" s="1"/>
  <c r="V261" i="5"/>
  <c r="X261" i="5" s="1"/>
  <c r="V262" i="5"/>
  <c r="X262" i="5" s="1"/>
  <c r="V264" i="5"/>
  <c r="X264" i="5" s="1"/>
  <c r="V266" i="5"/>
  <c r="X266" i="5" s="1"/>
  <c r="V267" i="5"/>
  <c r="X267" i="5" s="1"/>
  <c r="V269" i="5"/>
  <c r="X269" i="5" s="1"/>
  <c r="V270" i="5"/>
  <c r="X270" i="5" s="1"/>
  <c r="V272" i="5"/>
  <c r="X272" i="5" s="1"/>
  <c r="V273" i="5"/>
  <c r="X273" i="5" s="1"/>
  <c r="V274" i="5"/>
  <c r="X274" i="5" s="1"/>
  <c r="V275" i="5"/>
  <c r="X275" i="5" s="1"/>
  <c r="V276" i="5"/>
  <c r="X276" i="5" s="1"/>
  <c r="V277" i="5"/>
  <c r="X277" i="5" s="1"/>
  <c r="V278" i="5"/>
  <c r="X278" i="5" s="1"/>
  <c r="V281" i="5"/>
  <c r="X281" i="5" s="1"/>
  <c r="V282" i="5"/>
  <c r="X282" i="5" s="1"/>
  <c r="V283" i="5"/>
  <c r="X283" i="5" s="1"/>
  <c r="V285" i="5"/>
  <c r="X285" i="5" s="1"/>
  <c r="V286" i="5"/>
  <c r="X286" i="5" s="1"/>
  <c r="V288" i="5"/>
  <c r="X288" i="5" s="1"/>
  <c r="V289" i="5"/>
  <c r="X289" i="5" s="1"/>
  <c r="V290" i="5"/>
  <c r="X290" i="5" s="1"/>
  <c r="V291" i="5"/>
  <c r="X291" i="5" s="1"/>
  <c r="V293" i="5"/>
  <c r="X293" i="5" s="1"/>
  <c r="V294" i="5"/>
  <c r="X294" i="5" s="1"/>
  <c r="V296" i="5"/>
  <c r="X296" i="5" s="1"/>
  <c r="V297" i="5"/>
  <c r="X297" i="5" s="1"/>
  <c r="V298" i="5"/>
  <c r="X298" i="5" s="1"/>
  <c r="V299" i="5"/>
  <c r="X299" i="5" s="1"/>
  <c r="V301" i="5"/>
  <c r="X301" i="5" s="1"/>
  <c r="V304" i="5"/>
  <c r="X304" i="5" s="1"/>
  <c r="V305" i="5"/>
  <c r="X305" i="5" s="1"/>
  <c r="V306" i="5"/>
  <c r="X306" i="5" s="1"/>
  <c r="V307" i="5"/>
  <c r="X307" i="5" s="1"/>
  <c r="V309" i="5"/>
  <c r="X309" i="5" s="1"/>
  <c r="V310" i="5"/>
  <c r="X310" i="5" s="1"/>
  <c r="V312" i="5"/>
  <c r="X312" i="5" s="1"/>
  <c r="V314" i="5"/>
  <c r="X314" i="5" s="1"/>
  <c r="V315" i="5"/>
  <c r="X315" i="5" s="1"/>
  <c r="V316" i="5"/>
  <c r="X316" i="5" s="1"/>
  <c r="V317" i="5"/>
  <c r="X317" i="5" s="1"/>
  <c r="V318" i="5"/>
  <c r="X318" i="5" s="1"/>
  <c r="V320" i="5"/>
  <c r="X320" i="5" s="1"/>
  <c r="V321" i="5"/>
  <c r="X321" i="5" s="1"/>
  <c r="V322" i="5"/>
  <c r="X322" i="5" s="1"/>
  <c r="V323" i="5"/>
  <c r="X323" i="5" s="1"/>
  <c r="V325" i="5"/>
  <c r="X325" i="5" s="1"/>
  <c r="V328" i="5"/>
  <c r="X328" i="5" s="1"/>
  <c r="V329" i="5"/>
  <c r="X329" i="5" s="1"/>
  <c r="V330" i="5"/>
  <c r="X330" i="5" s="1"/>
  <c r="V331" i="5"/>
  <c r="X331" i="5" s="1"/>
  <c r="V332" i="5"/>
  <c r="X332" i="5" s="1"/>
  <c r="V333" i="5"/>
  <c r="X333" i="5" s="1"/>
  <c r="V334" i="5"/>
  <c r="X334" i="5" s="1"/>
  <c r="V338" i="5"/>
  <c r="X338" i="5" s="1"/>
  <c r="V339" i="5"/>
  <c r="X339" i="5" s="1"/>
  <c r="V341" i="5"/>
  <c r="X341" i="5" s="1"/>
  <c r="V344" i="5"/>
  <c r="X344" i="5" s="1"/>
  <c r="V345" i="5"/>
  <c r="X345" i="5" s="1"/>
  <c r="V346" i="5"/>
  <c r="X346" i="5" s="1"/>
  <c r="V347" i="5"/>
  <c r="X347" i="5" s="1"/>
  <c r="V349" i="5"/>
  <c r="X349" i="5" s="1"/>
  <c r="V350" i="5"/>
  <c r="X350" i="5" s="1"/>
  <c r="V353" i="5"/>
  <c r="X353" i="5" s="1"/>
  <c r="V354" i="5"/>
  <c r="X354" i="5" s="1"/>
  <c r="V355" i="5"/>
  <c r="X355" i="5" s="1"/>
  <c r="V357" i="5"/>
  <c r="X357" i="5" s="1"/>
  <c r="V358" i="5"/>
  <c r="X358" i="5" s="1"/>
  <c r="V360" i="5"/>
  <c r="X360" i="5" s="1"/>
  <c r="V361" i="5"/>
  <c r="X361" i="5" s="1"/>
  <c r="V362" i="5"/>
  <c r="X362" i="5" s="1"/>
  <c r="V363" i="5"/>
  <c r="X363" i="5" s="1"/>
  <c r="V365" i="5"/>
  <c r="X365" i="5" s="1"/>
  <c r="V366" i="5"/>
  <c r="X366" i="5" s="1"/>
  <c r="V368" i="5"/>
  <c r="X368" i="5" s="1"/>
  <c r="V370" i="5"/>
  <c r="X370" i="5" s="1"/>
  <c r="V371" i="5"/>
  <c r="X371" i="5" s="1"/>
  <c r="V373" i="5"/>
  <c r="X373" i="5" s="1"/>
  <c r="V374" i="5"/>
  <c r="X374" i="5" s="1"/>
  <c r="V377" i="5"/>
  <c r="X377" i="5" s="1"/>
  <c r="V378" i="5"/>
  <c r="X378" i="5" s="1"/>
  <c r="V379" i="5"/>
  <c r="X379" i="5" s="1"/>
  <c r="V381" i="5"/>
  <c r="X381" i="5" s="1"/>
  <c r="V382" i="5"/>
  <c r="X382" i="5" s="1"/>
  <c r="V384" i="5"/>
  <c r="X384" i="5" s="1"/>
  <c r="V385" i="5"/>
  <c r="X385" i="5" s="1"/>
  <c r="V386" i="5"/>
  <c r="X386" i="5" s="1"/>
  <c r="V387" i="5"/>
  <c r="X387" i="5" s="1"/>
  <c r="V389" i="5"/>
  <c r="X389" i="5" s="1"/>
  <c r="V390" i="5"/>
  <c r="X390" i="5" s="1"/>
  <c r="V392" i="5"/>
  <c r="X392" i="5" s="1"/>
  <c r="V394" i="5"/>
  <c r="X394" i="5" s="1"/>
  <c r="V395" i="5"/>
  <c r="X395" i="5" s="1"/>
  <c r="V397" i="5"/>
  <c r="X397" i="5" s="1"/>
  <c r="V398" i="5"/>
  <c r="X398" i="5" s="1"/>
  <c r="V401" i="5"/>
  <c r="X401" i="5" s="1"/>
  <c r="V402" i="5"/>
  <c r="X402" i="5" s="1"/>
  <c r="V403" i="5"/>
  <c r="X403" i="5" s="1"/>
  <c r="V404" i="5"/>
  <c r="X404" i="5" s="1"/>
  <c r="V405" i="5"/>
  <c r="X405" i="5" s="1"/>
  <c r="V406" i="5"/>
  <c r="X406" i="5" s="1"/>
  <c r="V408" i="5"/>
  <c r="X408" i="5" s="1"/>
  <c r="V409" i="5"/>
  <c r="X409" i="5" s="1"/>
  <c r="V410" i="5"/>
  <c r="X410" i="5" s="1"/>
  <c r="V411" i="5"/>
  <c r="X411" i="5" s="1"/>
  <c r="V413" i="5"/>
  <c r="X413" i="5" s="1"/>
  <c r="V414" i="5"/>
  <c r="X414" i="5" s="1"/>
  <c r="V417" i="5"/>
  <c r="X417" i="5" s="1"/>
  <c r="V418" i="5"/>
  <c r="X418" i="5" s="1"/>
  <c r="V419" i="5"/>
  <c r="X419" i="5" s="1"/>
  <c r="V420" i="5"/>
  <c r="X420" i="5" s="1"/>
  <c r="V421" i="5"/>
  <c r="X421" i="5" s="1"/>
  <c r="V422" i="5"/>
  <c r="X422" i="5" s="1"/>
  <c r="V425" i="5"/>
  <c r="X425" i="5" s="1"/>
  <c r="V426" i="5"/>
  <c r="X426" i="5" s="1"/>
  <c r="V427" i="5"/>
  <c r="X427" i="5" s="1"/>
  <c r="V429" i="5"/>
  <c r="X429" i="5" s="1"/>
  <c r="V430" i="5"/>
  <c r="X430" i="5" s="1"/>
  <c r="V432" i="5"/>
  <c r="X432" i="5" s="1"/>
  <c r="V433" i="5"/>
  <c r="X433" i="5" s="1"/>
  <c r="V434" i="5"/>
  <c r="X434" i="5" s="1"/>
  <c r="V435" i="5"/>
  <c r="X435" i="5" s="1"/>
  <c r="V437" i="5"/>
  <c r="X437" i="5" s="1"/>
  <c r="V438" i="5"/>
  <c r="X438" i="5" s="1"/>
  <c r="V440" i="5"/>
  <c r="X440" i="5" s="1"/>
  <c r="V441" i="5"/>
  <c r="X441" i="5" s="1"/>
  <c r="V442" i="5"/>
  <c r="X442" i="5" s="1"/>
  <c r="V443" i="5"/>
  <c r="X443" i="5" s="1"/>
  <c r="V445" i="5"/>
  <c r="X445" i="5" s="1"/>
  <c r="V446" i="5"/>
  <c r="X446" i="5" s="1"/>
  <c r="V448" i="5"/>
  <c r="X448" i="5" s="1"/>
  <c r="V449" i="5"/>
  <c r="X449" i="5" s="1"/>
  <c r="V450" i="5"/>
  <c r="X450" i="5" s="1"/>
  <c r="V451" i="5"/>
  <c r="X451" i="5" s="1"/>
  <c r="V453" i="5"/>
  <c r="X453" i="5" s="1"/>
  <c r="V454" i="5"/>
  <c r="X454" i="5" s="1"/>
  <c r="V457" i="5"/>
  <c r="X457" i="5" s="1"/>
  <c r="V458" i="5"/>
  <c r="X458" i="5" s="1"/>
  <c r="V459" i="5"/>
  <c r="X459" i="5" s="1"/>
  <c r="V461" i="5"/>
  <c r="X461" i="5" s="1"/>
  <c r="V462" i="5"/>
  <c r="X462" i="5" s="1"/>
  <c r="V464" i="5"/>
  <c r="X464" i="5" s="1"/>
  <c r="V465" i="5"/>
  <c r="X465" i="5" s="1"/>
  <c r="V466" i="5"/>
  <c r="X466" i="5" s="1"/>
  <c r="V467" i="5"/>
  <c r="X467" i="5" s="1"/>
  <c r="V469" i="5"/>
  <c r="X469" i="5" s="1"/>
  <c r="V470" i="5"/>
  <c r="X470" i="5" s="1"/>
  <c r="V473" i="5"/>
  <c r="X473" i="5" s="1"/>
  <c r="V474" i="5"/>
  <c r="X474" i="5" s="1"/>
  <c r="V475" i="5"/>
  <c r="X475" i="5" s="1"/>
  <c r="V477" i="5"/>
  <c r="X477" i="5" s="1"/>
  <c r="V478" i="5"/>
  <c r="X478" i="5" s="1"/>
  <c r="V480" i="5"/>
  <c r="X480" i="5" s="1"/>
  <c r="V481" i="5"/>
  <c r="X481" i="5" s="1"/>
  <c r="V482" i="5"/>
  <c r="X482" i="5" s="1"/>
  <c r="V483" i="5"/>
  <c r="X483" i="5" s="1"/>
  <c r="V485" i="5"/>
  <c r="X485" i="5" s="1"/>
  <c r="V486" i="5"/>
  <c r="X486" i="5" s="1"/>
  <c r="V488" i="5"/>
  <c r="X488" i="5" s="1"/>
  <c r="V489" i="5"/>
  <c r="X489" i="5" s="1"/>
  <c r="V490" i="5"/>
  <c r="X490" i="5" s="1"/>
  <c r="V491" i="5"/>
  <c r="X491" i="5" s="1"/>
  <c r="V493" i="5"/>
  <c r="X493" i="5" s="1"/>
  <c r="V494" i="5"/>
  <c r="X494" i="5" s="1"/>
  <c r="V497" i="5"/>
  <c r="X497" i="5" s="1"/>
  <c r="V498" i="5"/>
  <c r="X498" i="5" s="1"/>
  <c r="V499" i="5"/>
  <c r="X499" i="5" s="1"/>
  <c r="V501" i="5"/>
  <c r="X501" i="5" s="1"/>
  <c r="V502" i="5"/>
  <c r="X502" i="5" s="1"/>
  <c r="V505" i="5"/>
  <c r="X505" i="5" s="1"/>
  <c r="V506" i="5"/>
  <c r="X506" i="5" s="1"/>
  <c r="V507" i="5"/>
  <c r="X507" i="5" s="1"/>
  <c r="V509" i="5"/>
  <c r="X509" i="5" s="1"/>
  <c r="V513" i="5"/>
  <c r="X513" i="5" s="1"/>
  <c r="V514" i="5"/>
  <c r="X514" i="5" s="1"/>
  <c r="V515" i="5"/>
  <c r="X515" i="5" s="1"/>
  <c r="V517" i="5"/>
  <c r="X517" i="5" s="1"/>
  <c r="V522" i="5"/>
  <c r="X522" i="5" s="1"/>
  <c r="V523" i="5"/>
  <c r="X523" i="5" s="1"/>
  <c r="V525" i="5"/>
  <c r="X525" i="5" s="1"/>
  <c r="V526" i="5"/>
  <c r="X526" i="5" s="1"/>
  <c r="V528" i="5"/>
  <c r="X528" i="5" s="1"/>
  <c r="V529" i="5"/>
  <c r="X529" i="5" s="1"/>
  <c r="V530" i="5"/>
  <c r="X530" i="5" s="1"/>
  <c r="V531" i="5"/>
  <c r="X531" i="5" s="1"/>
  <c r="V533" i="5"/>
  <c r="X533" i="5" s="1"/>
  <c r="V536" i="5"/>
  <c r="X536" i="5" s="1"/>
  <c r="V537" i="5"/>
  <c r="X537" i="5" s="1"/>
  <c r="V538" i="5"/>
  <c r="X538" i="5" s="1"/>
  <c r="V539" i="5"/>
  <c r="X539" i="5" s="1"/>
  <c r="V541" i="5"/>
  <c r="X541" i="5" s="1"/>
  <c r="V542" i="5"/>
  <c r="X542" i="5" s="1"/>
  <c r="V544" i="5"/>
  <c r="X544" i="5" s="1"/>
  <c r="V546" i="5"/>
  <c r="X546" i="5" s="1"/>
  <c r="V547" i="5"/>
  <c r="X547" i="5" s="1"/>
  <c r="V549" i="5"/>
  <c r="X549" i="5" s="1"/>
  <c r="V550" i="5"/>
  <c r="X550" i="5" s="1"/>
  <c r="V552" i="5"/>
  <c r="X552" i="5" s="1"/>
  <c r="V553" i="5"/>
  <c r="X553" i="5" s="1"/>
  <c r="V554" i="5"/>
  <c r="X554" i="5" s="1"/>
  <c r="V555" i="5"/>
  <c r="X555" i="5" s="1"/>
  <c r="V557" i="5"/>
  <c r="X557" i="5" s="1"/>
  <c r="V558" i="5"/>
  <c r="X558" i="5" s="1"/>
  <c r="V561" i="5"/>
  <c r="X561" i="5" s="1"/>
  <c r="V562" i="5"/>
  <c r="X562" i="5" s="1"/>
  <c r="V563" i="5"/>
  <c r="X563" i="5" s="1"/>
  <c r="V565" i="5"/>
  <c r="X565" i="5" s="1"/>
  <c r="V566" i="5"/>
  <c r="X566" i="5" s="1"/>
  <c r="V568" i="5"/>
  <c r="X568" i="5" s="1"/>
  <c r="V569" i="5"/>
  <c r="X569" i="5" s="1"/>
  <c r="V570" i="5"/>
  <c r="X570" i="5" s="1"/>
  <c r="V571" i="5"/>
  <c r="X571" i="5" s="1"/>
  <c r="V573" i="5"/>
  <c r="X573" i="5" s="1"/>
  <c r="V576" i="5"/>
  <c r="X576" i="5" s="1"/>
  <c r="V578" i="5"/>
  <c r="X578" i="5" s="1"/>
  <c r="V579" i="5"/>
  <c r="X579" i="5" s="1"/>
  <c r="V581" i="5"/>
  <c r="X581" i="5" s="1"/>
  <c r="V582" i="5"/>
  <c r="X582" i="5" s="1"/>
  <c r="V585" i="5"/>
  <c r="X585" i="5" s="1"/>
  <c r="V586" i="5"/>
  <c r="X586" i="5" s="1"/>
  <c r="V587" i="5"/>
  <c r="X587" i="5" s="1"/>
  <c r="V589" i="5"/>
  <c r="X589" i="5" s="1"/>
  <c r="V590" i="5"/>
  <c r="X590" i="5" s="1"/>
  <c r="V592" i="5"/>
  <c r="X592" i="5" s="1"/>
  <c r="V594" i="5"/>
  <c r="X594" i="5" s="1"/>
  <c r="V595" i="5"/>
  <c r="X595" i="5" s="1"/>
  <c r="V597" i="5"/>
  <c r="X597" i="5" s="1"/>
  <c r="V600" i="5"/>
  <c r="X600" i="5" s="1"/>
  <c r="V601" i="5"/>
  <c r="X601" i="5" s="1"/>
  <c r="V602" i="5"/>
  <c r="X602" i="5" s="1"/>
  <c r="V603" i="5"/>
  <c r="X603" i="5" s="1"/>
  <c r="V605" i="5"/>
  <c r="X605" i="5" s="1"/>
  <c r="V606" i="5"/>
  <c r="X606" i="5" s="1"/>
  <c r="V608" i="5"/>
  <c r="X608" i="5" s="1"/>
  <c r="V609" i="5"/>
  <c r="X609" i="5" s="1"/>
  <c r="V610" i="5"/>
  <c r="X610" i="5" s="1"/>
  <c r="V611" i="5"/>
  <c r="X611" i="5" s="1"/>
  <c r="V613" i="5"/>
  <c r="X613" i="5" s="1"/>
  <c r="V614" i="5"/>
  <c r="X614" i="5" s="1"/>
  <c r="V616" i="5"/>
  <c r="X616" i="5" s="1"/>
  <c r="V617" i="5"/>
  <c r="X617" i="5" s="1"/>
  <c r="V618" i="5"/>
  <c r="X618" i="5" s="1"/>
  <c r="V619" i="5"/>
  <c r="X619" i="5" s="1"/>
  <c r="V621" i="5"/>
  <c r="X621" i="5" s="1"/>
  <c r="V622" i="5"/>
  <c r="X622" i="5" s="1"/>
  <c r="V11" i="5"/>
  <c r="X11" i="5" s="1"/>
  <c r="V12" i="5"/>
  <c r="X12" i="5" s="1"/>
  <c r="V14" i="5"/>
  <c r="X14" i="5" s="1"/>
  <c r="V15" i="5"/>
  <c r="X15" i="5" s="1"/>
  <c r="V17" i="5"/>
  <c r="X17" i="5" s="1"/>
  <c r="V20" i="5"/>
  <c r="X20" i="5" s="1"/>
  <c r="V23" i="5"/>
  <c r="X23" i="5" s="1"/>
  <c r="V26" i="5"/>
  <c r="X26" i="5" s="1"/>
  <c r="V31" i="5"/>
  <c r="X31" i="5" s="1"/>
  <c r="V33" i="5"/>
  <c r="X33" i="5" s="1"/>
  <c r="V34" i="5"/>
  <c r="X34" i="5" s="1"/>
  <c r="V36" i="5"/>
  <c r="X36" i="5" s="1"/>
  <c r="V39" i="5"/>
  <c r="X39" i="5" s="1"/>
  <c r="V44" i="5"/>
  <c r="X44" i="5" s="1"/>
  <c r="V47" i="5"/>
  <c r="X47" i="5" s="1"/>
  <c r="V48" i="5"/>
  <c r="X48" i="5" s="1"/>
  <c r="V49" i="5"/>
  <c r="X49" i="5" s="1"/>
  <c r="V52" i="5"/>
  <c r="X52" i="5" s="1"/>
  <c r="V55" i="5"/>
  <c r="X55" i="5" s="1"/>
  <c r="V56" i="5"/>
  <c r="X56" i="5" s="1"/>
  <c r="V60" i="5"/>
  <c r="X60" i="5" s="1"/>
  <c r="V62" i="5"/>
  <c r="X62" i="5" s="1"/>
  <c r="V63" i="5"/>
  <c r="X63" i="5" s="1"/>
  <c r="V65" i="5"/>
  <c r="X65" i="5" s="1"/>
  <c r="V71" i="5"/>
  <c r="X71" i="5" s="1"/>
  <c r="V73" i="5"/>
  <c r="X73" i="5" s="1"/>
  <c r="V76" i="5"/>
  <c r="X76" i="5" s="1"/>
  <c r="V79" i="5"/>
  <c r="X79" i="5" s="1"/>
  <c r="V86" i="5"/>
  <c r="X86" i="5" s="1"/>
  <c r="V87" i="5"/>
  <c r="X87" i="5" s="1"/>
  <c r="V88" i="5"/>
  <c r="X88" i="5" s="1"/>
  <c r="V89" i="5"/>
  <c r="X89" i="5" s="1"/>
  <c r="V92" i="5"/>
  <c r="X92" i="5" s="1"/>
  <c r="V94" i="5"/>
  <c r="X94" i="5" s="1"/>
  <c r="V95" i="5"/>
  <c r="X95" i="5" s="1"/>
  <c r="V96" i="5"/>
  <c r="X96" i="5" s="1"/>
  <c r="V97" i="5"/>
  <c r="X97" i="5" s="1"/>
  <c r="V98" i="5"/>
  <c r="X98" i="5" s="1"/>
  <c r="V100" i="5"/>
  <c r="X100" i="5" s="1"/>
  <c r="V103" i="5"/>
  <c r="X103" i="5" s="1"/>
  <c r="V110" i="5"/>
  <c r="X110" i="5" s="1"/>
  <c r="V111" i="5"/>
  <c r="X111" i="5" s="1"/>
  <c r="V112" i="5"/>
  <c r="X112" i="5" s="1"/>
  <c r="V116" i="5"/>
  <c r="X116" i="5" s="1"/>
  <c r="V119" i="5"/>
  <c r="X119" i="5" s="1"/>
  <c r="V121" i="5"/>
  <c r="X121" i="5" s="1"/>
  <c r="V124" i="5"/>
  <c r="X124" i="5" s="1"/>
  <c r="V126" i="5"/>
  <c r="X126" i="5" s="1"/>
  <c r="V127" i="5"/>
  <c r="X127" i="5" s="1"/>
  <c r="V128" i="5"/>
  <c r="X128" i="5" s="1"/>
  <c r="V132" i="5"/>
  <c r="X132" i="5" s="1"/>
  <c r="V135" i="5"/>
  <c r="X135" i="5" s="1"/>
  <c r="V137" i="5"/>
  <c r="X137" i="5" s="1"/>
  <c r="V140" i="5"/>
  <c r="X140" i="5" s="1"/>
  <c r="V142" i="5"/>
  <c r="X142" i="5" s="1"/>
  <c r="V143" i="5"/>
  <c r="X143" i="5" s="1"/>
  <c r="V145" i="5"/>
  <c r="X145" i="5" s="1"/>
  <c r="V150" i="5"/>
  <c r="X150" i="5" s="1"/>
  <c r="V151" i="5"/>
  <c r="X151" i="5" s="1"/>
  <c r="V154" i="5"/>
  <c r="X154" i="5" s="1"/>
  <c r="V156" i="5"/>
  <c r="X156" i="5" s="1"/>
  <c r="V158" i="5"/>
  <c r="X158" i="5" s="1"/>
  <c r="V159" i="5"/>
  <c r="X159" i="5" s="1"/>
  <c r="V167" i="5"/>
  <c r="X167" i="5" s="1"/>
  <c r="V168" i="5"/>
  <c r="X168" i="5" s="1"/>
  <c r="V169" i="5"/>
  <c r="X169" i="5" s="1"/>
  <c r="V172" i="5"/>
  <c r="X172" i="5" s="1"/>
  <c r="V175" i="5"/>
  <c r="X175" i="5" s="1"/>
  <c r="V180" i="5"/>
  <c r="X180" i="5" s="1"/>
  <c r="V183" i="5"/>
  <c r="X183" i="5" s="1"/>
  <c r="V184" i="5"/>
  <c r="X184" i="5" s="1"/>
  <c r="V188" i="5"/>
  <c r="X188" i="5" s="1"/>
  <c r="V191" i="5"/>
  <c r="X191" i="5" s="1"/>
  <c r="V193" i="5"/>
  <c r="X193" i="5" s="1"/>
  <c r="V196" i="5"/>
  <c r="X196" i="5" s="1"/>
  <c r="V199" i="5"/>
  <c r="X199" i="5" s="1"/>
  <c r="V204" i="5"/>
  <c r="X204" i="5" s="1"/>
  <c r="V207" i="5"/>
  <c r="X207" i="5" s="1"/>
  <c r="V208" i="5"/>
  <c r="X208" i="5" s="1"/>
  <c r="V209" i="5"/>
  <c r="X209" i="5" s="1"/>
  <c r="V212" i="5"/>
  <c r="X212" i="5" s="1"/>
  <c r="V215" i="5"/>
  <c r="X215" i="5" s="1"/>
  <c r="V216" i="5"/>
  <c r="X216" i="5" s="1"/>
  <c r="V223" i="5"/>
  <c r="X223" i="5" s="1"/>
  <c r="V228" i="5"/>
  <c r="X228" i="5" s="1"/>
  <c r="V230" i="5"/>
  <c r="X230" i="5" s="1"/>
  <c r="V231" i="5"/>
  <c r="X231" i="5" s="1"/>
  <c r="V236" i="5"/>
  <c r="X236" i="5" s="1"/>
  <c r="V238" i="5"/>
  <c r="X238" i="5" s="1"/>
  <c r="V239" i="5"/>
  <c r="X239" i="5" s="1"/>
  <c r="V240" i="5"/>
  <c r="X240" i="5" s="1"/>
  <c r="V244" i="5"/>
  <c r="X244" i="5" s="1"/>
  <c r="V247" i="5"/>
  <c r="X247" i="5" s="1"/>
  <c r="V248" i="5"/>
  <c r="X248" i="5" s="1"/>
  <c r="V252" i="5"/>
  <c r="X252" i="5" s="1"/>
  <c r="V255" i="5"/>
  <c r="X255" i="5" s="1"/>
  <c r="V257" i="5"/>
  <c r="X257" i="5" s="1"/>
  <c r="V263" i="5"/>
  <c r="X263" i="5" s="1"/>
  <c r="V265" i="5"/>
  <c r="X265" i="5" s="1"/>
  <c r="V268" i="5"/>
  <c r="X268" i="5" s="1"/>
  <c r="V271" i="5"/>
  <c r="X271" i="5" s="1"/>
  <c r="V279" i="5"/>
  <c r="X279" i="5" s="1"/>
  <c r="V280" i="5"/>
  <c r="X280" i="5" s="1"/>
  <c r="V284" i="5"/>
  <c r="X284" i="5" s="1"/>
  <c r="V287" i="5"/>
  <c r="X287" i="5" s="1"/>
  <c r="V292" i="5"/>
  <c r="X292" i="5" s="1"/>
  <c r="V295" i="5"/>
  <c r="X295" i="5" s="1"/>
  <c r="V300" i="5"/>
  <c r="X300" i="5" s="1"/>
  <c r="V302" i="5"/>
  <c r="X302" i="5" s="1"/>
  <c r="V303" i="5"/>
  <c r="X303" i="5" s="1"/>
  <c r="V308" i="5"/>
  <c r="X308" i="5" s="1"/>
  <c r="V311" i="5"/>
  <c r="X311" i="5" s="1"/>
  <c r="V313" i="5"/>
  <c r="X313" i="5" s="1"/>
  <c r="V319" i="5"/>
  <c r="X319" i="5" s="1"/>
  <c r="V324" i="5"/>
  <c r="X324" i="5" s="1"/>
  <c r="V326" i="5"/>
  <c r="X326" i="5" s="1"/>
  <c r="V327" i="5"/>
  <c r="X327" i="5" s="1"/>
  <c r="V335" i="5"/>
  <c r="X335" i="5" s="1"/>
  <c r="V336" i="5"/>
  <c r="X336" i="5" s="1"/>
  <c r="V337" i="5"/>
  <c r="X337" i="5" s="1"/>
  <c r="V340" i="5"/>
  <c r="X340" i="5" s="1"/>
  <c r="V342" i="5"/>
  <c r="X342" i="5" s="1"/>
  <c r="V343" i="5"/>
  <c r="X343" i="5" s="1"/>
  <c r="V348" i="5"/>
  <c r="X348" i="5" s="1"/>
  <c r="V351" i="5"/>
  <c r="X351" i="5" s="1"/>
  <c r="V352" i="5"/>
  <c r="X352" i="5" s="1"/>
  <c r="V356" i="5"/>
  <c r="X356" i="5" s="1"/>
  <c r="V359" i="5"/>
  <c r="X359" i="5" s="1"/>
  <c r="V364" i="5"/>
  <c r="X364" i="5" s="1"/>
  <c r="V367" i="5"/>
  <c r="X367" i="5" s="1"/>
  <c r="V369" i="5"/>
  <c r="X369" i="5" s="1"/>
  <c r="V372" i="5"/>
  <c r="X372" i="5" s="1"/>
  <c r="V375" i="5"/>
  <c r="X375" i="5" s="1"/>
  <c r="V376" i="5"/>
  <c r="X376" i="5" s="1"/>
  <c r="V380" i="5"/>
  <c r="X380" i="5" s="1"/>
  <c r="V383" i="5"/>
  <c r="X383" i="5" s="1"/>
  <c r="V388" i="5"/>
  <c r="X388" i="5" s="1"/>
  <c r="V391" i="5"/>
  <c r="X391" i="5" s="1"/>
  <c r="V393" i="5"/>
  <c r="X393" i="5" s="1"/>
  <c r="V396" i="5"/>
  <c r="X396" i="5" s="1"/>
  <c r="V399" i="5"/>
  <c r="X399" i="5" s="1"/>
  <c r="V400" i="5"/>
  <c r="X400" i="5" s="1"/>
  <c r="V407" i="5"/>
  <c r="X407" i="5" s="1"/>
  <c r="V412" i="5"/>
  <c r="X412" i="5" s="1"/>
  <c r="V415" i="5"/>
  <c r="X415" i="5" s="1"/>
  <c r="V416" i="5"/>
  <c r="X416" i="5" s="1"/>
  <c r="V423" i="5"/>
  <c r="X423" i="5" s="1"/>
  <c r="V424" i="5"/>
  <c r="X424" i="5" s="1"/>
  <c r="V428" i="5"/>
  <c r="X428" i="5" s="1"/>
  <c r="V431" i="5"/>
  <c r="X431" i="5" s="1"/>
  <c r="V436" i="5"/>
  <c r="X436" i="5" s="1"/>
  <c r="V439" i="5"/>
  <c r="X439" i="5" s="1"/>
  <c r="V444" i="5"/>
  <c r="X444" i="5" s="1"/>
  <c r="V447" i="5"/>
  <c r="X447" i="5" s="1"/>
  <c r="V452" i="5"/>
  <c r="X452" i="5" s="1"/>
  <c r="V455" i="5"/>
  <c r="X455" i="5" s="1"/>
  <c r="V456" i="5"/>
  <c r="X456" i="5" s="1"/>
  <c r="V460" i="5"/>
  <c r="X460" i="5" s="1"/>
  <c r="V463" i="5"/>
  <c r="X463" i="5" s="1"/>
  <c r="V468" i="5"/>
  <c r="X468" i="5" s="1"/>
  <c r="V471" i="5"/>
  <c r="X471" i="5" s="1"/>
  <c r="V472" i="5"/>
  <c r="X472" i="5" s="1"/>
  <c r="V476" i="5"/>
  <c r="X476" i="5" s="1"/>
  <c r="V479" i="5"/>
  <c r="X479" i="5" s="1"/>
  <c r="V484" i="5"/>
  <c r="X484" i="5" s="1"/>
  <c r="V487" i="5"/>
  <c r="X487" i="5" s="1"/>
  <c r="V492" i="5"/>
  <c r="X492" i="5" s="1"/>
  <c r="V495" i="5"/>
  <c r="X495" i="5" s="1"/>
  <c r="V496" i="5"/>
  <c r="X496" i="5" s="1"/>
  <c r="V500" i="5"/>
  <c r="X500" i="5" s="1"/>
  <c r="V503" i="5"/>
  <c r="X503" i="5" s="1"/>
  <c r="V504" i="5"/>
  <c r="X504" i="5" s="1"/>
  <c r="V508" i="5"/>
  <c r="X508" i="5" s="1"/>
  <c r="V510" i="5"/>
  <c r="X510" i="5" s="1"/>
  <c r="V511" i="5"/>
  <c r="X511" i="5" s="1"/>
  <c r="V512" i="5"/>
  <c r="X512" i="5" s="1"/>
  <c r="V516" i="5"/>
  <c r="X516" i="5" s="1"/>
  <c r="V518" i="5"/>
  <c r="X518" i="5" s="1"/>
  <c r="V519" i="5"/>
  <c r="X519" i="5" s="1"/>
  <c r="V520" i="5"/>
  <c r="X520" i="5" s="1"/>
  <c r="V521" i="5"/>
  <c r="X521" i="5" s="1"/>
  <c r="V524" i="5"/>
  <c r="X524" i="5" s="1"/>
  <c r="V527" i="5"/>
  <c r="X527" i="5" s="1"/>
  <c r="V532" i="5"/>
  <c r="X532" i="5" s="1"/>
  <c r="V534" i="5"/>
  <c r="X534" i="5" s="1"/>
  <c r="V535" i="5"/>
  <c r="X535" i="5" s="1"/>
  <c r="V540" i="5"/>
  <c r="X540" i="5" s="1"/>
  <c r="V543" i="5"/>
  <c r="X543" i="5" s="1"/>
  <c r="V545" i="5"/>
  <c r="X545" i="5" s="1"/>
  <c r="V548" i="5"/>
  <c r="X548" i="5" s="1"/>
  <c r="V551" i="5"/>
  <c r="X551" i="5" s="1"/>
  <c r="V556" i="5"/>
  <c r="X556" i="5" s="1"/>
  <c r="V559" i="5"/>
  <c r="X559" i="5" s="1"/>
  <c r="V560" i="5"/>
  <c r="X560" i="5" s="1"/>
  <c r="V564" i="5"/>
  <c r="X564" i="5" s="1"/>
  <c r="V567" i="5"/>
  <c r="X567" i="5" s="1"/>
  <c r="V572" i="5"/>
  <c r="X572" i="5" s="1"/>
  <c r="V574" i="5"/>
  <c r="X574" i="5" s="1"/>
  <c r="V575" i="5"/>
  <c r="X575" i="5" s="1"/>
  <c r="V577" i="5"/>
  <c r="X577" i="5" s="1"/>
  <c r="V580" i="5"/>
  <c r="X580" i="5" s="1"/>
  <c r="V583" i="5"/>
  <c r="X583" i="5" s="1"/>
  <c r="V584" i="5"/>
  <c r="X584" i="5" s="1"/>
  <c r="V588" i="5"/>
  <c r="X588" i="5" s="1"/>
  <c r="V591" i="5"/>
  <c r="X591" i="5" s="1"/>
  <c r="V593" i="5"/>
  <c r="X593" i="5" s="1"/>
  <c r="V596" i="5"/>
  <c r="X596" i="5" s="1"/>
  <c r="V598" i="5"/>
  <c r="X598" i="5" s="1"/>
  <c r="V599" i="5"/>
  <c r="X599" i="5" s="1"/>
  <c r="V604" i="5"/>
  <c r="X604" i="5" s="1"/>
  <c r="V607" i="5"/>
  <c r="X607" i="5" s="1"/>
  <c r="V612" i="5"/>
  <c r="X612" i="5" s="1"/>
  <c r="V615" i="5"/>
  <c r="X615" i="5" s="1"/>
  <c r="V620" i="5"/>
  <c r="X620" i="5" s="1"/>
  <c r="V623" i="5"/>
  <c r="X623" i="5" s="1"/>
  <c r="V624" i="5"/>
  <c r="X624" i="5" s="1"/>
  <c r="S3" i="5" l="1"/>
  <c r="BP20" i="6"/>
  <c r="BO20" i="6"/>
  <c r="BN20" i="6"/>
  <c r="BM20" i="6"/>
  <c r="BL20" i="6"/>
  <c r="BK20" i="6"/>
  <c r="BJ20" i="6"/>
  <c r="BI20" i="6"/>
  <c r="BH20" i="6"/>
  <c r="Z10" i="1" l="1"/>
  <c r="Y10" i="1"/>
  <c r="X10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G10" i="1"/>
  <c r="G9" i="1"/>
  <c r="G8" i="1"/>
  <c r="C8" i="1"/>
  <c r="D8" i="1"/>
  <c r="E8" i="1"/>
  <c r="F8" i="1"/>
  <c r="C9" i="1"/>
  <c r="D9" i="1"/>
  <c r="E9" i="1"/>
  <c r="F9" i="1"/>
  <c r="C10" i="1"/>
  <c r="D10" i="1"/>
  <c r="E10" i="1"/>
  <c r="F10" i="1"/>
  <c r="B10" i="1"/>
  <c r="B9" i="1"/>
  <c r="B8" i="1"/>
  <c r="C289" i="1" l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C288" i="1"/>
  <c r="B288" i="1"/>
  <c r="CZ17" i="6" l="1"/>
  <c r="CZ18" i="6"/>
  <c r="CZ19" i="6"/>
  <c r="CZ20" i="6"/>
  <c r="CZ21" i="6"/>
  <c r="CZ22" i="6"/>
  <c r="CZ23" i="6"/>
  <c r="CZ24" i="6"/>
  <c r="CZ25" i="6"/>
  <c r="CZ26" i="6"/>
  <c r="CZ27" i="6"/>
  <c r="CZ28" i="6"/>
  <c r="CZ29" i="6"/>
  <c r="CZ30" i="6"/>
  <c r="CZ31" i="6"/>
  <c r="CZ32" i="6"/>
  <c r="CZ33" i="6"/>
  <c r="CZ34" i="6"/>
  <c r="CZ35" i="6"/>
  <c r="CZ36" i="6"/>
  <c r="CZ37" i="6"/>
  <c r="CZ38" i="6"/>
  <c r="CZ39" i="6"/>
  <c r="CZ40" i="6"/>
  <c r="CZ41" i="6"/>
  <c r="CZ42" i="6"/>
  <c r="CZ43" i="6"/>
  <c r="CZ44" i="6"/>
  <c r="CZ45" i="6"/>
  <c r="CZ46" i="6"/>
  <c r="CZ47" i="6"/>
  <c r="CZ48" i="6"/>
  <c r="CZ49" i="6"/>
  <c r="CZ50" i="6"/>
  <c r="CZ51" i="6"/>
  <c r="CZ52" i="6"/>
  <c r="CZ53" i="6"/>
  <c r="CZ54" i="6"/>
  <c r="CZ55" i="6"/>
  <c r="CZ56" i="6"/>
  <c r="CZ57" i="6"/>
  <c r="CZ58" i="6"/>
  <c r="CZ59" i="6"/>
  <c r="CZ60" i="6"/>
  <c r="CZ61" i="6"/>
  <c r="CZ62" i="6"/>
  <c r="CZ63" i="6"/>
  <c r="CZ64" i="6"/>
  <c r="CZ65" i="6"/>
  <c r="CZ66" i="6"/>
  <c r="CZ67" i="6"/>
  <c r="CZ68" i="6"/>
  <c r="CZ69" i="6"/>
  <c r="CZ70" i="6"/>
  <c r="CZ71" i="6"/>
  <c r="CZ72" i="6"/>
  <c r="CZ73" i="6"/>
  <c r="CZ74" i="6"/>
  <c r="CZ75" i="6"/>
  <c r="CZ76" i="6"/>
  <c r="CZ77" i="6"/>
  <c r="CZ78" i="6"/>
  <c r="CZ79" i="6"/>
  <c r="CZ80" i="6"/>
  <c r="CZ81" i="6"/>
  <c r="CZ82" i="6"/>
  <c r="CZ83" i="6"/>
  <c r="CZ84" i="6"/>
  <c r="CZ85" i="6"/>
  <c r="CZ86" i="6"/>
  <c r="CZ87" i="6"/>
  <c r="CZ88" i="6"/>
  <c r="CZ89" i="6"/>
  <c r="CZ90" i="6"/>
  <c r="CZ91" i="6"/>
  <c r="CZ92" i="6"/>
  <c r="CZ93" i="6"/>
  <c r="CZ94" i="6"/>
  <c r="CZ95" i="6"/>
  <c r="CZ96" i="6"/>
  <c r="CZ97" i="6"/>
  <c r="CZ98" i="6"/>
  <c r="CZ99" i="6"/>
  <c r="CZ100" i="6"/>
  <c r="CZ101" i="6"/>
  <c r="CZ102" i="6"/>
  <c r="CZ103" i="6"/>
  <c r="CZ104" i="6"/>
  <c r="CZ105" i="6"/>
  <c r="CZ106" i="6"/>
  <c r="CZ107" i="6"/>
  <c r="CZ108" i="6"/>
  <c r="CZ109" i="6"/>
  <c r="CZ110" i="6"/>
  <c r="CZ111" i="6"/>
  <c r="CZ112" i="6"/>
  <c r="CZ113" i="6"/>
  <c r="CZ114" i="6"/>
  <c r="CZ115" i="6"/>
  <c r="CZ116" i="6"/>
  <c r="CZ117" i="6"/>
  <c r="CZ118" i="6"/>
  <c r="CZ119" i="6"/>
  <c r="CZ120" i="6"/>
  <c r="CZ121" i="6"/>
  <c r="CZ122" i="6"/>
  <c r="CZ123" i="6"/>
  <c r="CZ124" i="6"/>
  <c r="CZ125" i="6"/>
  <c r="CZ126" i="6"/>
  <c r="CZ127" i="6"/>
  <c r="CZ128" i="6"/>
  <c r="CZ129" i="6"/>
  <c r="CZ130" i="6"/>
  <c r="CZ131" i="6"/>
  <c r="CZ132" i="6"/>
  <c r="CZ133" i="6"/>
  <c r="CZ16" i="6"/>
  <c r="H107" i="6"/>
  <c r="G107" i="6"/>
  <c r="F107" i="6"/>
  <c r="E107" i="6"/>
  <c r="S16" i="6"/>
  <c r="U16" i="6" s="1"/>
  <c r="T16" i="6"/>
  <c r="S17" i="6"/>
  <c r="U17" i="6" s="1"/>
  <c r="T17" i="6"/>
  <c r="S18" i="6"/>
  <c r="T18" i="6"/>
  <c r="DX83" i="6"/>
  <c r="DX84" i="6"/>
  <c r="DX92" i="6"/>
  <c r="DX96" i="6"/>
  <c r="DX98" i="6"/>
  <c r="DX124" i="6"/>
  <c r="DX130" i="6"/>
  <c r="DX131" i="6"/>
  <c r="DX132" i="6"/>
  <c r="DX133" i="6"/>
  <c r="DV83" i="6"/>
  <c r="DV84" i="6"/>
  <c r="DV92" i="6"/>
  <c r="DV96" i="6"/>
  <c r="DV98" i="6"/>
  <c r="DV124" i="6"/>
  <c r="DV130" i="6"/>
  <c r="DV131" i="6"/>
  <c r="DV132" i="6"/>
  <c r="DV133" i="6"/>
  <c r="DS83" i="6"/>
  <c r="DS84" i="6"/>
  <c r="DS92" i="6"/>
  <c r="DS96" i="6"/>
  <c r="DS98" i="6"/>
  <c r="DS124" i="6"/>
  <c r="DS130" i="6"/>
  <c r="DS131" i="6"/>
  <c r="DS132" i="6"/>
  <c r="DS133" i="6"/>
  <c r="Q17" i="6"/>
  <c r="Q18" i="6"/>
  <c r="Q83" i="6"/>
  <c r="Q84" i="6"/>
  <c r="R17" i="6"/>
  <c r="R18" i="6"/>
  <c r="R83" i="6"/>
  <c r="R84" i="6"/>
  <c r="R16" i="6"/>
  <c r="Q16" i="6"/>
  <c r="AE14" i="1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DN19" i="6"/>
  <c r="DN18" i="6"/>
  <c r="DM76" i="6"/>
  <c r="DN16" i="6"/>
  <c r="H74" i="6"/>
  <c r="G74" i="6"/>
  <c r="F74" i="6"/>
  <c r="E74" i="6"/>
  <c r="AD130" i="6"/>
  <c r="AD131" i="6"/>
  <c r="AD132" i="6"/>
  <c r="AD133" i="6"/>
  <c r="AC130" i="6"/>
  <c r="AC131" i="6"/>
  <c r="AC132" i="6"/>
  <c r="AC133" i="6"/>
  <c r="L97" i="13"/>
  <c r="M97" i="13"/>
  <c r="L98" i="13"/>
  <c r="M98" i="13"/>
  <c r="L99" i="13"/>
  <c r="M99" i="13"/>
  <c r="L100" i="13"/>
  <c r="M100" i="13"/>
  <c r="L101" i="13"/>
  <c r="M101" i="13"/>
  <c r="L102" i="13"/>
  <c r="M102" i="13"/>
  <c r="L103" i="13"/>
  <c r="M103" i="13"/>
  <c r="L104" i="13"/>
  <c r="M104" i="13"/>
  <c r="D104" i="13" s="1"/>
  <c r="L105" i="13"/>
  <c r="M105" i="13"/>
  <c r="L106" i="13"/>
  <c r="M106" i="13"/>
  <c r="L107" i="13"/>
  <c r="M107" i="13"/>
  <c r="L108" i="13"/>
  <c r="M108" i="13"/>
  <c r="L109" i="13"/>
  <c r="M109" i="13"/>
  <c r="L110" i="13"/>
  <c r="M110" i="13"/>
  <c r="L111" i="13"/>
  <c r="M111" i="13"/>
  <c r="L112" i="13"/>
  <c r="M112" i="13"/>
  <c r="D112" i="13" s="1"/>
  <c r="L113" i="13"/>
  <c r="M113" i="13"/>
  <c r="L114" i="13"/>
  <c r="M114" i="13"/>
  <c r="L115" i="13"/>
  <c r="M115" i="13"/>
  <c r="L116" i="13"/>
  <c r="M116" i="13"/>
  <c r="L117" i="13"/>
  <c r="M117" i="13"/>
  <c r="L118" i="13"/>
  <c r="M118" i="13"/>
  <c r="L119" i="13"/>
  <c r="M119" i="13"/>
  <c r="L120" i="13"/>
  <c r="M120" i="13"/>
  <c r="D120" i="13" s="1"/>
  <c r="L121" i="13"/>
  <c r="M121" i="13"/>
  <c r="L122" i="13"/>
  <c r="M122" i="13"/>
  <c r="L123" i="13"/>
  <c r="M123" i="13"/>
  <c r="L124" i="13"/>
  <c r="M124" i="13"/>
  <c r="L125" i="13"/>
  <c r="M125" i="13"/>
  <c r="L126" i="13"/>
  <c r="M126" i="13"/>
  <c r="L127" i="13"/>
  <c r="M127" i="13"/>
  <c r="L128" i="13"/>
  <c r="M128" i="13"/>
  <c r="D128" i="13" s="1"/>
  <c r="L129" i="13"/>
  <c r="M129" i="13"/>
  <c r="L130" i="13"/>
  <c r="M130" i="13"/>
  <c r="L131" i="13"/>
  <c r="M131" i="13"/>
  <c r="L132" i="13"/>
  <c r="M132" i="13"/>
  <c r="L133" i="13"/>
  <c r="M133" i="13"/>
  <c r="L134" i="13"/>
  <c r="M134" i="13"/>
  <c r="L135" i="13"/>
  <c r="M135" i="13"/>
  <c r="L136" i="13"/>
  <c r="M136" i="13"/>
  <c r="D136" i="13" s="1"/>
  <c r="L137" i="13"/>
  <c r="M137" i="13"/>
  <c r="L138" i="13"/>
  <c r="M138" i="13"/>
  <c r="L139" i="13"/>
  <c r="M139" i="13"/>
  <c r="L140" i="13"/>
  <c r="M140" i="13"/>
  <c r="L141" i="13"/>
  <c r="M141" i="13"/>
  <c r="L142" i="13"/>
  <c r="M142" i="13"/>
  <c r="L143" i="13"/>
  <c r="M143" i="13"/>
  <c r="L144" i="13"/>
  <c r="M144" i="13"/>
  <c r="D144" i="13" s="1"/>
  <c r="L145" i="13"/>
  <c r="M145" i="13"/>
  <c r="L146" i="13"/>
  <c r="M146" i="13"/>
  <c r="L147" i="13"/>
  <c r="M147" i="13"/>
  <c r="L148" i="13"/>
  <c r="M148" i="13"/>
  <c r="L149" i="13"/>
  <c r="M149" i="13"/>
  <c r="L150" i="13"/>
  <c r="M150" i="13"/>
  <c r="L151" i="13"/>
  <c r="M151" i="13"/>
  <c r="L152" i="13"/>
  <c r="M152" i="13"/>
  <c r="D152" i="13" s="1"/>
  <c r="L153" i="13"/>
  <c r="M153" i="13"/>
  <c r="L154" i="13"/>
  <c r="M154" i="13"/>
  <c r="L155" i="13"/>
  <c r="M155" i="13"/>
  <c r="L156" i="13"/>
  <c r="M156" i="13"/>
  <c r="L157" i="13"/>
  <c r="M157" i="13"/>
  <c r="L158" i="13"/>
  <c r="M158" i="13"/>
  <c r="L159" i="13"/>
  <c r="M159" i="13"/>
  <c r="L160" i="13"/>
  <c r="M160" i="13"/>
  <c r="D160" i="13" s="1"/>
  <c r="L161" i="13"/>
  <c r="M161" i="13"/>
  <c r="L162" i="13"/>
  <c r="M162" i="13"/>
  <c r="L163" i="13"/>
  <c r="M163" i="13"/>
  <c r="L164" i="13"/>
  <c r="M164" i="13"/>
  <c r="L165" i="13"/>
  <c r="M165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5" i="13"/>
  <c r="D106" i="13"/>
  <c r="D107" i="13"/>
  <c r="D108" i="13"/>
  <c r="D109" i="13"/>
  <c r="D110" i="13"/>
  <c r="D111" i="13"/>
  <c r="D113" i="13"/>
  <c r="D114" i="13"/>
  <c r="D115" i="13"/>
  <c r="D116" i="13"/>
  <c r="D117" i="13"/>
  <c r="D118" i="13"/>
  <c r="D119" i="13"/>
  <c r="D121" i="13"/>
  <c r="D122" i="13"/>
  <c r="D123" i="13"/>
  <c r="D124" i="13"/>
  <c r="D125" i="13"/>
  <c r="D126" i="13"/>
  <c r="D127" i="13"/>
  <c r="D129" i="13"/>
  <c r="D130" i="13"/>
  <c r="D131" i="13"/>
  <c r="D132" i="13"/>
  <c r="D133" i="13"/>
  <c r="D134" i="13"/>
  <c r="D135" i="13"/>
  <c r="D137" i="13"/>
  <c r="D138" i="13"/>
  <c r="D139" i="13"/>
  <c r="D140" i="13"/>
  <c r="D141" i="13"/>
  <c r="D142" i="13"/>
  <c r="D143" i="13"/>
  <c r="D145" i="13"/>
  <c r="D146" i="13"/>
  <c r="D147" i="13"/>
  <c r="D148" i="13"/>
  <c r="D149" i="13"/>
  <c r="D150" i="13"/>
  <c r="D151" i="13"/>
  <c r="D153" i="13"/>
  <c r="D154" i="13"/>
  <c r="D155" i="13"/>
  <c r="D156" i="13"/>
  <c r="D157" i="13"/>
  <c r="D158" i="13"/>
  <c r="D159" i="13"/>
  <c r="D161" i="13"/>
  <c r="D162" i="13"/>
  <c r="D163" i="13"/>
  <c r="D164" i="13"/>
  <c r="D165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D86" i="13"/>
  <c r="C86" i="13"/>
  <c r="M87" i="13"/>
  <c r="M88" i="13"/>
  <c r="M89" i="13"/>
  <c r="M90" i="13"/>
  <c r="M91" i="13"/>
  <c r="M92" i="13"/>
  <c r="M93" i="13"/>
  <c r="M94" i="13"/>
  <c r="M95" i="13"/>
  <c r="M96" i="13"/>
  <c r="L87" i="13"/>
  <c r="L88" i="13"/>
  <c r="L89" i="13"/>
  <c r="L90" i="13"/>
  <c r="L91" i="13"/>
  <c r="L92" i="13"/>
  <c r="L93" i="13"/>
  <c r="L94" i="13"/>
  <c r="L95" i="13"/>
  <c r="L96" i="13"/>
  <c r="M86" i="13"/>
  <c r="L86" i="13"/>
  <c r="DA29" i="6"/>
  <c r="EA29" i="6"/>
  <c r="DT29" i="6"/>
  <c r="EH29" i="6"/>
  <c r="EI29" i="6" s="1"/>
  <c r="AP29" i="6"/>
  <c r="O29" i="6"/>
  <c r="AB21" i="6"/>
  <c r="AB23" i="6"/>
  <c r="AB25" i="6"/>
  <c r="AB26" i="6"/>
  <c r="AB27" i="6"/>
  <c r="AB30" i="6"/>
  <c r="AB31" i="6"/>
  <c r="AB32" i="6"/>
  <c r="AB33" i="6"/>
  <c r="AB34" i="6"/>
  <c r="AB35" i="6"/>
  <c r="AB36" i="6"/>
  <c r="AB42" i="6"/>
  <c r="AB43" i="6"/>
  <c r="AB44" i="6"/>
  <c r="AB45" i="6"/>
  <c r="AB46" i="6"/>
  <c r="AB47" i="6"/>
  <c r="AB48" i="6"/>
  <c r="AB49" i="6"/>
  <c r="AB50" i="6"/>
  <c r="AB51" i="6"/>
  <c r="AB52" i="6"/>
  <c r="AB53" i="6"/>
  <c r="AB54" i="6"/>
  <c r="AB55" i="6"/>
  <c r="AB56" i="6"/>
  <c r="AB57" i="6"/>
  <c r="AB61" i="6"/>
  <c r="AB62" i="6"/>
  <c r="AB63" i="6"/>
  <c r="AB64" i="6"/>
  <c r="AB65" i="6"/>
  <c r="AB67" i="6"/>
  <c r="AB68" i="6"/>
  <c r="AB69" i="6"/>
  <c r="AB70" i="6"/>
  <c r="AB71" i="6"/>
  <c r="AB72" i="6"/>
  <c r="AB73" i="6"/>
  <c r="AB74" i="6"/>
  <c r="AB76" i="6"/>
  <c r="AB77" i="6"/>
  <c r="AB78" i="6"/>
  <c r="AB79" i="6"/>
  <c r="AB80" i="6"/>
  <c r="AB81" i="6"/>
  <c r="AB82" i="6"/>
  <c r="AB83" i="6"/>
  <c r="AB84" i="6"/>
  <c r="AB85" i="6"/>
  <c r="AB86" i="6"/>
  <c r="AB87" i="6"/>
  <c r="AB88" i="6"/>
  <c r="AB89" i="6"/>
  <c r="AB90" i="6"/>
  <c r="AB91" i="6"/>
  <c r="AB92" i="6"/>
  <c r="AB93" i="6"/>
  <c r="AB94" i="6"/>
  <c r="AB96" i="6"/>
  <c r="AB97" i="6"/>
  <c r="AB98" i="6"/>
  <c r="AB99" i="6"/>
  <c r="AB100" i="6"/>
  <c r="AB101" i="6"/>
  <c r="AB102" i="6"/>
  <c r="AB103" i="6"/>
  <c r="AB104" i="6"/>
  <c r="AB105" i="6"/>
  <c r="AB106" i="6"/>
  <c r="AB107" i="6"/>
  <c r="AB108" i="6"/>
  <c r="AB109" i="6"/>
  <c r="AB110" i="6"/>
  <c r="AB111" i="6"/>
  <c r="AB112" i="6"/>
  <c r="AB114" i="6"/>
  <c r="AB115" i="6"/>
  <c r="AB116" i="6"/>
  <c r="AB117" i="6"/>
  <c r="AB118" i="6"/>
  <c r="AB121" i="6"/>
  <c r="AB122" i="6"/>
  <c r="AB123" i="6"/>
  <c r="AB124" i="6"/>
  <c r="AB125" i="6"/>
  <c r="AB126" i="6"/>
  <c r="AB127" i="6"/>
  <c r="AB128" i="6"/>
  <c r="AB129" i="6"/>
  <c r="AB130" i="6"/>
  <c r="AB131" i="6"/>
  <c r="AB132" i="6"/>
  <c r="AB133" i="6"/>
  <c r="AB19" i="6"/>
  <c r="AA21" i="6"/>
  <c r="T21" i="6" s="1"/>
  <c r="AA23" i="6"/>
  <c r="T23" i="6" s="1"/>
  <c r="AA25" i="6"/>
  <c r="T25" i="6" s="1"/>
  <c r="AA26" i="6"/>
  <c r="T26" i="6" s="1"/>
  <c r="AA27" i="6"/>
  <c r="T27" i="6" s="1"/>
  <c r="AA30" i="6"/>
  <c r="T30" i="6" s="1"/>
  <c r="AA31" i="6"/>
  <c r="T31" i="6" s="1"/>
  <c r="AA32" i="6"/>
  <c r="T32" i="6" s="1"/>
  <c r="AA33" i="6"/>
  <c r="T33" i="6" s="1"/>
  <c r="AA34" i="6"/>
  <c r="T34" i="6" s="1"/>
  <c r="AA35" i="6"/>
  <c r="T35" i="6" s="1"/>
  <c r="AA36" i="6"/>
  <c r="T36" i="6" s="1"/>
  <c r="AA42" i="6"/>
  <c r="T42" i="6" s="1"/>
  <c r="AA43" i="6"/>
  <c r="T43" i="6" s="1"/>
  <c r="AA44" i="6"/>
  <c r="T44" i="6" s="1"/>
  <c r="AA45" i="6"/>
  <c r="T45" i="6" s="1"/>
  <c r="AA46" i="6"/>
  <c r="T46" i="6" s="1"/>
  <c r="AA47" i="6"/>
  <c r="T47" i="6" s="1"/>
  <c r="AA48" i="6"/>
  <c r="T48" i="6" s="1"/>
  <c r="AA49" i="6"/>
  <c r="T49" i="6" s="1"/>
  <c r="AA50" i="6"/>
  <c r="T50" i="6" s="1"/>
  <c r="AA51" i="6"/>
  <c r="T51" i="6" s="1"/>
  <c r="AA52" i="6"/>
  <c r="T52" i="6" s="1"/>
  <c r="AA53" i="6"/>
  <c r="T53" i="6" s="1"/>
  <c r="AA54" i="6"/>
  <c r="T54" i="6" s="1"/>
  <c r="AA55" i="6"/>
  <c r="T55" i="6" s="1"/>
  <c r="AA56" i="6"/>
  <c r="T56" i="6" s="1"/>
  <c r="AA57" i="6"/>
  <c r="T57" i="6" s="1"/>
  <c r="AA61" i="6"/>
  <c r="T61" i="6" s="1"/>
  <c r="AA62" i="6"/>
  <c r="T62" i="6" s="1"/>
  <c r="AA63" i="6"/>
  <c r="T63" i="6" s="1"/>
  <c r="AA64" i="6"/>
  <c r="T64" i="6" s="1"/>
  <c r="AA65" i="6"/>
  <c r="T65" i="6" s="1"/>
  <c r="AA67" i="6"/>
  <c r="T67" i="6" s="1"/>
  <c r="AA68" i="6"/>
  <c r="T68" i="6" s="1"/>
  <c r="AA69" i="6"/>
  <c r="T69" i="6" s="1"/>
  <c r="AA70" i="6"/>
  <c r="T70" i="6" s="1"/>
  <c r="AA71" i="6"/>
  <c r="T71" i="6" s="1"/>
  <c r="AA72" i="6"/>
  <c r="T72" i="6" s="1"/>
  <c r="AA73" i="6"/>
  <c r="T73" i="6" s="1"/>
  <c r="AA74" i="6"/>
  <c r="T74" i="6" s="1"/>
  <c r="AA76" i="6"/>
  <c r="T76" i="6" s="1"/>
  <c r="AA77" i="6"/>
  <c r="T77" i="6" s="1"/>
  <c r="AA78" i="6"/>
  <c r="T78" i="6" s="1"/>
  <c r="AA79" i="6"/>
  <c r="T79" i="6" s="1"/>
  <c r="AA80" i="6"/>
  <c r="T80" i="6" s="1"/>
  <c r="AA81" i="6"/>
  <c r="T81" i="6" s="1"/>
  <c r="AA82" i="6"/>
  <c r="T82" i="6" s="1"/>
  <c r="AA83" i="6"/>
  <c r="T83" i="6" s="1"/>
  <c r="AA84" i="6"/>
  <c r="T84" i="6" s="1"/>
  <c r="AA85" i="6"/>
  <c r="T85" i="6" s="1"/>
  <c r="AA86" i="6"/>
  <c r="T86" i="6" s="1"/>
  <c r="AA87" i="6"/>
  <c r="T87" i="6" s="1"/>
  <c r="AA88" i="6"/>
  <c r="T88" i="6" s="1"/>
  <c r="AA89" i="6"/>
  <c r="T89" i="6" s="1"/>
  <c r="AA90" i="6"/>
  <c r="T90" i="6" s="1"/>
  <c r="AA91" i="6"/>
  <c r="T91" i="6" s="1"/>
  <c r="AA92" i="6"/>
  <c r="T92" i="6" s="1"/>
  <c r="AA93" i="6"/>
  <c r="T93" i="6" s="1"/>
  <c r="AA94" i="6"/>
  <c r="T94" i="6" s="1"/>
  <c r="AA96" i="6"/>
  <c r="T96" i="6" s="1"/>
  <c r="AA97" i="6"/>
  <c r="T97" i="6" s="1"/>
  <c r="AA98" i="6"/>
  <c r="T98" i="6" s="1"/>
  <c r="AA99" i="6"/>
  <c r="T99" i="6" s="1"/>
  <c r="AA100" i="6"/>
  <c r="T100" i="6" s="1"/>
  <c r="AA101" i="6"/>
  <c r="T101" i="6" s="1"/>
  <c r="AA102" i="6"/>
  <c r="T102" i="6" s="1"/>
  <c r="AA103" i="6"/>
  <c r="T103" i="6" s="1"/>
  <c r="AA104" i="6"/>
  <c r="T104" i="6" s="1"/>
  <c r="AA105" i="6"/>
  <c r="T105" i="6" s="1"/>
  <c r="AA106" i="6"/>
  <c r="T106" i="6" s="1"/>
  <c r="AA107" i="6"/>
  <c r="T107" i="6" s="1"/>
  <c r="AA108" i="6"/>
  <c r="T108" i="6" s="1"/>
  <c r="AA109" i="6"/>
  <c r="T109" i="6" s="1"/>
  <c r="AA110" i="6"/>
  <c r="T110" i="6" s="1"/>
  <c r="AA111" i="6"/>
  <c r="T111" i="6" s="1"/>
  <c r="AA112" i="6"/>
  <c r="T112" i="6" s="1"/>
  <c r="AA114" i="6"/>
  <c r="T114" i="6" s="1"/>
  <c r="AA115" i="6"/>
  <c r="T115" i="6" s="1"/>
  <c r="AA116" i="6"/>
  <c r="T116" i="6" s="1"/>
  <c r="AA117" i="6"/>
  <c r="T117" i="6" s="1"/>
  <c r="AA118" i="6"/>
  <c r="T118" i="6" s="1"/>
  <c r="AA121" i="6"/>
  <c r="T121" i="6" s="1"/>
  <c r="AA122" i="6"/>
  <c r="T122" i="6" s="1"/>
  <c r="AA123" i="6"/>
  <c r="T123" i="6" s="1"/>
  <c r="AA124" i="6"/>
  <c r="T124" i="6" s="1"/>
  <c r="AA125" i="6"/>
  <c r="T125" i="6" s="1"/>
  <c r="AA126" i="6"/>
  <c r="T126" i="6" s="1"/>
  <c r="AA127" i="6"/>
  <c r="T127" i="6" s="1"/>
  <c r="AA128" i="6"/>
  <c r="T128" i="6" s="1"/>
  <c r="AA129" i="6"/>
  <c r="T129" i="6" s="1"/>
  <c r="AA130" i="6"/>
  <c r="T130" i="6" s="1"/>
  <c r="AA131" i="6"/>
  <c r="T131" i="6" s="1"/>
  <c r="AA132" i="6"/>
  <c r="T132" i="6" s="1"/>
  <c r="AA133" i="6"/>
  <c r="T133" i="6" s="1"/>
  <c r="AA19" i="6"/>
  <c r="T19" i="6" s="1"/>
  <c r="Y25" i="6"/>
  <c r="Y26" i="6"/>
  <c r="Y30" i="6"/>
  <c r="Y31" i="6"/>
  <c r="Y32" i="6"/>
  <c r="Y33" i="6"/>
  <c r="Y34" i="6"/>
  <c r="Y35" i="6"/>
  <c r="Y36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61" i="6"/>
  <c r="Y62" i="6"/>
  <c r="Y63" i="6"/>
  <c r="Y64" i="6"/>
  <c r="Y67" i="6"/>
  <c r="Y68" i="6"/>
  <c r="Y69" i="6"/>
  <c r="Y70" i="6"/>
  <c r="Y71" i="6"/>
  <c r="Y72" i="6"/>
  <c r="Y73" i="6"/>
  <c r="Y74" i="6"/>
  <c r="Y76" i="6"/>
  <c r="Y77" i="6"/>
  <c r="Y79" i="6"/>
  <c r="Y80" i="6"/>
  <c r="AV80" i="6" s="1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6" i="6"/>
  <c r="Y97" i="6"/>
  <c r="Y98" i="6"/>
  <c r="Y99" i="6"/>
  <c r="Y100" i="6"/>
  <c r="Y101" i="6"/>
  <c r="Y104" i="6"/>
  <c r="Y107" i="6"/>
  <c r="Y109" i="6"/>
  <c r="Y110" i="6"/>
  <c r="Y114" i="6"/>
  <c r="Y115" i="6"/>
  <c r="Y116" i="6"/>
  <c r="Y117" i="6"/>
  <c r="Y122" i="6"/>
  <c r="Y123" i="6"/>
  <c r="AU123" i="6" s="1"/>
  <c r="Y124" i="6"/>
  <c r="Y126" i="6"/>
  <c r="Y130" i="6"/>
  <c r="Y131" i="6"/>
  <c r="Y132" i="6"/>
  <c r="Y133" i="6"/>
  <c r="X25" i="6"/>
  <c r="S25" i="6" s="1"/>
  <c r="X26" i="6"/>
  <c r="S26" i="6" s="1"/>
  <c r="U26" i="6" s="1"/>
  <c r="X30" i="6"/>
  <c r="S30" i="6" s="1"/>
  <c r="U30" i="6" s="1"/>
  <c r="X31" i="6"/>
  <c r="S31" i="6" s="1"/>
  <c r="X32" i="6"/>
  <c r="S32" i="6" s="1"/>
  <c r="U32" i="6" s="1"/>
  <c r="X33" i="6"/>
  <c r="S33" i="6" s="1"/>
  <c r="X34" i="6"/>
  <c r="S34" i="6" s="1"/>
  <c r="X35" i="6"/>
  <c r="S35" i="6" s="1"/>
  <c r="X36" i="6"/>
  <c r="S36" i="6" s="1"/>
  <c r="U36" i="6" s="1"/>
  <c r="X44" i="6"/>
  <c r="S44" i="6" s="1"/>
  <c r="X45" i="6"/>
  <c r="S45" i="6" s="1"/>
  <c r="U45" i="6" s="1"/>
  <c r="X46" i="6"/>
  <c r="S46" i="6" s="1"/>
  <c r="X47" i="6"/>
  <c r="S47" i="6" s="1"/>
  <c r="X48" i="6"/>
  <c r="S48" i="6" s="1"/>
  <c r="X49" i="6"/>
  <c r="S49" i="6" s="1"/>
  <c r="U49" i="6" s="1"/>
  <c r="X50" i="6"/>
  <c r="S50" i="6" s="1"/>
  <c r="X51" i="6"/>
  <c r="S51" i="6" s="1"/>
  <c r="U51" i="6" s="1"/>
  <c r="X52" i="6"/>
  <c r="S52" i="6" s="1"/>
  <c r="X53" i="6"/>
  <c r="S53" i="6" s="1"/>
  <c r="U53" i="6" s="1"/>
  <c r="X54" i="6"/>
  <c r="S54" i="6" s="1"/>
  <c r="X55" i="6"/>
  <c r="S55" i="6" s="1"/>
  <c r="X56" i="6"/>
  <c r="S56" i="6" s="1"/>
  <c r="X61" i="6"/>
  <c r="S61" i="6" s="1"/>
  <c r="X62" i="6"/>
  <c r="S62" i="6" s="1"/>
  <c r="U62" i="6" s="1"/>
  <c r="X63" i="6"/>
  <c r="S63" i="6" s="1"/>
  <c r="X64" i="6"/>
  <c r="S64" i="6" s="1"/>
  <c r="U64" i="6" s="1"/>
  <c r="X67" i="6"/>
  <c r="S67" i="6" s="1"/>
  <c r="X68" i="6"/>
  <c r="S68" i="6" s="1"/>
  <c r="X69" i="6"/>
  <c r="S69" i="6" s="1"/>
  <c r="X70" i="6"/>
  <c r="S70" i="6" s="1"/>
  <c r="X71" i="6"/>
  <c r="S71" i="6" s="1"/>
  <c r="U71" i="6" s="1"/>
  <c r="X72" i="6"/>
  <c r="S72" i="6" s="1"/>
  <c r="X73" i="6"/>
  <c r="S73" i="6" s="1"/>
  <c r="U73" i="6" s="1"/>
  <c r="AA520" i="5" s="1"/>
  <c r="X74" i="6"/>
  <c r="S74" i="6" s="1"/>
  <c r="U74" i="6" s="1"/>
  <c r="X76" i="6"/>
  <c r="S76" i="6" s="1"/>
  <c r="X77" i="6"/>
  <c r="S77" i="6" s="1"/>
  <c r="X79" i="6"/>
  <c r="S79" i="6" s="1"/>
  <c r="X80" i="6"/>
  <c r="S80" i="6" s="1"/>
  <c r="X81" i="6"/>
  <c r="S81" i="6" s="1"/>
  <c r="X82" i="6"/>
  <c r="S82" i="6" s="1"/>
  <c r="U82" i="6" s="1"/>
  <c r="AA611" i="5" s="1"/>
  <c r="X85" i="6"/>
  <c r="S85" i="6" s="1"/>
  <c r="X86" i="6"/>
  <c r="S86" i="6" s="1"/>
  <c r="X87" i="6"/>
  <c r="S87" i="6" s="1"/>
  <c r="X88" i="6"/>
  <c r="S88" i="6" s="1"/>
  <c r="U88" i="6" s="1"/>
  <c r="AA540" i="5" s="1"/>
  <c r="X89" i="6"/>
  <c r="S89" i="6" s="1"/>
  <c r="X90" i="6"/>
  <c r="S90" i="6" s="1"/>
  <c r="U90" i="6" s="1"/>
  <c r="AA609" i="5" s="1"/>
  <c r="X91" i="6"/>
  <c r="S91" i="6" s="1"/>
  <c r="X92" i="6"/>
  <c r="S92" i="6" s="1"/>
  <c r="X93" i="6"/>
  <c r="S93" i="6" s="1"/>
  <c r="X96" i="6"/>
  <c r="S96" i="6" s="1"/>
  <c r="X97" i="6"/>
  <c r="S97" i="6" s="1"/>
  <c r="X98" i="6"/>
  <c r="S98" i="6" s="1"/>
  <c r="X99" i="6"/>
  <c r="S99" i="6" s="1"/>
  <c r="U99" i="6" s="1"/>
  <c r="AA604" i="5" s="1"/>
  <c r="X100" i="6"/>
  <c r="S100" i="6" s="1"/>
  <c r="X101" i="6"/>
  <c r="S101" i="6" s="1"/>
  <c r="X104" i="6"/>
  <c r="S104" i="6" s="1"/>
  <c r="X107" i="6"/>
  <c r="S107" i="6" s="1"/>
  <c r="U107" i="6" s="1"/>
  <c r="AA533" i="5" s="1"/>
  <c r="X109" i="6"/>
  <c r="S109" i="6" s="1"/>
  <c r="X110" i="6"/>
  <c r="S110" i="6" s="1"/>
  <c r="X114" i="6"/>
  <c r="S114" i="6" s="1"/>
  <c r="U114" i="6" s="1"/>
  <c r="AA531" i="5" s="1"/>
  <c r="X115" i="6"/>
  <c r="S115" i="6" s="1"/>
  <c r="X116" i="6"/>
  <c r="S116" i="6" s="1"/>
  <c r="U116" i="6" s="1"/>
  <c r="AA573" i="5" s="1"/>
  <c r="X117" i="6"/>
  <c r="S117" i="6" s="1"/>
  <c r="X122" i="6"/>
  <c r="S122" i="6" s="1"/>
  <c r="X123" i="6"/>
  <c r="S123" i="6" s="1"/>
  <c r="X124" i="6"/>
  <c r="S124" i="6" s="1"/>
  <c r="X126" i="6"/>
  <c r="S126" i="6" s="1"/>
  <c r="U126" i="6" s="1"/>
  <c r="X130" i="6"/>
  <c r="S130" i="6" s="1"/>
  <c r="X131" i="6"/>
  <c r="S131" i="6" s="1"/>
  <c r="X132" i="6"/>
  <c r="S132" i="6" s="1"/>
  <c r="X133" i="6"/>
  <c r="S133" i="6" s="1"/>
  <c r="U77" i="6" l="1"/>
  <c r="U68" i="6"/>
  <c r="AA598" i="5" s="1"/>
  <c r="U54" i="6"/>
  <c r="U46" i="6"/>
  <c r="U97" i="6"/>
  <c r="U117" i="6"/>
  <c r="AA570" i="5" s="1"/>
  <c r="U91" i="6"/>
  <c r="AA583" i="5" s="1"/>
  <c r="U132" i="6"/>
  <c r="U100" i="6"/>
  <c r="AA610" i="5" s="1"/>
  <c r="U80" i="6"/>
  <c r="AA537" i="5" s="1"/>
  <c r="U33" i="6"/>
  <c r="U110" i="6"/>
  <c r="AA605" i="5" s="1"/>
  <c r="U87" i="6"/>
  <c r="AA569" i="5" s="1"/>
  <c r="U25" i="6"/>
  <c r="AA185" i="5" s="1"/>
  <c r="U123" i="6"/>
  <c r="AA622" i="5" s="1"/>
  <c r="U93" i="6"/>
  <c r="AA519" i="5" s="1"/>
  <c r="U85" i="6"/>
  <c r="AA603" i="5" s="1"/>
  <c r="U104" i="6"/>
  <c r="AA539" i="5" s="1"/>
  <c r="U50" i="6"/>
  <c r="AA480" i="5" s="1"/>
  <c r="U35" i="6"/>
  <c r="AA277" i="5" s="1"/>
  <c r="U96" i="6"/>
  <c r="AA576" i="5" s="1"/>
  <c r="U61" i="6"/>
  <c r="U70" i="6"/>
  <c r="AA553" i="5" s="1"/>
  <c r="U56" i="6"/>
  <c r="AA500" i="5" s="1"/>
  <c r="U48" i="6"/>
  <c r="U131" i="6"/>
  <c r="U79" i="6"/>
  <c r="AA544" i="5" s="1"/>
  <c r="U69" i="6"/>
  <c r="AA563" i="5" s="1"/>
  <c r="U130" i="6"/>
  <c r="U86" i="6"/>
  <c r="AA614" i="5" s="1"/>
  <c r="U124" i="6"/>
  <c r="AA556" i="5" s="1"/>
  <c r="U122" i="6"/>
  <c r="AA588" i="5" s="1"/>
  <c r="U115" i="6"/>
  <c r="AA514" i="5" s="1"/>
  <c r="U89" i="6"/>
  <c r="AA599" i="5" s="1"/>
  <c r="U18" i="6"/>
  <c r="AA43" i="5" s="1"/>
  <c r="AD43" i="5" s="1"/>
  <c r="AA40" i="22" s="1"/>
  <c r="U98" i="6"/>
  <c r="AA593" i="5" s="1"/>
  <c r="U31" i="6"/>
  <c r="AA242" i="5" s="1"/>
  <c r="U52" i="6"/>
  <c r="AA482" i="5" s="1"/>
  <c r="U44" i="6"/>
  <c r="AA421" i="5" s="1"/>
  <c r="U63" i="6"/>
  <c r="U72" i="6"/>
  <c r="AA534" i="5" s="1"/>
  <c r="U133" i="6"/>
  <c r="U81" i="6"/>
  <c r="AA541" i="5" s="1"/>
  <c r="AA487" i="5"/>
  <c r="AA488" i="5"/>
  <c r="AA261" i="5"/>
  <c r="AA269" i="5"/>
  <c r="AA264" i="5"/>
  <c r="AA272" i="5"/>
  <c r="AA267" i="5"/>
  <c r="AA262" i="5"/>
  <c r="AA270" i="5"/>
  <c r="AA265" i="5"/>
  <c r="AA268" i="5"/>
  <c r="AA276" i="5"/>
  <c r="AA263" i="5"/>
  <c r="AA271" i="5"/>
  <c r="AA319" i="5"/>
  <c r="AA266" i="5"/>
  <c r="AA608" i="5"/>
  <c r="AA543" i="5"/>
  <c r="AA472" i="5"/>
  <c r="AA486" i="5"/>
  <c r="AA471" i="5"/>
  <c r="AA565" i="5"/>
  <c r="AA518" i="5"/>
  <c r="AA620" i="5"/>
  <c r="AA445" i="5"/>
  <c r="AA453" i="5"/>
  <c r="AA448" i="5"/>
  <c r="AA456" i="5"/>
  <c r="AA451" i="5"/>
  <c r="AA459" i="5"/>
  <c r="AA446" i="5"/>
  <c r="AA454" i="5"/>
  <c r="AA449" i="5"/>
  <c r="AA457" i="5"/>
  <c r="AA452" i="5"/>
  <c r="AA460" i="5"/>
  <c r="AA447" i="5"/>
  <c r="AA455" i="5"/>
  <c r="AA562" i="5"/>
  <c r="AA450" i="5"/>
  <c r="AA458" i="5"/>
  <c r="AA489" i="5"/>
  <c r="AA253" i="5"/>
  <c r="AA252" i="5"/>
  <c r="AA44" i="5"/>
  <c r="AA57" i="5"/>
  <c r="AA47" i="5"/>
  <c r="AA52" i="5"/>
  <c r="AA60" i="5"/>
  <c r="AA50" i="5"/>
  <c r="AA55" i="5"/>
  <c r="AA63" i="5"/>
  <c r="AA45" i="5"/>
  <c r="AA58" i="5"/>
  <c r="AA48" i="5"/>
  <c r="AA53" i="5"/>
  <c r="AA61" i="5"/>
  <c r="AA51" i="5"/>
  <c r="AA56" i="5"/>
  <c r="AA46" i="5"/>
  <c r="AA59" i="5"/>
  <c r="AA54" i="5"/>
  <c r="AA62" i="5"/>
  <c r="AA49" i="5"/>
  <c r="AA594" i="5"/>
  <c r="AA542" i="5"/>
  <c r="AA493" i="5"/>
  <c r="AA491" i="5"/>
  <c r="AA437" i="5"/>
  <c r="AA432" i="5"/>
  <c r="AA440" i="5"/>
  <c r="AA435" i="5"/>
  <c r="AA443" i="5"/>
  <c r="AA438" i="5"/>
  <c r="AA433" i="5"/>
  <c r="AA441" i="5"/>
  <c r="AA428" i="5"/>
  <c r="AA436" i="5"/>
  <c r="AA444" i="5"/>
  <c r="AA423" i="5"/>
  <c r="AA434" i="5"/>
  <c r="AA442" i="5"/>
  <c r="AA240" i="5"/>
  <c r="AA243" i="5"/>
  <c r="AA241" i="5"/>
  <c r="AA255" i="5"/>
  <c r="AA12" i="5"/>
  <c r="AA20" i="5"/>
  <c r="AA28" i="5"/>
  <c r="AA36" i="5"/>
  <c r="AA15" i="5"/>
  <c r="AA23" i="5"/>
  <c r="AA31" i="5"/>
  <c r="AA39" i="5"/>
  <c r="AA18" i="5"/>
  <c r="AA26" i="5"/>
  <c r="AA34" i="5"/>
  <c r="AA42" i="5"/>
  <c r="AA13" i="5"/>
  <c r="AA21" i="5"/>
  <c r="AA29" i="5"/>
  <c r="AA37" i="5"/>
  <c r="AA16" i="5"/>
  <c r="AA24" i="5"/>
  <c r="AA32" i="5"/>
  <c r="AA40" i="5"/>
  <c r="AA19" i="5"/>
  <c r="AA27" i="5"/>
  <c r="AA35" i="5"/>
  <c r="AA524" i="5"/>
  <c r="AA14" i="5"/>
  <c r="AA22" i="5"/>
  <c r="AA30" i="5"/>
  <c r="AA38" i="5"/>
  <c r="AA577" i="5"/>
  <c r="AA17" i="5"/>
  <c r="AA615" i="5"/>
  <c r="AA25" i="5"/>
  <c r="AA33" i="5"/>
  <c r="AA41" i="5"/>
  <c r="AA546" i="5"/>
  <c r="AA11" i="5"/>
  <c r="AA581" i="5"/>
  <c r="AA516" i="5"/>
  <c r="AA617" i="5"/>
  <c r="AA585" i="5"/>
  <c r="AA529" i="5"/>
  <c r="AA551" i="5"/>
  <c r="AA600" i="5"/>
  <c r="AA492" i="5"/>
  <c r="AA490" i="5"/>
  <c r="AA413" i="5"/>
  <c r="AA400" i="5"/>
  <c r="AA416" i="5"/>
  <c r="AA406" i="5"/>
  <c r="AA414" i="5"/>
  <c r="AA422" i="5"/>
  <c r="AA401" i="5"/>
  <c r="AA409" i="5"/>
  <c r="AA420" i="5"/>
  <c r="AA399" i="5"/>
  <c r="AA415" i="5"/>
  <c r="AA616" i="5"/>
  <c r="AA410" i="5"/>
  <c r="AA245" i="5"/>
  <c r="AA248" i="5"/>
  <c r="AA251" i="5"/>
  <c r="AA246" i="5"/>
  <c r="AA254" i="5"/>
  <c r="AA249" i="5"/>
  <c r="AA247" i="5"/>
  <c r="AA526" i="5"/>
  <c r="AA559" i="5"/>
  <c r="AA250" i="5"/>
  <c r="AA523" i="5"/>
  <c r="AA515" i="5"/>
  <c r="AA550" i="5"/>
  <c r="AA568" i="5"/>
  <c r="AA618" i="5"/>
  <c r="AA397" i="5"/>
  <c r="AA405" i="5"/>
  <c r="AA417" i="5"/>
  <c r="AA404" i="5"/>
  <c r="AA176" i="5"/>
  <c r="AA184" i="5"/>
  <c r="AA179" i="5"/>
  <c r="AA182" i="5"/>
  <c r="AA177" i="5"/>
  <c r="AA180" i="5"/>
  <c r="AA175" i="5"/>
  <c r="AA183" i="5"/>
  <c r="AA178" i="5"/>
  <c r="AA181" i="5"/>
  <c r="U92" i="6"/>
  <c r="AA602" i="5" s="1"/>
  <c r="U101" i="6"/>
  <c r="AA601" i="5" s="1"/>
  <c r="U34" i="6"/>
  <c r="U55" i="6"/>
  <c r="U47" i="6"/>
  <c r="U76" i="6"/>
  <c r="AA572" i="5" s="1"/>
  <c r="U67" i="6"/>
  <c r="U109" i="6"/>
  <c r="AA590" i="5" s="1"/>
  <c r="AD29" i="6"/>
  <c r="AA29" i="6" s="1"/>
  <c r="T29" i="6" s="1"/>
  <c r="AT123" i="6"/>
  <c r="AC29" i="6"/>
  <c r="AT80" i="6"/>
  <c r="AU80" i="6"/>
  <c r="AA419" i="5" l="1"/>
  <c r="AA595" i="5"/>
  <c r="AA398" i="5"/>
  <c r="AA402" i="5"/>
  <c r="AA411" i="5"/>
  <c r="AA403" i="5"/>
  <c r="AA407" i="5"/>
  <c r="AA408" i="5"/>
  <c r="AA575" i="5"/>
  <c r="AA418" i="5"/>
  <c r="AA412" i="5"/>
  <c r="AA244" i="5"/>
  <c r="AA191" i="5"/>
  <c r="AA502" i="5"/>
  <c r="AA624" i="5"/>
  <c r="AA555" i="5"/>
  <c r="AA189" i="5"/>
  <c r="AA187" i="5"/>
  <c r="AA506" i="5"/>
  <c r="AA258" i="5"/>
  <c r="AA318" i="5"/>
  <c r="AA507" i="5"/>
  <c r="AA501" i="5"/>
  <c r="AA314" i="5"/>
  <c r="AA315" i="5"/>
  <c r="AA560" i="5"/>
  <c r="AA190" i="5"/>
  <c r="AA311" i="5"/>
  <c r="AA275" i="5"/>
  <c r="AA316" i="5"/>
  <c r="AA259" i="5"/>
  <c r="AA522" i="5"/>
  <c r="AA186" i="5"/>
  <c r="AA192" i="5"/>
  <c r="AA312" i="5"/>
  <c r="AA256" i="5"/>
  <c r="AA188" i="5"/>
  <c r="AA273" i="5"/>
  <c r="AA317" i="5"/>
  <c r="AA193" i="5"/>
  <c r="AA260" i="5"/>
  <c r="AA313" i="5"/>
  <c r="AA274" i="5"/>
  <c r="AA257" i="5"/>
  <c r="AA463" i="5"/>
  <c r="AA478" i="5"/>
  <c r="AA464" i="5"/>
  <c r="AA484" i="5"/>
  <c r="AA470" i="5"/>
  <c r="AA485" i="5"/>
  <c r="AC43" i="5"/>
  <c r="Z40" i="22" s="1"/>
  <c r="AA476" i="5"/>
  <c r="AA462" i="5"/>
  <c r="AA477" i="5"/>
  <c r="AA468" i="5"/>
  <c r="AA483" i="5"/>
  <c r="AA469" i="5"/>
  <c r="AA474" i="5"/>
  <c r="AA481" i="5"/>
  <c r="AA475" i="5"/>
  <c r="AA461" i="5"/>
  <c r="AA466" i="5"/>
  <c r="AA473" i="5"/>
  <c r="AA467" i="5"/>
  <c r="AA479" i="5"/>
  <c r="AA465" i="5"/>
  <c r="AB43" i="5"/>
  <c r="Y40" i="22" s="1"/>
  <c r="AA554" i="5"/>
  <c r="AA571" i="5"/>
  <c r="AA564" i="5"/>
  <c r="AA512" i="5"/>
  <c r="AD33" i="5"/>
  <c r="AA30" i="22" s="1"/>
  <c r="AB33" i="5"/>
  <c r="Y30" i="22" s="1"/>
  <c r="AC33" i="5"/>
  <c r="Z30" i="22" s="1"/>
  <c r="AB14" i="5"/>
  <c r="Y11" i="22" s="1"/>
  <c r="AD14" i="5"/>
  <c r="AA11" i="22" s="1"/>
  <c r="AC14" i="5"/>
  <c r="Z11" i="22" s="1"/>
  <c r="AC16" i="5"/>
  <c r="Z13" i="22" s="1"/>
  <c r="AB16" i="5"/>
  <c r="Y13" i="22" s="1"/>
  <c r="AD16" i="5"/>
  <c r="AA13" i="22" s="1"/>
  <c r="AD18" i="5"/>
  <c r="AA15" i="22" s="1"/>
  <c r="AC18" i="5"/>
  <c r="Z15" i="22" s="1"/>
  <c r="AB18" i="5"/>
  <c r="Y15" i="22" s="1"/>
  <c r="AC12" i="5"/>
  <c r="Z9" i="22" s="1"/>
  <c r="AB12" i="5"/>
  <c r="Y9" i="22" s="1"/>
  <c r="AD12" i="5"/>
  <c r="AA9" i="22" s="1"/>
  <c r="AC56" i="5"/>
  <c r="Z53" i="22" s="1"/>
  <c r="AB56" i="5"/>
  <c r="Y53" i="22" s="1"/>
  <c r="AD56" i="5"/>
  <c r="AA53" i="22" s="1"/>
  <c r="AC55" i="5"/>
  <c r="Z52" i="22" s="1"/>
  <c r="AB55" i="5"/>
  <c r="Y52" i="22" s="1"/>
  <c r="AD55" i="5"/>
  <c r="AA52" i="22" s="1"/>
  <c r="AD25" i="5"/>
  <c r="AA22" i="22" s="1"/>
  <c r="AC25" i="5"/>
  <c r="Z22" i="22" s="1"/>
  <c r="AB25" i="5"/>
  <c r="Y22" i="22" s="1"/>
  <c r="AC524" i="5"/>
  <c r="Z214" i="22" s="1"/>
  <c r="AB524" i="5"/>
  <c r="Y214" i="22" s="1"/>
  <c r="AD524" i="5"/>
  <c r="AA214" i="22" s="1"/>
  <c r="AD37" i="5"/>
  <c r="AA34" i="22" s="1"/>
  <c r="AB37" i="5"/>
  <c r="Y34" i="22" s="1"/>
  <c r="AC37" i="5"/>
  <c r="Z34" i="22" s="1"/>
  <c r="AC39" i="5"/>
  <c r="Z36" i="22" s="1"/>
  <c r="AB39" i="5"/>
  <c r="Y36" i="22" s="1"/>
  <c r="AD39" i="5"/>
  <c r="AA36" i="22" s="1"/>
  <c r="AD51" i="5"/>
  <c r="AA48" i="22" s="1"/>
  <c r="AB51" i="5"/>
  <c r="Y48" i="22" s="1"/>
  <c r="AC51" i="5"/>
  <c r="Z48" i="22" s="1"/>
  <c r="AC50" i="5"/>
  <c r="Z47" i="22" s="1"/>
  <c r="AB50" i="5"/>
  <c r="Y47" i="22" s="1"/>
  <c r="AD50" i="5"/>
  <c r="AA47" i="22" s="1"/>
  <c r="AA429" i="5"/>
  <c r="AA424" i="5"/>
  <c r="AA427" i="5"/>
  <c r="AA430" i="5"/>
  <c r="AA425" i="5"/>
  <c r="AA431" i="5"/>
  <c r="AA439" i="5"/>
  <c r="AA426" i="5"/>
  <c r="AD615" i="5"/>
  <c r="AA259" i="22" s="1"/>
  <c r="AB615" i="5"/>
  <c r="Y259" i="22" s="1"/>
  <c r="AC615" i="5"/>
  <c r="Z259" i="22" s="1"/>
  <c r="AB35" i="5"/>
  <c r="Y32" i="22" s="1"/>
  <c r="AC35" i="5"/>
  <c r="Z32" i="22" s="1"/>
  <c r="AD35" i="5"/>
  <c r="AA32" i="22" s="1"/>
  <c r="AB29" i="5"/>
  <c r="Y26" i="22" s="1"/>
  <c r="AC29" i="5"/>
  <c r="Z26" i="22" s="1"/>
  <c r="AD29" i="5"/>
  <c r="AA26" i="22" s="1"/>
  <c r="AD31" i="5"/>
  <c r="AA28" i="22" s="1"/>
  <c r="AB31" i="5"/>
  <c r="Y28" i="22" s="1"/>
  <c r="AC31" i="5"/>
  <c r="Z28" i="22" s="1"/>
  <c r="AC61" i="5"/>
  <c r="Z58" i="22" s="1"/>
  <c r="AB61" i="5"/>
  <c r="Y58" i="22" s="1"/>
  <c r="AD61" i="5"/>
  <c r="AA58" i="22" s="1"/>
  <c r="AC60" i="5"/>
  <c r="Z57" i="22" s="1"/>
  <c r="AD60" i="5"/>
  <c r="AA57" i="22" s="1"/>
  <c r="AB60" i="5"/>
  <c r="Y57" i="22" s="1"/>
  <c r="AD17" i="5"/>
  <c r="AA14" i="22" s="1"/>
  <c r="AB17" i="5"/>
  <c r="Y14" i="22" s="1"/>
  <c r="AC17" i="5"/>
  <c r="Z14" i="22" s="1"/>
  <c r="AD27" i="5"/>
  <c r="AA24" i="22" s="1"/>
  <c r="AB27" i="5"/>
  <c r="Y24" i="22" s="1"/>
  <c r="AC27" i="5"/>
  <c r="Z24" i="22" s="1"/>
  <c r="AD21" i="5"/>
  <c r="AA18" i="22" s="1"/>
  <c r="AB21" i="5"/>
  <c r="Y18" i="22" s="1"/>
  <c r="AC21" i="5"/>
  <c r="Z18" i="22" s="1"/>
  <c r="AD23" i="5"/>
  <c r="AA20" i="22" s="1"/>
  <c r="AC23" i="5"/>
  <c r="Z20" i="22" s="1"/>
  <c r="AB23" i="5"/>
  <c r="Y20" i="22" s="1"/>
  <c r="AD49" i="5"/>
  <c r="AA46" i="22" s="1"/>
  <c r="AB49" i="5"/>
  <c r="Y46" i="22" s="1"/>
  <c r="AC49" i="5"/>
  <c r="Z46" i="22" s="1"/>
  <c r="AD53" i="5"/>
  <c r="AA50" i="22" s="1"/>
  <c r="AC53" i="5"/>
  <c r="Z50" i="22" s="1"/>
  <c r="AB53" i="5"/>
  <c r="Y50" i="22" s="1"/>
  <c r="AC52" i="5"/>
  <c r="Z49" i="22" s="1"/>
  <c r="AB52" i="5"/>
  <c r="Y49" i="22" s="1"/>
  <c r="AD52" i="5"/>
  <c r="AA49" i="22" s="1"/>
  <c r="AD577" i="5"/>
  <c r="AA233" i="22" s="1"/>
  <c r="AC577" i="5"/>
  <c r="Z233" i="22" s="1"/>
  <c r="AB577" i="5"/>
  <c r="Y233" i="22" s="1"/>
  <c r="AD19" i="5"/>
  <c r="AA16" i="22" s="1"/>
  <c r="AC19" i="5"/>
  <c r="Z16" i="22" s="1"/>
  <c r="AB19" i="5"/>
  <c r="Y16" i="22" s="1"/>
  <c r="AD13" i="5"/>
  <c r="AA10" i="22" s="1"/>
  <c r="AC13" i="5"/>
  <c r="Z10" i="22" s="1"/>
  <c r="AB13" i="5"/>
  <c r="Y10" i="22" s="1"/>
  <c r="AD15" i="5"/>
  <c r="AA12" i="22" s="1"/>
  <c r="AB15" i="5"/>
  <c r="Y12" i="22" s="1"/>
  <c r="AC15" i="5"/>
  <c r="Z12" i="22" s="1"/>
  <c r="AB62" i="5"/>
  <c r="Y59" i="22" s="1"/>
  <c r="AD62" i="5"/>
  <c r="AA59" i="22" s="1"/>
  <c r="AC62" i="5"/>
  <c r="Z59" i="22" s="1"/>
  <c r="AC48" i="5"/>
  <c r="Z45" i="22" s="1"/>
  <c r="AB48" i="5"/>
  <c r="Y45" i="22" s="1"/>
  <c r="AD48" i="5"/>
  <c r="AA45" i="22" s="1"/>
  <c r="AD47" i="5"/>
  <c r="AA44" i="22" s="1"/>
  <c r="AC47" i="5"/>
  <c r="Z44" i="22" s="1"/>
  <c r="AB47" i="5"/>
  <c r="Y44" i="22" s="1"/>
  <c r="AA285" i="5"/>
  <c r="AA293" i="5"/>
  <c r="AA301" i="5"/>
  <c r="AA309" i="5"/>
  <c r="AA280" i="5"/>
  <c r="AA288" i="5"/>
  <c r="AA296" i="5"/>
  <c r="AA304" i="5"/>
  <c r="AA283" i="5"/>
  <c r="AA291" i="5"/>
  <c r="AA299" i="5"/>
  <c r="AA307" i="5"/>
  <c r="AA278" i="5"/>
  <c r="AA286" i="5"/>
  <c r="AA294" i="5"/>
  <c r="AA302" i="5"/>
  <c r="AA310" i="5"/>
  <c r="AA281" i="5"/>
  <c r="AA289" i="5"/>
  <c r="AA297" i="5"/>
  <c r="AA305" i="5"/>
  <c r="AA284" i="5"/>
  <c r="AA292" i="5"/>
  <c r="AA300" i="5"/>
  <c r="AA308" i="5"/>
  <c r="AA279" i="5"/>
  <c r="AA287" i="5"/>
  <c r="AA295" i="5"/>
  <c r="AA303" i="5"/>
  <c r="AA561" i="5"/>
  <c r="AA298" i="5"/>
  <c r="AA306" i="5"/>
  <c r="AA290" i="5"/>
  <c r="AA548" i="5"/>
  <c r="AA597" i="5"/>
  <c r="AA282" i="5"/>
  <c r="AA525" i="5"/>
  <c r="AD11" i="5"/>
  <c r="AA8" i="22" s="1"/>
  <c r="AC11" i="5"/>
  <c r="Z8" i="22" s="1"/>
  <c r="AB11" i="5"/>
  <c r="Y8" i="22" s="1"/>
  <c r="AD38" i="5"/>
  <c r="AA35" i="22" s="1"/>
  <c r="AB38" i="5"/>
  <c r="Y35" i="22" s="1"/>
  <c r="AC38" i="5"/>
  <c r="Z35" i="22" s="1"/>
  <c r="AC40" i="5"/>
  <c r="Z37" i="22" s="1"/>
  <c r="AB40" i="5"/>
  <c r="Y37" i="22" s="1"/>
  <c r="AD40" i="5"/>
  <c r="AA37" i="22" s="1"/>
  <c r="AD42" i="5"/>
  <c r="AA39" i="22" s="1"/>
  <c r="AC42" i="5"/>
  <c r="Z39" i="22" s="1"/>
  <c r="AB42" i="5"/>
  <c r="Y39" i="22" s="1"/>
  <c r="AB36" i="5"/>
  <c r="Y33" i="22" s="1"/>
  <c r="AC36" i="5"/>
  <c r="Z33" i="22" s="1"/>
  <c r="AD36" i="5"/>
  <c r="AA33" i="22" s="1"/>
  <c r="AD54" i="5"/>
  <c r="AA51" i="22" s="1"/>
  <c r="AC54" i="5"/>
  <c r="Z51" i="22" s="1"/>
  <c r="AB54" i="5"/>
  <c r="Y51" i="22" s="1"/>
  <c r="AD58" i="5"/>
  <c r="AA55" i="22" s="1"/>
  <c r="AC58" i="5"/>
  <c r="Z55" i="22" s="1"/>
  <c r="AB58" i="5"/>
  <c r="Y55" i="22" s="1"/>
  <c r="AD57" i="5"/>
  <c r="AA54" i="22" s="1"/>
  <c r="AC57" i="5"/>
  <c r="Z54" i="22" s="1"/>
  <c r="AB57" i="5"/>
  <c r="Y54" i="22" s="1"/>
  <c r="AD546" i="5"/>
  <c r="AA228" i="22" s="1"/>
  <c r="AB546" i="5"/>
  <c r="Y228" i="22" s="1"/>
  <c r="AC546" i="5"/>
  <c r="Z228" i="22" s="1"/>
  <c r="AB30" i="5"/>
  <c r="Y27" i="22" s="1"/>
  <c r="AC30" i="5"/>
  <c r="Z27" i="22" s="1"/>
  <c r="AD30" i="5"/>
  <c r="AA27" i="22" s="1"/>
  <c r="AC32" i="5"/>
  <c r="Z29" i="22" s="1"/>
  <c r="AB32" i="5"/>
  <c r="Y29" i="22" s="1"/>
  <c r="AD32" i="5"/>
  <c r="AA29" i="22" s="1"/>
  <c r="AD34" i="5"/>
  <c r="AA31" i="22" s="1"/>
  <c r="AB34" i="5"/>
  <c r="Y31" i="22" s="1"/>
  <c r="AC34" i="5"/>
  <c r="Z31" i="22" s="1"/>
  <c r="AC28" i="5"/>
  <c r="Z25" i="22" s="1"/>
  <c r="AB28" i="5"/>
  <c r="Y25" i="22" s="1"/>
  <c r="AD28" i="5"/>
  <c r="AA25" i="22" s="1"/>
  <c r="AD59" i="5"/>
  <c r="AA56" i="22" s="1"/>
  <c r="AB59" i="5"/>
  <c r="Y56" i="22" s="1"/>
  <c r="AC59" i="5"/>
  <c r="Z56" i="22" s="1"/>
  <c r="AD45" i="5"/>
  <c r="AA42" i="22" s="1"/>
  <c r="AB45" i="5"/>
  <c r="Y42" i="22" s="1"/>
  <c r="AC45" i="5"/>
  <c r="Z42" i="22" s="1"/>
  <c r="AB44" i="5"/>
  <c r="Y41" i="22" s="1"/>
  <c r="AC44" i="5"/>
  <c r="Z41" i="22" s="1"/>
  <c r="AD44" i="5"/>
  <c r="AA41" i="22" s="1"/>
  <c r="AD41" i="5"/>
  <c r="AA38" i="22" s="1"/>
  <c r="AB41" i="5"/>
  <c r="Y38" i="22" s="1"/>
  <c r="AC41" i="5"/>
  <c r="Z38" i="22" s="1"/>
  <c r="AB22" i="5"/>
  <c r="Y19" i="22" s="1"/>
  <c r="AD22" i="5"/>
  <c r="AA19" i="22" s="1"/>
  <c r="AC22" i="5"/>
  <c r="Z19" i="22" s="1"/>
  <c r="AB24" i="5"/>
  <c r="Y21" i="22" s="1"/>
  <c r="AC24" i="5"/>
  <c r="Z21" i="22" s="1"/>
  <c r="AD24" i="5"/>
  <c r="AA21" i="22" s="1"/>
  <c r="AD26" i="5"/>
  <c r="AA23" i="22" s="1"/>
  <c r="AB26" i="5"/>
  <c r="Y23" i="22" s="1"/>
  <c r="AC26" i="5"/>
  <c r="Z23" i="22" s="1"/>
  <c r="AB20" i="5"/>
  <c r="Y17" i="22" s="1"/>
  <c r="AC20" i="5"/>
  <c r="Z17" i="22" s="1"/>
  <c r="AD20" i="5"/>
  <c r="AA17" i="22" s="1"/>
  <c r="AD46" i="5"/>
  <c r="AA43" i="22" s="1"/>
  <c r="AB46" i="5"/>
  <c r="Y43" i="22" s="1"/>
  <c r="AC46" i="5"/>
  <c r="Z43" i="22" s="1"/>
  <c r="AB63" i="5"/>
  <c r="Y60" i="22" s="1"/>
  <c r="AD63" i="5"/>
  <c r="AA60" i="22" s="1"/>
  <c r="AC63" i="5"/>
  <c r="Z60" i="22" s="1"/>
  <c r="AB29" i="6"/>
  <c r="Y29" i="6"/>
  <c r="X29" i="6"/>
  <c r="S29" i="6" s="1"/>
  <c r="U29" i="6" s="1"/>
  <c r="AA229" i="5" l="1"/>
  <c r="AA230" i="5"/>
  <c r="AA231" i="5"/>
  <c r="O16" i="6"/>
  <c r="O17" i="6"/>
  <c r="O18" i="6"/>
  <c r="O20" i="6"/>
  <c r="O21" i="6"/>
  <c r="O22" i="6"/>
  <c r="O23" i="6"/>
  <c r="O24" i="6"/>
  <c r="O25" i="6"/>
  <c r="O26" i="6"/>
  <c r="O27" i="6"/>
  <c r="O28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9" i="6"/>
  <c r="AC129" i="6" l="1"/>
  <c r="AD129" i="6"/>
  <c r="AC121" i="6"/>
  <c r="AD121" i="6"/>
  <c r="AC113" i="6"/>
  <c r="AD113" i="6"/>
  <c r="AC105" i="6"/>
  <c r="AD105" i="6"/>
  <c r="AC97" i="6"/>
  <c r="AD97" i="6"/>
  <c r="AC89" i="6"/>
  <c r="AD89" i="6"/>
  <c r="AC81" i="6"/>
  <c r="AD81" i="6"/>
  <c r="AD24" i="6"/>
  <c r="AC24" i="6"/>
  <c r="AD33" i="6"/>
  <c r="AC33" i="6"/>
  <c r="AD128" i="6"/>
  <c r="AC128" i="6"/>
  <c r="AC120" i="6"/>
  <c r="AD120" i="6"/>
  <c r="AC112" i="6"/>
  <c r="AD112" i="6"/>
  <c r="AC104" i="6"/>
  <c r="AD104" i="6"/>
  <c r="AC96" i="6"/>
  <c r="AD96" i="6"/>
  <c r="AC88" i="6"/>
  <c r="AD88" i="6"/>
  <c r="AD80" i="6"/>
  <c r="AC80" i="6"/>
  <c r="AC72" i="6"/>
  <c r="AD72" i="6"/>
  <c r="AC64" i="6"/>
  <c r="AD64" i="6"/>
  <c r="AC56" i="6"/>
  <c r="AD56" i="6"/>
  <c r="AC48" i="6"/>
  <c r="AD48" i="6"/>
  <c r="AD32" i="6"/>
  <c r="AC32" i="6"/>
  <c r="AD23" i="6"/>
  <c r="AC23" i="6"/>
  <c r="AD127" i="6"/>
  <c r="AC127" i="6"/>
  <c r="AD119" i="6"/>
  <c r="AC119" i="6"/>
  <c r="AD111" i="6"/>
  <c r="AC111" i="6"/>
  <c r="AD103" i="6"/>
  <c r="AC103" i="6"/>
  <c r="AD95" i="6"/>
  <c r="AC95" i="6"/>
  <c r="AD87" i="6"/>
  <c r="AC87" i="6"/>
  <c r="AD79" i="6"/>
  <c r="AC79" i="6"/>
  <c r="AD71" i="6"/>
  <c r="AC71" i="6"/>
  <c r="AD63" i="6"/>
  <c r="AC63" i="6"/>
  <c r="AD55" i="6"/>
  <c r="AC55" i="6"/>
  <c r="AD47" i="6"/>
  <c r="AC47" i="6"/>
  <c r="AC39" i="6"/>
  <c r="AD39" i="6"/>
  <c r="AD31" i="6"/>
  <c r="AC31" i="6"/>
  <c r="AD22" i="6"/>
  <c r="AC22" i="6"/>
  <c r="AC73" i="6"/>
  <c r="AD73" i="6"/>
  <c r="AD126" i="6"/>
  <c r="AC126" i="6"/>
  <c r="AD118" i="6"/>
  <c r="AC118" i="6"/>
  <c r="AD110" i="6"/>
  <c r="AC110" i="6"/>
  <c r="AD102" i="6"/>
  <c r="AC102" i="6"/>
  <c r="AD94" i="6"/>
  <c r="AC94" i="6"/>
  <c r="AD86" i="6"/>
  <c r="AC86" i="6"/>
  <c r="AD78" i="6"/>
  <c r="AC78" i="6"/>
  <c r="AD70" i="6"/>
  <c r="AC70" i="6"/>
  <c r="AD62" i="6"/>
  <c r="AC62" i="6"/>
  <c r="AD54" i="6"/>
  <c r="AC54" i="6"/>
  <c r="AD46" i="6"/>
  <c r="AC46" i="6"/>
  <c r="AD38" i="6"/>
  <c r="AC38" i="6"/>
  <c r="AD30" i="6"/>
  <c r="AC30" i="6"/>
  <c r="AD21" i="6"/>
  <c r="AC21" i="6"/>
  <c r="AC49" i="6"/>
  <c r="AD49" i="6"/>
  <c r="AD125" i="6"/>
  <c r="AC125" i="6"/>
  <c r="AD117" i="6"/>
  <c r="AC117" i="6"/>
  <c r="AD109" i="6"/>
  <c r="AC109" i="6"/>
  <c r="AD101" i="6"/>
  <c r="AC101" i="6"/>
  <c r="AD93" i="6"/>
  <c r="AC93" i="6"/>
  <c r="AD85" i="6"/>
  <c r="AC85" i="6"/>
  <c r="AD77" i="6"/>
  <c r="AC77" i="6"/>
  <c r="AD69" i="6"/>
  <c r="AC69" i="6"/>
  <c r="AD61" i="6"/>
  <c r="AC61" i="6"/>
  <c r="AD53" i="6"/>
  <c r="AC53" i="6"/>
  <c r="AD45" i="6"/>
  <c r="AC45" i="6"/>
  <c r="AD37" i="6"/>
  <c r="AC37" i="6"/>
  <c r="AD28" i="6"/>
  <c r="AC28" i="6"/>
  <c r="AD20" i="6"/>
  <c r="AC20" i="6"/>
  <c r="AC57" i="6"/>
  <c r="AD57" i="6"/>
  <c r="AD124" i="6"/>
  <c r="AC124" i="6"/>
  <c r="AD116" i="6"/>
  <c r="AC116" i="6"/>
  <c r="AD108" i="6"/>
  <c r="AC108" i="6"/>
  <c r="AD100" i="6"/>
  <c r="AC100" i="6"/>
  <c r="AD92" i="6"/>
  <c r="AC92" i="6"/>
  <c r="AD84" i="6"/>
  <c r="AC84" i="6"/>
  <c r="AD76" i="6"/>
  <c r="AC76" i="6"/>
  <c r="AD68" i="6"/>
  <c r="AC68" i="6"/>
  <c r="AD60" i="6"/>
  <c r="AC60" i="6"/>
  <c r="AD52" i="6"/>
  <c r="AC52" i="6"/>
  <c r="AD44" i="6"/>
  <c r="AC44" i="6"/>
  <c r="AD36" i="6"/>
  <c r="AC36" i="6"/>
  <c r="AD27" i="6"/>
  <c r="AC27" i="6"/>
  <c r="AC41" i="6"/>
  <c r="AD41" i="6"/>
  <c r="AD123" i="6"/>
  <c r="AC123" i="6"/>
  <c r="AD115" i="6"/>
  <c r="AC115" i="6"/>
  <c r="AD107" i="6"/>
  <c r="AC107" i="6"/>
  <c r="AD99" i="6"/>
  <c r="AC99" i="6"/>
  <c r="AD91" i="6"/>
  <c r="AC91" i="6"/>
  <c r="AD83" i="6"/>
  <c r="AC83" i="6"/>
  <c r="AD75" i="6"/>
  <c r="AC75" i="6"/>
  <c r="AD67" i="6"/>
  <c r="AC67" i="6"/>
  <c r="AD59" i="6"/>
  <c r="AC59" i="6"/>
  <c r="AD51" i="6"/>
  <c r="AC51" i="6"/>
  <c r="AD43" i="6"/>
  <c r="AC43" i="6"/>
  <c r="AD35" i="6"/>
  <c r="AC35" i="6"/>
  <c r="AD26" i="6"/>
  <c r="AC26" i="6"/>
  <c r="AC65" i="6"/>
  <c r="AD65" i="6"/>
  <c r="AD19" i="6"/>
  <c r="AC19" i="6"/>
  <c r="AC122" i="6"/>
  <c r="AD122" i="6"/>
  <c r="AC114" i="6"/>
  <c r="AD114" i="6"/>
  <c r="AC106" i="6"/>
  <c r="AD106" i="6"/>
  <c r="AC98" i="6"/>
  <c r="AD98" i="6"/>
  <c r="AC90" i="6"/>
  <c r="AD90" i="6"/>
  <c r="AC82" i="6"/>
  <c r="AD82" i="6"/>
  <c r="AC74" i="6"/>
  <c r="AD74" i="6"/>
  <c r="AD66" i="6"/>
  <c r="AC66" i="6"/>
  <c r="AC58" i="6"/>
  <c r="AD58" i="6"/>
  <c r="AC50" i="6"/>
  <c r="AD50" i="6"/>
  <c r="AC42" i="6"/>
  <c r="AD42" i="6"/>
  <c r="AD34" i="6"/>
  <c r="AC34" i="6"/>
  <c r="AD25" i="6"/>
  <c r="AC25" i="6"/>
  <c r="AD40" i="6"/>
  <c r="AC40" i="6"/>
  <c r="K24" i="6" l="1"/>
  <c r="AB24" i="6" s="1"/>
  <c r="J24" i="6"/>
  <c r="AA24" i="6" s="1"/>
  <c r="T24" i="6" s="1"/>
  <c r="H24" i="6"/>
  <c r="Y24" i="6" s="1"/>
  <c r="G24" i="6"/>
  <c r="X24" i="6" s="1"/>
  <c r="S24" i="6" s="1"/>
  <c r="F24" i="6"/>
  <c r="E24" i="6"/>
  <c r="BP22" i="6"/>
  <c r="BO22" i="6"/>
  <c r="BN22" i="6"/>
  <c r="BM22" i="6"/>
  <c r="BL22" i="6"/>
  <c r="BK22" i="6"/>
  <c r="BJ22" i="6"/>
  <c r="BI22" i="6"/>
  <c r="BH22" i="6"/>
  <c r="BP19" i="6"/>
  <c r="BO19" i="6"/>
  <c r="BN19" i="6"/>
  <c r="BM19" i="6"/>
  <c r="BL19" i="6"/>
  <c r="BK19" i="6"/>
  <c r="BJ19" i="6"/>
  <c r="BI19" i="6"/>
  <c r="BH19" i="6"/>
  <c r="H21" i="6"/>
  <c r="Y21" i="6" s="1"/>
  <c r="G21" i="6"/>
  <c r="X21" i="6" s="1"/>
  <c r="S21" i="6" s="1"/>
  <c r="U21" i="6" s="1"/>
  <c r="AA510" i="5" s="1"/>
  <c r="F21" i="6"/>
  <c r="E21" i="6"/>
  <c r="H19" i="6"/>
  <c r="Y19" i="6" s="1"/>
  <c r="G19" i="6"/>
  <c r="X19" i="6" s="1"/>
  <c r="S19" i="6" s="1"/>
  <c r="U19" i="6" s="1"/>
  <c r="F19" i="6"/>
  <c r="E19" i="6"/>
  <c r="U24" i="6" l="1"/>
  <c r="AA147" i="5" s="1"/>
  <c r="AA65" i="5"/>
  <c r="AA73" i="5"/>
  <c r="AA81" i="5"/>
  <c r="AA68" i="5"/>
  <c r="AA76" i="5"/>
  <c r="AA84" i="5"/>
  <c r="AA71" i="5"/>
  <c r="AA79" i="5"/>
  <c r="AA87" i="5"/>
  <c r="AA66" i="5"/>
  <c r="AA74" i="5"/>
  <c r="AA82" i="5"/>
  <c r="AA69" i="5"/>
  <c r="AA77" i="5"/>
  <c r="AA85" i="5"/>
  <c r="AA64" i="5"/>
  <c r="AA72" i="5"/>
  <c r="AA80" i="5"/>
  <c r="AA88" i="5"/>
  <c r="AA558" i="5"/>
  <c r="AA67" i="5"/>
  <c r="AA75" i="5"/>
  <c r="AA83" i="5"/>
  <c r="AA547" i="5"/>
  <c r="AA78" i="5"/>
  <c r="AA86" i="5"/>
  <c r="AA159" i="5" l="1"/>
  <c r="AA174" i="5"/>
  <c r="AA153" i="5"/>
  <c r="AA173" i="5"/>
  <c r="AA151" i="5"/>
  <c r="AA166" i="5"/>
  <c r="AA165" i="5"/>
  <c r="AA172" i="5"/>
  <c r="AA158" i="5"/>
  <c r="AA164" i="5"/>
  <c r="AA170" i="5"/>
  <c r="AA156" i="5"/>
  <c r="AA155" i="5"/>
  <c r="AA167" i="5"/>
  <c r="AA163" i="5"/>
  <c r="AA162" i="5"/>
  <c r="AA169" i="5"/>
  <c r="AA157" i="5"/>
  <c r="AA154" i="5"/>
  <c r="AA161" i="5"/>
  <c r="AA152" i="5"/>
  <c r="AA144" i="5"/>
  <c r="AA146" i="5"/>
  <c r="AA148" i="5"/>
  <c r="AA150" i="5"/>
  <c r="AA168" i="5"/>
  <c r="AA160" i="5"/>
  <c r="AA149" i="5"/>
  <c r="AA143" i="5"/>
  <c r="AA145" i="5"/>
  <c r="AA171" i="5"/>
  <c r="D5" i="5"/>
  <c r="AP17" i="6"/>
  <c r="AP18" i="6"/>
  <c r="AP19" i="6"/>
  <c r="AP20" i="6"/>
  <c r="AP21" i="6"/>
  <c r="AP22" i="6"/>
  <c r="AP23" i="6"/>
  <c r="AP24" i="6"/>
  <c r="AP25" i="6"/>
  <c r="AP26" i="6"/>
  <c r="AP27" i="6"/>
  <c r="AP28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43" i="6"/>
  <c r="AP44" i="6"/>
  <c r="AP45" i="6"/>
  <c r="AP46" i="6"/>
  <c r="AP47" i="6"/>
  <c r="AP48" i="6"/>
  <c r="AP49" i="6"/>
  <c r="AP50" i="6"/>
  <c r="AP51" i="6"/>
  <c r="AP52" i="6"/>
  <c r="AP53" i="6"/>
  <c r="AP54" i="6"/>
  <c r="AP55" i="6"/>
  <c r="AP56" i="6"/>
  <c r="AP57" i="6"/>
  <c r="AP58" i="6"/>
  <c r="AP59" i="6"/>
  <c r="AP60" i="6"/>
  <c r="AP61" i="6"/>
  <c r="AP62" i="6"/>
  <c r="AP63" i="6"/>
  <c r="AP64" i="6"/>
  <c r="AP65" i="6"/>
  <c r="AP66" i="6"/>
  <c r="AP67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P82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P97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P112" i="6"/>
  <c r="AP113" i="6"/>
  <c r="AP114" i="6"/>
  <c r="AP115" i="6"/>
  <c r="AP116" i="6"/>
  <c r="AP117" i="6"/>
  <c r="AP118" i="6"/>
  <c r="AP119" i="6"/>
  <c r="AP120" i="6"/>
  <c r="AP121" i="6"/>
  <c r="AP122" i="6"/>
  <c r="AP123" i="6"/>
  <c r="AP124" i="6"/>
  <c r="AP125" i="6"/>
  <c r="AP126" i="6"/>
  <c r="AP127" i="6"/>
  <c r="AP128" i="6"/>
  <c r="AP129" i="6"/>
  <c r="AP130" i="6"/>
  <c r="AP131" i="6"/>
  <c r="AP132" i="6"/>
  <c r="AP133" i="6"/>
  <c r="AP16" i="6"/>
  <c r="M8" i="5"/>
  <c r="DK112" i="6" l="1"/>
  <c r="DV112" i="6" s="1"/>
  <c r="DJ112" i="6"/>
  <c r="DK96" i="6"/>
  <c r="DH96" i="6"/>
  <c r="DK88" i="6"/>
  <c r="DV88" i="6" s="1"/>
  <c r="DJ88" i="6"/>
  <c r="DK72" i="6"/>
  <c r="DV72" i="6" s="1"/>
  <c r="DJ72" i="6"/>
  <c r="DK103" i="6"/>
  <c r="DV103" i="6" s="1"/>
  <c r="DJ103" i="6"/>
  <c r="DK87" i="6"/>
  <c r="DV87" i="6" s="1"/>
  <c r="DJ87" i="6"/>
  <c r="DJ79" i="6"/>
  <c r="DK79" i="6"/>
  <c r="DV79" i="6" s="1"/>
  <c r="DK71" i="6"/>
  <c r="DV71" i="6" s="1"/>
  <c r="DJ71" i="6"/>
  <c r="DJ55" i="6"/>
  <c r="DK55" i="6"/>
  <c r="DV55" i="6" s="1"/>
  <c r="DH86" i="6"/>
  <c r="DS86" i="6" s="1"/>
  <c r="DG86" i="6"/>
  <c r="DK70" i="6"/>
  <c r="DV70" i="6" s="1"/>
  <c r="DJ70" i="6"/>
  <c r="DG133" i="6"/>
  <c r="DH133" i="6"/>
  <c r="DJ133" i="6"/>
  <c r="DK133" i="6"/>
  <c r="DG117" i="6"/>
  <c r="DH117" i="6"/>
  <c r="DS117" i="6" s="1"/>
  <c r="DK109" i="6"/>
  <c r="DV109" i="6" s="1"/>
  <c r="DJ109" i="6"/>
  <c r="DJ93" i="6"/>
  <c r="DK93" i="6"/>
  <c r="DV93" i="6" s="1"/>
  <c r="DK85" i="6"/>
  <c r="DV85" i="6" s="1"/>
  <c r="DJ85" i="6"/>
  <c r="DK77" i="6"/>
  <c r="DV77" i="6" s="1"/>
  <c r="DJ77" i="6"/>
  <c r="DJ53" i="6"/>
  <c r="DK53" i="6"/>
  <c r="DV53" i="6" s="1"/>
  <c r="DH132" i="6"/>
  <c r="DK132" i="6"/>
  <c r="DJ132" i="6"/>
  <c r="DG132" i="6"/>
  <c r="DK124" i="6"/>
  <c r="DJ124" i="6"/>
  <c r="DH124" i="6"/>
  <c r="DK116" i="6"/>
  <c r="DV116" i="6" s="1"/>
  <c r="DJ116" i="6"/>
  <c r="DK108" i="6"/>
  <c r="DV108" i="6" s="1"/>
  <c r="DJ108" i="6"/>
  <c r="DK84" i="6"/>
  <c r="DH84" i="6"/>
  <c r="DJ84" i="6"/>
  <c r="DH131" i="6"/>
  <c r="DK131" i="6"/>
  <c r="DJ131" i="6"/>
  <c r="DG131" i="6"/>
  <c r="DK123" i="6"/>
  <c r="DV123" i="6" s="1"/>
  <c r="DJ123" i="6"/>
  <c r="DK115" i="6"/>
  <c r="DV115" i="6" s="1"/>
  <c r="DJ115" i="6"/>
  <c r="DJ91" i="6"/>
  <c r="DK91" i="6"/>
  <c r="DV91" i="6" s="1"/>
  <c r="DK83" i="6"/>
  <c r="DH83" i="6"/>
  <c r="DJ83" i="6"/>
  <c r="DK67" i="6"/>
  <c r="DV67" i="6" s="1"/>
  <c r="DJ67" i="6"/>
  <c r="DK130" i="6"/>
  <c r="DJ130" i="6"/>
  <c r="DG130" i="6"/>
  <c r="DH130" i="6"/>
  <c r="DJ114" i="6"/>
  <c r="DK114" i="6"/>
  <c r="DV114" i="6" s="1"/>
  <c r="DK98" i="6"/>
  <c r="DH98" i="6"/>
  <c r="DK89" i="6"/>
  <c r="DV89" i="6" s="1"/>
  <c r="DJ89" i="6"/>
  <c r="DJ81" i="6"/>
  <c r="DK81" i="6"/>
  <c r="DV81" i="6" s="1"/>
  <c r="DK73" i="6"/>
  <c r="DV73" i="6" s="1"/>
  <c r="DJ73" i="6"/>
  <c r="Y38" i="6" l="1"/>
  <c r="X38" i="6"/>
  <c r="S38" i="6" s="1"/>
  <c r="X120" i="6"/>
  <c r="S120" i="6" s="1"/>
  <c r="Y120" i="6"/>
  <c r="Y28" i="6"/>
  <c r="X28" i="6"/>
  <c r="S28" i="6" s="1"/>
  <c r="Y60" i="6"/>
  <c r="X60" i="6"/>
  <c r="S60" i="6" s="1"/>
  <c r="AB38" i="6"/>
  <c r="AA38" i="6"/>
  <c r="T38" i="6" s="1"/>
  <c r="Y59" i="6"/>
  <c r="X59" i="6"/>
  <c r="S59" i="6" s="1"/>
  <c r="Y43" i="6"/>
  <c r="X43" i="6"/>
  <c r="S43" i="6" s="1"/>
  <c r="U43" i="6" s="1"/>
  <c r="AA60" i="6"/>
  <c r="T60" i="6" s="1"/>
  <c r="AB60" i="6"/>
  <c r="Y27" i="6"/>
  <c r="X27" i="6"/>
  <c r="S27" i="6" s="1"/>
  <c r="U27" i="6" s="1"/>
  <c r="Y58" i="6"/>
  <c r="X58" i="6"/>
  <c r="S58" i="6" s="1"/>
  <c r="Y42" i="6"/>
  <c r="X42" i="6"/>
  <c r="S42" i="6" s="1"/>
  <c r="U42" i="6" s="1"/>
  <c r="AA59" i="6"/>
  <c r="T59" i="6" s="1"/>
  <c r="AB59" i="6"/>
  <c r="AB66" i="6"/>
  <c r="AA66" i="6"/>
  <c r="T66" i="6" s="1"/>
  <c r="AB58" i="6"/>
  <c r="AA58" i="6"/>
  <c r="T58" i="6" s="1"/>
  <c r="Y106" i="6"/>
  <c r="X106" i="6"/>
  <c r="S106" i="6" s="1"/>
  <c r="U106" i="6" s="1"/>
  <c r="AA592" i="5" s="1"/>
  <c r="Y66" i="6"/>
  <c r="X66" i="6"/>
  <c r="S66" i="6" s="1"/>
  <c r="Y65" i="6"/>
  <c r="X65" i="6"/>
  <c r="S65" i="6" s="1"/>
  <c r="U65" i="6" s="1"/>
  <c r="Y57" i="6"/>
  <c r="X57" i="6"/>
  <c r="S57" i="6" s="1"/>
  <c r="U57" i="6" s="1"/>
  <c r="Y41" i="6"/>
  <c r="X41" i="6"/>
  <c r="S41" i="6" s="1"/>
  <c r="AB120" i="6"/>
  <c r="AA120" i="6"/>
  <c r="T120" i="6" s="1"/>
  <c r="AB40" i="6"/>
  <c r="AA40" i="6"/>
  <c r="T40" i="6" s="1"/>
  <c r="Y129" i="6"/>
  <c r="X129" i="6"/>
  <c r="S129" i="6" s="1"/>
  <c r="U129" i="6" s="1"/>
  <c r="AA578" i="5" s="1"/>
  <c r="Y121" i="6"/>
  <c r="X121" i="6"/>
  <c r="S121" i="6" s="1"/>
  <c r="U121" i="6" s="1"/>
  <c r="Y105" i="6"/>
  <c r="X105" i="6"/>
  <c r="S105" i="6" s="1"/>
  <c r="U105" i="6" s="1"/>
  <c r="AA513" i="5" s="1"/>
  <c r="X40" i="6"/>
  <c r="S40" i="6" s="1"/>
  <c r="Y40" i="6"/>
  <c r="X119" i="6"/>
  <c r="S119" i="6" s="1"/>
  <c r="Y119" i="6"/>
  <c r="AB41" i="6"/>
  <c r="AA41" i="6"/>
  <c r="T41" i="6" s="1"/>
  <c r="X39" i="6"/>
  <c r="S39" i="6" s="1"/>
  <c r="Y39" i="6"/>
  <c r="AB119" i="6"/>
  <c r="AA119" i="6"/>
  <c r="T119" i="6" s="1"/>
  <c r="AB39" i="6"/>
  <c r="AA39" i="6"/>
  <c r="T39" i="6" s="1"/>
  <c r="X111" i="6"/>
  <c r="S111" i="6" s="1"/>
  <c r="U111" i="6" s="1"/>
  <c r="AA509" i="5" s="1"/>
  <c r="Y111" i="6"/>
  <c r="Y102" i="6"/>
  <c r="X102" i="6"/>
  <c r="S102" i="6" s="1"/>
  <c r="U102" i="6" s="1"/>
  <c r="AA567" i="5" s="1"/>
  <c r="Y78" i="6"/>
  <c r="X78" i="6"/>
  <c r="S78" i="6" s="1"/>
  <c r="U78" i="6" s="1"/>
  <c r="AA582" i="5" s="1"/>
  <c r="Y118" i="6"/>
  <c r="X118" i="6"/>
  <c r="S118" i="6" s="1"/>
  <c r="U118" i="6" s="1"/>
  <c r="Y37" i="6"/>
  <c r="X37" i="6"/>
  <c r="S37" i="6" s="1"/>
  <c r="Y125" i="6"/>
  <c r="X125" i="6"/>
  <c r="S125" i="6" s="1"/>
  <c r="U125" i="6" s="1"/>
  <c r="AA579" i="5" s="1"/>
  <c r="AB37" i="6"/>
  <c r="AA37" i="6"/>
  <c r="T37" i="6" s="1"/>
  <c r="AB28" i="6"/>
  <c r="AA28" i="6"/>
  <c r="T28" i="6" s="1"/>
  <c r="U60" i="6" l="1"/>
  <c r="AA497" i="5" s="1"/>
  <c r="AA333" i="5"/>
  <c r="AA341" i="5"/>
  <c r="AA349" i="5"/>
  <c r="AA336" i="5"/>
  <c r="AA344" i="5"/>
  <c r="AA352" i="5"/>
  <c r="AA339" i="5"/>
  <c r="AA334" i="5"/>
  <c r="AA342" i="5"/>
  <c r="AA337" i="5"/>
  <c r="AA345" i="5"/>
  <c r="AA340" i="5"/>
  <c r="AA335" i="5"/>
  <c r="AA343" i="5"/>
  <c r="AA351" i="5"/>
  <c r="AA338" i="5"/>
  <c r="AA346" i="5"/>
  <c r="AA347" i="5"/>
  <c r="AA350" i="5"/>
  <c r="AA348" i="5"/>
  <c r="AA503" i="5"/>
  <c r="AA538" i="5"/>
  <c r="AA504" i="5"/>
  <c r="AA505" i="5"/>
  <c r="AA495" i="5"/>
  <c r="AA496" i="5"/>
  <c r="AA356" i="5"/>
  <c r="AA580" i="5"/>
  <c r="AA354" i="5"/>
  <c r="AA528" i="5"/>
  <c r="AA200" i="5"/>
  <c r="AA208" i="5"/>
  <c r="AA237" i="5"/>
  <c r="AA195" i="5"/>
  <c r="AA203" i="5"/>
  <c r="AA211" i="5"/>
  <c r="AA224" i="5"/>
  <c r="AA198" i="5"/>
  <c r="AA206" i="5"/>
  <c r="AA201" i="5"/>
  <c r="AA209" i="5"/>
  <c r="AA196" i="5"/>
  <c r="AA204" i="5"/>
  <c r="AA212" i="5"/>
  <c r="AA225" i="5"/>
  <c r="AA199" i="5"/>
  <c r="AA207" i="5"/>
  <c r="AA236" i="5"/>
  <c r="AA194" i="5"/>
  <c r="AA202" i="5"/>
  <c r="AA210" i="5"/>
  <c r="AA223" i="5"/>
  <c r="AA511" i="5"/>
  <c r="AA226" i="5"/>
  <c r="AA197" i="5"/>
  <c r="AA205" i="5"/>
  <c r="AA557" i="5"/>
  <c r="AA517" i="5"/>
  <c r="AA623" i="5"/>
  <c r="AA587" i="5"/>
  <c r="U40" i="6"/>
  <c r="U66" i="6"/>
  <c r="U39" i="6"/>
  <c r="U37" i="6"/>
  <c r="U41" i="6"/>
  <c r="U28" i="6"/>
  <c r="U58" i="6"/>
  <c r="AA494" i="5" s="1"/>
  <c r="U59" i="6"/>
  <c r="U119" i="6"/>
  <c r="U120" i="6"/>
  <c r="U38" i="6"/>
  <c r="U83" i="6"/>
  <c r="AA545" i="5" s="1"/>
  <c r="U84" i="6"/>
  <c r="AA591" i="5" s="1"/>
  <c r="T75" i="6"/>
  <c r="K22" i="6"/>
  <c r="AB22" i="6" s="1"/>
  <c r="J22" i="6"/>
  <c r="AA22" i="6" s="1"/>
  <c r="T22" i="6" s="1"/>
  <c r="H22" i="6"/>
  <c r="Y22" i="6" s="1"/>
  <c r="G22" i="6"/>
  <c r="X22" i="6" s="1"/>
  <c r="S22" i="6" s="1"/>
  <c r="F22" i="6"/>
  <c r="E22" i="6"/>
  <c r="K20" i="6"/>
  <c r="AB20" i="6" s="1"/>
  <c r="J20" i="6"/>
  <c r="AA20" i="6" s="1"/>
  <c r="T20" i="6" s="1"/>
  <c r="H20" i="6"/>
  <c r="Y20" i="6" s="1"/>
  <c r="G20" i="6"/>
  <c r="X20" i="6" s="1"/>
  <c r="S20" i="6" s="1"/>
  <c r="F20" i="6"/>
  <c r="E20" i="6"/>
  <c r="AA365" i="5" l="1"/>
  <c r="AA373" i="5"/>
  <c r="AA381" i="5"/>
  <c r="AA389" i="5"/>
  <c r="AA360" i="5"/>
  <c r="AA368" i="5"/>
  <c r="AA376" i="5"/>
  <c r="AA384" i="5"/>
  <c r="AA392" i="5"/>
  <c r="AA363" i="5"/>
  <c r="AA371" i="5"/>
  <c r="AA379" i="5"/>
  <c r="AA387" i="5"/>
  <c r="AA395" i="5"/>
  <c r="AA366" i="5"/>
  <c r="AA374" i="5"/>
  <c r="AA382" i="5"/>
  <c r="AA390" i="5"/>
  <c r="AA361" i="5"/>
  <c r="AA369" i="5"/>
  <c r="AA377" i="5"/>
  <c r="AA385" i="5"/>
  <c r="AA393" i="5"/>
  <c r="AA364" i="5"/>
  <c r="AA372" i="5"/>
  <c r="AA380" i="5"/>
  <c r="AA388" i="5"/>
  <c r="AA396" i="5"/>
  <c r="AA367" i="5"/>
  <c r="AA375" i="5"/>
  <c r="AA383" i="5"/>
  <c r="AA391" i="5"/>
  <c r="AA362" i="5"/>
  <c r="AA370" i="5"/>
  <c r="AA378" i="5"/>
  <c r="AA386" i="5"/>
  <c r="AA394" i="5"/>
  <c r="AA320" i="5"/>
  <c r="AA328" i="5"/>
  <c r="AA323" i="5"/>
  <c r="AA331" i="5"/>
  <c r="AA326" i="5"/>
  <c r="AA321" i="5"/>
  <c r="AA329" i="5"/>
  <c r="AA353" i="5"/>
  <c r="AA332" i="5"/>
  <c r="AA327" i="5"/>
  <c r="AA330" i="5"/>
  <c r="AA357" i="5"/>
  <c r="AA355" i="5"/>
  <c r="AA358" i="5"/>
  <c r="AA532" i="5"/>
  <c r="AA359" i="5"/>
  <c r="AA584" i="5"/>
  <c r="U20" i="6"/>
  <c r="AA499" i="5"/>
  <c r="AA498" i="5"/>
  <c r="AD591" i="5"/>
  <c r="AA247" i="22" s="1"/>
  <c r="AB591" i="5"/>
  <c r="Y247" i="22" s="1"/>
  <c r="AC591" i="5"/>
  <c r="Z247" i="22" s="1"/>
  <c r="AA221" i="5"/>
  <c r="AA216" i="5"/>
  <c r="AA232" i="5"/>
  <c r="AA219" i="5"/>
  <c r="AA227" i="5"/>
  <c r="AA235" i="5"/>
  <c r="AA214" i="5"/>
  <c r="AA222" i="5"/>
  <c r="AA238" i="5"/>
  <c r="AA217" i="5"/>
  <c r="AA233" i="5"/>
  <c r="AA220" i="5"/>
  <c r="AA228" i="5"/>
  <c r="AA215" i="5"/>
  <c r="AA239" i="5"/>
  <c r="AA234" i="5"/>
  <c r="AA213" i="5"/>
  <c r="AA218" i="5"/>
  <c r="AD545" i="5"/>
  <c r="AA34" i="21" s="1"/>
  <c r="AC545" i="5"/>
  <c r="Z34" i="21" s="1"/>
  <c r="AB545" i="5"/>
  <c r="Y34" i="21" s="1"/>
  <c r="AA325" i="5"/>
  <c r="AA324" i="5"/>
  <c r="AA322" i="5"/>
  <c r="U22" i="6"/>
  <c r="AA70" i="5" s="1"/>
  <c r="S128" i="6"/>
  <c r="U128" i="6" s="1"/>
  <c r="AA527" i="5" s="1"/>
  <c r="S127" i="6"/>
  <c r="U127" i="6" s="1"/>
  <c r="S75" i="6"/>
  <c r="U75" i="6" s="1"/>
  <c r="V19" i="6"/>
  <c r="Q19" i="6" s="1"/>
  <c r="W19" i="6"/>
  <c r="R19" i="6" s="1"/>
  <c r="V20" i="6"/>
  <c r="Q20" i="6" s="1"/>
  <c r="W20" i="6"/>
  <c r="R20" i="6" s="1"/>
  <c r="V21" i="6"/>
  <c r="Q21" i="6" s="1"/>
  <c r="Y510" i="5" s="1"/>
  <c r="W21" i="6"/>
  <c r="R21" i="6" s="1"/>
  <c r="Z510" i="5" s="1"/>
  <c r="AC510" i="5" s="1"/>
  <c r="Z270" i="17" s="1"/>
  <c r="V22" i="6"/>
  <c r="Q22" i="6" s="1"/>
  <c r="Y70" i="5" s="1"/>
  <c r="W22" i="6"/>
  <c r="R22" i="6" s="1"/>
  <c r="Z70" i="5" s="1"/>
  <c r="Y66" i="5" l="1"/>
  <c r="Y74" i="5"/>
  <c r="Y78" i="5"/>
  <c r="Y82" i="5"/>
  <c r="Y86" i="5"/>
  <c r="Y67" i="5"/>
  <c r="Y71" i="5"/>
  <c r="Y75" i="5"/>
  <c r="Y79" i="5"/>
  <c r="Y83" i="5"/>
  <c r="Y87" i="5"/>
  <c r="Y64" i="5"/>
  <c r="Y68" i="5"/>
  <c r="Y72" i="5"/>
  <c r="Y76" i="5"/>
  <c r="Y80" i="5"/>
  <c r="Y84" i="5"/>
  <c r="Y88" i="5"/>
  <c r="Y73" i="5"/>
  <c r="Y77" i="5"/>
  <c r="Y69" i="5"/>
  <c r="Y558" i="5"/>
  <c r="Y65" i="5"/>
  <c r="Y81" i="5"/>
  <c r="Y547" i="5"/>
  <c r="Y85" i="5"/>
  <c r="AB510" i="5"/>
  <c r="Y270" i="17" s="1"/>
  <c r="AD510" i="5"/>
  <c r="AA270" i="17" s="1"/>
  <c r="Z89" i="5"/>
  <c r="Z93" i="5"/>
  <c r="Z97" i="5"/>
  <c r="Z101" i="5"/>
  <c r="Z105" i="5"/>
  <c r="Z109" i="5"/>
  <c r="Z113" i="5"/>
  <c r="Z90" i="5"/>
  <c r="Z94" i="5"/>
  <c r="Z98" i="5"/>
  <c r="Z102" i="5"/>
  <c r="Z106" i="5"/>
  <c r="Z110" i="5"/>
  <c r="Z114" i="5"/>
  <c r="Z92" i="5"/>
  <c r="Z96" i="5"/>
  <c r="Z100" i="5"/>
  <c r="Z104" i="5"/>
  <c r="Z108" i="5"/>
  <c r="Z112" i="5"/>
  <c r="Z103" i="5"/>
  <c r="Z91" i="5"/>
  <c r="Z107" i="5"/>
  <c r="Z95" i="5"/>
  <c r="Z111" i="5"/>
  <c r="Z99" i="5"/>
  <c r="Z115" i="5"/>
  <c r="Y90" i="5"/>
  <c r="Y94" i="5"/>
  <c r="Y98" i="5"/>
  <c r="Y102" i="5"/>
  <c r="Y106" i="5"/>
  <c r="Y110" i="5"/>
  <c r="Y114" i="5"/>
  <c r="Y91" i="5"/>
  <c r="Y95" i="5"/>
  <c r="Y99" i="5"/>
  <c r="Y103" i="5"/>
  <c r="Y107" i="5"/>
  <c r="Y111" i="5"/>
  <c r="Y115" i="5"/>
  <c r="Y92" i="5"/>
  <c r="Y96" i="5"/>
  <c r="Y100" i="5"/>
  <c r="Y104" i="5"/>
  <c r="Y108" i="5"/>
  <c r="Y112" i="5"/>
  <c r="Y101" i="5"/>
  <c r="Y89" i="5"/>
  <c r="Y105" i="5"/>
  <c r="Y93" i="5"/>
  <c r="Y109" i="5"/>
  <c r="Y97" i="5"/>
  <c r="Y113" i="5"/>
  <c r="Z65" i="5"/>
  <c r="AC65" i="5" s="1"/>
  <c r="Z9" i="17" s="1"/>
  <c r="Z69" i="5"/>
  <c r="AC69" i="5" s="1"/>
  <c r="Z13" i="17" s="1"/>
  <c r="Z73" i="5"/>
  <c r="AC73" i="5" s="1"/>
  <c r="Z17" i="17" s="1"/>
  <c r="Z77" i="5"/>
  <c r="AC77" i="5" s="1"/>
  <c r="Z21" i="17" s="1"/>
  <c r="Z81" i="5"/>
  <c r="AC81" i="5" s="1"/>
  <c r="Z25" i="17" s="1"/>
  <c r="Z85" i="5"/>
  <c r="AC85" i="5" s="1"/>
  <c r="Z29" i="17" s="1"/>
  <c r="Z66" i="5"/>
  <c r="AC66" i="5" s="1"/>
  <c r="Z10" i="17" s="1"/>
  <c r="Z74" i="5"/>
  <c r="AC74" i="5" s="1"/>
  <c r="Z18" i="17" s="1"/>
  <c r="Z78" i="5"/>
  <c r="AC78" i="5" s="1"/>
  <c r="Z22" i="17" s="1"/>
  <c r="Z82" i="5"/>
  <c r="AC82" i="5" s="1"/>
  <c r="Z26" i="17" s="1"/>
  <c r="Z86" i="5"/>
  <c r="AC86" i="5" s="1"/>
  <c r="Z30" i="17" s="1"/>
  <c r="Z64" i="5"/>
  <c r="AC64" i="5" s="1"/>
  <c r="Z8" i="17" s="1"/>
  <c r="Z68" i="5"/>
  <c r="AC68" i="5" s="1"/>
  <c r="Z12" i="17" s="1"/>
  <c r="Z72" i="5"/>
  <c r="AC72" i="5" s="1"/>
  <c r="Z16" i="17" s="1"/>
  <c r="Z76" i="5"/>
  <c r="AC76" i="5" s="1"/>
  <c r="Z20" i="17" s="1"/>
  <c r="Z80" i="5"/>
  <c r="AC80" i="5" s="1"/>
  <c r="Z24" i="17" s="1"/>
  <c r="Z84" i="5"/>
  <c r="AC84" i="5" s="1"/>
  <c r="Z28" i="17" s="1"/>
  <c r="Z88" i="5"/>
  <c r="AC88" i="5" s="1"/>
  <c r="Z32" i="17" s="1"/>
  <c r="Z71" i="5"/>
  <c r="AC71" i="5" s="1"/>
  <c r="Z15" i="17" s="1"/>
  <c r="Z87" i="5"/>
  <c r="AC87" i="5" s="1"/>
  <c r="Z31" i="17" s="1"/>
  <c r="Z75" i="5"/>
  <c r="AC75" i="5" s="1"/>
  <c r="Z19" i="17" s="1"/>
  <c r="Z79" i="5"/>
  <c r="AC79" i="5" s="1"/>
  <c r="Z23" i="17" s="1"/>
  <c r="Z558" i="5"/>
  <c r="AC558" i="5" s="1"/>
  <c r="Z290" i="17" s="1"/>
  <c r="Z67" i="5"/>
  <c r="AC67" i="5" s="1"/>
  <c r="Z11" i="17" s="1"/>
  <c r="Z83" i="5"/>
  <c r="AC83" i="5" s="1"/>
  <c r="Z27" i="17" s="1"/>
  <c r="Z547" i="5"/>
  <c r="AC547" i="5" s="1"/>
  <c r="Z284" i="17" s="1"/>
  <c r="AA574" i="5"/>
  <c r="AA521" i="5"/>
  <c r="AA621" i="5"/>
  <c r="AA566" i="5"/>
  <c r="AA530" i="5"/>
  <c r="AA619" i="5"/>
  <c r="AA89" i="5"/>
  <c r="AA97" i="5"/>
  <c r="AA105" i="5"/>
  <c r="AA92" i="5"/>
  <c r="AA100" i="5"/>
  <c r="AA108" i="5"/>
  <c r="AA113" i="5"/>
  <c r="AA95" i="5"/>
  <c r="AA103" i="5"/>
  <c r="AA111" i="5"/>
  <c r="AA90" i="5"/>
  <c r="AA98" i="5"/>
  <c r="AA106" i="5"/>
  <c r="AA93" i="5"/>
  <c r="AA101" i="5"/>
  <c r="AA109" i="5"/>
  <c r="AA114" i="5"/>
  <c r="AA96" i="5"/>
  <c r="AA104" i="5"/>
  <c r="AA91" i="5"/>
  <c r="AA99" i="5"/>
  <c r="AA107" i="5"/>
  <c r="AA112" i="5"/>
  <c r="AA110" i="5"/>
  <c r="AA102" i="5"/>
  <c r="AA115" i="5"/>
  <c r="AA94" i="5"/>
  <c r="AB70" i="5"/>
  <c r="Y14" i="17" s="1"/>
  <c r="AD70" i="5"/>
  <c r="AA14" i="17" s="1"/>
  <c r="AC70" i="5"/>
  <c r="Z14" i="17" s="1"/>
  <c r="AB81" i="5" l="1"/>
  <c r="Y25" i="17" s="1"/>
  <c r="AD81" i="5"/>
  <c r="AA25" i="17" s="1"/>
  <c r="AB80" i="5"/>
  <c r="Y24" i="17" s="1"/>
  <c r="AD80" i="5"/>
  <c r="AA24" i="17" s="1"/>
  <c r="AD75" i="5"/>
  <c r="AA19" i="17" s="1"/>
  <c r="AB75" i="5"/>
  <c r="Y19" i="17" s="1"/>
  <c r="AD65" i="5"/>
  <c r="AA9" i="17" s="1"/>
  <c r="AB65" i="5"/>
  <c r="Y9" i="17" s="1"/>
  <c r="AD76" i="5"/>
  <c r="AA20" i="17" s="1"/>
  <c r="AB76" i="5"/>
  <c r="Y20" i="17" s="1"/>
  <c r="AD71" i="5"/>
  <c r="AA15" i="17" s="1"/>
  <c r="AB71" i="5"/>
  <c r="Y15" i="17" s="1"/>
  <c r="AD558" i="5"/>
  <c r="AA290" i="17" s="1"/>
  <c r="AB558" i="5"/>
  <c r="Y290" i="17" s="1"/>
  <c r="AB72" i="5"/>
  <c r="Y16" i="17" s="1"/>
  <c r="AD72" i="5"/>
  <c r="AA16" i="17" s="1"/>
  <c r="AD67" i="5"/>
  <c r="AA11" i="17" s="1"/>
  <c r="AB67" i="5"/>
  <c r="Y11" i="17" s="1"/>
  <c r="AB69" i="5"/>
  <c r="Y13" i="17" s="1"/>
  <c r="AD69" i="5"/>
  <c r="AA13" i="17" s="1"/>
  <c r="AB68" i="5"/>
  <c r="Y12" i="17" s="1"/>
  <c r="AD68" i="5"/>
  <c r="AA12" i="17" s="1"/>
  <c r="AD86" i="5"/>
  <c r="AA30" i="17" s="1"/>
  <c r="AB86" i="5"/>
  <c r="Y30" i="17" s="1"/>
  <c r="AD77" i="5"/>
  <c r="AA21" i="17" s="1"/>
  <c r="AB77" i="5"/>
  <c r="Y21" i="17" s="1"/>
  <c r="AD64" i="5"/>
  <c r="AA8" i="17" s="1"/>
  <c r="AB64" i="5"/>
  <c r="Y8" i="17" s="1"/>
  <c r="AB82" i="5"/>
  <c r="Y26" i="17" s="1"/>
  <c r="AD82" i="5"/>
  <c r="AA26" i="17" s="1"/>
  <c r="AB73" i="5"/>
  <c r="Y17" i="17" s="1"/>
  <c r="AD73" i="5"/>
  <c r="AA17" i="17" s="1"/>
  <c r="AD87" i="5"/>
  <c r="AA31" i="17" s="1"/>
  <c r="AB87" i="5"/>
  <c r="Y31" i="17" s="1"/>
  <c r="AD78" i="5"/>
  <c r="AA22" i="17" s="1"/>
  <c r="AB78" i="5"/>
  <c r="Y22" i="17" s="1"/>
  <c r="AB85" i="5"/>
  <c r="Y29" i="17" s="1"/>
  <c r="AD85" i="5"/>
  <c r="AA29" i="17" s="1"/>
  <c r="AD88" i="5"/>
  <c r="AA32" i="17" s="1"/>
  <c r="AB88" i="5"/>
  <c r="Y32" i="17" s="1"/>
  <c r="AB83" i="5"/>
  <c r="Y27" i="17" s="1"/>
  <c r="AD83" i="5"/>
  <c r="AA27" i="17" s="1"/>
  <c r="AB74" i="5"/>
  <c r="Y18" i="17" s="1"/>
  <c r="AD74" i="5"/>
  <c r="AA18" i="17" s="1"/>
  <c r="AB547" i="5"/>
  <c r="Y284" i="17" s="1"/>
  <c r="AD547" i="5"/>
  <c r="AA284" i="17" s="1"/>
  <c r="AD84" i="5"/>
  <c r="AA28" i="17" s="1"/>
  <c r="AB84" i="5"/>
  <c r="Y28" i="17" s="1"/>
  <c r="AD79" i="5"/>
  <c r="AA23" i="17" s="1"/>
  <c r="AB79" i="5"/>
  <c r="Y23" i="17" s="1"/>
  <c r="AB66" i="5"/>
  <c r="Y10" i="17" s="1"/>
  <c r="AD66" i="5"/>
  <c r="AA10" i="17" s="1"/>
  <c r="AB112" i="5"/>
  <c r="Y56" i="17" s="1"/>
  <c r="AD112" i="5"/>
  <c r="AA56" i="17" s="1"/>
  <c r="AC112" i="5"/>
  <c r="Z56" i="17" s="1"/>
  <c r="AC101" i="5"/>
  <c r="Z45" i="17" s="1"/>
  <c r="AD101" i="5"/>
  <c r="AA45" i="17" s="1"/>
  <c r="AB101" i="5"/>
  <c r="Y45" i="17" s="1"/>
  <c r="AC113" i="5"/>
  <c r="Z57" i="17" s="1"/>
  <c r="AD113" i="5"/>
  <c r="AA57" i="17" s="1"/>
  <c r="AB113" i="5"/>
  <c r="Y57" i="17" s="1"/>
  <c r="AC109" i="5"/>
  <c r="Z53" i="17" s="1"/>
  <c r="AB109" i="5"/>
  <c r="Y53" i="17" s="1"/>
  <c r="AD109" i="5"/>
  <c r="AA53" i="17" s="1"/>
  <c r="AB107" i="5"/>
  <c r="Y51" i="17" s="1"/>
  <c r="AD107" i="5"/>
  <c r="AA51" i="17" s="1"/>
  <c r="AC107" i="5"/>
  <c r="Z51" i="17" s="1"/>
  <c r="AC93" i="5"/>
  <c r="Z37" i="17" s="1"/>
  <c r="AB93" i="5"/>
  <c r="Y37" i="17" s="1"/>
  <c r="AD93" i="5"/>
  <c r="AA37" i="17" s="1"/>
  <c r="AB108" i="5"/>
  <c r="Y52" i="17" s="1"/>
  <c r="AC108" i="5"/>
  <c r="Z52" i="17" s="1"/>
  <c r="AD108" i="5"/>
  <c r="AA52" i="17" s="1"/>
  <c r="AB110" i="5"/>
  <c r="Y54" i="17" s="1"/>
  <c r="AC110" i="5"/>
  <c r="Z54" i="17" s="1"/>
  <c r="AD110" i="5"/>
  <c r="AA54" i="17" s="1"/>
  <c r="AD95" i="5"/>
  <c r="AA39" i="17" s="1"/>
  <c r="AC95" i="5"/>
  <c r="Z39" i="17" s="1"/>
  <c r="AB95" i="5"/>
  <c r="Y39" i="17" s="1"/>
  <c r="AD99" i="5"/>
  <c r="AA43" i="17" s="1"/>
  <c r="AC99" i="5"/>
  <c r="Z43" i="17" s="1"/>
  <c r="AB99" i="5"/>
  <c r="Y43" i="17" s="1"/>
  <c r="AD106" i="5"/>
  <c r="AA50" i="17" s="1"/>
  <c r="AB106" i="5"/>
  <c r="Y50" i="17" s="1"/>
  <c r="AC106" i="5"/>
  <c r="Z50" i="17" s="1"/>
  <c r="AD100" i="5"/>
  <c r="AA44" i="17" s="1"/>
  <c r="AC100" i="5"/>
  <c r="Z44" i="17" s="1"/>
  <c r="AB100" i="5"/>
  <c r="Y44" i="17" s="1"/>
  <c r="AB94" i="5"/>
  <c r="Y38" i="17" s="1"/>
  <c r="AC94" i="5"/>
  <c r="Z38" i="17" s="1"/>
  <c r="AD94" i="5"/>
  <c r="AA38" i="17" s="1"/>
  <c r="AD104" i="5"/>
  <c r="AA48" i="17" s="1"/>
  <c r="AC104" i="5"/>
  <c r="Z48" i="17" s="1"/>
  <c r="AB104" i="5"/>
  <c r="Y48" i="17" s="1"/>
  <c r="AC90" i="5"/>
  <c r="Z34" i="17" s="1"/>
  <c r="AB90" i="5"/>
  <c r="Y34" i="17" s="1"/>
  <c r="AD90" i="5"/>
  <c r="AA34" i="17" s="1"/>
  <c r="AC105" i="5"/>
  <c r="Z49" i="17" s="1"/>
  <c r="AD105" i="5"/>
  <c r="AA49" i="17" s="1"/>
  <c r="AB105" i="5"/>
  <c r="Y49" i="17" s="1"/>
  <c r="AC91" i="5"/>
  <c r="Z35" i="17" s="1"/>
  <c r="AD91" i="5"/>
  <c r="AA35" i="17" s="1"/>
  <c r="AB91" i="5"/>
  <c r="Y35" i="17" s="1"/>
  <c r="AD92" i="5"/>
  <c r="AA36" i="17" s="1"/>
  <c r="AB92" i="5"/>
  <c r="Y36" i="17" s="1"/>
  <c r="AC92" i="5"/>
  <c r="Z36" i="17" s="1"/>
  <c r="AB115" i="5"/>
  <c r="Y59" i="17" s="1"/>
  <c r="AC115" i="5"/>
  <c r="Z59" i="17" s="1"/>
  <c r="AD115" i="5"/>
  <c r="AA59" i="17" s="1"/>
  <c r="AB96" i="5"/>
  <c r="Y40" i="17" s="1"/>
  <c r="AD96" i="5"/>
  <c r="AA40" i="17" s="1"/>
  <c r="AC96" i="5"/>
  <c r="Z40" i="17" s="1"/>
  <c r="AC111" i="5"/>
  <c r="Z55" i="17" s="1"/>
  <c r="AB111" i="5"/>
  <c r="Y55" i="17" s="1"/>
  <c r="AD111" i="5"/>
  <c r="AA55" i="17" s="1"/>
  <c r="AC97" i="5"/>
  <c r="Z41" i="17" s="1"/>
  <c r="AD97" i="5"/>
  <c r="AA41" i="17" s="1"/>
  <c r="AB97" i="5"/>
  <c r="Y41" i="17" s="1"/>
  <c r="AB98" i="5"/>
  <c r="Y42" i="17" s="1"/>
  <c r="AC98" i="5"/>
  <c r="Z42" i="17" s="1"/>
  <c r="AD98" i="5"/>
  <c r="AA42" i="17" s="1"/>
  <c r="AB102" i="5"/>
  <c r="Y46" i="17" s="1"/>
  <c r="AD102" i="5"/>
  <c r="AA46" i="17" s="1"/>
  <c r="AC102" i="5"/>
  <c r="Z46" i="17" s="1"/>
  <c r="AB114" i="5"/>
  <c r="Y58" i="17" s="1"/>
  <c r="AC114" i="5"/>
  <c r="Z58" i="17" s="1"/>
  <c r="AD114" i="5"/>
  <c r="AA58" i="17" s="1"/>
  <c r="AB103" i="5"/>
  <c r="Y47" i="17" s="1"/>
  <c r="AD103" i="5"/>
  <c r="AA47" i="17" s="1"/>
  <c r="AC103" i="5"/>
  <c r="Z47" i="17" s="1"/>
  <c r="AD89" i="5"/>
  <c r="AA33" i="17" s="1"/>
  <c r="AC89" i="5"/>
  <c r="Z33" i="17" s="1"/>
  <c r="AB89" i="5"/>
  <c r="Y33" i="17" s="1"/>
  <c r="U5" i="5" l="1"/>
  <c r="U6" i="5"/>
  <c r="U7" i="5"/>
  <c r="U4" i="5"/>
  <c r="T12" i="5"/>
  <c r="U12" i="5" s="1"/>
  <c r="T13" i="5"/>
  <c r="U13" i="5" s="1"/>
  <c r="T14" i="5"/>
  <c r="U14" i="5" s="1"/>
  <c r="T15" i="5"/>
  <c r="U15" i="5" s="1"/>
  <c r="T16" i="5"/>
  <c r="U16" i="5" s="1"/>
  <c r="T17" i="5"/>
  <c r="U17" i="5" s="1"/>
  <c r="T18" i="5"/>
  <c r="U18" i="5" s="1"/>
  <c r="T19" i="5"/>
  <c r="U19" i="5" s="1"/>
  <c r="T20" i="5"/>
  <c r="U20" i="5" s="1"/>
  <c r="T21" i="5"/>
  <c r="U21" i="5" s="1"/>
  <c r="T22" i="5"/>
  <c r="U22" i="5" s="1"/>
  <c r="T23" i="5"/>
  <c r="U23" i="5" s="1"/>
  <c r="T24" i="5"/>
  <c r="U24" i="5" s="1"/>
  <c r="T25" i="5"/>
  <c r="U25" i="5" s="1"/>
  <c r="T26" i="5"/>
  <c r="U26" i="5" s="1"/>
  <c r="T27" i="5"/>
  <c r="U27" i="5" s="1"/>
  <c r="T28" i="5"/>
  <c r="U28" i="5" s="1"/>
  <c r="T29" i="5"/>
  <c r="U29" i="5" s="1"/>
  <c r="T30" i="5"/>
  <c r="U30" i="5" s="1"/>
  <c r="T31" i="5"/>
  <c r="U31" i="5" s="1"/>
  <c r="T32" i="5"/>
  <c r="U32" i="5" s="1"/>
  <c r="T33" i="5"/>
  <c r="U33" i="5" s="1"/>
  <c r="T34" i="5"/>
  <c r="U34" i="5" s="1"/>
  <c r="T35" i="5"/>
  <c r="U35" i="5" s="1"/>
  <c r="T36" i="5"/>
  <c r="U36" i="5" s="1"/>
  <c r="T37" i="5"/>
  <c r="U37" i="5" s="1"/>
  <c r="T38" i="5"/>
  <c r="U38" i="5" s="1"/>
  <c r="T39" i="5"/>
  <c r="U39" i="5" s="1"/>
  <c r="T40" i="5"/>
  <c r="U40" i="5" s="1"/>
  <c r="T41" i="5"/>
  <c r="U41" i="5" s="1"/>
  <c r="T42" i="5"/>
  <c r="U42" i="5" s="1"/>
  <c r="T43" i="5"/>
  <c r="U43" i="5" s="1"/>
  <c r="T44" i="5"/>
  <c r="U44" i="5" s="1"/>
  <c r="T45" i="5"/>
  <c r="U45" i="5" s="1"/>
  <c r="T46" i="5"/>
  <c r="U46" i="5" s="1"/>
  <c r="T47" i="5"/>
  <c r="U47" i="5" s="1"/>
  <c r="T48" i="5"/>
  <c r="U48" i="5" s="1"/>
  <c r="T49" i="5"/>
  <c r="U49" i="5" s="1"/>
  <c r="T50" i="5"/>
  <c r="U50" i="5" s="1"/>
  <c r="T51" i="5"/>
  <c r="U51" i="5" s="1"/>
  <c r="T52" i="5"/>
  <c r="U52" i="5" s="1"/>
  <c r="T53" i="5"/>
  <c r="U53" i="5" s="1"/>
  <c r="T54" i="5"/>
  <c r="U54" i="5" s="1"/>
  <c r="T55" i="5"/>
  <c r="U55" i="5" s="1"/>
  <c r="T56" i="5"/>
  <c r="U56" i="5" s="1"/>
  <c r="T57" i="5"/>
  <c r="U57" i="5" s="1"/>
  <c r="T58" i="5"/>
  <c r="U58" i="5" s="1"/>
  <c r="T59" i="5"/>
  <c r="U59" i="5" s="1"/>
  <c r="T60" i="5"/>
  <c r="U60" i="5" s="1"/>
  <c r="T61" i="5"/>
  <c r="U61" i="5" s="1"/>
  <c r="T62" i="5"/>
  <c r="U62" i="5" s="1"/>
  <c r="T63" i="5"/>
  <c r="U63" i="5" s="1"/>
  <c r="T64" i="5"/>
  <c r="U64" i="5" s="1"/>
  <c r="T65" i="5"/>
  <c r="U65" i="5" s="1"/>
  <c r="T66" i="5"/>
  <c r="U66" i="5" s="1"/>
  <c r="T67" i="5"/>
  <c r="U67" i="5" s="1"/>
  <c r="T68" i="5"/>
  <c r="U68" i="5" s="1"/>
  <c r="T69" i="5"/>
  <c r="U69" i="5" s="1"/>
  <c r="T70" i="5"/>
  <c r="U70" i="5" s="1"/>
  <c r="T71" i="5"/>
  <c r="U71" i="5" s="1"/>
  <c r="T72" i="5"/>
  <c r="U72" i="5" s="1"/>
  <c r="T73" i="5"/>
  <c r="U73" i="5" s="1"/>
  <c r="T74" i="5"/>
  <c r="U74" i="5" s="1"/>
  <c r="T75" i="5"/>
  <c r="U75" i="5" s="1"/>
  <c r="T76" i="5"/>
  <c r="U76" i="5" s="1"/>
  <c r="T77" i="5"/>
  <c r="U77" i="5" s="1"/>
  <c r="T78" i="5"/>
  <c r="U78" i="5" s="1"/>
  <c r="T79" i="5"/>
  <c r="U79" i="5" s="1"/>
  <c r="T80" i="5"/>
  <c r="U80" i="5" s="1"/>
  <c r="T81" i="5"/>
  <c r="U81" i="5" s="1"/>
  <c r="T82" i="5"/>
  <c r="U82" i="5" s="1"/>
  <c r="T83" i="5"/>
  <c r="U83" i="5" s="1"/>
  <c r="T84" i="5"/>
  <c r="U84" i="5" s="1"/>
  <c r="T85" i="5"/>
  <c r="U85" i="5" s="1"/>
  <c r="T86" i="5"/>
  <c r="U86" i="5" s="1"/>
  <c r="T87" i="5"/>
  <c r="U87" i="5" s="1"/>
  <c r="T88" i="5"/>
  <c r="U88" i="5" s="1"/>
  <c r="T89" i="5"/>
  <c r="U89" i="5" s="1"/>
  <c r="T90" i="5"/>
  <c r="U90" i="5" s="1"/>
  <c r="T91" i="5"/>
  <c r="U91" i="5" s="1"/>
  <c r="T92" i="5"/>
  <c r="U92" i="5" s="1"/>
  <c r="T93" i="5"/>
  <c r="U93" i="5" s="1"/>
  <c r="T94" i="5"/>
  <c r="U94" i="5" s="1"/>
  <c r="T95" i="5"/>
  <c r="U95" i="5" s="1"/>
  <c r="T96" i="5"/>
  <c r="U96" i="5" s="1"/>
  <c r="T97" i="5"/>
  <c r="U97" i="5" s="1"/>
  <c r="T98" i="5"/>
  <c r="U98" i="5" s="1"/>
  <c r="T99" i="5"/>
  <c r="U99" i="5" s="1"/>
  <c r="T100" i="5"/>
  <c r="U100" i="5" s="1"/>
  <c r="T101" i="5"/>
  <c r="U101" i="5" s="1"/>
  <c r="T102" i="5"/>
  <c r="U102" i="5" s="1"/>
  <c r="T103" i="5"/>
  <c r="U103" i="5" s="1"/>
  <c r="T104" i="5"/>
  <c r="U104" i="5" s="1"/>
  <c r="T105" i="5"/>
  <c r="U105" i="5" s="1"/>
  <c r="T106" i="5"/>
  <c r="U106" i="5" s="1"/>
  <c r="T107" i="5"/>
  <c r="U107" i="5" s="1"/>
  <c r="T108" i="5"/>
  <c r="U108" i="5" s="1"/>
  <c r="T109" i="5"/>
  <c r="U109" i="5" s="1"/>
  <c r="T110" i="5"/>
  <c r="U110" i="5" s="1"/>
  <c r="T111" i="5"/>
  <c r="U111" i="5" s="1"/>
  <c r="T112" i="5"/>
  <c r="U112" i="5" s="1"/>
  <c r="T113" i="5"/>
  <c r="U113" i="5" s="1"/>
  <c r="T114" i="5"/>
  <c r="U114" i="5" s="1"/>
  <c r="T115" i="5"/>
  <c r="U115" i="5" s="1"/>
  <c r="T116" i="5"/>
  <c r="U116" i="5" s="1"/>
  <c r="T117" i="5"/>
  <c r="U117" i="5" s="1"/>
  <c r="T118" i="5"/>
  <c r="U118" i="5" s="1"/>
  <c r="T119" i="5"/>
  <c r="U119" i="5" s="1"/>
  <c r="T120" i="5"/>
  <c r="U120" i="5" s="1"/>
  <c r="T121" i="5"/>
  <c r="U121" i="5" s="1"/>
  <c r="T122" i="5"/>
  <c r="U122" i="5" s="1"/>
  <c r="T123" i="5"/>
  <c r="U123" i="5" s="1"/>
  <c r="T124" i="5"/>
  <c r="U124" i="5" s="1"/>
  <c r="T125" i="5"/>
  <c r="U125" i="5" s="1"/>
  <c r="T126" i="5"/>
  <c r="U126" i="5" s="1"/>
  <c r="T127" i="5"/>
  <c r="U127" i="5" s="1"/>
  <c r="T128" i="5"/>
  <c r="U128" i="5" s="1"/>
  <c r="T129" i="5"/>
  <c r="U129" i="5" s="1"/>
  <c r="T130" i="5"/>
  <c r="U130" i="5" s="1"/>
  <c r="T131" i="5"/>
  <c r="U131" i="5" s="1"/>
  <c r="T132" i="5"/>
  <c r="U132" i="5" s="1"/>
  <c r="T133" i="5"/>
  <c r="U133" i="5" s="1"/>
  <c r="T134" i="5"/>
  <c r="U134" i="5" s="1"/>
  <c r="T135" i="5"/>
  <c r="U135" i="5" s="1"/>
  <c r="T136" i="5"/>
  <c r="U136" i="5" s="1"/>
  <c r="T137" i="5"/>
  <c r="U137" i="5" s="1"/>
  <c r="T138" i="5"/>
  <c r="U138" i="5" s="1"/>
  <c r="T139" i="5"/>
  <c r="U139" i="5" s="1"/>
  <c r="T140" i="5"/>
  <c r="U140" i="5" s="1"/>
  <c r="T141" i="5"/>
  <c r="U141" i="5" s="1"/>
  <c r="T142" i="5"/>
  <c r="U142" i="5" s="1"/>
  <c r="T143" i="5"/>
  <c r="U143" i="5" s="1"/>
  <c r="T144" i="5"/>
  <c r="U144" i="5" s="1"/>
  <c r="T145" i="5"/>
  <c r="U145" i="5" s="1"/>
  <c r="T146" i="5"/>
  <c r="U146" i="5" s="1"/>
  <c r="T147" i="5"/>
  <c r="U147" i="5" s="1"/>
  <c r="T148" i="5"/>
  <c r="U148" i="5" s="1"/>
  <c r="T149" i="5"/>
  <c r="U149" i="5" s="1"/>
  <c r="T150" i="5"/>
  <c r="U150" i="5" s="1"/>
  <c r="T151" i="5"/>
  <c r="U151" i="5" s="1"/>
  <c r="T152" i="5"/>
  <c r="U152" i="5" s="1"/>
  <c r="T153" i="5"/>
  <c r="U153" i="5" s="1"/>
  <c r="T154" i="5"/>
  <c r="U154" i="5" s="1"/>
  <c r="T155" i="5"/>
  <c r="U155" i="5" s="1"/>
  <c r="T156" i="5"/>
  <c r="U156" i="5" s="1"/>
  <c r="T157" i="5"/>
  <c r="U157" i="5" s="1"/>
  <c r="T158" i="5"/>
  <c r="U158" i="5" s="1"/>
  <c r="T159" i="5"/>
  <c r="U159" i="5" s="1"/>
  <c r="T160" i="5"/>
  <c r="U160" i="5" s="1"/>
  <c r="T161" i="5"/>
  <c r="U161" i="5" s="1"/>
  <c r="T162" i="5"/>
  <c r="U162" i="5" s="1"/>
  <c r="T163" i="5"/>
  <c r="U163" i="5" s="1"/>
  <c r="T164" i="5"/>
  <c r="U164" i="5" s="1"/>
  <c r="T165" i="5"/>
  <c r="U165" i="5" s="1"/>
  <c r="T166" i="5"/>
  <c r="U166" i="5" s="1"/>
  <c r="T167" i="5"/>
  <c r="U167" i="5" s="1"/>
  <c r="T168" i="5"/>
  <c r="U168" i="5" s="1"/>
  <c r="T169" i="5"/>
  <c r="U169" i="5" s="1"/>
  <c r="T170" i="5"/>
  <c r="U170" i="5" s="1"/>
  <c r="T171" i="5"/>
  <c r="U171" i="5" s="1"/>
  <c r="T172" i="5"/>
  <c r="U172" i="5" s="1"/>
  <c r="T173" i="5"/>
  <c r="U173" i="5" s="1"/>
  <c r="T174" i="5"/>
  <c r="U174" i="5" s="1"/>
  <c r="T175" i="5"/>
  <c r="U175" i="5" s="1"/>
  <c r="T176" i="5"/>
  <c r="U176" i="5" s="1"/>
  <c r="T177" i="5"/>
  <c r="U177" i="5" s="1"/>
  <c r="T178" i="5"/>
  <c r="U178" i="5" s="1"/>
  <c r="T179" i="5"/>
  <c r="U179" i="5" s="1"/>
  <c r="T180" i="5"/>
  <c r="U180" i="5" s="1"/>
  <c r="T181" i="5"/>
  <c r="U181" i="5" s="1"/>
  <c r="T182" i="5"/>
  <c r="U182" i="5" s="1"/>
  <c r="T183" i="5"/>
  <c r="U183" i="5" s="1"/>
  <c r="T184" i="5"/>
  <c r="U184" i="5" s="1"/>
  <c r="T185" i="5"/>
  <c r="U185" i="5" s="1"/>
  <c r="T186" i="5"/>
  <c r="U186" i="5" s="1"/>
  <c r="T187" i="5"/>
  <c r="U187" i="5" s="1"/>
  <c r="T188" i="5"/>
  <c r="U188" i="5" s="1"/>
  <c r="T189" i="5"/>
  <c r="U189" i="5" s="1"/>
  <c r="T190" i="5"/>
  <c r="U190" i="5" s="1"/>
  <c r="T191" i="5"/>
  <c r="U191" i="5" s="1"/>
  <c r="T192" i="5"/>
  <c r="U192" i="5" s="1"/>
  <c r="T193" i="5"/>
  <c r="U193" i="5" s="1"/>
  <c r="T194" i="5"/>
  <c r="U194" i="5" s="1"/>
  <c r="T195" i="5"/>
  <c r="U195" i="5" s="1"/>
  <c r="T196" i="5"/>
  <c r="U196" i="5" s="1"/>
  <c r="T197" i="5"/>
  <c r="U197" i="5" s="1"/>
  <c r="T198" i="5"/>
  <c r="U198" i="5" s="1"/>
  <c r="T199" i="5"/>
  <c r="U199" i="5" s="1"/>
  <c r="T200" i="5"/>
  <c r="U200" i="5" s="1"/>
  <c r="T201" i="5"/>
  <c r="U201" i="5" s="1"/>
  <c r="T202" i="5"/>
  <c r="U202" i="5" s="1"/>
  <c r="T203" i="5"/>
  <c r="U203" i="5" s="1"/>
  <c r="T204" i="5"/>
  <c r="U204" i="5" s="1"/>
  <c r="T205" i="5"/>
  <c r="U205" i="5" s="1"/>
  <c r="T206" i="5"/>
  <c r="U206" i="5" s="1"/>
  <c r="T207" i="5"/>
  <c r="U207" i="5" s="1"/>
  <c r="T208" i="5"/>
  <c r="U208" i="5" s="1"/>
  <c r="T209" i="5"/>
  <c r="U209" i="5" s="1"/>
  <c r="T210" i="5"/>
  <c r="U210" i="5" s="1"/>
  <c r="T211" i="5"/>
  <c r="U211" i="5" s="1"/>
  <c r="T212" i="5"/>
  <c r="U212" i="5" s="1"/>
  <c r="T213" i="5"/>
  <c r="U213" i="5" s="1"/>
  <c r="T214" i="5"/>
  <c r="U214" i="5" s="1"/>
  <c r="T215" i="5"/>
  <c r="U215" i="5" s="1"/>
  <c r="T216" i="5"/>
  <c r="U216" i="5" s="1"/>
  <c r="T217" i="5"/>
  <c r="U217" i="5" s="1"/>
  <c r="T218" i="5"/>
  <c r="U218" i="5" s="1"/>
  <c r="T219" i="5"/>
  <c r="U219" i="5" s="1"/>
  <c r="T220" i="5"/>
  <c r="U220" i="5" s="1"/>
  <c r="T221" i="5"/>
  <c r="U221" i="5" s="1"/>
  <c r="T222" i="5"/>
  <c r="U222" i="5" s="1"/>
  <c r="T223" i="5"/>
  <c r="U223" i="5" s="1"/>
  <c r="T224" i="5"/>
  <c r="U224" i="5" s="1"/>
  <c r="T225" i="5"/>
  <c r="U225" i="5" s="1"/>
  <c r="T226" i="5"/>
  <c r="U226" i="5" s="1"/>
  <c r="T227" i="5"/>
  <c r="U227" i="5" s="1"/>
  <c r="T228" i="5"/>
  <c r="U228" i="5" s="1"/>
  <c r="T229" i="5"/>
  <c r="U229" i="5" s="1"/>
  <c r="T230" i="5"/>
  <c r="U230" i="5" s="1"/>
  <c r="T231" i="5"/>
  <c r="U231" i="5" s="1"/>
  <c r="T232" i="5"/>
  <c r="U232" i="5" s="1"/>
  <c r="T233" i="5"/>
  <c r="U233" i="5" s="1"/>
  <c r="T234" i="5"/>
  <c r="U234" i="5" s="1"/>
  <c r="T235" i="5"/>
  <c r="U235" i="5" s="1"/>
  <c r="T236" i="5"/>
  <c r="U236" i="5" s="1"/>
  <c r="T237" i="5"/>
  <c r="U237" i="5" s="1"/>
  <c r="T238" i="5"/>
  <c r="U238" i="5" s="1"/>
  <c r="T239" i="5"/>
  <c r="U239" i="5" s="1"/>
  <c r="T240" i="5"/>
  <c r="U240" i="5" s="1"/>
  <c r="T241" i="5"/>
  <c r="U241" i="5" s="1"/>
  <c r="T242" i="5"/>
  <c r="U242" i="5" s="1"/>
  <c r="T243" i="5"/>
  <c r="U243" i="5" s="1"/>
  <c r="T244" i="5"/>
  <c r="U244" i="5" s="1"/>
  <c r="T245" i="5"/>
  <c r="U245" i="5" s="1"/>
  <c r="T246" i="5"/>
  <c r="U246" i="5" s="1"/>
  <c r="T247" i="5"/>
  <c r="U247" i="5" s="1"/>
  <c r="T248" i="5"/>
  <c r="U248" i="5" s="1"/>
  <c r="T249" i="5"/>
  <c r="U249" i="5" s="1"/>
  <c r="T250" i="5"/>
  <c r="U250" i="5" s="1"/>
  <c r="T251" i="5"/>
  <c r="U251" i="5" s="1"/>
  <c r="T252" i="5"/>
  <c r="U252" i="5" s="1"/>
  <c r="T253" i="5"/>
  <c r="U253" i="5" s="1"/>
  <c r="T254" i="5"/>
  <c r="U254" i="5" s="1"/>
  <c r="T255" i="5"/>
  <c r="U255" i="5" s="1"/>
  <c r="T256" i="5"/>
  <c r="U256" i="5" s="1"/>
  <c r="T257" i="5"/>
  <c r="U257" i="5" s="1"/>
  <c r="T258" i="5"/>
  <c r="U258" i="5" s="1"/>
  <c r="T259" i="5"/>
  <c r="U259" i="5" s="1"/>
  <c r="T260" i="5"/>
  <c r="U260" i="5" s="1"/>
  <c r="T261" i="5"/>
  <c r="U261" i="5" s="1"/>
  <c r="T262" i="5"/>
  <c r="U262" i="5" s="1"/>
  <c r="T263" i="5"/>
  <c r="U263" i="5" s="1"/>
  <c r="T264" i="5"/>
  <c r="U264" i="5" s="1"/>
  <c r="T265" i="5"/>
  <c r="U265" i="5" s="1"/>
  <c r="T266" i="5"/>
  <c r="U266" i="5" s="1"/>
  <c r="T267" i="5"/>
  <c r="U267" i="5" s="1"/>
  <c r="T268" i="5"/>
  <c r="U268" i="5" s="1"/>
  <c r="T269" i="5"/>
  <c r="U269" i="5" s="1"/>
  <c r="T270" i="5"/>
  <c r="U270" i="5" s="1"/>
  <c r="T271" i="5"/>
  <c r="U271" i="5" s="1"/>
  <c r="T272" i="5"/>
  <c r="U272" i="5" s="1"/>
  <c r="T273" i="5"/>
  <c r="U273" i="5" s="1"/>
  <c r="T274" i="5"/>
  <c r="U274" i="5" s="1"/>
  <c r="T275" i="5"/>
  <c r="U275" i="5" s="1"/>
  <c r="T276" i="5"/>
  <c r="U276" i="5" s="1"/>
  <c r="T277" i="5"/>
  <c r="U277" i="5" s="1"/>
  <c r="T278" i="5"/>
  <c r="U278" i="5" s="1"/>
  <c r="T279" i="5"/>
  <c r="U279" i="5" s="1"/>
  <c r="T280" i="5"/>
  <c r="U280" i="5" s="1"/>
  <c r="T281" i="5"/>
  <c r="U281" i="5" s="1"/>
  <c r="T282" i="5"/>
  <c r="U282" i="5" s="1"/>
  <c r="T283" i="5"/>
  <c r="U283" i="5" s="1"/>
  <c r="T284" i="5"/>
  <c r="U284" i="5" s="1"/>
  <c r="T285" i="5"/>
  <c r="U285" i="5" s="1"/>
  <c r="T286" i="5"/>
  <c r="U286" i="5" s="1"/>
  <c r="T287" i="5"/>
  <c r="U287" i="5" s="1"/>
  <c r="T288" i="5"/>
  <c r="U288" i="5" s="1"/>
  <c r="T289" i="5"/>
  <c r="U289" i="5" s="1"/>
  <c r="T290" i="5"/>
  <c r="U290" i="5" s="1"/>
  <c r="T291" i="5"/>
  <c r="U291" i="5" s="1"/>
  <c r="T292" i="5"/>
  <c r="U292" i="5" s="1"/>
  <c r="T293" i="5"/>
  <c r="U293" i="5" s="1"/>
  <c r="T294" i="5"/>
  <c r="U294" i="5" s="1"/>
  <c r="T295" i="5"/>
  <c r="U295" i="5" s="1"/>
  <c r="T296" i="5"/>
  <c r="U296" i="5" s="1"/>
  <c r="T297" i="5"/>
  <c r="U297" i="5" s="1"/>
  <c r="T298" i="5"/>
  <c r="U298" i="5" s="1"/>
  <c r="T299" i="5"/>
  <c r="U299" i="5" s="1"/>
  <c r="T300" i="5"/>
  <c r="U300" i="5" s="1"/>
  <c r="T301" i="5"/>
  <c r="U301" i="5" s="1"/>
  <c r="T302" i="5"/>
  <c r="U302" i="5" s="1"/>
  <c r="T303" i="5"/>
  <c r="U303" i="5" s="1"/>
  <c r="T304" i="5"/>
  <c r="U304" i="5" s="1"/>
  <c r="T305" i="5"/>
  <c r="U305" i="5" s="1"/>
  <c r="T306" i="5"/>
  <c r="U306" i="5" s="1"/>
  <c r="T307" i="5"/>
  <c r="U307" i="5" s="1"/>
  <c r="T308" i="5"/>
  <c r="U308" i="5" s="1"/>
  <c r="T309" i="5"/>
  <c r="U309" i="5" s="1"/>
  <c r="T310" i="5"/>
  <c r="U310" i="5" s="1"/>
  <c r="T311" i="5"/>
  <c r="U311" i="5" s="1"/>
  <c r="T312" i="5"/>
  <c r="U312" i="5" s="1"/>
  <c r="T313" i="5"/>
  <c r="U313" i="5" s="1"/>
  <c r="T314" i="5"/>
  <c r="U314" i="5" s="1"/>
  <c r="T315" i="5"/>
  <c r="U315" i="5" s="1"/>
  <c r="T316" i="5"/>
  <c r="U316" i="5" s="1"/>
  <c r="T317" i="5"/>
  <c r="U317" i="5" s="1"/>
  <c r="T318" i="5"/>
  <c r="U318" i="5" s="1"/>
  <c r="T319" i="5"/>
  <c r="U319" i="5" s="1"/>
  <c r="T320" i="5"/>
  <c r="U320" i="5" s="1"/>
  <c r="T321" i="5"/>
  <c r="U321" i="5" s="1"/>
  <c r="T322" i="5"/>
  <c r="U322" i="5" s="1"/>
  <c r="T323" i="5"/>
  <c r="U323" i="5" s="1"/>
  <c r="T324" i="5"/>
  <c r="U324" i="5" s="1"/>
  <c r="T325" i="5"/>
  <c r="U325" i="5" s="1"/>
  <c r="T326" i="5"/>
  <c r="U326" i="5" s="1"/>
  <c r="T327" i="5"/>
  <c r="U327" i="5" s="1"/>
  <c r="T328" i="5"/>
  <c r="U328" i="5" s="1"/>
  <c r="T329" i="5"/>
  <c r="U329" i="5" s="1"/>
  <c r="T330" i="5"/>
  <c r="U330" i="5" s="1"/>
  <c r="T331" i="5"/>
  <c r="U331" i="5" s="1"/>
  <c r="T332" i="5"/>
  <c r="U332" i="5" s="1"/>
  <c r="T333" i="5"/>
  <c r="U333" i="5" s="1"/>
  <c r="T334" i="5"/>
  <c r="U334" i="5" s="1"/>
  <c r="T335" i="5"/>
  <c r="U335" i="5" s="1"/>
  <c r="T336" i="5"/>
  <c r="U336" i="5" s="1"/>
  <c r="T337" i="5"/>
  <c r="U337" i="5" s="1"/>
  <c r="T338" i="5"/>
  <c r="U338" i="5" s="1"/>
  <c r="T339" i="5"/>
  <c r="U339" i="5" s="1"/>
  <c r="T340" i="5"/>
  <c r="U340" i="5" s="1"/>
  <c r="T341" i="5"/>
  <c r="U341" i="5" s="1"/>
  <c r="T342" i="5"/>
  <c r="U342" i="5" s="1"/>
  <c r="T343" i="5"/>
  <c r="U343" i="5" s="1"/>
  <c r="T344" i="5"/>
  <c r="U344" i="5" s="1"/>
  <c r="T345" i="5"/>
  <c r="U345" i="5" s="1"/>
  <c r="T346" i="5"/>
  <c r="U346" i="5" s="1"/>
  <c r="T347" i="5"/>
  <c r="U347" i="5" s="1"/>
  <c r="T348" i="5"/>
  <c r="U348" i="5" s="1"/>
  <c r="T349" i="5"/>
  <c r="U349" i="5" s="1"/>
  <c r="T350" i="5"/>
  <c r="U350" i="5" s="1"/>
  <c r="T351" i="5"/>
  <c r="U351" i="5" s="1"/>
  <c r="T352" i="5"/>
  <c r="U352" i="5" s="1"/>
  <c r="T353" i="5"/>
  <c r="U353" i="5" s="1"/>
  <c r="T354" i="5"/>
  <c r="U354" i="5" s="1"/>
  <c r="T355" i="5"/>
  <c r="U355" i="5" s="1"/>
  <c r="T356" i="5"/>
  <c r="U356" i="5" s="1"/>
  <c r="T357" i="5"/>
  <c r="U357" i="5" s="1"/>
  <c r="T358" i="5"/>
  <c r="U358" i="5" s="1"/>
  <c r="T359" i="5"/>
  <c r="U359" i="5" s="1"/>
  <c r="T360" i="5"/>
  <c r="U360" i="5" s="1"/>
  <c r="T361" i="5"/>
  <c r="U361" i="5" s="1"/>
  <c r="T362" i="5"/>
  <c r="U362" i="5" s="1"/>
  <c r="T363" i="5"/>
  <c r="U363" i="5" s="1"/>
  <c r="T364" i="5"/>
  <c r="U364" i="5" s="1"/>
  <c r="T365" i="5"/>
  <c r="U365" i="5" s="1"/>
  <c r="T366" i="5"/>
  <c r="U366" i="5" s="1"/>
  <c r="T367" i="5"/>
  <c r="U367" i="5" s="1"/>
  <c r="T368" i="5"/>
  <c r="U368" i="5" s="1"/>
  <c r="T369" i="5"/>
  <c r="U369" i="5" s="1"/>
  <c r="T370" i="5"/>
  <c r="U370" i="5" s="1"/>
  <c r="T371" i="5"/>
  <c r="U371" i="5" s="1"/>
  <c r="T372" i="5"/>
  <c r="U372" i="5" s="1"/>
  <c r="T373" i="5"/>
  <c r="U373" i="5" s="1"/>
  <c r="T374" i="5"/>
  <c r="U374" i="5" s="1"/>
  <c r="T375" i="5"/>
  <c r="U375" i="5" s="1"/>
  <c r="T376" i="5"/>
  <c r="U376" i="5" s="1"/>
  <c r="T377" i="5"/>
  <c r="U377" i="5" s="1"/>
  <c r="T378" i="5"/>
  <c r="U378" i="5" s="1"/>
  <c r="T379" i="5"/>
  <c r="U379" i="5" s="1"/>
  <c r="T380" i="5"/>
  <c r="U380" i="5" s="1"/>
  <c r="T381" i="5"/>
  <c r="U381" i="5" s="1"/>
  <c r="T382" i="5"/>
  <c r="U382" i="5" s="1"/>
  <c r="T383" i="5"/>
  <c r="U383" i="5" s="1"/>
  <c r="T384" i="5"/>
  <c r="U384" i="5" s="1"/>
  <c r="T385" i="5"/>
  <c r="U385" i="5" s="1"/>
  <c r="T386" i="5"/>
  <c r="U386" i="5" s="1"/>
  <c r="T387" i="5"/>
  <c r="U387" i="5" s="1"/>
  <c r="T388" i="5"/>
  <c r="U388" i="5" s="1"/>
  <c r="T389" i="5"/>
  <c r="U389" i="5" s="1"/>
  <c r="T390" i="5"/>
  <c r="U390" i="5" s="1"/>
  <c r="T391" i="5"/>
  <c r="U391" i="5" s="1"/>
  <c r="T392" i="5"/>
  <c r="U392" i="5" s="1"/>
  <c r="T393" i="5"/>
  <c r="U393" i="5" s="1"/>
  <c r="T394" i="5"/>
  <c r="U394" i="5" s="1"/>
  <c r="T395" i="5"/>
  <c r="U395" i="5" s="1"/>
  <c r="T396" i="5"/>
  <c r="U396" i="5" s="1"/>
  <c r="T397" i="5"/>
  <c r="U397" i="5" s="1"/>
  <c r="T398" i="5"/>
  <c r="U398" i="5" s="1"/>
  <c r="T399" i="5"/>
  <c r="U399" i="5" s="1"/>
  <c r="T400" i="5"/>
  <c r="U400" i="5" s="1"/>
  <c r="T401" i="5"/>
  <c r="U401" i="5" s="1"/>
  <c r="T402" i="5"/>
  <c r="U402" i="5" s="1"/>
  <c r="T403" i="5"/>
  <c r="U403" i="5" s="1"/>
  <c r="T404" i="5"/>
  <c r="U404" i="5" s="1"/>
  <c r="T405" i="5"/>
  <c r="U405" i="5" s="1"/>
  <c r="T406" i="5"/>
  <c r="U406" i="5" s="1"/>
  <c r="T407" i="5"/>
  <c r="U407" i="5" s="1"/>
  <c r="T408" i="5"/>
  <c r="U408" i="5" s="1"/>
  <c r="T409" i="5"/>
  <c r="U409" i="5" s="1"/>
  <c r="T410" i="5"/>
  <c r="U410" i="5" s="1"/>
  <c r="T411" i="5"/>
  <c r="U411" i="5" s="1"/>
  <c r="T412" i="5"/>
  <c r="U412" i="5" s="1"/>
  <c r="T413" i="5"/>
  <c r="U413" i="5" s="1"/>
  <c r="T414" i="5"/>
  <c r="U414" i="5" s="1"/>
  <c r="T415" i="5"/>
  <c r="U415" i="5" s="1"/>
  <c r="T416" i="5"/>
  <c r="U416" i="5" s="1"/>
  <c r="T417" i="5"/>
  <c r="U417" i="5" s="1"/>
  <c r="T418" i="5"/>
  <c r="U418" i="5" s="1"/>
  <c r="T419" i="5"/>
  <c r="U419" i="5" s="1"/>
  <c r="T420" i="5"/>
  <c r="U420" i="5" s="1"/>
  <c r="T421" i="5"/>
  <c r="U421" i="5" s="1"/>
  <c r="T422" i="5"/>
  <c r="U422" i="5" s="1"/>
  <c r="T423" i="5"/>
  <c r="U423" i="5" s="1"/>
  <c r="T424" i="5"/>
  <c r="U424" i="5" s="1"/>
  <c r="T425" i="5"/>
  <c r="U425" i="5" s="1"/>
  <c r="T426" i="5"/>
  <c r="U426" i="5" s="1"/>
  <c r="T427" i="5"/>
  <c r="U427" i="5" s="1"/>
  <c r="T428" i="5"/>
  <c r="U428" i="5" s="1"/>
  <c r="T429" i="5"/>
  <c r="U429" i="5" s="1"/>
  <c r="T430" i="5"/>
  <c r="U430" i="5" s="1"/>
  <c r="T431" i="5"/>
  <c r="U431" i="5" s="1"/>
  <c r="T432" i="5"/>
  <c r="U432" i="5" s="1"/>
  <c r="T433" i="5"/>
  <c r="U433" i="5" s="1"/>
  <c r="T434" i="5"/>
  <c r="U434" i="5" s="1"/>
  <c r="T435" i="5"/>
  <c r="U435" i="5" s="1"/>
  <c r="T436" i="5"/>
  <c r="U436" i="5" s="1"/>
  <c r="T437" i="5"/>
  <c r="U437" i="5" s="1"/>
  <c r="T438" i="5"/>
  <c r="U438" i="5" s="1"/>
  <c r="T439" i="5"/>
  <c r="U439" i="5" s="1"/>
  <c r="T440" i="5"/>
  <c r="U440" i="5" s="1"/>
  <c r="T441" i="5"/>
  <c r="U441" i="5" s="1"/>
  <c r="T442" i="5"/>
  <c r="U442" i="5" s="1"/>
  <c r="T443" i="5"/>
  <c r="U443" i="5" s="1"/>
  <c r="T444" i="5"/>
  <c r="U444" i="5" s="1"/>
  <c r="T445" i="5"/>
  <c r="U445" i="5" s="1"/>
  <c r="T446" i="5"/>
  <c r="U446" i="5" s="1"/>
  <c r="T447" i="5"/>
  <c r="U447" i="5" s="1"/>
  <c r="T448" i="5"/>
  <c r="U448" i="5" s="1"/>
  <c r="T449" i="5"/>
  <c r="U449" i="5" s="1"/>
  <c r="T450" i="5"/>
  <c r="U450" i="5" s="1"/>
  <c r="T451" i="5"/>
  <c r="U451" i="5" s="1"/>
  <c r="T452" i="5"/>
  <c r="U452" i="5" s="1"/>
  <c r="T453" i="5"/>
  <c r="U453" i="5" s="1"/>
  <c r="T454" i="5"/>
  <c r="U454" i="5" s="1"/>
  <c r="T455" i="5"/>
  <c r="U455" i="5" s="1"/>
  <c r="T456" i="5"/>
  <c r="U456" i="5" s="1"/>
  <c r="T457" i="5"/>
  <c r="U457" i="5" s="1"/>
  <c r="T458" i="5"/>
  <c r="U458" i="5" s="1"/>
  <c r="T459" i="5"/>
  <c r="U459" i="5" s="1"/>
  <c r="T460" i="5"/>
  <c r="U460" i="5" s="1"/>
  <c r="T461" i="5"/>
  <c r="U461" i="5" s="1"/>
  <c r="T462" i="5"/>
  <c r="U462" i="5" s="1"/>
  <c r="T463" i="5"/>
  <c r="U463" i="5" s="1"/>
  <c r="T464" i="5"/>
  <c r="U464" i="5" s="1"/>
  <c r="T465" i="5"/>
  <c r="U465" i="5" s="1"/>
  <c r="T466" i="5"/>
  <c r="U466" i="5" s="1"/>
  <c r="T467" i="5"/>
  <c r="U467" i="5" s="1"/>
  <c r="T468" i="5"/>
  <c r="U468" i="5" s="1"/>
  <c r="T469" i="5"/>
  <c r="U469" i="5" s="1"/>
  <c r="T470" i="5"/>
  <c r="U470" i="5" s="1"/>
  <c r="T471" i="5"/>
  <c r="U471" i="5" s="1"/>
  <c r="T472" i="5"/>
  <c r="U472" i="5" s="1"/>
  <c r="T473" i="5"/>
  <c r="U473" i="5" s="1"/>
  <c r="T474" i="5"/>
  <c r="U474" i="5" s="1"/>
  <c r="T475" i="5"/>
  <c r="U475" i="5" s="1"/>
  <c r="T476" i="5"/>
  <c r="U476" i="5" s="1"/>
  <c r="T477" i="5"/>
  <c r="U477" i="5" s="1"/>
  <c r="T478" i="5"/>
  <c r="U478" i="5" s="1"/>
  <c r="T479" i="5"/>
  <c r="U479" i="5" s="1"/>
  <c r="T480" i="5"/>
  <c r="U480" i="5" s="1"/>
  <c r="T481" i="5"/>
  <c r="U481" i="5" s="1"/>
  <c r="T482" i="5"/>
  <c r="U482" i="5" s="1"/>
  <c r="T483" i="5"/>
  <c r="U483" i="5" s="1"/>
  <c r="T484" i="5"/>
  <c r="U484" i="5" s="1"/>
  <c r="T485" i="5"/>
  <c r="U485" i="5" s="1"/>
  <c r="T486" i="5"/>
  <c r="U486" i="5" s="1"/>
  <c r="T487" i="5"/>
  <c r="U487" i="5" s="1"/>
  <c r="T488" i="5"/>
  <c r="U488" i="5" s="1"/>
  <c r="T489" i="5"/>
  <c r="U489" i="5" s="1"/>
  <c r="T490" i="5"/>
  <c r="U490" i="5" s="1"/>
  <c r="T491" i="5"/>
  <c r="U491" i="5" s="1"/>
  <c r="T492" i="5"/>
  <c r="U492" i="5" s="1"/>
  <c r="T493" i="5"/>
  <c r="U493" i="5" s="1"/>
  <c r="T494" i="5"/>
  <c r="U494" i="5" s="1"/>
  <c r="T495" i="5"/>
  <c r="U495" i="5" s="1"/>
  <c r="T496" i="5"/>
  <c r="U496" i="5" s="1"/>
  <c r="T497" i="5"/>
  <c r="U497" i="5" s="1"/>
  <c r="T498" i="5"/>
  <c r="U498" i="5" s="1"/>
  <c r="T499" i="5"/>
  <c r="U499" i="5" s="1"/>
  <c r="T500" i="5"/>
  <c r="U500" i="5" s="1"/>
  <c r="T501" i="5"/>
  <c r="U501" i="5" s="1"/>
  <c r="T502" i="5"/>
  <c r="U502" i="5" s="1"/>
  <c r="T503" i="5"/>
  <c r="U503" i="5" s="1"/>
  <c r="T504" i="5"/>
  <c r="U504" i="5" s="1"/>
  <c r="T505" i="5"/>
  <c r="U505" i="5" s="1"/>
  <c r="T506" i="5"/>
  <c r="U506" i="5" s="1"/>
  <c r="T507" i="5"/>
  <c r="U507" i="5" s="1"/>
  <c r="T508" i="5"/>
  <c r="U508" i="5" s="1"/>
  <c r="T509" i="5"/>
  <c r="U509" i="5" s="1"/>
  <c r="T510" i="5"/>
  <c r="U510" i="5" s="1"/>
  <c r="T511" i="5"/>
  <c r="U511" i="5" s="1"/>
  <c r="T512" i="5"/>
  <c r="U512" i="5" s="1"/>
  <c r="T513" i="5"/>
  <c r="U513" i="5" s="1"/>
  <c r="T514" i="5"/>
  <c r="U514" i="5" s="1"/>
  <c r="T515" i="5"/>
  <c r="U515" i="5" s="1"/>
  <c r="T516" i="5"/>
  <c r="U516" i="5" s="1"/>
  <c r="T517" i="5"/>
  <c r="U517" i="5" s="1"/>
  <c r="T518" i="5"/>
  <c r="U518" i="5" s="1"/>
  <c r="T519" i="5"/>
  <c r="U519" i="5" s="1"/>
  <c r="T520" i="5"/>
  <c r="U520" i="5" s="1"/>
  <c r="T521" i="5"/>
  <c r="T522" i="5"/>
  <c r="U522" i="5" s="1"/>
  <c r="T523" i="5"/>
  <c r="U523" i="5" s="1"/>
  <c r="T524" i="5"/>
  <c r="U524" i="5" s="1"/>
  <c r="T525" i="5"/>
  <c r="U525" i="5" s="1"/>
  <c r="T526" i="5"/>
  <c r="U526" i="5" s="1"/>
  <c r="T527" i="5"/>
  <c r="U527" i="5" s="1"/>
  <c r="T528" i="5"/>
  <c r="U528" i="5" s="1"/>
  <c r="T529" i="5"/>
  <c r="U529" i="5" s="1"/>
  <c r="T530" i="5"/>
  <c r="U530" i="5" s="1"/>
  <c r="T531" i="5"/>
  <c r="U531" i="5" s="1"/>
  <c r="T532" i="5"/>
  <c r="U532" i="5" s="1"/>
  <c r="T533" i="5"/>
  <c r="U533" i="5" s="1"/>
  <c r="T534" i="5"/>
  <c r="U534" i="5" s="1"/>
  <c r="T535" i="5"/>
  <c r="U535" i="5" s="1"/>
  <c r="T536" i="5"/>
  <c r="U536" i="5" s="1"/>
  <c r="T537" i="5"/>
  <c r="U537" i="5" s="1"/>
  <c r="T538" i="5"/>
  <c r="U538" i="5" s="1"/>
  <c r="T539" i="5"/>
  <c r="U539" i="5" s="1"/>
  <c r="T540" i="5"/>
  <c r="U540" i="5" s="1"/>
  <c r="T541" i="5"/>
  <c r="U541" i="5" s="1"/>
  <c r="T542" i="5"/>
  <c r="U542" i="5" s="1"/>
  <c r="T543" i="5"/>
  <c r="U543" i="5" s="1"/>
  <c r="T544" i="5"/>
  <c r="U544" i="5" s="1"/>
  <c r="T545" i="5"/>
  <c r="U545" i="5" s="1"/>
  <c r="T546" i="5"/>
  <c r="U546" i="5" s="1"/>
  <c r="T547" i="5"/>
  <c r="U547" i="5" s="1"/>
  <c r="T548" i="5"/>
  <c r="U548" i="5" s="1"/>
  <c r="T549" i="5"/>
  <c r="U549" i="5" s="1"/>
  <c r="T550" i="5"/>
  <c r="U550" i="5" s="1"/>
  <c r="T551" i="5"/>
  <c r="U551" i="5" s="1"/>
  <c r="T552" i="5"/>
  <c r="U552" i="5" s="1"/>
  <c r="T553" i="5"/>
  <c r="U553" i="5" s="1"/>
  <c r="T554" i="5"/>
  <c r="U554" i="5" s="1"/>
  <c r="T555" i="5"/>
  <c r="U555" i="5" s="1"/>
  <c r="T556" i="5"/>
  <c r="U556" i="5" s="1"/>
  <c r="T557" i="5"/>
  <c r="U557" i="5" s="1"/>
  <c r="T558" i="5"/>
  <c r="U558" i="5" s="1"/>
  <c r="T559" i="5"/>
  <c r="U559" i="5" s="1"/>
  <c r="T560" i="5"/>
  <c r="U560" i="5" s="1"/>
  <c r="T561" i="5"/>
  <c r="U561" i="5" s="1"/>
  <c r="T562" i="5"/>
  <c r="U562" i="5" s="1"/>
  <c r="T563" i="5"/>
  <c r="U563" i="5" s="1"/>
  <c r="T564" i="5"/>
  <c r="U564" i="5" s="1"/>
  <c r="T565" i="5"/>
  <c r="U565" i="5" s="1"/>
  <c r="T566" i="5"/>
  <c r="U566" i="5" s="1"/>
  <c r="T567" i="5"/>
  <c r="U567" i="5" s="1"/>
  <c r="T568" i="5"/>
  <c r="U568" i="5" s="1"/>
  <c r="T569" i="5"/>
  <c r="U569" i="5" s="1"/>
  <c r="T570" i="5"/>
  <c r="U570" i="5" s="1"/>
  <c r="T571" i="5"/>
  <c r="U571" i="5" s="1"/>
  <c r="T572" i="5"/>
  <c r="U572" i="5" s="1"/>
  <c r="T573" i="5"/>
  <c r="U573" i="5" s="1"/>
  <c r="T574" i="5"/>
  <c r="U574" i="5" s="1"/>
  <c r="T575" i="5"/>
  <c r="U575" i="5" s="1"/>
  <c r="T576" i="5"/>
  <c r="U576" i="5" s="1"/>
  <c r="T577" i="5"/>
  <c r="U577" i="5" s="1"/>
  <c r="T578" i="5"/>
  <c r="U578" i="5" s="1"/>
  <c r="T579" i="5"/>
  <c r="U579" i="5" s="1"/>
  <c r="T580" i="5"/>
  <c r="U580" i="5" s="1"/>
  <c r="T581" i="5"/>
  <c r="U581" i="5" s="1"/>
  <c r="T582" i="5"/>
  <c r="U582" i="5" s="1"/>
  <c r="T583" i="5"/>
  <c r="U583" i="5" s="1"/>
  <c r="T584" i="5"/>
  <c r="U584" i="5" s="1"/>
  <c r="T585" i="5"/>
  <c r="U585" i="5" s="1"/>
  <c r="T586" i="5"/>
  <c r="U586" i="5" s="1"/>
  <c r="T587" i="5"/>
  <c r="U587" i="5" s="1"/>
  <c r="T588" i="5"/>
  <c r="U588" i="5" s="1"/>
  <c r="T589" i="5"/>
  <c r="U589" i="5" s="1"/>
  <c r="T590" i="5"/>
  <c r="U590" i="5" s="1"/>
  <c r="T591" i="5"/>
  <c r="U591" i="5" s="1"/>
  <c r="T592" i="5"/>
  <c r="U592" i="5" s="1"/>
  <c r="T593" i="5"/>
  <c r="U593" i="5" s="1"/>
  <c r="T594" i="5"/>
  <c r="U594" i="5" s="1"/>
  <c r="T595" i="5"/>
  <c r="U595" i="5" s="1"/>
  <c r="T596" i="5"/>
  <c r="U596" i="5" s="1"/>
  <c r="T597" i="5"/>
  <c r="U597" i="5" s="1"/>
  <c r="T598" i="5"/>
  <c r="U598" i="5" s="1"/>
  <c r="T599" i="5"/>
  <c r="U599" i="5" s="1"/>
  <c r="T600" i="5"/>
  <c r="U600" i="5" s="1"/>
  <c r="T601" i="5"/>
  <c r="U601" i="5" s="1"/>
  <c r="T602" i="5"/>
  <c r="U602" i="5" s="1"/>
  <c r="T603" i="5"/>
  <c r="U603" i="5" s="1"/>
  <c r="T604" i="5"/>
  <c r="U604" i="5" s="1"/>
  <c r="T605" i="5"/>
  <c r="U605" i="5" s="1"/>
  <c r="T606" i="5"/>
  <c r="U606" i="5" s="1"/>
  <c r="T607" i="5"/>
  <c r="U607" i="5" s="1"/>
  <c r="T608" i="5"/>
  <c r="U608" i="5" s="1"/>
  <c r="T609" i="5"/>
  <c r="U609" i="5" s="1"/>
  <c r="T610" i="5"/>
  <c r="U610" i="5" s="1"/>
  <c r="T611" i="5"/>
  <c r="U611" i="5" s="1"/>
  <c r="T612" i="5"/>
  <c r="U612" i="5" s="1"/>
  <c r="T613" i="5"/>
  <c r="U613" i="5" s="1"/>
  <c r="T614" i="5"/>
  <c r="U614" i="5" s="1"/>
  <c r="T615" i="5"/>
  <c r="U615" i="5" s="1"/>
  <c r="T616" i="5"/>
  <c r="U616" i="5" s="1"/>
  <c r="T617" i="5"/>
  <c r="U617" i="5" s="1"/>
  <c r="T618" i="5"/>
  <c r="U618" i="5" s="1"/>
  <c r="T619" i="5"/>
  <c r="U619" i="5" s="1"/>
  <c r="T620" i="5"/>
  <c r="U620" i="5" s="1"/>
  <c r="T621" i="5"/>
  <c r="U621" i="5" s="1"/>
  <c r="T622" i="5"/>
  <c r="U622" i="5" s="1"/>
  <c r="T623" i="5"/>
  <c r="U623" i="5" s="1"/>
  <c r="T624" i="5"/>
  <c r="U624" i="5" s="1"/>
  <c r="T11" i="5"/>
  <c r="U11" i="5" s="1"/>
  <c r="U3" i="5" l="1"/>
  <c r="U2" i="5" l="1"/>
  <c r="W44" i="6" l="1"/>
  <c r="R44" i="6" s="1"/>
  <c r="DA17" i="6"/>
  <c r="DA18" i="6"/>
  <c r="DA19" i="6"/>
  <c r="DA20" i="6"/>
  <c r="DA21" i="6"/>
  <c r="DA22" i="6"/>
  <c r="DA23" i="6"/>
  <c r="DA24" i="6"/>
  <c r="DA25" i="6"/>
  <c r="DA26" i="6"/>
  <c r="DA27" i="6"/>
  <c r="DA28" i="6"/>
  <c r="DA30" i="6"/>
  <c r="DA31" i="6"/>
  <c r="DA32" i="6"/>
  <c r="DA33" i="6"/>
  <c r="DA34" i="6"/>
  <c r="DA35" i="6"/>
  <c r="DA36" i="6"/>
  <c r="DA37" i="6"/>
  <c r="DA38" i="6"/>
  <c r="DA39" i="6"/>
  <c r="DA40" i="6"/>
  <c r="DA41" i="6"/>
  <c r="DA42" i="6"/>
  <c r="DA43" i="6"/>
  <c r="DA44" i="6"/>
  <c r="DA45" i="6"/>
  <c r="DA46" i="6"/>
  <c r="DA47" i="6"/>
  <c r="DA48" i="6"/>
  <c r="DA49" i="6"/>
  <c r="DA50" i="6"/>
  <c r="DA51" i="6"/>
  <c r="DA52" i="6"/>
  <c r="DA53" i="6"/>
  <c r="DA54" i="6"/>
  <c r="DA55" i="6"/>
  <c r="DA56" i="6"/>
  <c r="DA57" i="6"/>
  <c r="DA58" i="6"/>
  <c r="DA59" i="6"/>
  <c r="DA60" i="6"/>
  <c r="DA61" i="6"/>
  <c r="DA62" i="6"/>
  <c r="DA63" i="6"/>
  <c r="DA64" i="6"/>
  <c r="DA65" i="6"/>
  <c r="DA66" i="6"/>
  <c r="DA67" i="6"/>
  <c r="DA68" i="6"/>
  <c r="DA69" i="6"/>
  <c r="DA70" i="6"/>
  <c r="DA71" i="6"/>
  <c r="DA72" i="6"/>
  <c r="DA73" i="6"/>
  <c r="DA74" i="6"/>
  <c r="DA75" i="6"/>
  <c r="DA76" i="6"/>
  <c r="DA77" i="6"/>
  <c r="DA78" i="6"/>
  <c r="DA79" i="6"/>
  <c r="DA80" i="6"/>
  <c r="DA81" i="6"/>
  <c r="DA82" i="6"/>
  <c r="DA83" i="6"/>
  <c r="DA84" i="6"/>
  <c r="DA85" i="6"/>
  <c r="DA86" i="6"/>
  <c r="DA87" i="6"/>
  <c r="DA88" i="6"/>
  <c r="DA89" i="6"/>
  <c r="DA90" i="6"/>
  <c r="DA91" i="6"/>
  <c r="DA92" i="6"/>
  <c r="DA93" i="6"/>
  <c r="DA94" i="6"/>
  <c r="DA95" i="6"/>
  <c r="DA96" i="6"/>
  <c r="DA97" i="6"/>
  <c r="DA98" i="6"/>
  <c r="DA99" i="6"/>
  <c r="DA100" i="6"/>
  <c r="DA101" i="6"/>
  <c r="DA102" i="6"/>
  <c r="DA103" i="6"/>
  <c r="DA104" i="6"/>
  <c r="DA105" i="6"/>
  <c r="DA106" i="6"/>
  <c r="DA107" i="6"/>
  <c r="DA108" i="6"/>
  <c r="DA109" i="6"/>
  <c r="DA110" i="6"/>
  <c r="DA111" i="6"/>
  <c r="DA112" i="6"/>
  <c r="DA113" i="6"/>
  <c r="DA114" i="6"/>
  <c r="DA115" i="6"/>
  <c r="DA116" i="6"/>
  <c r="DA117" i="6"/>
  <c r="DA118" i="6"/>
  <c r="DA119" i="6"/>
  <c r="DA120" i="6"/>
  <c r="DA121" i="6"/>
  <c r="DA122" i="6"/>
  <c r="DA123" i="6"/>
  <c r="DA124" i="6"/>
  <c r="DA125" i="6"/>
  <c r="DA126" i="6"/>
  <c r="DA127" i="6"/>
  <c r="DA128" i="6"/>
  <c r="DA129" i="6"/>
  <c r="DA130" i="6"/>
  <c r="DA131" i="6"/>
  <c r="DA132" i="6"/>
  <c r="DA133" i="6"/>
  <c r="DA16" i="6"/>
  <c r="EH59" i="6"/>
  <c r="EH65" i="6"/>
  <c r="EH67" i="6"/>
  <c r="EH50" i="6"/>
  <c r="EH48" i="6"/>
  <c r="AS71" i="6"/>
  <c r="AR71" i="6"/>
  <c r="AU68" i="6"/>
  <c r="AT68" i="6"/>
  <c r="AS68" i="6"/>
  <c r="AR68" i="6"/>
  <c r="EH21" i="6"/>
  <c r="EH19" i="6"/>
  <c r="EH17" i="6"/>
  <c r="EI17" i="6" s="1"/>
  <c r="EH18" i="6"/>
  <c r="EI18" i="6" s="1"/>
  <c r="EH20" i="6"/>
  <c r="EH22" i="6"/>
  <c r="EH23" i="6"/>
  <c r="EH25" i="6"/>
  <c r="EH26" i="6"/>
  <c r="EH28" i="6"/>
  <c r="EH37" i="6"/>
  <c r="EH60" i="6"/>
  <c r="EH61" i="6"/>
  <c r="EH62" i="6"/>
  <c r="EH66" i="6"/>
  <c r="EH69" i="6"/>
  <c r="EI69" i="6" s="1"/>
  <c r="EH70" i="6"/>
  <c r="EI70" i="6" s="1"/>
  <c r="EH72" i="6"/>
  <c r="EI72" i="6" s="1"/>
  <c r="EH73" i="6"/>
  <c r="EI73" i="6" s="1"/>
  <c r="EH74" i="6"/>
  <c r="EI74" i="6" s="1"/>
  <c r="EH76" i="6"/>
  <c r="EI76" i="6" s="1"/>
  <c r="EH77" i="6"/>
  <c r="EI77" i="6" s="1"/>
  <c r="EH78" i="6"/>
  <c r="EI78" i="6" s="1"/>
  <c r="EH79" i="6"/>
  <c r="EI79" i="6" s="1"/>
  <c r="EH82" i="6"/>
  <c r="EI82" i="6" s="1"/>
  <c r="EH83" i="6"/>
  <c r="EI83" i="6" s="1"/>
  <c r="EH84" i="6"/>
  <c r="EI84" i="6" s="1"/>
  <c r="EH85" i="6"/>
  <c r="EI85" i="6" s="1"/>
  <c r="EH86" i="6"/>
  <c r="EI86" i="6" s="1"/>
  <c r="EH87" i="6"/>
  <c r="EI87" i="6" s="1"/>
  <c r="EH89" i="6"/>
  <c r="EI89" i="6" s="1"/>
  <c r="EH90" i="6"/>
  <c r="EI90" i="6" s="1"/>
  <c r="EH91" i="6"/>
  <c r="EI91" i="6" s="1"/>
  <c r="EH93" i="6"/>
  <c r="EI93" i="6" s="1"/>
  <c r="EH94" i="6"/>
  <c r="EI94" i="6" s="1"/>
  <c r="EH95" i="6"/>
  <c r="EI95" i="6" s="1"/>
  <c r="EH97" i="6"/>
  <c r="EI97" i="6" s="1"/>
  <c r="EH99" i="6"/>
  <c r="EI99" i="6" s="1"/>
  <c r="EH100" i="6"/>
  <c r="EI100" i="6" s="1"/>
  <c r="EH102" i="6"/>
  <c r="EI102" i="6" s="1"/>
  <c r="EH103" i="6"/>
  <c r="EH105" i="6"/>
  <c r="EI105" i="6" s="1"/>
  <c r="EH106" i="6"/>
  <c r="EI106" i="6" s="1"/>
  <c r="EH107" i="6"/>
  <c r="EI107" i="6" s="1"/>
  <c r="EH108" i="6"/>
  <c r="EI108" i="6" s="1"/>
  <c r="EH111" i="6"/>
  <c r="EI111" i="6" s="1"/>
  <c r="EH112" i="6"/>
  <c r="EI112" i="6" s="1"/>
  <c r="EH113" i="6"/>
  <c r="EI113" i="6" s="1"/>
  <c r="EH114" i="6"/>
  <c r="EI114" i="6" s="1"/>
  <c r="EH115" i="6"/>
  <c r="EI115" i="6" s="1"/>
  <c r="EH116" i="6"/>
  <c r="EI116" i="6" s="1"/>
  <c r="EH117" i="6"/>
  <c r="EI117" i="6" s="1"/>
  <c r="EH118" i="6"/>
  <c r="EI118" i="6" s="1"/>
  <c r="EH119" i="6"/>
  <c r="EI119" i="6" s="1"/>
  <c r="EH120" i="6"/>
  <c r="EI120" i="6" s="1"/>
  <c r="EH121" i="6"/>
  <c r="EI121" i="6" s="1"/>
  <c r="EH122" i="6"/>
  <c r="EI122" i="6" s="1"/>
  <c r="EH124" i="6"/>
  <c r="EI124" i="6" s="1"/>
  <c r="EH125" i="6"/>
  <c r="EI125" i="6" s="1"/>
  <c r="EH126" i="6"/>
  <c r="EI126" i="6" s="1"/>
  <c r="EH127" i="6"/>
  <c r="EI127" i="6" s="1"/>
  <c r="EH128" i="6"/>
  <c r="EI128" i="6" s="1"/>
  <c r="EH129" i="6"/>
  <c r="EI129" i="6" s="1"/>
  <c r="EH130" i="6"/>
  <c r="EI130" i="6" s="1"/>
  <c r="EH131" i="6"/>
  <c r="EI131" i="6" s="1"/>
  <c r="EH132" i="6"/>
  <c r="EI132" i="6" s="1"/>
  <c r="EH133" i="6"/>
  <c r="EI133" i="6" s="1"/>
  <c r="EH16" i="6"/>
  <c r="EI16" i="6" s="1"/>
  <c r="Z80" i="6"/>
  <c r="Z397" i="5" l="1"/>
  <c r="Z404" i="5"/>
  <c r="Z408" i="5"/>
  <c r="Z412" i="5"/>
  <c r="Z405" i="5"/>
  <c r="Z417" i="5"/>
  <c r="Z421" i="5"/>
  <c r="Z402" i="5"/>
  <c r="Z418" i="5"/>
  <c r="Z411" i="5"/>
  <c r="Z419" i="5"/>
  <c r="Z398" i="5"/>
  <c r="Z403" i="5"/>
  <c r="Z407" i="5"/>
  <c r="EH39" i="6"/>
  <c r="EH31" i="6"/>
  <c r="EH35" i="6"/>
  <c r="EH40" i="6"/>
  <c r="EH51" i="6"/>
  <c r="EH32" i="6"/>
  <c r="EI19" i="6"/>
  <c r="EH46" i="6"/>
  <c r="EH57" i="6"/>
  <c r="EH44" i="6"/>
  <c r="EH55" i="6"/>
  <c r="EH36" i="6"/>
  <c r="EH47" i="6"/>
  <c r="EH34" i="6"/>
  <c r="EH53" i="6"/>
  <c r="EH42" i="6"/>
  <c r="EH30" i="6"/>
  <c r="EH38" i="6"/>
  <c r="EH49" i="6"/>
  <c r="EI25" i="6"/>
  <c r="EI21" i="6"/>
  <c r="EH24" i="6"/>
  <c r="EI24" i="6" s="1"/>
  <c r="EH33" i="6"/>
  <c r="EI23" i="6"/>
  <c r="EI22" i="6"/>
  <c r="EI20" i="6"/>
  <c r="EH43" i="6" l="1"/>
  <c r="EH54" i="6"/>
  <c r="EI26" i="6"/>
  <c r="EH45" i="6"/>
  <c r="EH56" i="6"/>
  <c r="EH52" i="6"/>
  <c r="EH41" i="6"/>
  <c r="W24" i="6" l="1"/>
  <c r="R24" i="6" s="1"/>
  <c r="V24" i="6"/>
  <c r="Q24" i="6" s="1"/>
  <c r="H23" i="6"/>
  <c r="Y23" i="6" s="1"/>
  <c r="G23" i="6"/>
  <c r="X23" i="6" s="1"/>
  <c r="S23" i="6" s="1"/>
  <c r="F23" i="6"/>
  <c r="W23" i="6" s="1"/>
  <c r="R23" i="6" s="1"/>
  <c r="E23" i="6"/>
  <c r="V23" i="6" s="1"/>
  <c r="Q23" i="6" s="1"/>
  <c r="Z117" i="5" l="1"/>
  <c r="Z121" i="5"/>
  <c r="Z125" i="5"/>
  <c r="Z129" i="5"/>
  <c r="Z133" i="5"/>
  <c r="Z137" i="5"/>
  <c r="Z141" i="5"/>
  <c r="Z118" i="5"/>
  <c r="Z122" i="5"/>
  <c r="Z126" i="5"/>
  <c r="Z130" i="5"/>
  <c r="Z134" i="5"/>
  <c r="Z138" i="5"/>
  <c r="Z142" i="5"/>
  <c r="Z116" i="5"/>
  <c r="Z120" i="5"/>
  <c r="Z124" i="5"/>
  <c r="Z128" i="5"/>
  <c r="Z132" i="5"/>
  <c r="Z136" i="5"/>
  <c r="Z140" i="5"/>
  <c r="Z119" i="5"/>
  <c r="Z135" i="5"/>
  <c r="Z508" i="5"/>
  <c r="Z123" i="5"/>
  <c r="Z139" i="5"/>
  <c r="Z127" i="5"/>
  <c r="Z131" i="5"/>
  <c r="Y146" i="5"/>
  <c r="Y150" i="5"/>
  <c r="Y154" i="5"/>
  <c r="Y158" i="5"/>
  <c r="Y162" i="5"/>
  <c r="Y166" i="5"/>
  <c r="Y170" i="5"/>
  <c r="Y174" i="5"/>
  <c r="Y143" i="5"/>
  <c r="Y147" i="5"/>
  <c r="Y151" i="5"/>
  <c r="Y155" i="5"/>
  <c r="Y159" i="5"/>
  <c r="Y163" i="5"/>
  <c r="Y167" i="5"/>
  <c r="Y171" i="5"/>
  <c r="Y144" i="5"/>
  <c r="Y148" i="5"/>
  <c r="Y152" i="5"/>
  <c r="Y156" i="5"/>
  <c r="Y160" i="5"/>
  <c r="Y164" i="5"/>
  <c r="Y168" i="5"/>
  <c r="Y172" i="5"/>
  <c r="Y153" i="5"/>
  <c r="Y169" i="5"/>
  <c r="Y165" i="5"/>
  <c r="Y157" i="5"/>
  <c r="Y173" i="5"/>
  <c r="Y149" i="5"/>
  <c r="Y145" i="5"/>
  <c r="Y161" i="5"/>
  <c r="Y118" i="5"/>
  <c r="Y122" i="5"/>
  <c r="Y126" i="5"/>
  <c r="Y130" i="5"/>
  <c r="Y134" i="5"/>
  <c r="Y138" i="5"/>
  <c r="Y142" i="5"/>
  <c r="Y119" i="5"/>
  <c r="Y123" i="5"/>
  <c r="Y127" i="5"/>
  <c r="Y131" i="5"/>
  <c r="Y135" i="5"/>
  <c r="Y139" i="5"/>
  <c r="Y116" i="5"/>
  <c r="Y120" i="5"/>
  <c r="Y124" i="5"/>
  <c r="Y128" i="5"/>
  <c r="Y132" i="5"/>
  <c r="Y136" i="5"/>
  <c r="Y140" i="5"/>
  <c r="Y508" i="5"/>
  <c r="Y121" i="5"/>
  <c r="Y137" i="5"/>
  <c r="Y117" i="5"/>
  <c r="Y125" i="5"/>
  <c r="Y141" i="5"/>
  <c r="Y129" i="5"/>
  <c r="Y133" i="5"/>
  <c r="Z145" i="5"/>
  <c r="AC145" i="5" s="1"/>
  <c r="Z89" i="17" s="1"/>
  <c r="Z149" i="5"/>
  <c r="AC149" i="5" s="1"/>
  <c r="Z93" i="17" s="1"/>
  <c r="Z153" i="5"/>
  <c r="AC153" i="5" s="1"/>
  <c r="Z97" i="17" s="1"/>
  <c r="Z157" i="5"/>
  <c r="AC157" i="5" s="1"/>
  <c r="Z101" i="17" s="1"/>
  <c r="Z161" i="5"/>
  <c r="AC161" i="5" s="1"/>
  <c r="Z105" i="17" s="1"/>
  <c r="Z165" i="5"/>
  <c r="AC165" i="5" s="1"/>
  <c r="Z109" i="17" s="1"/>
  <c r="Z169" i="5"/>
  <c r="AC169" i="5" s="1"/>
  <c r="Z113" i="17" s="1"/>
  <c r="Z173" i="5"/>
  <c r="AC173" i="5" s="1"/>
  <c r="Z117" i="17" s="1"/>
  <c r="Z146" i="5"/>
  <c r="AC146" i="5" s="1"/>
  <c r="Z90" i="17" s="1"/>
  <c r="Z150" i="5"/>
  <c r="AC150" i="5" s="1"/>
  <c r="Z94" i="17" s="1"/>
  <c r="Z154" i="5"/>
  <c r="AC154" i="5" s="1"/>
  <c r="Z98" i="17" s="1"/>
  <c r="Z158" i="5"/>
  <c r="AC158" i="5" s="1"/>
  <c r="Z102" i="17" s="1"/>
  <c r="Z162" i="5"/>
  <c r="AC162" i="5" s="1"/>
  <c r="Z106" i="17" s="1"/>
  <c r="Z166" i="5"/>
  <c r="AC166" i="5" s="1"/>
  <c r="Z110" i="17" s="1"/>
  <c r="Z170" i="5"/>
  <c r="AC170" i="5" s="1"/>
  <c r="Z114" i="17" s="1"/>
  <c r="Z174" i="5"/>
  <c r="AC174" i="5" s="1"/>
  <c r="Z118" i="17" s="1"/>
  <c r="Z144" i="5"/>
  <c r="AC144" i="5" s="1"/>
  <c r="Z88" i="17" s="1"/>
  <c r="Z148" i="5"/>
  <c r="AC148" i="5" s="1"/>
  <c r="Z92" i="17" s="1"/>
  <c r="Z152" i="5"/>
  <c r="AC152" i="5" s="1"/>
  <c r="Z96" i="17" s="1"/>
  <c r="Z156" i="5"/>
  <c r="AC156" i="5" s="1"/>
  <c r="Z100" i="17" s="1"/>
  <c r="Z160" i="5"/>
  <c r="AC160" i="5" s="1"/>
  <c r="Z104" i="17" s="1"/>
  <c r="Z164" i="5"/>
  <c r="AC164" i="5" s="1"/>
  <c r="Z108" i="17" s="1"/>
  <c r="Z168" i="5"/>
  <c r="AC168" i="5" s="1"/>
  <c r="Z112" i="17" s="1"/>
  <c r="Z172" i="5"/>
  <c r="AC172" i="5" s="1"/>
  <c r="Z116" i="17" s="1"/>
  <c r="Z151" i="5"/>
  <c r="AC151" i="5" s="1"/>
  <c r="Z95" i="17" s="1"/>
  <c r="Z167" i="5"/>
  <c r="AC167" i="5" s="1"/>
  <c r="Z111" i="17" s="1"/>
  <c r="Z155" i="5"/>
  <c r="AC155" i="5" s="1"/>
  <c r="Z99" i="17" s="1"/>
  <c r="Z171" i="5"/>
  <c r="AC171" i="5" s="1"/>
  <c r="Z115" i="17" s="1"/>
  <c r="Z143" i="5"/>
  <c r="AC143" i="5" s="1"/>
  <c r="Z87" i="17" s="1"/>
  <c r="Z159" i="5"/>
  <c r="AC159" i="5" s="1"/>
  <c r="Z103" i="17" s="1"/>
  <c r="Z147" i="5"/>
  <c r="AC147" i="5" s="1"/>
  <c r="Z91" i="17" s="1"/>
  <c r="Z163" i="5"/>
  <c r="AC163" i="5" s="1"/>
  <c r="Z107" i="17" s="1"/>
  <c r="U23" i="6"/>
  <c r="V25" i="6"/>
  <c r="Q25" i="6" s="1"/>
  <c r="W25" i="6"/>
  <c r="R25" i="6" s="1"/>
  <c r="V26" i="6"/>
  <c r="Q26" i="6" s="1"/>
  <c r="W26" i="6"/>
  <c r="R26" i="6" s="1"/>
  <c r="AB157" i="5" l="1"/>
  <c r="Y101" i="17" s="1"/>
  <c r="AD157" i="5"/>
  <c r="AA101" i="17" s="1"/>
  <c r="AB156" i="5"/>
  <c r="Y100" i="17" s="1"/>
  <c r="AD156" i="5"/>
  <c r="AA100" i="17" s="1"/>
  <c r="AD155" i="5"/>
  <c r="AA99" i="17" s="1"/>
  <c r="AB155" i="5"/>
  <c r="Y99" i="17" s="1"/>
  <c r="AB158" i="5"/>
  <c r="Y102" i="17" s="1"/>
  <c r="AD158" i="5"/>
  <c r="AA102" i="17" s="1"/>
  <c r="AD165" i="5"/>
  <c r="AA109" i="17" s="1"/>
  <c r="AB165" i="5"/>
  <c r="Y109" i="17" s="1"/>
  <c r="AB152" i="5"/>
  <c r="Y96" i="17" s="1"/>
  <c r="AD152" i="5"/>
  <c r="AA96" i="17" s="1"/>
  <c r="AD151" i="5"/>
  <c r="AA95" i="17" s="1"/>
  <c r="AB151" i="5"/>
  <c r="Y95" i="17" s="1"/>
  <c r="AB154" i="5"/>
  <c r="Y98" i="17" s="1"/>
  <c r="AD154" i="5"/>
  <c r="AA98" i="17" s="1"/>
  <c r="AD169" i="5"/>
  <c r="AA113" i="17" s="1"/>
  <c r="AB169" i="5"/>
  <c r="Y113" i="17" s="1"/>
  <c r="AB148" i="5"/>
  <c r="Y92" i="17" s="1"/>
  <c r="AD148" i="5"/>
  <c r="AA92" i="17" s="1"/>
  <c r="AB147" i="5"/>
  <c r="Y91" i="17" s="1"/>
  <c r="AD147" i="5"/>
  <c r="AA91" i="17" s="1"/>
  <c r="AD150" i="5"/>
  <c r="AA94" i="17" s="1"/>
  <c r="AB150" i="5"/>
  <c r="Y94" i="17" s="1"/>
  <c r="Y186" i="5"/>
  <c r="Y190" i="5"/>
  <c r="Y187" i="5"/>
  <c r="Y191" i="5"/>
  <c r="Y188" i="5"/>
  <c r="Y192" i="5"/>
  <c r="Y560" i="5"/>
  <c r="Y185" i="5"/>
  <c r="Y189" i="5"/>
  <c r="Y193" i="5"/>
  <c r="Y507" i="5"/>
  <c r="Z177" i="5"/>
  <c r="Z181" i="5"/>
  <c r="Z178" i="5"/>
  <c r="Z182" i="5"/>
  <c r="Z176" i="5"/>
  <c r="Z180" i="5"/>
  <c r="Z184" i="5"/>
  <c r="Z183" i="5"/>
  <c r="Z175" i="5"/>
  <c r="Z179" i="5"/>
  <c r="AB153" i="5"/>
  <c r="Y97" i="17" s="1"/>
  <c r="AD153" i="5"/>
  <c r="AA97" i="17" s="1"/>
  <c r="AB144" i="5"/>
  <c r="Y88" i="17" s="1"/>
  <c r="AD144" i="5"/>
  <c r="AA88" i="17" s="1"/>
  <c r="AB143" i="5"/>
  <c r="Y87" i="17" s="1"/>
  <c r="AD143" i="5"/>
  <c r="AA87" i="17" s="1"/>
  <c r="AB146" i="5"/>
  <c r="Y90" i="17" s="1"/>
  <c r="AD146" i="5"/>
  <c r="AA90" i="17" s="1"/>
  <c r="Z185" i="5"/>
  <c r="Z189" i="5"/>
  <c r="AC189" i="5" s="1"/>
  <c r="Z128" i="17" s="1"/>
  <c r="Z193" i="5"/>
  <c r="AC193" i="5" s="1"/>
  <c r="Z132" i="17" s="1"/>
  <c r="Z186" i="5"/>
  <c r="AC186" i="5" s="1"/>
  <c r="Z126" i="17" s="1"/>
  <c r="Z190" i="5"/>
  <c r="AC190" i="5" s="1"/>
  <c r="Z129" i="17" s="1"/>
  <c r="Z188" i="5"/>
  <c r="AC188" i="5" s="1"/>
  <c r="Z127" i="17" s="1"/>
  <c r="Z192" i="5"/>
  <c r="AC192" i="5" s="1"/>
  <c r="Z131" i="17" s="1"/>
  <c r="Z560" i="5"/>
  <c r="Z187" i="5"/>
  <c r="Z191" i="5"/>
  <c r="Z507" i="5"/>
  <c r="Y178" i="5"/>
  <c r="Y182" i="5"/>
  <c r="Y175" i="5"/>
  <c r="Y179" i="5"/>
  <c r="Y183" i="5"/>
  <c r="Y176" i="5"/>
  <c r="Y180" i="5"/>
  <c r="Y184" i="5"/>
  <c r="Y181" i="5"/>
  <c r="Y177" i="5"/>
  <c r="AD161" i="5"/>
  <c r="AA105" i="17" s="1"/>
  <c r="AB161" i="5"/>
  <c r="Y105" i="17" s="1"/>
  <c r="AD172" i="5"/>
  <c r="AA116" i="17" s="1"/>
  <c r="AB172" i="5"/>
  <c r="Y116" i="17" s="1"/>
  <c r="AD171" i="5"/>
  <c r="AA115" i="17" s="1"/>
  <c r="AB171" i="5"/>
  <c r="Y115" i="17" s="1"/>
  <c r="AD174" i="5"/>
  <c r="AA118" i="17" s="1"/>
  <c r="AB174" i="5"/>
  <c r="Y118" i="17" s="1"/>
  <c r="AD145" i="5"/>
  <c r="AA89" i="17" s="1"/>
  <c r="AB145" i="5"/>
  <c r="Y89" i="17" s="1"/>
  <c r="AD168" i="5"/>
  <c r="AA112" i="17" s="1"/>
  <c r="AB168" i="5"/>
  <c r="Y112" i="17" s="1"/>
  <c r="AB167" i="5"/>
  <c r="Y111" i="17" s="1"/>
  <c r="AD167" i="5"/>
  <c r="AA111" i="17" s="1"/>
  <c r="AB170" i="5"/>
  <c r="Y114" i="17" s="1"/>
  <c r="AD170" i="5"/>
  <c r="AA114" i="17" s="1"/>
  <c r="AD149" i="5"/>
  <c r="AA93" i="17" s="1"/>
  <c r="AB149" i="5"/>
  <c r="Y93" i="17" s="1"/>
  <c r="AD164" i="5"/>
  <c r="AA108" i="17" s="1"/>
  <c r="AB164" i="5"/>
  <c r="Y108" i="17" s="1"/>
  <c r="AD163" i="5"/>
  <c r="AA107" i="17" s="1"/>
  <c r="AB163" i="5"/>
  <c r="Y107" i="17" s="1"/>
  <c r="AB166" i="5"/>
  <c r="Y110" i="17" s="1"/>
  <c r="AD166" i="5"/>
  <c r="AA110" i="17" s="1"/>
  <c r="AD173" i="5"/>
  <c r="AA117" i="17" s="1"/>
  <c r="AB173" i="5"/>
  <c r="Y117" i="17" s="1"/>
  <c r="AD160" i="5"/>
  <c r="AA104" i="17" s="1"/>
  <c r="AB160" i="5"/>
  <c r="Y104" i="17" s="1"/>
  <c r="AD159" i="5"/>
  <c r="AA103" i="17" s="1"/>
  <c r="AB159" i="5"/>
  <c r="Y103" i="17" s="1"/>
  <c r="AB162" i="5"/>
  <c r="Y106" i="17" s="1"/>
  <c r="AD162" i="5"/>
  <c r="AA106" i="17" s="1"/>
  <c r="AA123" i="5"/>
  <c r="AA131" i="5"/>
  <c r="AA139" i="5"/>
  <c r="AA118" i="5"/>
  <c r="AA126" i="5"/>
  <c r="AA134" i="5"/>
  <c r="AA142" i="5"/>
  <c r="AA116" i="5"/>
  <c r="AA121" i="5"/>
  <c r="AA129" i="5"/>
  <c r="AA137" i="5"/>
  <c r="AA124" i="5"/>
  <c r="AA132" i="5"/>
  <c r="AA140" i="5"/>
  <c r="AA119" i="5"/>
  <c r="AA127" i="5"/>
  <c r="AA135" i="5"/>
  <c r="AA122" i="5"/>
  <c r="AA130" i="5"/>
  <c r="AA138" i="5"/>
  <c r="AA508" i="5"/>
  <c r="AA117" i="5"/>
  <c r="AA125" i="5"/>
  <c r="AA133" i="5"/>
  <c r="AA141" i="5"/>
  <c r="AA136" i="5"/>
  <c r="AA128" i="5"/>
  <c r="AA120" i="5"/>
  <c r="K113" i="6"/>
  <c r="AB113" i="6" s="1"/>
  <c r="J113" i="6"/>
  <c r="AA113" i="6" s="1"/>
  <c r="T113" i="6" s="1"/>
  <c r="H113" i="6"/>
  <c r="Y113" i="6" s="1"/>
  <c r="H112" i="6"/>
  <c r="Y112" i="6" s="1"/>
  <c r="G113" i="6"/>
  <c r="X113" i="6" s="1"/>
  <c r="S113" i="6" s="1"/>
  <c r="G112" i="6"/>
  <c r="X112" i="6" s="1"/>
  <c r="S112" i="6" s="1"/>
  <c r="E113" i="6"/>
  <c r="V113" i="6" s="1"/>
  <c r="Q113" i="6" s="1"/>
  <c r="F113" i="6"/>
  <c r="F112" i="6"/>
  <c r="E112" i="6"/>
  <c r="AC176" i="5" l="1"/>
  <c r="Z61" i="22" s="1"/>
  <c r="AC183" i="5"/>
  <c r="Z124" i="17" s="1"/>
  <c r="AC191" i="5"/>
  <c r="Z130" i="17" s="1"/>
  <c r="AB175" i="5"/>
  <c r="Y119" i="17" s="1"/>
  <c r="AD175" i="5"/>
  <c r="AA119" i="17" s="1"/>
  <c r="AD184" i="5"/>
  <c r="AA125" i="17" s="1"/>
  <c r="AB184" i="5"/>
  <c r="Y125" i="17" s="1"/>
  <c r="AD185" i="5"/>
  <c r="AA64" i="22" s="1"/>
  <c r="AB185" i="5"/>
  <c r="Y64" i="22" s="1"/>
  <c r="AB180" i="5"/>
  <c r="Y63" i="22" s="1"/>
  <c r="AD180" i="5"/>
  <c r="AA63" i="22" s="1"/>
  <c r="AC182" i="5"/>
  <c r="Z123" i="17" s="1"/>
  <c r="AB560" i="5"/>
  <c r="Y292" i="17" s="1"/>
  <c r="AD560" i="5"/>
  <c r="AA292" i="17" s="1"/>
  <c r="AB176" i="5"/>
  <c r="Y61" i="22" s="1"/>
  <c r="AD176" i="5"/>
  <c r="AA61" i="22" s="1"/>
  <c r="AC187" i="5"/>
  <c r="Z65" i="22" s="1"/>
  <c r="AC185" i="5"/>
  <c r="Z64" i="22" s="1"/>
  <c r="AC178" i="5"/>
  <c r="Z62" i="22" s="1"/>
  <c r="AD192" i="5"/>
  <c r="AA131" i="17" s="1"/>
  <c r="AB192" i="5"/>
  <c r="Y131" i="17" s="1"/>
  <c r="AD507" i="5"/>
  <c r="AA267" i="17" s="1"/>
  <c r="AB507" i="5"/>
  <c r="Y267" i="17" s="1"/>
  <c r="Y612" i="5"/>
  <c r="Y549" i="5"/>
  <c r="AB183" i="5"/>
  <c r="Y124" i="17" s="1"/>
  <c r="AD183" i="5"/>
  <c r="AA124" i="17" s="1"/>
  <c r="AC560" i="5"/>
  <c r="Z292" i="17" s="1"/>
  <c r="AC179" i="5"/>
  <c r="Z121" i="17" s="1"/>
  <c r="AC181" i="5"/>
  <c r="Z122" i="17" s="1"/>
  <c r="AD188" i="5"/>
  <c r="AA127" i="17" s="1"/>
  <c r="AB188" i="5"/>
  <c r="Y127" i="17" s="1"/>
  <c r="AC507" i="5"/>
  <c r="Z267" i="17" s="1"/>
  <c r="AD179" i="5"/>
  <c r="AA121" i="17" s="1"/>
  <c r="AB179" i="5"/>
  <c r="Y121" i="17" s="1"/>
  <c r="AC175" i="5"/>
  <c r="Z119" i="17" s="1"/>
  <c r="AC177" i="5"/>
  <c r="Z120" i="17" s="1"/>
  <c r="AB191" i="5"/>
  <c r="Y130" i="17" s="1"/>
  <c r="AD191" i="5"/>
  <c r="AA130" i="17" s="1"/>
  <c r="AB187" i="5"/>
  <c r="Y65" i="22" s="1"/>
  <c r="AD187" i="5"/>
  <c r="AA65" i="22" s="1"/>
  <c r="AB177" i="5"/>
  <c r="Y120" i="17" s="1"/>
  <c r="AD177" i="5"/>
  <c r="AA120" i="17" s="1"/>
  <c r="AB182" i="5"/>
  <c r="Y123" i="17" s="1"/>
  <c r="AD182" i="5"/>
  <c r="AA123" i="17" s="1"/>
  <c r="AC184" i="5"/>
  <c r="Z125" i="17" s="1"/>
  <c r="AB193" i="5"/>
  <c r="Y132" i="17" s="1"/>
  <c r="AD193" i="5"/>
  <c r="AA132" i="17" s="1"/>
  <c r="AD190" i="5"/>
  <c r="AA129" i="17" s="1"/>
  <c r="AB190" i="5"/>
  <c r="Y129" i="17" s="1"/>
  <c r="AB181" i="5"/>
  <c r="Y122" i="17" s="1"/>
  <c r="AD181" i="5"/>
  <c r="AA122" i="17" s="1"/>
  <c r="AD178" i="5"/>
  <c r="AA62" i="22" s="1"/>
  <c r="AB178" i="5"/>
  <c r="Y62" i="22" s="1"/>
  <c r="AC180" i="5"/>
  <c r="Z63" i="22" s="1"/>
  <c r="AB189" i="5"/>
  <c r="Y128" i="17" s="1"/>
  <c r="AD189" i="5"/>
  <c r="AA128" i="17" s="1"/>
  <c r="AB186" i="5"/>
  <c r="Y126" i="17" s="1"/>
  <c r="AD186" i="5"/>
  <c r="AA126" i="17" s="1"/>
  <c r="AB130" i="5"/>
  <c r="Y74" i="17" s="1"/>
  <c r="AC130" i="5"/>
  <c r="Z74" i="17" s="1"/>
  <c r="AD130" i="5"/>
  <c r="AA74" i="17" s="1"/>
  <c r="AC141" i="5"/>
  <c r="Z85" i="17" s="1"/>
  <c r="AD141" i="5"/>
  <c r="AA85" i="17" s="1"/>
  <c r="AB141" i="5"/>
  <c r="Y85" i="17" s="1"/>
  <c r="AC121" i="5"/>
  <c r="Z65" i="17" s="1"/>
  <c r="AD121" i="5"/>
  <c r="AA65" i="17" s="1"/>
  <c r="AB121" i="5"/>
  <c r="Y65" i="17" s="1"/>
  <c r="AB123" i="5"/>
  <c r="Y67" i="17" s="1"/>
  <c r="AD123" i="5"/>
  <c r="AA67" i="17" s="1"/>
  <c r="AC123" i="5"/>
  <c r="Z67" i="17" s="1"/>
  <c r="AC133" i="5"/>
  <c r="Z77" i="17" s="1"/>
  <c r="AD133" i="5"/>
  <c r="AA77" i="17" s="1"/>
  <c r="AB133" i="5"/>
  <c r="Y77" i="17" s="1"/>
  <c r="AC127" i="5"/>
  <c r="Z71" i="17" s="1"/>
  <c r="AB127" i="5"/>
  <c r="Y71" i="17" s="1"/>
  <c r="AD127" i="5"/>
  <c r="AA71" i="17" s="1"/>
  <c r="AD116" i="5"/>
  <c r="AA60" i="17" s="1"/>
  <c r="AC116" i="5"/>
  <c r="Z60" i="17" s="1"/>
  <c r="AB116" i="5"/>
  <c r="Y60" i="17" s="1"/>
  <c r="AD142" i="5"/>
  <c r="AA86" i="17" s="1"/>
  <c r="AB142" i="5"/>
  <c r="Y86" i="17" s="1"/>
  <c r="AC142" i="5"/>
  <c r="Z86" i="17" s="1"/>
  <c r="AD119" i="5"/>
  <c r="AA63" i="17" s="1"/>
  <c r="AB119" i="5"/>
  <c r="Y63" i="17" s="1"/>
  <c r="AC119" i="5"/>
  <c r="Z63" i="17" s="1"/>
  <c r="AC117" i="5"/>
  <c r="Z61" i="17" s="1"/>
  <c r="AD117" i="5"/>
  <c r="AA61" i="17" s="1"/>
  <c r="AB117" i="5"/>
  <c r="Y61" i="17" s="1"/>
  <c r="AB140" i="5"/>
  <c r="Y84" i="17" s="1"/>
  <c r="AD140" i="5"/>
  <c r="AA84" i="17" s="1"/>
  <c r="AC140" i="5"/>
  <c r="Z84" i="17" s="1"/>
  <c r="AD134" i="5"/>
  <c r="AA78" i="17" s="1"/>
  <c r="AB134" i="5"/>
  <c r="Y78" i="17" s="1"/>
  <c r="AC134" i="5"/>
  <c r="Z78" i="17" s="1"/>
  <c r="AD132" i="5"/>
  <c r="AA76" i="17" s="1"/>
  <c r="AC132" i="5"/>
  <c r="Z76" i="17" s="1"/>
  <c r="AB132" i="5"/>
  <c r="Y76" i="17" s="1"/>
  <c r="AC125" i="5"/>
  <c r="Z69" i="17" s="1"/>
  <c r="AD125" i="5"/>
  <c r="AA69" i="17" s="1"/>
  <c r="AB125" i="5"/>
  <c r="Y69" i="17" s="1"/>
  <c r="AC508" i="5"/>
  <c r="Z268" i="17" s="1"/>
  <c r="AD508" i="5"/>
  <c r="AA268" i="17" s="1"/>
  <c r="AB508" i="5"/>
  <c r="Y268" i="17" s="1"/>
  <c r="AB126" i="5"/>
  <c r="Y70" i="17" s="1"/>
  <c r="AD126" i="5"/>
  <c r="AA70" i="17" s="1"/>
  <c r="AC126" i="5"/>
  <c r="Z70" i="17" s="1"/>
  <c r="AD120" i="5"/>
  <c r="AA64" i="17" s="1"/>
  <c r="AB120" i="5"/>
  <c r="Y64" i="17" s="1"/>
  <c r="AC120" i="5"/>
  <c r="Z64" i="17" s="1"/>
  <c r="AD138" i="5"/>
  <c r="AA82" i="17" s="1"/>
  <c r="AC138" i="5"/>
  <c r="Z82" i="17" s="1"/>
  <c r="AB138" i="5"/>
  <c r="Y82" i="17" s="1"/>
  <c r="AD124" i="5"/>
  <c r="AA68" i="17" s="1"/>
  <c r="AB124" i="5"/>
  <c r="Y68" i="17" s="1"/>
  <c r="AC124" i="5"/>
  <c r="Z68" i="17" s="1"/>
  <c r="AB118" i="5"/>
  <c r="Y62" i="17" s="1"/>
  <c r="AD118" i="5"/>
  <c r="AA62" i="17" s="1"/>
  <c r="AC118" i="5"/>
  <c r="Z62" i="17" s="1"/>
  <c r="AD139" i="5"/>
  <c r="AA83" i="17" s="1"/>
  <c r="AB139" i="5"/>
  <c r="Y83" i="17" s="1"/>
  <c r="AC139" i="5"/>
  <c r="Z83" i="17" s="1"/>
  <c r="AB128" i="5"/>
  <c r="Y72" i="17" s="1"/>
  <c r="AD128" i="5"/>
  <c r="AA72" i="17" s="1"/>
  <c r="AC128" i="5"/>
  <c r="Z72" i="17" s="1"/>
  <c r="AC137" i="5"/>
  <c r="Z81" i="17" s="1"/>
  <c r="AD137" i="5"/>
  <c r="AA81" i="17" s="1"/>
  <c r="AB137" i="5"/>
  <c r="Y81" i="17" s="1"/>
  <c r="AD136" i="5"/>
  <c r="AA80" i="17" s="1"/>
  <c r="AC136" i="5"/>
  <c r="Z80" i="17" s="1"/>
  <c r="AB136" i="5"/>
  <c r="Y80" i="17" s="1"/>
  <c r="AD122" i="5"/>
  <c r="AA66" i="17" s="1"/>
  <c r="AB122" i="5"/>
  <c r="Y66" i="17" s="1"/>
  <c r="AC122" i="5"/>
  <c r="Z66" i="17" s="1"/>
  <c r="AC129" i="5"/>
  <c r="Z73" i="17" s="1"/>
  <c r="AD129" i="5"/>
  <c r="AA73" i="17" s="1"/>
  <c r="AB129" i="5"/>
  <c r="Y73" i="17" s="1"/>
  <c r="AB131" i="5"/>
  <c r="Y75" i="17" s="1"/>
  <c r="AC131" i="5"/>
  <c r="Z75" i="17" s="1"/>
  <c r="AD131" i="5"/>
  <c r="AA75" i="17" s="1"/>
  <c r="AD135" i="5"/>
  <c r="AA79" i="17" s="1"/>
  <c r="AB135" i="5"/>
  <c r="Y79" i="17" s="1"/>
  <c r="AC135" i="5"/>
  <c r="Z79" i="17" s="1"/>
  <c r="U112" i="6"/>
  <c r="U113" i="6"/>
  <c r="H108" i="6"/>
  <c r="Y108" i="6" s="1"/>
  <c r="G108" i="6"/>
  <c r="X108" i="6" s="1"/>
  <c r="S108" i="6" s="1"/>
  <c r="U108" i="6" s="1"/>
  <c r="F108" i="6"/>
  <c r="E108" i="6"/>
  <c r="EA18" i="6"/>
  <c r="DT18" i="6"/>
  <c r="H103" i="6"/>
  <c r="Y103" i="6" s="1"/>
  <c r="G103" i="6"/>
  <c r="X103" i="6" s="1"/>
  <c r="F103" i="6"/>
  <c r="E103" i="6"/>
  <c r="AB95" i="6"/>
  <c r="AA95" i="6"/>
  <c r="Y95" i="6"/>
  <c r="X95" i="6"/>
  <c r="Y94" i="6"/>
  <c r="X94" i="6"/>
  <c r="AA589" i="5" l="1"/>
  <c r="AA606" i="5"/>
  <c r="AA552" i="5"/>
  <c r="AA536" i="5"/>
  <c r="AA549" i="5"/>
  <c r="AA612" i="5"/>
  <c r="AA535" i="5"/>
  <c r="AA586" i="5"/>
  <c r="T95" i="6"/>
  <c r="S94" i="6"/>
  <c r="S103" i="6"/>
  <c r="U103" i="6" s="1"/>
  <c r="AA596" i="5" s="1"/>
  <c r="S95" i="6"/>
  <c r="U95" i="6" l="1"/>
  <c r="AA613" i="5" s="1"/>
  <c r="U94" i="6"/>
  <c r="AA607" i="5" s="1"/>
  <c r="Z81" i="6" l="1"/>
  <c r="AV81" i="6" s="1"/>
  <c r="AJ10" i="6" l="1"/>
  <c r="D12" i="6"/>
  <c r="AE9" i="6" s="1"/>
  <c r="AJ12" i="1"/>
  <c r="L12" i="6" s="1"/>
  <c r="AK12" i="1"/>
  <c r="M12" i="6" s="1"/>
  <c r="AL12" i="1"/>
  <c r="N12" i="6" s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B18" i="1"/>
  <c r="AC12" i="1" s="1"/>
  <c r="E12" i="6" s="1"/>
  <c r="AF9" i="6" s="1"/>
  <c r="V29" i="6" s="1"/>
  <c r="Q29" i="6" s="1"/>
  <c r="Y230" i="5" l="1"/>
  <c r="Y231" i="5"/>
  <c r="Y229" i="5"/>
  <c r="V28" i="6"/>
  <c r="Q28" i="6" s="1"/>
  <c r="V27" i="6"/>
  <c r="Q27" i="6" s="1"/>
  <c r="AD12" i="1"/>
  <c r="AY8" i="6"/>
  <c r="AZ8" i="6"/>
  <c r="BA8" i="6"/>
  <c r="BB8" i="6"/>
  <c r="AY4" i="6"/>
  <c r="AZ4" i="6"/>
  <c r="BA4" i="6"/>
  <c r="BE4" i="6"/>
  <c r="BF4" i="6"/>
  <c r="BG4" i="6"/>
  <c r="BH4" i="6"/>
  <c r="BI4" i="6"/>
  <c r="BJ4" i="6"/>
  <c r="BC8" i="6"/>
  <c r="BC4" i="6"/>
  <c r="BD4" i="6"/>
  <c r="BB4" i="6"/>
  <c r="AG7" i="1"/>
  <c r="BP54" i="6"/>
  <c r="BO54" i="6"/>
  <c r="BN54" i="6"/>
  <c r="BM54" i="6"/>
  <c r="BL54" i="6"/>
  <c r="BK54" i="6"/>
  <c r="BJ54" i="6"/>
  <c r="BI54" i="6"/>
  <c r="BH54" i="6"/>
  <c r="BP53" i="6"/>
  <c r="BO53" i="6"/>
  <c r="BN53" i="6"/>
  <c r="BM53" i="6"/>
  <c r="BL53" i="6"/>
  <c r="BK53" i="6"/>
  <c r="BJ53" i="6"/>
  <c r="BI53" i="6"/>
  <c r="BH53" i="6"/>
  <c r="BY52" i="6"/>
  <c r="BX52" i="6"/>
  <c r="BW52" i="6"/>
  <c r="BV52" i="6"/>
  <c r="BU52" i="6"/>
  <c r="BT52" i="6"/>
  <c r="BS52" i="6"/>
  <c r="BR52" i="6"/>
  <c r="BQ52" i="6"/>
  <c r="BY51" i="6"/>
  <c r="BX51" i="6"/>
  <c r="BW51" i="6"/>
  <c r="BV51" i="6"/>
  <c r="BU51" i="6"/>
  <c r="BT51" i="6"/>
  <c r="BS51" i="6"/>
  <c r="BR51" i="6"/>
  <c r="BQ51" i="6"/>
  <c r="BY50" i="6"/>
  <c r="BX50" i="6"/>
  <c r="BW50" i="6"/>
  <c r="BV50" i="6"/>
  <c r="BU50" i="6"/>
  <c r="BT50" i="6"/>
  <c r="BS50" i="6"/>
  <c r="BR50" i="6"/>
  <c r="BQ50" i="6"/>
  <c r="BR49" i="6"/>
  <c r="BS49" i="6"/>
  <c r="BT49" i="6"/>
  <c r="BU49" i="6"/>
  <c r="BV49" i="6"/>
  <c r="BW49" i="6"/>
  <c r="BX49" i="6"/>
  <c r="BY49" i="6"/>
  <c r="BQ49" i="6"/>
  <c r="EA36" i="6"/>
  <c r="EA37" i="6"/>
  <c r="EA39" i="6"/>
  <c r="EA40" i="6"/>
  <c r="EA41" i="6"/>
  <c r="EA42" i="6"/>
  <c r="EA43" i="6"/>
  <c r="EA44" i="6"/>
  <c r="EA45" i="6"/>
  <c r="EA47" i="6"/>
  <c r="EA48" i="6"/>
  <c r="EA49" i="6"/>
  <c r="EA50" i="6"/>
  <c r="EA51" i="6"/>
  <c r="EA52" i="6"/>
  <c r="EA53" i="6"/>
  <c r="EA54" i="6"/>
  <c r="EA55" i="6"/>
  <c r="EA56" i="6"/>
  <c r="EA57" i="6"/>
  <c r="EA58" i="6"/>
  <c r="EA59" i="6"/>
  <c r="EA60" i="6"/>
  <c r="EA61" i="6"/>
  <c r="EA62" i="6"/>
  <c r="EA63" i="6"/>
  <c r="EA64" i="6"/>
  <c r="EA65" i="6"/>
  <c r="EA66" i="6"/>
  <c r="EA67" i="6"/>
  <c r="EA68" i="6"/>
  <c r="EA69" i="6"/>
  <c r="EA70" i="6"/>
  <c r="EA71" i="6"/>
  <c r="EA72" i="6"/>
  <c r="EA73" i="6"/>
  <c r="EA74" i="6"/>
  <c r="EA75" i="6"/>
  <c r="EA76" i="6"/>
  <c r="EA77" i="6"/>
  <c r="EA79" i="6"/>
  <c r="EA80" i="6"/>
  <c r="EA81" i="6"/>
  <c r="EA82" i="6"/>
  <c r="EA83" i="6"/>
  <c r="EA84" i="6"/>
  <c r="EA85" i="6"/>
  <c r="EA87" i="6"/>
  <c r="EA88" i="6"/>
  <c r="EA89" i="6"/>
  <c r="EA90" i="6"/>
  <c r="EA91" i="6"/>
  <c r="EA92" i="6"/>
  <c r="EA93" i="6"/>
  <c r="EA94" i="6"/>
  <c r="EA95" i="6"/>
  <c r="EA96" i="6"/>
  <c r="EA97" i="6"/>
  <c r="EA98" i="6"/>
  <c r="EA99" i="6"/>
  <c r="EA100" i="6"/>
  <c r="EA101" i="6"/>
  <c r="EA102" i="6"/>
  <c r="EA103" i="6"/>
  <c r="EA104" i="6"/>
  <c r="EA105" i="6"/>
  <c r="EA106" i="6"/>
  <c r="EA107" i="6"/>
  <c r="EA108" i="6"/>
  <c r="EA109" i="6"/>
  <c r="EA110" i="6"/>
  <c r="EA111" i="6"/>
  <c r="EA112" i="6"/>
  <c r="EA113" i="6"/>
  <c r="EA114" i="6"/>
  <c r="EA115" i="6"/>
  <c r="EA116" i="6"/>
  <c r="EA117" i="6"/>
  <c r="EA118" i="6"/>
  <c r="EA119" i="6"/>
  <c r="EA120" i="6"/>
  <c r="EA121" i="6"/>
  <c r="EA122" i="6"/>
  <c r="EA123" i="6"/>
  <c r="EA124" i="6"/>
  <c r="EA125" i="6"/>
  <c r="EA127" i="6"/>
  <c r="EA128" i="6"/>
  <c r="EA129" i="6"/>
  <c r="EA130" i="6"/>
  <c r="EA131" i="6"/>
  <c r="EA132" i="6"/>
  <c r="EA133" i="6"/>
  <c r="EA46" i="6"/>
  <c r="EA86" i="6"/>
  <c r="DZ76" i="6"/>
  <c r="CK76" i="6" s="1"/>
  <c r="DF130" i="6"/>
  <c r="DF131" i="6"/>
  <c r="DF132" i="6"/>
  <c r="DF133" i="6"/>
  <c r="DE130" i="6"/>
  <c r="DE131" i="6"/>
  <c r="DE132" i="6"/>
  <c r="DE133" i="6"/>
  <c r="AU104" i="6"/>
  <c r="W31" i="6"/>
  <c r="R31" i="6" s="1"/>
  <c r="W32" i="6"/>
  <c r="R32" i="6" s="1"/>
  <c r="W33" i="6"/>
  <c r="R33" i="6" s="1"/>
  <c r="W34" i="6"/>
  <c r="R34" i="6" s="1"/>
  <c r="W35" i="6"/>
  <c r="R35" i="6" s="1"/>
  <c r="W36" i="6"/>
  <c r="R36" i="6" s="1"/>
  <c r="W45" i="6"/>
  <c r="R45" i="6" s="1"/>
  <c r="W46" i="6"/>
  <c r="R46" i="6" s="1"/>
  <c r="W47" i="6"/>
  <c r="R47" i="6" s="1"/>
  <c r="W48" i="6"/>
  <c r="R48" i="6" s="1"/>
  <c r="W49" i="6"/>
  <c r="R49" i="6" s="1"/>
  <c r="W50" i="6"/>
  <c r="R50" i="6" s="1"/>
  <c r="W51" i="6"/>
  <c r="R51" i="6" s="1"/>
  <c r="W52" i="6"/>
  <c r="W53" i="6"/>
  <c r="R53" i="6" s="1"/>
  <c r="W54" i="6"/>
  <c r="R54" i="6" s="1"/>
  <c r="W55" i="6"/>
  <c r="R55" i="6" s="1"/>
  <c r="W56" i="6"/>
  <c r="R56" i="6" s="1"/>
  <c r="W61" i="6"/>
  <c r="R61" i="6" s="1"/>
  <c r="W62" i="6"/>
  <c r="R62" i="6" s="1"/>
  <c r="W63" i="6"/>
  <c r="R63" i="6" s="1"/>
  <c r="W64" i="6"/>
  <c r="R64" i="6" s="1"/>
  <c r="W67" i="6"/>
  <c r="W68" i="6"/>
  <c r="W69" i="6"/>
  <c r="R69" i="6" s="1"/>
  <c r="W70" i="6"/>
  <c r="W71" i="6"/>
  <c r="R71" i="6" s="1"/>
  <c r="W72" i="6"/>
  <c r="W73" i="6"/>
  <c r="W74" i="6"/>
  <c r="R74" i="6" s="1"/>
  <c r="W76" i="6"/>
  <c r="W77" i="6"/>
  <c r="R77" i="6" s="1"/>
  <c r="W79" i="6"/>
  <c r="W80" i="6"/>
  <c r="W82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R97" i="6" s="1"/>
  <c r="W98" i="6"/>
  <c r="W99" i="6"/>
  <c r="W100" i="6"/>
  <c r="W101" i="6"/>
  <c r="W103" i="6"/>
  <c r="W104" i="6"/>
  <c r="W107" i="6"/>
  <c r="W108" i="6"/>
  <c r="R108" i="6" s="1"/>
  <c r="W109" i="6"/>
  <c r="AS110" i="6" s="1"/>
  <c r="W110" i="6"/>
  <c r="W112" i="6"/>
  <c r="R112" i="6" s="1"/>
  <c r="W113" i="6"/>
  <c r="R113" i="6" s="1"/>
  <c r="W114" i="6"/>
  <c r="W115" i="6"/>
  <c r="W116" i="6"/>
  <c r="W117" i="6"/>
  <c r="W122" i="6"/>
  <c r="R122" i="6" s="1"/>
  <c r="W123" i="6"/>
  <c r="W124" i="6"/>
  <c r="R124" i="6" s="1"/>
  <c r="W126" i="6"/>
  <c r="R126" i="6" s="1"/>
  <c r="W130" i="6"/>
  <c r="R130" i="6" s="1"/>
  <c r="W131" i="6"/>
  <c r="R131" i="6" s="1"/>
  <c r="W132" i="6"/>
  <c r="R132" i="6" s="1"/>
  <c r="W133" i="6"/>
  <c r="R133" i="6" s="1"/>
  <c r="W30" i="6"/>
  <c r="R30" i="6" s="1"/>
  <c r="V31" i="6"/>
  <c r="Q31" i="6" s="1"/>
  <c r="V32" i="6"/>
  <c r="Q32" i="6" s="1"/>
  <c r="V33" i="6"/>
  <c r="Q33" i="6" s="1"/>
  <c r="V34" i="6"/>
  <c r="Q34" i="6" s="1"/>
  <c r="V35" i="6"/>
  <c r="Q35" i="6" s="1"/>
  <c r="V36" i="6"/>
  <c r="Q36" i="6" s="1"/>
  <c r="V44" i="6"/>
  <c r="Q44" i="6" s="1"/>
  <c r="V45" i="6"/>
  <c r="Q45" i="6" s="1"/>
  <c r="V46" i="6"/>
  <c r="Q46" i="6" s="1"/>
  <c r="V47" i="6"/>
  <c r="Q47" i="6" s="1"/>
  <c r="V48" i="6"/>
  <c r="Q48" i="6" s="1"/>
  <c r="V49" i="6"/>
  <c r="Q49" i="6" s="1"/>
  <c r="V50" i="6"/>
  <c r="Q50" i="6" s="1"/>
  <c r="V51" i="6"/>
  <c r="Q51" i="6" s="1"/>
  <c r="V52" i="6"/>
  <c r="V53" i="6"/>
  <c r="Q53" i="6" s="1"/>
  <c r="V54" i="6"/>
  <c r="Q54" i="6" s="1"/>
  <c r="V55" i="6"/>
  <c r="Q55" i="6" s="1"/>
  <c r="V56" i="6"/>
  <c r="Q56" i="6" s="1"/>
  <c r="V57" i="6"/>
  <c r="Q57" i="6" s="1"/>
  <c r="V61" i="6"/>
  <c r="Q61" i="6" s="1"/>
  <c r="V62" i="6"/>
  <c r="Q62" i="6" s="1"/>
  <c r="V63" i="6"/>
  <c r="Q63" i="6" s="1"/>
  <c r="V64" i="6"/>
  <c r="Q64" i="6" s="1"/>
  <c r="V65" i="6"/>
  <c r="Q65" i="6" s="1"/>
  <c r="V67" i="6"/>
  <c r="V68" i="6"/>
  <c r="V69" i="6"/>
  <c r="Q69" i="6" s="1"/>
  <c r="V70" i="6"/>
  <c r="V71" i="6"/>
  <c r="Q71" i="6" s="1"/>
  <c r="V72" i="6"/>
  <c r="V73" i="6"/>
  <c r="V74" i="6"/>
  <c r="Q74" i="6" s="1"/>
  <c r="V76" i="6"/>
  <c r="V77" i="6"/>
  <c r="Q77" i="6" s="1"/>
  <c r="V78" i="6"/>
  <c r="V79" i="6"/>
  <c r="V80" i="6"/>
  <c r="V81" i="6"/>
  <c r="Q81" i="6" s="1"/>
  <c r="V82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Q97" i="6" s="1"/>
  <c r="V98" i="6"/>
  <c r="V99" i="6"/>
  <c r="V100" i="6"/>
  <c r="V101" i="6"/>
  <c r="V102" i="6"/>
  <c r="V103" i="6"/>
  <c r="V104" i="6"/>
  <c r="V105" i="6"/>
  <c r="V106" i="6"/>
  <c r="V107" i="6"/>
  <c r="V108" i="6"/>
  <c r="Q108" i="6" s="1"/>
  <c r="V109" i="6"/>
  <c r="V110" i="6"/>
  <c r="V111" i="6"/>
  <c r="V112" i="6"/>
  <c r="Q112" i="6" s="1"/>
  <c r="V114" i="6"/>
  <c r="V115" i="6"/>
  <c r="V116" i="6"/>
  <c r="V117" i="6"/>
  <c r="V118" i="6"/>
  <c r="Q118" i="6" s="1"/>
  <c r="V119" i="6"/>
  <c r="Q119" i="6" s="1"/>
  <c r="V120" i="6"/>
  <c r="Q120" i="6" s="1"/>
  <c r="V121" i="6"/>
  <c r="Q121" i="6" s="1"/>
  <c r="V122" i="6"/>
  <c r="Q122" i="6" s="1"/>
  <c r="V123" i="6"/>
  <c r="Q123" i="6" s="1"/>
  <c r="V124" i="6"/>
  <c r="Q124" i="6" s="1"/>
  <c r="V125" i="6"/>
  <c r="V126" i="6"/>
  <c r="Q126" i="6" s="1"/>
  <c r="V127" i="6"/>
  <c r="Q127" i="6" s="1"/>
  <c r="V128" i="6"/>
  <c r="V129" i="6"/>
  <c r="V130" i="6"/>
  <c r="Q130" i="6" s="1"/>
  <c r="V131" i="6"/>
  <c r="Q131" i="6" s="1"/>
  <c r="V132" i="6"/>
  <c r="Q132" i="6" s="1"/>
  <c r="V133" i="6"/>
  <c r="Q133" i="6" s="1"/>
  <c r="V30" i="6"/>
  <c r="Q30" i="6" s="1"/>
  <c r="AK10" i="6"/>
  <c r="AL10" i="6"/>
  <c r="AI10" i="6"/>
  <c r="AH10" i="6"/>
  <c r="V42" i="6"/>
  <c r="Q42" i="6" s="1"/>
  <c r="EA78" i="6"/>
  <c r="DT36" i="6"/>
  <c r="DT37" i="6"/>
  <c r="EA38" i="6"/>
  <c r="DT38" i="6"/>
  <c r="DT39" i="6"/>
  <c r="DT40" i="6"/>
  <c r="DT41" i="6"/>
  <c r="DT42" i="6"/>
  <c r="DT43" i="6"/>
  <c r="DT44" i="6"/>
  <c r="DT45" i="6"/>
  <c r="DT46" i="6"/>
  <c r="DT47" i="6"/>
  <c r="DT48" i="6"/>
  <c r="DT49" i="6"/>
  <c r="DT50" i="6"/>
  <c r="DT51" i="6"/>
  <c r="DT52" i="6"/>
  <c r="DT53" i="6"/>
  <c r="DT54" i="6"/>
  <c r="DT55" i="6"/>
  <c r="DT56" i="6"/>
  <c r="DT57" i="6"/>
  <c r="DT58" i="6"/>
  <c r="DT59" i="6"/>
  <c r="DT60" i="6"/>
  <c r="DT61" i="6"/>
  <c r="DT62" i="6"/>
  <c r="DT63" i="6"/>
  <c r="DT64" i="6"/>
  <c r="DT65" i="6"/>
  <c r="DT66" i="6"/>
  <c r="DT67" i="6"/>
  <c r="DT68" i="6"/>
  <c r="DT69" i="6"/>
  <c r="DT70" i="6"/>
  <c r="DT71" i="6"/>
  <c r="DT72" i="6"/>
  <c r="DT73" i="6"/>
  <c r="DT74" i="6"/>
  <c r="DT76" i="6"/>
  <c r="DT77" i="6"/>
  <c r="DT78" i="6"/>
  <c r="DT79" i="6"/>
  <c r="DT82" i="6"/>
  <c r="DT83" i="6"/>
  <c r="DT84" i="6"/>
  <c r="DT85" i="6"/>
  <c r="DT86" i="6"/>
  <c r="DT87" i="6"/>
  <c r="DT89" i="6"/>
  <c r="DT90" i="6"/>
  <c r="DT91" i="6"/>
  <c r="DT92" i="6"/>
  <c r="DT93" i="6"/>
  <c r="DT94" i="6"/>
  <c r="DT95" i="6"/>
  <c r="DT96" i="6"/>
  <c r="DT97" i="6"/>
  <c r="DT98" i="6"/>
  <c r="DT99" i="6"/>
  <c r="DT100" i="6"/>
  <c r="DT101" i="6"/>
  <c r="DT102" i="6"/>
  <c r="DT103" i="6"/>
  <c r="DT104" i="6"/>
  <c r="DT105" i="6"/>
  <c r="DT106" i="6"/>
  <c r="DT107" i="6"/>
  <c r="DT108" i="6"/>
  <c r="DT109" i="6"/>
  <c r="DT110" i="6"/>
  <c r="DT111" i="6"/>
  <c r="DT112" i="6"/>
  <c r="DT113" i="6"/>
  <c r="DT114" i="6"/>
  <c r="DT115" i="6"/>
  <c r="DT116" i="6"/>
  <c r="DT117" i="6"/>
  <c r="DT118" i="6"/>
  <c r="DT119" i="6"/>
  <c r="DT120" i="6"/>
  <c r="DT121" i="6"/>
  <c r="DT122" i="6"/>
  <c r="DT123" i="6"/>
  <c r="DT124" i="6"/>
  <c r="DT125" i="6"/>
  <c r="DT126" i="6"/>
  <c r="EA126" i="6"/>
  <c r="DT127" i="6"/>
  <c r="DT128" i="6"/>
  <c r="DT129" i="6"/>
  <c r="DT130" i="6"/>
  <c r="DT131" i="6"/>
  <c r="DT132" i="6"/>
  <c r="DT133" i="6"/>
  <c r="DT35" i="6"/>
  <c r="DT34" i="6"/>
  <c r="DT33" i="6"/>
  <c r="DT32" i="6"/>
  <c r="DT31" i="6"/>
  <c r="DT30" i="6"/>
  <c r="DT28" i="6"/>
  <c r="DT26" i="6"/>
  <c r="DT25" i="6"/>
  <c r="DT24" i="6"/>
  <c r="DT23" i="6"/>
  <c r="DT22" i="6"/>
  <c r="DT21" i="6"/>
  <c r="DT20" i="6"/>
  <c r="DT19" i="6"/>
  <c r="DT17" i="6"/>
  <c r="DT16" i="6"/>
  <c r="Y586" i="5" l="1"/>
  <c r="Y535" i="5"/>
  <c r="Y492" i="5"/>
  <c r="Y490" i="5"/>
  <c r="Y399" i="5"/>
  <c r="Y416" i="5"/>
  <c r="Y420" i="5"/>
  <c r="Y616" i="5"/>
  <c r="Y400" i="5"/>
  <c r="Y409" i="5"/>
  <c r="Y413" i="5"/>
  <c r="Y401" i="5"/>
  <c r="Y406" i="5"/>
  <c r="Y410" i="5"/>
  <c r="Y414" i="5"/>
  <c r="Y422" i="5"/>
  <c r="Y415" i="5"/>
  <c r="Z245" i="5"/>
  <c r="Z249" i="5"/>
  <c r="Z246" i="5"/>
  <c r="Z250" i="5"/>
  <c r="Z254" i="5"/>
  <c r="Z248" i="5"/>
  <c r="Z247" i="5"/>
  <c r="Z251" i="5"/>
  <c r="Z526" i="5"/>
  <c r="Z559" i="5"/>
  <c r="Z588" i="5"/>
  <c r="Z624" i="5"/>
  <c r="Z522" i="5"/>
  <c r="Z555" i="5"/>
  <c r="Z506" i="5"/>
  <c r="Z563" i="5"/>
  <c r="Z424" i="5"/>
  <c r="Z425" i="5"/>
  <c r="Z429" i="5"/>
  <c r="Z426" i="5"/>
  <c r="Z430" i="5"/>
  <c r="Z427" i="5"/>
  <c r="Z431" i="5"/>
  <c r="Z439" i="5"/>
  <c r="Z241" i="5"/>
  <c r="Z242" i="5"/>
  <c r="Z240" i="5"/>
  <c r="Z244" i="5"/>
  <c r="Z255" i="5"/>
  <c r="Z243" i="5"/>
  <c r="Y556" i="5"/>
  <c r="Y523" i="5"/>
  <c r="Y575" i="5"/>
  <c r="Y541" i="5"/>
  <c r="Y554" i="5"/>
  <c r="Y571" i="5"/>
  <c r="Y404" i="5"/>
  <c r="Y408" i="5"/>
  <c r="Y412" i="5"/>
  <c r="Y405" i="5"/>
  <c r="Y417" i="5"/>
  <c r="Y421" i="5"/>
  <c r="Y402" i="5"/>
  <c r="Y418" i="5"/>
  <c r="Y397" i="5"/>
  <c r="Y398" i="5"/>
  <c r="Y403" i="5"/>
  <c r="Y407" i="5"/>
  <c r="Y411" i="5"/>
  <c r="Y419" i="5"/>
  <c r="Z586" i="5"/>
  <c r="AC586" i="5" s="1"/>
  <c r="Z242" i="22" s="1"/>
  <c r="Z535" i="5"/>
  <c r="AC535" i="5" s="1"/>
  <c r="Z225" i="22" s="1"/>
  <c r="Z600" i="5"/>
  <c r="Z529" i="5"/>
  <c r="Z585" i="5"/>
  <c r="Z551" i="5"/>
  <c r="Z542" i="5"/>
  <c r="Z594" i="5"/>
  <c r="Z493" i="5"/>
  <c r="Z491" i="5"/>
  <c r="Z428" i="5"/>
  <c r="Z432" i="5"/>
  <c r="Z436" i="5"/>
  <c r="Z440" i="5"/>
  <c r="Z444" i="5"/>
  <c r="Z433" i="5"/>
  <c r="Z437" i="5"/>
  <c r="Z441" i="5"/>
  <c r="Z434" i="5"/>
  <c r="Z438" i="5"/>
  <c r="Z442" i="5"/>
  <c r="Z443" i="5"/>
  <c r="Z423" i="5"/>
  <c r="Z435" i="5"/>
  <c r="Y334" i="5"/>
  <c r="Y338" i="5"/>
  <c r="Y342" i="5"/>
  <c r="Y346" i="5"/>
  <c r="Y335" i="5"/>
  <c r="Y339" i="5"/>
  <c r="Y343" i="5"/>
  <c r="Y351" i="5"/>
  <c r="Y336" i="5"/>
  <c r="Y340" i="5"/>
  <c r="Y344" i="5"/>
  <c r="Y352" i="5"/>
  <c r="Y345" i="5"/>
  <c r="Y333" i="5"/>
  <c r="Y349" i="5"/>
  <c r="Y337" i="5"/>
  <c r="Y341" i="5"/>
  <c r="Y622" i="5"/>
  <c r="Y543" i="5"/>
  <c r="Y595" i="5"/>
  <c r="Y620" i="5"/>
  <c r="Y565" i="5"/>
  <c r="Y518" i="5"/>
  <c r="Y488" i="5"/>
  <c r="Y487" i="5"/>
  <c r="Y262" i="5"/>
  <c r="Y266" i="5"/>
  <c r="Y270" i="5"/>
  <c r="Y263" i="5"/>
  <c r="Y267" i="5"/>
  <c r="Y271" i="5"/>
  <c r="Y319" i="5"/>
  <c r="Y264" i="5"/>
  <c r="Y268" i="5"/>
  <c r="Y272" i="5"/>
  <c r="Y276" i="5"/>
  <c r="Y608" i="5"/>
  <c r="Y265" i="5"/>
  <c r="Y269" i="5"/>
  <c r="Y261" i="5"/>
  <c r="Z492" i="5"/>
  <c r="AC492" i="5" s="1"/>
  <c r="Z25" i="21" s="1"/>
  <c r="Z490" i="5"/>
  <c r="AC490" i="5" s="1"/>
  <c r="Z23" i="21" s="1"/>
  <c r="Z401" i="5"/>
  <c r="AC401" i="5" s="1"/>
  <c r="Z18" i="21" s="1"/>
  <c r="Z400" i="5"/>
  <c r="AC400" i="5" s="1"/>
  <c r="Z17" i="21" s="1"/>
  <c r="Z399" i="5"/>
  <c r="AC399" i="5" s="1"/>
  <c r="Z16" i="21" s="1"/>
  <c r="Z416" i="5"/>
  <c r="AC416" i="5" s="1"/>
  <c r="Z178" i="22" s="1"/>
  <c r="Z420" i="5"/>
  <c r="AC420" i="5" s="1"/>
  <c r="Z179" i="22" s="1"/>
  <c r="Z616" i="5"/>
  <c r="AC616" i="5" s="1"/>
  <c r="Z312" i="17" s="1"/>
  <c r="Z409" i="5"/>
  <c r="AC409" i="5" s="1"/>
  <c r="Z173" i="22" s="1"/>
  <c r="Z413" i="5"/>
  <c r="AC413" i="5" s="1"/>
  <c r="Z176" i="22" s="1"/>
  <c r="Z406" i="5"/>
  <c r="AC406" i="5" s="1"/>
  <c r="Z228" i="17" s="1"/>
  <c r="Z410" i="5"/>
  <c r="AC410" i="5" s="1"/>
  <c r="Z174" i="22" s="1"/>
  <c r="Z414" i="5"/>
  <c r="AC414" i="5" s="1"/>
  <c r="Z177" i="22" s="1"/>
  <c r="Z422" i="5"/>
  <c r="AC422" i="5" s="1"/>
  <c r="Z181" i="22" s="1"/>
  <c r="Z415" i="5"/>
  <c r="AC415" i="5" s="1"/>
  <c r="Z20" i="21" s="1"/>
  <c r="Y588" i="5"/>
  <c r="Y624" i="5"/>
  <c r="Y522" i="5"/>
  <c r="Y555" i="5"/>
  <c r="Y600" i="5"/>
  <c r="Y529" i="5"/>
  <c r="Y585" i="5"/>
  <c r="Y551" i="5"/>
  <c r="Y464" i="5"/>
  <c r="Y468" i="5"/>
  <c r="Y472" i="5"/>
  <c r="Y476" i="5"/>
  <c r="Y480" i="5"/>
  <c r="Y484" i="5"/>
  <c r="Y461" i="5"/>
  <c r="Y465" i="5"/>
  <c r="Y469" i="5"/>
  <c r="Y473" i="5"/>
  <c r="Y477" i="5"/>
  <c r="Y481" i="5"/>
  <c r="Y485" i="5"/>
  <c r="Y462" i="5"/>
  <c r="Y466" i="5"/>
  <c r="Y470" i="5"/>
  <c r="Y474" i="5"/>
  <c r="Y478" i="5"/>
  <c r="Y486" i="5"/>
  <c r="Y463" i="5"/>
  <c r="Y467" i="5"/>
  <c r="Y471" i="5"/>
  <c r="Y475" i="5"/>
  <c r="Y479" i="5"/>
  <c r="Y483" i="5"/>
  <c r="Y258" i="5"/>
  <c r="Y274" i="5"/>
  <c r="Y314" i="5"/>
  <c r="Y318" i="5"/>
  <c r="Y259" i="5"/>
  <c r="Y275" i="5"/>
  <c r="Y311" i="5"/>
  <c r="Y315" i="5"/>
  <c r="Y256" i="5"/>
  <c r="Y260" i="5"/>
  <c r="Y312" i="5"/>
  <c r="Y316" i="5"/>
  <c r="Y313" i="5"/>
  <c r="Y277" i="5"/>
  <c r="Y317" i="5"/>
  <c r="Y257" i="5"/>
  <c r="Y273" i="5"/>
  <c r="Z568" i="5"/>
  <c r="Z618" i="5"/>
  <c r="Z550" i="5"/>
  <c r="Z515" i="5"/>
  <c r="Z261" i="5"/>
  <c r="AC261" i="5" s="1"/>
  <c r="Z265" i="5"/>
  <c r="AC265" i="5" s="1"/>
  <c r="Z180" i="17" s="1"/>
  <c r="Z269" i="5"/>
  <c r="AC269" i="5" s="1"/>
  <c r="Z184" i="17" s="1"/>
  <c r="Z262" i="5"/>
  <c r="AC262" i="5" s="1"/>
  <c r="Z177" i="17" s="1"/>
  <c r="Z266" i="5"/>
  <c r="AC266" i="5" s="1"/>
  <c r="Z181" i="17" s="1"/>
  <c r="Z270" i="5"/>
  <c r="AC270" i="5" s="1"/>
  <c r="Z185" i="17" s="1"/>
  <c r="Z264" i="5"/>
  <c r="AC264" i="5" s="1"/>
  <c r="Z179" i="17" s="1"/>
  <c r="Z268" i="5"/>
  <c r="AC268" i="5" s="1"/>
  <c r="Z183" i="17" s="1"/>
  <c r="Z272" i="5"/>
  <c r="AC272" i="5" s="1"/>
  <c r="Z187" i="17" s="1"/>
  <c r="Z276" i="5"/>
  <c r="AC276" i="5" s="1"/>
  <c r="Z191" i="17" s="1"/>
  <c r="Z263" i="5"/>
  <c r="AC263" i="5" s="1"/>
  <c r="Z178" i="17" s="1"/>
  <c r="Z608" i="5"/>
  <c r="AC608" i="5" s="1"/>
  <c r="Z255" i="22" s="1"/>
  <c r="Z267" i="5"/>
  <c r="AC267" i="5" s="1"/>
  <c r="Z182" i="17" s="1"/>
  <c r="Z271" i="5"/>
  <c r="AC271" i="5" s="1"/>
  <c r="Z186" i="17" s="1"/>
  <c r="Z319" i="5"/>
  <c r="AC319" i="5" s="1"/>
  <c r="Z115" i="22" s="1"/>
  <c r="Y194" i="5"/>
  <c r="Y198" i="5"/>
  <c r="Y202" i="5"/>
  <c r="Y206" i="5"/>
  <c r="Y210" i="5"/>
  <c r="Y226" i="5"/>
  <c r="Y195" i="5"/>
  <c r="Y199" i="5"/>
  <c r="Y203" i="5"/>
  <c r="Y207" i="5"/>
  <c r="Y211" i="5"/>
  <c r="Y223" i="5"/>
  <c r="Y196" i="5"/>
  <c r="Y200" i="5"/>
  <c r="Y204" i="5"/>
  <c r="Y208" i="5"/>
  <c r="Y212" i="5"/>
  <c r="Y224" i="5"/>
  <c r="Y236" i="5"/>
  <c r="Y197" i="5"/>
  <c r="Y201" i="5"/>
  <c r="Y205" i="5"/>
  <c r="Y237" i="5"/>
  <c r="Y209" i="5"/>
  <c r="Y225" i="5"/>
  <c r="Y511" i="5"/>
  <c r="Y517" i="5"/>
  <c r="Y557" i="5"/>
  <c r="Y587" i="5"/>
  <c r="Y623" i="5"/>
  <c r="Y536" i="5"/>
  <c r="Y552" i="5"/>
  <c r="Y589" i="5"/>
  <c r="Y606" i="5"/>
  <c r="Y506" i="5"/>
  <c r="Y563" i="5"/>
  <c r="Y496" i="5"/>
  <c r="Y495" i="5"/>
  <c r="Y448" i="5"/>
  <c r="Y452" i="5"/>
  <c r="Y456" i="5"/>
  <c r="Y460" i="5"/>
  <c r="Y445" i="5"/>
  <c r="Y449" i="5"/>
  <c r="Y453" i="5"/>
  <c r="Y457" i="5"/>
  <c r="Y489" i="5"/>
  <c r="Y446" i="5"/>
  <c r="Y450" i="5"/>
  <c r="Y454" i="5"/>
  <c r="Y458" i="5"/>
  <c r="Y562" i="5"/>
  <c r="Y447" i="5"/>
  <c r="Y451" i="5"/>
  <c r="Y455" i="5"/>
  <c r="Y459" i="5"/>
  <c r="Y278" i="5"/>
  <c r="Y282" i="5"/>
  <c r="Y286" i="5"/>
  <c r="Y290" i="5"/>
  <c r="Y294" i="5"/>
  <c r="Y298" i="5"/>
  <c r="Y302" i="5"/>
  <c r="Y306" i="5"/>
  <c r="Y310" i="5"/>
  <c r="Y279" i="5"/>
  <c r="Y283" i="5"/>
  <c r="Y287" i="5"/>
  <c r="Y291" i="5"/>
  <c r="Y295" i="5"/>
  <c r="Y299" i="5"/>
  <c r="Y303" i="5"/>
  <c r="Y307" i="5"/>
  <c r="Y280" i="5"/>
  <c r="Y284" i="5"/>
  <c r="Y288" i="5"/>
  <c r="Y292" i="5"/>
  <c r="Y296" i="5"/>
  <c r="Y300" i="5"/>
  <c r="Y304" i="5"/>
  <c r="Y308" i="5"/>
  <c r="Y548" i="5"/>
  <c r="Y281" i="5"/>
  <c r="Y297" i="5"/>
  <c r="Y525" i="5"/>
  <c r="Y561" i="5"/>
  <c r="Y597" i="5"/>
  <c r="Y285" i="5"/>
  <c r="Y301" i="5"/>
  <c r="Y293" i="5"/>
  <c r="Y289" i="5"/>
  <c r="Y305" i="5"/>
  <c r="Y309" i="5"/>
  <c r="Z488" i="5"/>
  <c r="AC488" i="5" s="1"/>
  <c r="Z265" i="17" s="1"/>
  <c r="Z487" i="5"/>
  <c r="AC487" i="5" s="1"/>
  <c r="Z264" i="17" s="1"/>
  <c r="Z257" i="5"/>
  <c r="Z273" i="5"/>
  <c r="AC273" i="5" s="1"/>
  <c r="Z188" i="17" s="1"/>
  <c r="Z277" i="5"/>
  <c r="AC277" i="5" s="1"/>
  <c r="Z192" i="17" s="1"/>
  <c r="Z313" i="5"/>
  <c r="AC313" i="5" s="1"/>
  <c r="Z109" i="22" s="1"/>
  <c r="Z317" i="5"/>
  <c r="AC317" i="5" s="1"/>
  <c r="Z113" i="22" s="1"/>
  <c r="Z258" i="5"/>
  <c r="AC258" i="5" s="1"/>
  <c r="Z173" i="17" s="1"/>
  <c r="Z274" i="5"/>
  <c r="AC274" i="5" s="1"/>
  <c r="Z189" i="17" s="1"/>
  <c r="Z314" i="5"/>
  <c r="AC314" i="5" s="1"/>
  <c r="Z110" i="22" s="1"/>
  <c r="Z318" i="5"/>
  <c r="AC318" i="5" s="1"/>
  <c r="Z114" i="22" s="1"/>
  <c r="Z256" i="5"/>
  <c r="AC256" i="5" s="1"/>
  <c r="Z260" i="5"/>
  <c r="AC260" i="5" s="1"/>
  <c r="Z175" i="17" s="1"/>
  <c r="Z312" i="5"/>
  <c r="AC312" i="5" s="1"/>
  <c r="Z108" i="22" s="1"/>
  <c r="Z316" i="5"/>
  <c r="AC316" i="5" s="1"/>
  <c r="Z112" i="22" s="1"/>
  <c r="Z311" i="5"/>
  <c r="AC311" i="5" s="1"/>
  <c r="Z203" i="17" s="1"/>
  <c r="Z315" i="5"/>
  <c r="Z259" i="5"/>
  <c r="AC259" i="5" s="1"/>
  <c r="Z174" i="17" s="1"/>
  <c r="Z275" i="5"/>
  <c r="AC275" i="5" s="1"/>
  <c r="Z190" i="17" s="1"/>
  <c r="Y214" i="5"/>
  <c r="Y218" i="5"/>
  <c r="Y222" i="5"/>
  <c r="Y234" i="5"/>
  <c r="Y238" i="5"/>
  <c r="Y215" i="5"/>
  <c r="Y219" i="5"/>
  <c r="Y227" i="5"/>
  <c r="Y235" i="5"/>
  <c r="Y239" i="5"/>
  <c r="Y216" i="5"/>
  <c r="Y220" i="5"/>
  <c r="Y228" i="5"/>
  <c r="Y232" i="5"/>
  <c r="Y217" i="5"/>
  <c r="Y233" i="5"/>
  <c r="Y221" i="5"/>
  <c r="Y213" i="5"/>
  <c r="Y594" i="5"/>
  <c r="Y542" i="5"/>
  <c r="Y500" i="5"/>
  <c r="Y501" i="5"/>
  <c r="Y502" i="5"/>
  <c r="Y252" i="5"/>
  <c r="Y253" i="5"/>
  <c r="Z516" i="5"/>
  <c r="Z581" i="5"/>
  <c r="Z617" i="5"/>
  <c r="Z612" i="5"/>
  <c r="Z549" i="5"/>
  <c r="Z464" i="5"/>
  <c r="Z468" i="5"/>
  <c r="AC468" i="5" s="1"/>
  <c r="Z250" i="17" s="1"/>
  <c r="Z472" i="5"/>
  <c r="AC472" i="5" s="1"/>
  <c r="Z252" i="17" s="1"/>
  <c r="Z476" i="5"/>
  <c r="AC476" i="5" s="1"/>
  <c r="Z213" i="22" s="1"/>
  <c r="Z480" i="5"/>
  <c r="AC480" i="5" s="1"/>
  <c r="Z257" i="17" s="1"/>
  <c r="Z484" i="5"/>
  <c r="AC484" i="5" s="1"/>
  <c r="Z261" i="17" s="1"/>
  <c r="Z461" i="5"/>
  <c r="AC461" i="5" s="1"/>
  <c r="Z465" i="5"/>
  <c r="AC465" i="5" s="1"/>
  <c r="Z208" i="22" s="1"/>
  <c r="Z469" i="5"/>
  <c r="Z473" i="5"/>
  <c r="AC473" i="5" s="1"/>
  <c r="Z253" i="17" s="1"/>
  <c r="Z477" i="5"/>
  <c r="AC477" i="5" s="1"/>
  <c r="Z254" i="17" s="1"/>
  <c r="Z481" i="5"/>
  <c r="AC481" i="5" s="1"/>
  <c r="Z258" i="17" s="1"/>
  <c r="Z485" i="5"/>
  <c r="AC485" i="5" s="1"/>
  <c r="Z262" i="17" s="1"/>
  <c r="Z462" i="5"/>
  <c r="AC462" i="5" s="1"/>
  <c r="Z205" i="22" s="1"/>
  <c r="Z466" i="5"/>
  <c r="AC466" i="5" s="1"/>
  <c r="Z248" i="17" s="1"/>
  <c r="Z470" i="5"/>
  <c r="AC470" i="5" s="1"/>
  <c r="Z209" i="22" s="1"/>
  <c r="Z474" i="5"/>
  <c r="Z478" i="5"/>
  <c r="AC478" i="5" s="1"/>
  <c r="Z255" i="17" s="1"/>
  <c r="Z486" i="5"/>
  <c r="AC486" i="5" s="1"/>
  <c r="Z263" i="17" s="1"/>
  <c r="Z475" i="5"/>
  <c r="AC475" i="5" s="1"/>
  <c r="Z212" i="22" s="1"/>
  <c r="Z479" i="5"/>
  <c r="AC479" i="5" s="1"/>
  <c r="Z256" i="17" s="1"/>
  <c r="Z483" i="5"/>
  <c r="AC483" i="5" s="1"/>
  <c r="Z260" i="17" s="1"/>
  <c r="Z463" i="5"/>
  <c r="AC463" i="5" s="1"/>
  <c r="Z206" i="22" s="1"/>
  <c r="Z467" i="5"/>
  <c r="AC467" i="5" s="1"/>
  <c r="Z249" i="17" s="1"/>
  <c r="Z471" i="5"/>
  <c r="AC471" i="5" s="1"/>
  <c r="Z210" i="22" s="1"/>
  <c r="Z281" i="5"/>
  <c r="AC281" i="5" s="1"/>
  <c r="Z196" i="17" s="1"/>
  <c r="Z285" i="5"/>
  <c r="AC285" i="5" s="1"/>
  <c r="Z85" i="22" s="1"/>
  <c r="Z289" i="5"/>
  <c r="AC289" i="5" s="1"/>
  <c r="Z89" i="22" s="1"/>
  <c r="Z293" i="5"/>
  <c r="AC293" i="5" s="1"/>
  <c r="Z93" i="22" s="1"/>
  <c r="Z297" i="5"/>
  <c r="AC297" i="5" s="1"/>
  <c r="Z97" i="22" s="1"/>
  <c r="Z301" i="5"/>
  <c r="Z305" i="5"/>
  <c r="Z309" i="5"/>
  <c r="AC309" i="5" s="1"/>
  <c r="Z201" i="17" s="1"/>
  <c r="Z278" i="5"/>
  <c r="AC278" i="5" s="1"/>
  <c r="Z282" i="5"/>
  <c r="AC282" i="5" s="1"/>
  <c r="Z197" i="17" s="1"/>
  <c r="Z286" i="5"/>
  <c r="AC286" i="5" s="1"/>
  <c r="Z86" i="22" s="1"/>
  <c r="Z290" i="5"/>
  <c r="Z294" i="5"/>
  <c r="AC294" i="5" s="1"/>
  <c r="Z94" i="22" s="1"/>
  <c r="Z298" i="5"/>
  <c r="AC298" i="5" s="1"/>
  <c r="Z98" i="22" s="1"/>
  <c r="Z302" i="5"/>
  <c r="AC302" i="5" s="1"/>
  <c r="Z102" i="22" s="1"/>
  <c r="Z306" i="5"/>
  <c r="AC306" i="5" s="1"/>
  <c r="Z106" i="22" s="1"/>
  <c r="Z310" i="5"/>
  <c r="AC310" i="5" s="1"/>
  <c r="Z202" i="17" s="1"/>
  <c r="Z280" i="5"/>
  <c r="AC280" i="5" s="1"/>
  <c r="Z195" i="17" s="1"/>
  <c r="Z284" i="5"/>
  <c r="AC284" i="5" s="1"/>
  <c r="Z199" i="17" s="1"/>
  <c r="Z288" i="5"/>
  <c r="Z292" i="5"/>
  <c r="AC292" i="5" s="1"/>
  <c r="Z92" i="22" s="1"/>
  <c r="Z296" i="5"/>
  <c r="AC296" i="5" s="1"/>
  <c r="Z96" i="22" s="1"/>
  <c r="Z300" i="5"/>
  <c r="AC300" i="5" s="1"/>
  <c r="Z100" i="22" s="1"/>
  <c r="Z304" i="5"/>
  <c r="AC304" i="5" s="1"/>
  <c r="Z104" i="22" s="1"/>
  <c r="Z308" i="5"/>
  <c r="AC308" i="5" s="1"/>
  <c r="Z200" i="17" s="1"/>
  <c r="Z279" i="5"/>
  <c r="AC279" i="5" s="1"/>
  <c r="Z194" i="17" s="1"/>
  <c r="Z295" i="5"/>
  <c r="AC295" i="5" s="1"/>
  <c r="Z95" i="22" s="1"/>
  <c r="Z548" i="5"/>
  <c r="AC548" i="5" s="1"/>
  <c r="Z229" i="22" s="1"/>
  <c r="Z283" i="5"/>
  <c r="AC283" i="5" s="1"/>
  <c r="Z198" i="17" s="1"/>
  <c r="Z299" i="5"/>
  <c r="AC299" i="5" s="1"/>
  <c r="Z99" i="22" s="1"/>
  <c r="Z525" i="5"/>
  <c r="AC525" i="5" s="1"/>
  <c r="Z215" i="22" s="1"/>
  <c r="Z561" i="5"/>
  <c r="AC561" i="5" s="1"/>
  <c r="Z293" i="17" s="1"/>
  <c r="Z597" i="5"/>
  <c r="AC597" i="5" s="1"/>
  <c r="Z248" i="22" s="1"/>
  <c r="Z287" i="5"/>
  <c r="AC287" i="5" s="1"/>
  <c r="Z87" i="22" s="1"/>
  <c r="Z303" i="5"/>
  <c r="AC303" i="5" s="1"/>
  <c r="Z103" i="22" s="1"/>
  <c r="Z291" i="5"/>
  <c r="AC291" i="5" s="1"/>
  <c r="Z91" i="22" s="1"/>
  <c r="Z307" i="5"/>
  <c r="AC307" i="5" s="1"/>
  <c r="Z107" i="22" s="1"/>
  <c r="Y530" i="5"/>
  <c r="Y566" i="5"/>
  <c r="Y619" i="5"/>
  <c r="Y424" i="5"/>
  <c r="Y425" i="5"/>
  <c r="Y429" i="5"/>
  <c r="Y426" i="5"/>
  <c r="Y430" i="5"/>
  <c r="Y427" i="5"/>
  <c r="Y431" i="5"/>
  <c r="Y439" i="5"/>
  <c r="Z556" i="5"/>
  <c r="AC556" i="5" s="1"/>
  <c r="Z288" i="17" s="1"/>
  <c r="Z523" i="5"/>
  <c r="AC523" i="5" s="1"/>
  <c r="Z283" i="17" s="1"/>
  <c r="Z575" i="5"/>
  <c r="AC575" i="5" s="1"/>
  <c r="Z307" i="17" s="1"/>
  <c r="Z536" i="5"/>
  <c r="AC536" i="5" s="1"/>
  <c r="Z226" i="22" s="1"/>
  <c r="Z552" i="5"/>
  <c r="AC552" i="5" s="1"/>
  <c r="Z231" i="22" s="1"/>
  <c r="Z589" i="5"/>
  <c r="AC589" i="5" s="1"/>
  <c r="Z245" i="22" s="1"/>
  <c r="Z606" i="5"/>
  <c r="AC606" i="5" s="1"/>
  <c r="Z253" i="22" s="1"/>
  <c r="Z620" i="5"/>
  <c r="AC620" i="5" s="1"/>
  <c r="Z316" i="17" s="1"/>
  <c r="Z565" i="5"/>
  <c r="AC565" i="5" s="1"/>
  <c r="Z297" i="17" s="1"/>
  <c r="Z518" i="5"/>
  <c r="AC518" i="5" s="1"/>
  <c r="Z278" i="17" s="1"/>
  <c r="Z448" i="5"/>
  <c r="AC448" i="5" s="1"/>
  <c r="Z239" i="17" s="1"/>
  <c r="Z452" i="5"/>
  <c r="AC452" i="5" s="1"/>
  <c r="Z243" i="17" s="1"/>
  <c r="Z456" i="5"/>
  <c r="AC456" i="5" s="1"/>
  <c r="Z202" i="22" s="1"/>
  <c r="Z460" i="5"/>
  <c r="AC460" i="5" s="1"/>
  <c r="Z246" i="17" s="1"/>
  <c r="Z445" i="5"/>
  <c r="AC445" i="5" s="1"/>
  <c r="Z198" i="22" s="1"/>
  <c r="Z449" i="5"/>
  <c r="Z453" i="5"/>
  <c r="AC453" i="5" s="1"/>
  <c r="Z200" i="22" s="1"/>
  <c r="Z457" i="5"/>
  <c r="AC457" i="5" s="1"/>
  <c r="Z203" i="22" s="1"/>
  <c r="Z489" i="5"/>
  <c r="AC489" i="5" s="1"/>
  <c r="Z22" i="21" s="1"/>
  <c r="Z446" i="5"/>
  <c r="AC446" i="5" s="1"/>
  <c r="Z199" i="22" s="1"/>
  <c r="Z450" i="5"/>
  <c r="AC450" i="5" s="1"/>
  <c r="Z241" i="17" s="1"/>
  <c r="Z454" i="5"/>
  <c r="AC454" i="5" s="1"/>
  <c r="Z201" i="22" s="1"/>
  <c r="Z458" i="5"/>
  <c r="AC458" i="5" s="1"/>
  <c r="Z204" i="22" s="1"/>
  <c r="Z562" i="5"/>
  <c r="Z447" i="5"/>
  <c r="AC447" i="5" s="1"/>
  <c r="Z238" i="17" s="1"/>
  <c r="Z451" i="5"/>
  <c r="AC451" i="5" s="1"/>
  <c r="Z242" i="17" s="1"/>
  <c r="Z455" i="5"/>
  <c r="AC455" i="5" s="1"/>
  <c r="Z244" i="17" s="1"/>
  <c r="Z459" i="5"/>
  <c r="AC459" i="5" s="1"/>
  <c r="Z245" i="17" s="1"/>
  <c r="Z253" i="5"/>
  <c r="Z252" i="5"/>
  <c r="Y246" i="5"/>
  <c r="Y250" i="5"/>
  <c r="Y254" i="5"/>
  <c r="Y247" i="5"/>
  <c r="Y251" i="5"/>
  <c r="Y248" i="5"/>
  <c r="Y249" i="5"/>
  <c r="Y526" i="5"/>
  <c r="Y245" i="5"/>
  <c r="Y559" i="5"/>
  <c r="Y516" i="5"/>
  <c r="Y581" i="5"/>
  <c r="Y617" i="5"/>
  <c r="Y504" i="5"/>
  <c r="Y505" i="5"/>
  <c r="Y538" i="5"/>
  <c r="Y503" i="5"/>
  <c r="Y568" i="5"/>
  <c r="Y618" i="5"/>
  <c r="Y550" i="5"/>
  <c r="Y515" i="5"/>
  <c r="Y354" i="5"/>
  <c r="Y356" i="5"/>
  <c r="Y528" i="5"/>
  <c r="Y580" i="5"/>
  <c r="Y493" i="5"/>
  <c r="Y491" i="5"/>
  <c r="Y428" i="5"/>
  <c r="Y432" i="5"/>
  <c r="Y436" i="5"/>
  <c r="Y440" i="5"/>
  <c r="Y444" i="5"/>
  <c r="Y433" i="5"/>
  <c r="Y437" i="5"/>
  <c r="Y441" i="5"/>
  <c r="Y434" i="5"/>
  <c r="Y438" i="5"/>
  <c r="Y442" i="5"/>
  <c r="Y423" i="5"/>
  <c r="Y435" i="5"/>
  <c r="Y443" i="5"/>
  <c r="Y242" i="5"/>
  <c r="Y243" i="5"/>
  <c r="Y255" i="5"/>
  <c r="Y240" i="5"/>
  <c r="Y244" i="5"/>
  <c r="Y241" i="5"/>
  <c r="Z500" i="5"/>
  <c r="AC500" i="5" s="1"/>
  <c r="Z14" i="20" s="1"/>
  <c r="Z501" i="5"/>
  <c r="AC501" i="5" s="1"/>
  <c r="Z15" i="20" s="1"/>
  <c r="Z502" i="5"/>
  <c r="AC502" i="5" s="1"/>
  <c r="Z16" i="20" s="1"/>
  <c r="R123" i="6"/>
  <c r="AR123" i="6"/>
  <c r="AS123" i="6"/>
  <c r="M304" i="17"/>
  <c r="Q128" i="6"/>
  <c r="Y527" i="5" s="1"/>
  <c r="Q111" i="6"/>
  <c r="Y509" i="5" s="1"/>
  <c r="Q103" i="6"/>
  <c r="Y596" i="5" s="1"/>
  <c r="Q95" i="6"/>
  <c r="Y613" i="5" s="1"/>
  <c r="Q87" i="6"/>
  <c r="Y569" i="5" s="1"/>
  <c r="Q79" i="6"/>
  <c r="Y544" i="5" s="1"/>
  <c r="Q70" i="6"/>
  <c r="Y553" i="5" s="1"/>
  <c r="R115" i="6"/>
  <c r="Z514" i="5" s="1"/>
  <c r="R104" i="6"/>
  <c r="Z539" i="5" s="1"/>
  <c r="R95" i="6"/>
  <c r="Z613" i="5" s="1"/>
  <c r="R87" i="6"/>
  <c r="Z569" i="5" s="1"/>
  <c r="R68" i="6"/>
  <c r="Z598" i="5" s="1"/>
  <c r="Q110" i="6"/>
  <c r="Y605" i="5" s="1"/>
  <c r="Q102" i="6"/>
  <c r="Y567" i="5" s="1"/>
  <c r="Q94" i="6"/>
  <c r="Y607" i="5" s="1"/>
  <c r="Q86" i="6"/>
  <c r="Y614" i="5" s="1"/>
  <c r="Q78" i="6"/>
  <c r="Y582" i="5" s="1"/>
  <c r="R114" i="6"/>
  <c r="Z531" i="5" s="1"/>
  <c r="R103" i="6"/>
  <c r="Z596" i="5" s="1"/>
  <c r="AC596" i="5" s="1"/>
  <c r="Z40" i="21" s="1"/>
  <c r="R94" i="6"/>
  <c r="Z607" i="5" s="1"/>
  <c r="R86" i="6"/>
  <c r="Z614" i="5" s="1"/>
  <c r="R76" i="6"/>
  <c r="Z572" i="5" s="1"/>
  <c r="R67" i="6"/>
  <c r="Q109" i="6"/>
  <c r="Y590" i="5" s="1"/>
  <c r="Q101" i="6"/>
  <c r="Y601" i="5" s="1"/>
  <c r="Q93" i="6"/>
  <c r="Y519" i="5" s="1"/>
  <c r="Q85" i="6"/>
  <c r="Y603" i="5" s="1"/>
  <c r="Q68" i="6"/>
  <c r="Y598" i="5" s="1"/>
  <c r="R101" i="6"/>
  <c r="Z601" i="5" s="1"/>
  <c r="R93" i="6"/>
  <c r="Z519" i="5" s="1"/>
  <c r="R85" i="6"/>
  <c r="Z603" i="5" s="1"/>
  <c r="R52" i="6"/>
  <c r="Z482" i="5" s="1"/>
  <c r="Q125" i="6"/>
  <c r="Y579" i="5" s="1"/>
  <c r="Q117" i="6"/>
  <c r="Y570" i="5" s="1"/>
  <c r="Q100" i="6"/>
  <c r="Y610" i="5" s="1"/>
  <c r="Q92" i="6"/>
  <c r="Y602" i="5" s="1"/>
  <c r="Q76" i="6"/>
  <c r="Y572" i="5" s="1"/>
  <c r="Q67" i="6"/>
  <c r="R100" i="6"/>
  <c r="Z610" i="5" s="1"/>
  <c r="R92" i="6"/>
  <c r="Z602" i="5" s="1"/>
  <c r="R73" i="6"/>
  <c r="Z520" i="5" s="1"/>
  <c r="Q116" i="6"/>
  <c r="Y573" i="5" s="1"/>
  <c r="Q107" i="6"/>
  <c r="Y533" i="5" s="1"/>
  <c r="Q99" i="6"/>
  <c r="Y604" i="5" s="1"/>
  <c r="Q91" i="6"/>
  <c r="Y583" i="5" s="1"/>
  <c r="R110" i="6"/>
  <c r="Z605" i="5" s="1"/>
  <c r="R99" i="6"/>
  <c r="Z604" i="5" s="1"/>
  <c r="R91" i="6"/>
  <c r="Z583" i="5" s="1"/>
  <c r="R72" i="6"/>
  <c r="Z534" i="5" s="1"/>
  <c r="Q115" i="6"/>
  <c r="Y514" i="5" s="1"/>
  <c r="Q106" i="6"/>
  <c r="Y592" i="5" s="1"/>
  <c r="Q98" i="6"/>
  <c r="Y593" i="5" s="1"/>
  <c r="Q90" i="6"/>
  <c r="Y609" i="5" s="1"/>
  <c r="Q82" i="6"/>
  <c r="Y611" i="5" s="1"/>
  <c r="Q73" i="6"/>
  <c r="Y520" i="5" s="1"/>
  <c r="R109" i="6"/>
  <c r="Z590" i="5" s="1"/>
  <c r="AC590" i="5" s="1"/>
  <c r="Z246" i="22" s="1"/>
  <c r="R98" i="6"/>
  <c r="Z593" i="5" s="1"/>
  <c r="R90" i="6"/>
  <c r="Z609" i="5" s="1"/>
  <c r="R82" i="6"/>
  <c r="Z611" i="5" s="1"/>
  <c r="Q114" i="6"/>
  <c r="Y531" i="5" s="1"/>
  <c r="Q105" i="6"/>
  <c r="Y513" i="5" s="1"/>
  <c r="Q89" i="6"/>
  <c r="Y599" i="5" s="1"/>
  <c r="Q72" i="6"/>
  <c r="Y534" i="5" s="1"/>
  <c r="Q52" i="6"/>
  <c r="Y482" i="5" s="1"/>
  <c r="R117" i="6"/>
  <c r="Z570" i="5" s="1"/>
  <c r="AC570" i="5" s="1"/>
  <c r="Z302" i="17" s="1"/>
  <c r="R89" i="6"/>
  <c r="Z599" i="5" s="1"/>
  <c r="R80" i="6"/>
  <c r="Z537" i="5" s="1"/>
  <c r="R70" i="6"/>
  <c r="Z553" i="5" s="1"/>
  <c r="Q129" i="6"/>
  <c r="Y578" i="5" s="1"/>
  <c r="Q104" i="6"/>
  <c r="Y539" i="5" s="1"/>
  <c r="Q96" i="6"/>
  <c r="Y576" i="5" s="1"/>
  <c r="Q88" i="6"/>
  <c r="Y540" i="5" s="1"/>
  <c r="Q80" i="6"/>
  <c r="Y537" i="5" s="1"/>
  <c r="R116" i="6"/>
  <c r="Z573" i="5" s="1"/>
  <c r="AC573" i="5" s="1"/>
  <c r="Z305" i="17" s="1"/>
  <c r="R107" i="6"/>
  <c r="Z533" i="5" s="1"/>
  <c r="AC533" i="5" s="1"/>
  <c r="Z223" i="22" s="1"/>
  <c r="R96" i="6"/>
  <c r="Z576" i="5" s="1"/>
  <c r="R88" i="6"/>
  <c r="Z540" i="5" s="1"/>
  <c r="R79" i="6"/>
  <c r="Z544" i="5" s="1"/>
  <c r="AC544" i="5" s="1"/>
  <c r="Z33" i="21" s="1"/>
  <c r="J572" i="5"/>
  <c r="AT98" i="6"/>
  <c r="AT96" i="6"/>
  <c r="AV88" i="6"/>
  <c r="AT104" i="6"/>
  <c r="DU133" i="6"/>
  <c r="AR110" i="6"/>
  <c r="AS109" i="6"/>
  <c r="AR109" i="6"/>
  <c r="AS98" i="6"/>
  <c r="AR98" i="6"/>
  <c r="AS96" i="6"/>
  <c r="AR96" i="6"/>
  <c r="AS104" i="6"/>
  <c r="AR104" i="6"/>
  <c r="AU101" i="6"/>
  <c r="AT101" i="6"/>
  <c r="AS101" i="6"/>
  <c r="AR101" i="6"/>
  <c r="AS92" i="6"/>
  <c r="AR92" i="6"/>
  <c r="AR64" i="6"/>
  <c r="AS63" i="6"/>
  <c r="AR63" i="6"/>
  <c r="AS64" i="6"/>
  <c r="DU103" i="6"/>
  <c r="DU109" i="6"/>
  <c r="DQ131" i="6"/>
  <c r="DP133" i="6"/>
  <c r="DU112" i="6"/>
  <c r="DU88" i="6"/>
  <c r="DR117" i="6"/>
  <c r="DQ133" i="6"/>
  <c r="DU116" i="6"/>
  <c r="DU132" i="6"/>
  <c r="DU124" i="6"/>
  <c r="DU108" i="6"/>
  <c r="DP132" i="6"/>
  <c r="DU123" i="6"/>
  <c r="DU72" i="6"/>
  <c r="DR132" i="6"/>
  <c r="V60" i="6"/>
  <c r="V75" i="6"/>
  <c r="Q75" i="6" s="1"/>
  <c r="V59" i="6"/>
  <c r="Q59" i="6" s="1"/>
  <c r="V41" i="6"/>
  <c r="Q41" i="6" s="1"/>
  <c r="V66" i="6"/>
  <c r="Q66" i="6" s="1"/>
  <c r="V58" i="6"/>
  <c r="V40" i="6"/>
  <c r="Q40" i="6" s="1"/>
  <c r="V39" i="6"/>
  <c r="Q39" i="6" s="1"/>
  <c r="DP130" i="6"/>
  <c r="V38" i="6"/>
  <c r="Q38" i="6" s="1"/>
  <c r="V37" i="6"/>
  <c r="Q37" i="6" s="1"/>
  <c r="V43" i="6"/>
  <c r="Q43" i="6" s="1"/>
  <c r="DR130" i="6"/>
  <c r="DU130" i="6"/>
  <c r="DU114" i="6"/>
  <c r="DQ130" i="6"/>
  <c r="DP131" i="6"/>
  <c r="DR86" i="6"/>
  <c r="DR133" i="6"/>
  <c r="DR131" i="6"/>
  <c r="DQ132" i="6"/>
  <c r="DU131" i="6"/>
  <c r="DU115" i="6"/>
  <c r="DU87" i="6"/>
  <c r="DU85" i="6"/>
  <c r="DU70" i="6"/>
  <c r="DU73" i="6"/>
  <c r="DU67" i="6"/>
  <c r="DU81" i="6"/>
  <c r="DU89" i="6"/>
  <c r="DU83" i="6"/>
  <c r="DU53" i="6"/>
  <c r="DU84" i="6"/>
  <c r="DU77" i="6"/>
  <c r="DU71" i="6"/>
  <c r="DU55" i="6"/>
  <c r="DU93" i="6"/>
  <c r="DU91" i="6"/>
  <c r="DU79" i="6"/>
  <c r="AC605" i="5" l="1"/>
  <c r="Z252" i="22" s="1"/>
  <c r="AC519" i="5"/>
  <c r="Z279" i="17" s="1"/>
  <c r="AC572" i="5"/>
  <c r="Z304" i="17" s="1"/>
  <c r="AC593" i="5"/>
  <c r="Z37" i="21" s="1"/>
  <c r="AC617" i="5"/>
  <c r="Z313" i="17" s="1"/>
  <c r="AC562" i="5"/>
  <c r="Z294" i="17" s="1"/>
  <c r="AC449" i="5"/>
  <c r="Z240" i="17" s="1"/>
  <c r="AC537" i="5"/>
  <c r="Z227" i="22" s="1"/>
  <c r="AC611" i="5"/>
  <c r="Z311" i="17" s="1"/>
  <c r="AC569" i="5"/>
  <c r="Z301" i="17" s="1"/>
  <c r="AC609" i="5"/>
  <c r="Z43" i="21" s="1"/>
  <c r="AC613" i="5"/>
  <c r="Z257" i="22" s="1"/>
  <c r="AC583" i="5"/>
  <c r="Z239" i="22" s="1"/>
  <c r="AC602" i="5"/>
  <c r="Z310" i="17" s="1"/>
  <c r="AC514" i="5"/>
  <c r="Z274" i="17" s="1"/>
  <c r="AC604" i="5"/>
  <c r="Z42" i="21" s="1"/>
  <c r="AD441" i="5"/>
  <c r="AA195" i="22" s="1"/>
  <c r="AB441" i="5"/>
  <c r="Y195" i="22" s="1"/>
  <c r="AB253" i="5"/>
  <c r="Y10" i="21" s="1"/>
  <c r="AD253" i="5"/>
  <c r="AA10" i="21" s="1"/>
  <c r="Z171" i="17"/>
  <c r="AB301" i="5"/>
  <c r="Y101" i="22" s="1"/>
  <c r="AD301" i="5"/>
  <c r="AA101" i="22" s="1"/>
  <c r="AB308" i="5"/>
  <c r="Y200" i="17" s="1"/>
  <c r="AD308" i="5"/>
  <c r="AA200" i="17" s="1"/>
  <c r="AB307" i="5"/>
  <c r="Y107" i="22" s="1"/>
  <c r="AD307" i="5"/>
  <c r="AA107" i="22" s="1"/>
  <c r="AD310" i="5"/>
  <c r="AA202" i="17" s="1"/>
  <c r="AB310" i="5"/>
  <c r="Y202" i="17" s="1"/>
  <c r="AD278" i="5"/>
  <c r="AB278" i="5"/>
  <c r="AD450" i="5"/>
  <c r="AA241" i="17" s="1"/>
  <c r="AB450" i="5"/>
  <c r="Y241" i="17" s="1"/>
  <c r="AD456" i="5"/>
  <c r="AA202" i="22" s="1"/>
  <c r="AB456" i="5"/>
  <c r="Y202" i="22" s="1"/>
  <c r="AB589" i="5"/>
  <c r="Y245" i="22" s="1"/>
  <c r="AD589" i="5"/>
  <c r="AA245" i="22" s="1"/>
  <c r="AC515" i="5"/>
  <c r="Z275" i="17" s="1"/>
  <c r="AB313" i="5"/>
  <c r="Y109" i="22" s="1"/>
  <c r="AD313" i="5"/>
  <c r="AA109" i="22" s="1"/>
  <c r="AD259" i="5"/>
  <c r="AA174" i="17" s="1"/>
  <c r="AB259" i="5"/>
  <c r="Y174" i="17" s="1"/>
  <c r="AB471" i="5"/>
  <c r="Y210" i="22" s="1"/>
  <c r="AD471" i="5"/>
  <c r="AA210" i="22" s="1"/>
  <c r="AD462" i="5"/>
  <c r="AA205" i="22" s="1"/>
  <c r="AB462" i="5"/>
  <c r="Y205" i="22" s="1"/>
  <c r="AB484" i="5"/>
  <c r="Y261" i="17" s="1"/>
  <c r="AD484" i="5"/>
  <c r="AA261" i="17" s="1"/>
  <c r="AB529" i="5"/>
  <c r="Y219" i="22" s="1"/>
  <c r="AD529" i="5"/>
  <c r="AA219" i="22" s="1"/>
  <c r="AD608" i="5"/>
  <c r="AA255" i="22" s="1"/>
  <c r="AB608" i="5"/>
  <c r="Y255" i="22" s="1"/>
  <c r="AB263" i="5"/>
  <c r="Y178" i="17" s="1"/>
  <c r="AD263" i="5"/>
  <c r="AA178" i="17" s="1"/>
  <c r="AD620" i="5"/>
  <c r="AA316" i="17" s="1"/>
  <c r="AB620" i="5"/>
  <c r="Y316" i="17" s="1"/>
  <c r="AC442" i="5"/>
  <c r="Z196" i="22" s="1"/>
  <c r="AC436" i="5"/>
  <c r="Z191" i="22" s="1"/>
  <c r="AC585" i="5"/>
  <c r="Z241" i="22" s="1"/>
  <c r="AB403" i="5"/>
  <c r="Y225" i="17" s="1"/>
  <c r="AD403" i="5"/>
  <c r="AA225" i="17" s="1"/>
  <c r="AC403" i="5"/>
  <c r="Z225" i="17" s="1"/>
  <c r="AD412" i="5"/>
  <c r="AA19" i="21" s="1"/>
  <c r="AB412" i="5"/>
  <c r="Y19" i="21" s="1"/>
  <c r="AC412" i="5"/>
  <c r="Z19" i="21" s="1"/>
  <c r="AB556" i="5"/>
  <c r="Y288" i="17" s="1"/>
  <c r="AD556" i="5"/>
  <c r="AA288" i="17" s="1"/>
  <c r="AC431" i="5"/>
  <c r="Z186" i="22" s="1"/>
  <c r="AC506" i="5"/>
  <c r="Z266" i="17" s="1"/>
  <c r="AC247" i="5"/>
  <c r="Z9" i="21" s="1"/>
  <c r="AD422" i="5"/>
  <c r="AA181" i="22" s="1"/>
  <c r="AB422" i="5"/>
  <c r="Y181" i="22" s="1"/>
  <c r="AD616" i="5"/>
  <c r="AA312" i="17" s="1"/>
  <c r="AB616" i="5"/>
  <c r="Y312" i="17" s="1"/>
  <c r="AD590" i="5"/>
  <c r="AA246" i="22" s="1"/>
  <c r="AB590" i="5"/>
  <c r="Y246" i="22" s="1"/>
  <c r="AB526" i="5"/>
  <c r="Y216" i="22" s="1"/>
  <c r="AD526" i="5"/>
  <c r="AA216" i="22" s="1"/>
  <c r="AD252" i="5"/>
  <c r="AA84" i="22" s="1"/>
  <c r="AB252" i="5"/>
  <c r="Y84" i="22" s="1"/>
  <c r="AC257" i="5"/>
  <c r="Z172" i="17" s="1"/>
  <c r="AB285" i="5"/>
  <c r="Y85" i="22" s="1"/>
  <c r="AD285" i="5"/>
  <c r="AA85" i="22" s="1"/>
  <c r="AB304" i="5"/>
  <c r="Y104" i="22" s="1"/>
  <c r="AD304" i="5"/>
  <c r="AA104" i="22" s="1"/>
  <c r="AD303" i="5"/>
  <c r="AA103" i="22" s="1"/>
  <c r="AB303" i="5"/>
  <c r="Y103" i="22" s="1"/>
  <c r="AB306" i="5"/>
  <c r="Y106" i="22" s="1"/>
  <c r="AD306" i="5"/>
  <c r="AA106" i="22" s="1"/>
  <c r="AD459" i="5"/>
  <c r="AA245" i="17" s="1"/>
  <c r="AB459" i="5"/>
  <c r="Y245" i="17" s="1"/>
  <c r="AD446" i="5"/>
  <c r="AA199" i="22" s="1"/>
  <c r="AB446" i="5"/>
  <c r="Y199" i="22" s="1"/>
  <c r="AD452" i="5"/>
  <c r="AA243" i="17" s="1"/>
  <c r="AB452" i="5"/>
  <c r="Y243" i="17" s="1"/>
  <c r="AB552" i="5"/>
  <c r="Y231" i="22" s="1"/>
  <c r="AD552" i="5"/>
  <c r="AA231" i="22" s="1"/>
  <c r="AC550" i="5"/>
  <c r="Z285" i="17" s="1"/>
  <c r="AD316" i="5"/>
  <c r="AA112" i="22" s="1"/>
  <c r="AB316" i="5"/>
  <c r="Y112" i="22" s="1"/>
  <c r="AD318" i="5"/>
  <c r="AA114" i="22" s="1"/>
  <c r="AB318" i="5"/>
  <c r="Y114" i="22" s="1"/>
  <c r="AB467" i="5"/>
  <c r="Y249" i="17" s="1"/>
  <c r="AD467" i="5"/>
  <c r="AA249" i="17" s="1"/>
  <c r="AD485" i="5"/>
  <c r="AA262" i="17" s="1"/>
  <c r="AB485" i="5"/>
  <c r="Y262" i="17" s="1"/>
  <c r="AB480" i="5"/>
  <c r="Y257" i="17" s="1"/>
  <c r="AD480" i="5"/>
  <c r="AA257" i="17" s="1"/>
  <c r="AB600" i="5"/>
  <c r="Y249" i="22" s="1"/>
  <c r="AD600" i="5"/>
  <c r="AA249" i="22" s="1"/>
  <c r="AB276" i="5"/>
  <c r="Y191" i="17" s="1"/>
  <c r="AD276" i="5"/>
  <c r="AA191" i="17" s="1"/>
  <c r="AB270" i="5"/>
  <c r="Y185" i="17" s="1"/>
  <c r="AD270" i="5"/>
  <c r="AA185" i="17" s="1"/>
  <c r="AC438" i="5"/>
  <c r="Z192" i="22" s="1"/>
  <c r="AC432" i="5"/>
  <c r="Z187" i="22" s="1"/>
  <c r="AC529" i="5"/>
  <c r="Z219" i="22" s="1"/>
  <c r="AD398" i="5"/>
  <c r="AA15" i="21" s="1"/>
  <c r="AB398" i="5"/>
  <c r="Y15" i="21" s="1"/>
  <c r="AC398" i="5"/>
  <c r="Z15" i="21" s="1"/>
  <c r="AB408" i="5"/>
  <c r="Y172" i="22" s="1"/>
  <c r="AD408" i="5"/>
  <c r="AA172" i="22" s="1"/>
  <c r="AC408" i="5"/>
  <c r="Z172" i="22" s="1"/>
  <c r="AC243" i="5"/>
  <c r="Z167" i="17" s="1"/>
  <c r="AC427" i="5"/>
  <c r="Z185" i="22" s="1"/>
  <c r="AC555" i="5"/>
  <c r="Z287" i="17" s="1"/>
  <c r="AC248" i="5"/>
  <c r="Z168" i="17" s="1"/>
  <c r="AB414" i="5"/>
  <c r="Y177" i="22" s="1"/>
  <c r="AD414" i="5"/>
  <c r="AA177" i="22" s="1"/>
  <c r="AD420" i="5"/>
  <c r="AA179" i="22" s="1"/>
  <c r="AB420" i="5"/>
  <c r="Y179" i="22" s="1"/>
  <c r="AD439" i="5"/>
  <c r="AA193" i="22" s="1"/>
  <c r="AB439" i="5"/>
  <c r="Y193" i="22" s="1"/>
  <c r="AB534" i="5"/>
  <c r="Y224" i="22" s="1"/>
  <c r="AD534" i="5"/>
  <c r="AA224" i="22" s="1"/>
  <c r="AC610" i="5"/>
  <c r="Z44" i="21" s="1"/>
  <c r="AB553" i="5"/>
  <c r="Y35" i="21" s="1"/>
  <c r="AD553" i="5"/>
  <c r="AA35" i="21" s="1"/>
  <c r="AB241" i="5"/>
  <c r="Y80" i="22" s="1"/>
  <c r="AD241" i="5"/>
  <c r="AA80" i="22" s="1"/>
  <c r="AD440" i="5"/>
  <c r="AA194" i="22" s="1"/>
  <c r="AB440" i="5"/>
  <c r="Y194" i="22" s="1"/>
  <c r="AB249" i="5"/>
  <c r="Y83" i="22" s="1"/>
  <c r="AD249" i="5"/>
  <c r="AA83" i="22" s="1"/>
  <c r="AB539" i="5"/>
  <c r="Y28" i="21" s="1"/>
  <c r="AD539" i="5"/>
  <c r="AA28" i="21" s="1"/>
  <c r="AD599" i="5"/>
  <c r="AA41" i="21" s="1"/>
  <c r="AB599" i="5"/>
  <c r="Y41" i="21" s="1"/>
  <c r="AB611" i="5"/>
  <c r="Y311" i="17" s="1"/>
  <c r="AD611" i="5"/>
  <c r="AA311" i="17" s="1"/>
  <c r="Y512" i="5"/>
  <c r="Y564" i="5"/>
  <c r="AB544" i="5"/>
  <c r="Y33" i="21" s="1"/>
  <c r="AD544" i="5"/>
  <c r="AA33" i="21" s="1"/>
  <c r="AB244" i="5"/>
  <c r="Y81" i="22" s="1"/>
  <c r="AD244" i="5"/>
  <c r="AA81" i="22" s="1"/>
  <c r="AD442" i="5"/>
  <c r="AA196" i="22" s="1"/>
  <c r="AB442" i="5"/>
  <c r="Y196" i="22" s="1"/>
  <c r="AD436" i="5"/>
  <c r="AA191" i="22" s="1"/>
  <c r="AB436" i="5"/>
  <c r="Y191" i="22" s="1"/>
  <c r="AB248" i="5"/>
  <c r="Y168" i="17" s="1"/>
  <c r="AD248" i="5"/>
  <c r="AA168" i="17" s="1"/>
  <c r="AC252" i="5"/>
  <c r="Z84" i="22" s="1"/>
  <c r="AD427" i="5"/>
  <c r="AA185" i="22" s="1"/>
  <c r="AB427" i="5"/>
  <c r="Y185" i="22" s="1"/>
  <c r="AC474" i="5"/>
  <c r="Z211" i="22" s="1"/>
  <c r="AC469" i="5"/>
  <c r="Z251" i="17" s="1"/>
  <c r="AC464" i="5"/>
  <c r="Z207" i="22" s="1"/>
  <c r="AD502" i="5"/>
  <c r="AA16" i="20" s="1"/>
  <c r="AB502" i="5"/>
  <c r="Y16" i="20" s="1"/>
  <c r="AB597" i="5"/>
  <c r="Y248" i="22" s="1"/>
  <c r="AD597" i="5"/>
  <c r="AA248" i="22" s="1"/>
  <c r="AD300" i="5"/>
  <c r="AA100" i="22" s="1"/>
  <c r="AB300" i="5"/>
  <c r="Y100" i="22" s="1"/>
  <c r="AB299" i="5"/>
  <c r="Y99" i="22" s="1"/>
  <c r="AD299" i="5"/>
  <c r="AA99" i="22" s="1"/>
  <c r="AB302" i="5"/>
  <c r="Y102" i="22" s="1"/>
  <c r="AD302" i="5"/>
  <c r="AA102" i="22" s="1"/>
  <c r="AD455" i="5"/>
  <c r="AA244" i="17" s="1"/>
  <c r="AB455" i="5"/>
  <c r="Y244" i="17" s="1"/>
  <c r="AB489" i="5"/>
  <c r="Y22" i="21" s="1"/>
  <c r="AD489" i="5"/>
  <c r="AA22" i="21" s="1"/>
  <c r="AD448" i="5"/>
  <c r="AA239" i="17" s="1"/>
  <c r="AB448" i="5"/>
  <c r="Y239" i="17" s="1"/>
  <c r="AB536" i="5"/>
  <c r="Y226" i="22" s="1"/>
  <c r="AD536" i="5"/>
  <c r="AA226" i="22" s="1"/>
  <c r="AC618" i="5"/>
  <c r="Z314" i="17" s="1"/>
  <c r="AB312" i="5"/>
  <c r="Y108" i="22" s="1"/>
  <c r="AD312" i="5"/>
  <c r="AA108" i="22" s="1"/>
  <c r="AD314" i="5"/>
  <c r="AA110" i="22" s="1"/>
  <c r="AB314" i="5"/>
  <c r="Y110" i="22" s="1"/>
  <c r="AB463" i="5"/>
  <c r="Y206" i="22" s="1"/>
  <c r="AD463" i="5"/>
  <c r="AA206" i="22" s="1"/>
  <c r="AB481" i="5"/>
  <c r="Y258" i="17" s="1"/>
  <c r="AD481" i="5"/>
  <c r="AA258" i="17" s="1"/>
  <c r="AD476" i="5"/>
  <c r="AA213" i="22" s="1"/>
  <c r="AB476" i="5"/>
  <c r="Y213" i="22" s="1"/>
  <c r="AB555" i="5"/>
  <c r="Y287" i="17" s="1"/>
  <c r="AD555" i="5"/>
  <c r="AA287" i="17" s="1"/>
  <c r="AB272" i="5"/>
  <c r="Y187" i="17" s="1"/>
  <c r="AD272" i="5"/>
  <c r="AA187" i="17" s="1"/>
  <c r="AB266" i="5"/>
  <c r="Y181" i="17" s="1"/>
  <c r="AD266" i="5"/>
  <c r="AA181" i="17" s="1"/>
  <c r="AC434" i="5"/>
  <c r="Z189" i="22" s="1"/>
  <c r="AC428" i="5"/>
  <c r="Z233" i="17" s="1"/>
  <c r="AC600" i="5"/>
  <c r="Z249" i="22" s="1"/>
  <c r="AB397" i="5"/>
  <c r="Y14" i="21" s="1"/>
  <c r="AD397" i="5"/>
  <c r="AA14" i="21" s="1"/>
  <c r="AC397" i="5"/>
  <c r="Z14" i="21" s="1"/>
  <c r="AD404" i="5"/>
  <c r="AA226" i="17" s="1"/>
  <c r="AB404" i="5"/>
  <c r="Y226" i="17" s="1"/>
  <c r="AC404" i="5"/>
  <c r="Z226" i="17" s="1"/>
  <c r="AC255" i="5"/>
  <c r="Z12" i="21" s="1"/>
  <c r="AC430" i="5"/>
  <c r="Z235" i="17" s="1"/>
  <c r="AC522" i="5"/>
  <c r="AC254" i="5"/>
  <c r="Z11" i="21" s="1"/>
  <c r="AB410" i="5"/>
  <c r="Y174" i="22" s="1"/>
  <c r="AD410" i="5"/>
  <c r="AA174" i="22" s="1"/>
  <c r="AD416" i="5"/>
  <c r="AA178" i="22" s="1"/>
  <c r="AB416" i="5"/>
  <c r="Y178" i="22" s="1"/>
  <c r="AB610" i="5"/>
  <c r="Y44" i="21" s="1"/>
  <c r="AD610" i="5"/>
  <c r="AA44" i="21" s="1"/>
  <c r="AB540" i="5"/>
  <c r="Y29" i="21" s="1"/>
  <c r="AD540" i="5"/>
  <c r="AA29" i="21" s="1"/>
  <c r="AB482" i="5"/>
  <c r="Y259" i="17" s="1"/>
  <c r="AD482" i="5"/>
  <c r="AA259" i="17" s="1"/>
  <c r="AC482" i="5"/>
  <c r="Z259" i="17" s="1"/>
  <c r="AB614" i="5"/>
  <c r="Y258" i="22" s="1"/>
  <c r="AD614" i="5"/>
  <c r="AA258" i="22" s="1"/>
  <c r="AD444" i="5"/>
  <c r="AA197" i="22" s="1"/>
  <c r="AB444" i="5"/>
  <c r="Y197" i="22" s="1"/>
  <c r="Y326" i="5"/>
  <c r="Y330" i="5"/>
  <c r="Y323" i="5"/>
  <c r="Y327" i="5"/>
  <c r="Y331" i="5"/>
  <c r="Y320" i="5"/>
  <c r="Y328" i="5"/>
  <c r="Y332" i="5"/>
  <c r="Y329" i="5"/>
  <c r="Y321" i="5"/>
  <c r="Y353" i="5"/>
  <c r="AB576" i="5"/>
  <c r="Y308" i="17" s="1"/>
  <c r="AD576" i="5"/>
  <c r="AA308" i="17" s="1"/>
  <c r="AB520" i="5"/>
  <c r="Y280" i="17" s="1"/>
  <c r="AD520" i="5"/>
  <c r="AA280" i="17" s="1"/>
  <c r="AC603" i="5"/>
  <c r="Z251" i="22" s="1"/>
  <c r="Z512" i="5"/>
  <c r="Z564" i="5"/>
  <c r="AC564" i="5" s="1"/>
  <c r="Z296" i="17" s="1"/>
  <c r="AD423" i="5"/>
  <c r="AA21" i="21" s="1"/>
  <c r="AB423" i="5"/>
  <c r="Y21" i="21" s="1"/>
  <c r="AD431" i="5"/>
  <c r="AA186" i="22" s="1"/>
  <c r="AB431" i="5"/>
  <c r="Y186" i="22" s="1"/>
  <c r="Z193" i="17"/>
  <c r="Y358" i="5"/>
  <c r="Y355" i="5"/>
  <c r="Y359" i="5"/>
  <c r="Y532" i="5"/>
  <c r="Y584" i="5"/>
  <c r="Y357" i="5"/>
  <c r="AC540" i="5"/>
  <c r="Z29" i="21" s="1"/>
  <c r="AB609" i="5"/>
  <c r="Y43" i="21" s="1"/>
  <c r="AD609" i="5"/>
  <c r="AA43" i="21" s="1"/>
  <c r="AB583" i="5"/>
  <c r="Y239" i="22" s="1"/>
  <c r="AD583" i="5"/>
  <c r="AA239" i="22" s="1"/>
  <c r="AD572" i="5"/>
  <c r="AA304" i="17" s="1"/>
  <c r="AB572" i="5"/>
  <c r="Y304" i="17" s="1"/>
  <c r="AC601" i="5"/>
  <c r="Z250" i="22" s="1"/>
  <c r="AC614" i="5"/>
  <c r="Z258" i="22" s="1"/>
  <c r="AB605" i="5"/>
  <c r="Y252" i="22" s="1"/>
  <c r="AD605" i="5"/>
  <c r="AA252" i="22" s="1"/>
  <c r="AB569" i="5"/>
  <c r="Y301" i="17" s="1"/>
  <c r="AD569" i="5"/>
  <c r="AA301" i="17" s="1"/>
  <c r="Z622" i="5"/>
  <c r="AC622" i="5" s="1"/>
  <c r="Z45" i="21" s="1"/>
  <c r="Z543" i="5"/>
  <c r="AC543" i="5" s="1"/>
  <c r="Z32" i="21" s="1"/>
  <c r="Z595" i="5"/>
  <c r="AC595" i="5" s="1"/>
  <c r="Z39" i="21" s="1"/>
  <c r="AD240" i="5"/>
  <c r="AA79" i="22" s="1"/>
  <c r="AB240" i="5"/>
  <c r="Y79" i="22" s="1"/>
  <c r="AB438" i="5"/>
  <c r="Y192" i="22" s="1"/>
  <c r="AD438" i="5"/>
  <c r="AA192" i="22" s="1"/>
  <c r="AD432" i="5"/>
  <c r="AA187" i="22" s="1"/>
  <c r="AB432" i="5"/>
  <c r="Y187" i="22" s="1"/>
  <c r="AD515" i="5"/>
  <c r="AA275" i="17" s="1"/>
  <c r="AB515" i="5"/>
  <c r="Y275" i="17" s="1"/>
  <c r="AB617" i="5"/>
  <c r="Y313" i="17" s="1"/>
  <c r="AD617" i="5"/>
  <c r="AA313" i="17" s="1"/>
  <c r="AB251" i="5"/>
  <c r="Y170" i="17" s="1"/>
  <c r="AD251" i="5"/>
  <c r="AA170" i="17" s="1"/>
  <c r="AC253" i="5"/>
  <c r="Z10" i="21" s="1"/>
  <c r="AD430" i="5"/>
  <c r="AA235" i="17" s="1"/>
  <c r="AB430" i="5"/>
  <c r="Y235" i="17" s="1"/>
  <c r="AC305" i="5"/>
  <c r="Z105" i="22" s="1"/>
  <c r="AC549" i="5"/>
  <c r="Z230" i="22" s="1"/>
  <c r="AB549" i="5"/>
  <c r="Y230" i="22" s="1"/>
  <c r="AD549" i="5"/>
  <c r="AA230" i="22" s="1"/>
  <c r="AD501" i="5"/>
  <c r="AA15" i="20" s="1"/>
  <c r="AB501" i="5"/>
  <c r="Y15" i="20" s="1"/>
  <c r="AC315" i="5"/>
  <c r="Z111" i="22" s="1"/>
  <c r="AD561" i="5"/>
  <c r="AA293" i="17" s="1"/>
  <c r="AB561" i="5"/>
  <c r="Y293" i="17" s="1"/>
  <c r="AB296" i="5"/>
  <c r="Y96" i="22" s="1"/>
  <c r="AD296" i="5"/>
  <c r="AA96" i="22" s="1"/>
  <c r="AB295" i="5"/>
  <c r="Y95" i="22" s="1"/>
  <c r="AD295" i="5"/>
  <c r="AA95" i="22" s="1"/>
  <c r="AD298" i="5"/>
  <c r="AA98" i="22" s="1"/>
  <c r="AB298" i="5"/>
  <c r="Y98" i="22" s="1"/>
  <c r="AD451" i="5"/>
  <c r="AA242" i="17" s="1"/>
  <c r="AB451" i="5"/>
  <c r="Y242" i="17" s="1"/>
  <c r="AB457" i="5"/>
  <c r="Y203" i="22" s="1"/>
  <c r="AD457" i="5"/>
  <c r="AA203" i="22" s="1"/>
  <c r="AC568" i="5"/>
  <c r="Z300" i="17" s="1"/>
  <c r="AD260" i="5"/>
  <c r="AA175" i="17" s="1"/>
  <c r="AB260" i="5"/>
  <c r="Y175" i="17" s="1"/>
  <c r="AD274" i="5"/>
  <c r="AA189" i="17" s="1"/>
  <c r="AB274" i="5"/>
  <c r="Y189" i="17" s="1"/>
  <c r="AD486" i="5"/>
  <c r="AA263" i="17" s="1"/>
  <c r="AB486" i="5"/>
  <c r="Y263" i="17" s="1"/>
  <c r="AB477" i="5"/>
  <c r="Y254" i="17" s="1"/>
  <c r="AD477" i="5"/>
  <c r="AA254" i="17" s="1"/>
  <c r="AB472" i="5"/>
  <c r="Y252" i="17" s="1"/>
  <c r="AD472" i="5"/>
  <c r="AA252" i="17" s="1"/>
  <c r="AB522" i="5"/>
  <c r="AD522" i="5"/>
  <c r="AB268" i="5"/>
  <c r="Y183" i="17" s="1"/>
  <c r="AD268" i="5"/>
  <c r="AA183" i="17" s="1"/>
  <c r="AB262" i="5"/>
  <c r="Y177" i="17" s="1"/>
  <c r="AD262" i="5"/>
  <c r="AA177" i="17" s="1"/>
  <c r="AC441" i="5"/>
  <c r="Z195" i="22" s="1"/>
  <c r="AC491" i="5"/>
  <c r="Z24" i="21" s="1"/>
  <c r="AD418" i="5"/>
  <c r="AA231" i="17" s="1"/>
  <c r="AB418" i="5"/>
  <c r="Y231" i="17" s="1"/>
  <c r="AC418" i="5"/>
  <c r="Z231" i="17" s="1"/>
  <c r="AC244" i="5"/>
  <c r="Z81" i="22" s="1"/>
  <c r="AC426" i="5"/>
  <c r="Z184" i="22" s="1"/>
  <c r="AC624" i="5"/>
  <c r="Z261" i="22" s="1"/>
  <c r="AC250" i="5"/>
  <c r="Z169" i="17" s="1"/>
  <c r="AD406" i="5"/>
  <c r="AA228" i="17" s="1"/>
  <c r="AB406" i="5"/>
  <c r="Y228" i="17" s="1"/>
  <c r="AB399" i="5"/>
  <c r="Y16" i="21" s="1"/>
  <c r="AD399" i="5"/>
  <c r="AA16" i="21" s="1"/>
  <c r="AB533" i="5"/>
  <c r="Y223" i="22" s="1"/>
  <c r="AD533" i="5"/>
  <c r="AA223" i="22" s="1"/>
  <c r="AD603" i="5"/>
  <c r="AA251" i="22" s="1"/>
  <c r="AB603" i="5"/>
  <c r="Y251" i="22" s="1"/>
  <c r="AB596" i="5"/>
  <c r="Y40" i="21" s="1"/>
  <c r="AD596" i="5"/>
  <c r="AA40" i="21" s="1"/>
  <c r="AB243" i="5"/>
  <c r="Y167" i="17" s="1"/>
  <c r="AD243" i="5"/>
  <c r="AA167" i="17" s="1"/>
  <c r="AD618" i="5"/>
  <c r="AA314" i="17" s="1"/>
  <c r="AB618" i="5"/>
  <c r="Y314" i="17" s="1"/>
  <c r="AD254" i="5"/>
  <c r="AA11" i="21" s="1"/>
  <c r="AB254" i="5"/>
  <c r="Y11" i="21" s="1"/>
  <c r="AD435" i="5"/>
  <c r="AA190" i="22" s="1"/>
  <c r="AB435" i="5"/>
  <c r="Y190" i="22" s="1"/>
  <c r="AD607" i="5"/>
  <c r="AA254" i="22" s="1"/>
  <c r="AB607" i="5"/>
  <c r="Y254" i="22" s="1"/>
  <c r="Y350" i="5"/>
  <c r="Y347" i="5"/>
  <c r="Y348" i="5"/>
  <c r="Y322" i="5"/>
  <c r="Y324" i="5"/>
  <c r="Y325" i="5"/>
  <c r="AC576" i="5"/>
  <c r="Z308" i="17" s="1"/>
  <c r="AC553" i="5"/>
  <c r="Z35" i="21" s="1"/>
  <c r="AB531" i="5"/>
  <c r="Y221" i="22" s="1"/>
  <c r="AD531" i="5"/>
  <c r="AA221" i="22" s="1"/>
  <c r="AB593" i="5"/>
  <c r="Y37" i="21" s="1"/>
  <c r="AD593" i="5"/>
  <c r="AA37" i="21" s="1"/>
  <c r="AD604" i="5"/>
  <c r="AA42" i="21" s="1"/>
  <c r="AB604" i="5"/>
  <c r="Y42" i="21" s="1"/>
  <c r="AB602" i="5"/>
  <c r="Y310" i="17" s="1"/>
  <c r="AD602" i="5"/>
  <c r="AA310" i="17" s="1"/>
  <c r="AD598" i="5"/>
  <c r="AA309" i="17" s="1"/>
  <c r="AB598" i="5"/>
  <c r="Y309" i="17" s="1"/>
  <c r="AC607" i="5"/>
  <c r="Z254" i="22" s="1"/>
  <c r="AC598" i="5"/>
  <c r="Z309" i="17" s="1"/>
  <c r="AB613" i="5"/>
  <c r="Y257" i="22" s="1"/>
  <c r="AD613" i="5"/>
  <c r="AA257" i="22" s="1"/>
  <c r="AB255" i="5"/>
  <c r="Y12" i="21" s="1"/>
  <c r="AD255" i="5"/>
  <c r="AA12" i="21" s="1"/>
  <c r="AD434" i="5"/>
  <c r="AA189" i="22" s="1"/>
  <c r="AB434" i="5"/>
  <c r="Y189" i="22" s="1"/>
  <c r="AD428" i="5"/>
  <c r="AA233" i="17" s="1"/>
  <c r="AB428" i="5"/>
  <c r="Y233" i="17" s="1"/>
  <c r="AB550" i="5"/>
  <c r="Y285" i="17" s="1"/>
  <c r="AD550" i="5"/>
  <c r="AA285" i="17" s="1"/>
  <c r="AB581" i="5"/>
  <c r="Y237" i="22" s="1"/>
  <c r="AD581" i="5"/>
  <c r="AA237" i="22" s="1"/>
  <c r="AB247" i="5"/>
  <c r="Y9" i="21" s="1"/>
  <c r="AD247" i="5"/>
  <c r="AA9" i="21" s="1"/>
  <c r="AD426" i="5"/>
  <c r="AA184" i="22" s="1"/>
  <c r="AB426" i="5"/>
  <c r="Y184" i="22" s="1"/>
  <c r="AC301" i="5"/>
  <c r="Z101" i="22" s="1"/>
  <c r="Z247" i="17"/>
  <c r="AD612" i="5"/>
  <c r="AA256" i="22" s="1"/>
  <c r="AB612" i="5"/>
  <c r="Y256" i="22" s="1"/>
  <c r="AC612" i="5"/>
  <c r="Z256" i="22" s="1"/>
  <c r="AD500" i="5"/>
  <c r="AA14" i="20" s="1"/>
  <c r="AB500" i="5"/>
  <c r="Y14" i="20" s="1"/>
  <c r="AB309" i="5"/>
  <c r="Y201" i="17" s="1"/>
  <c r="AD309" i="5"/>
  <c r="AA201" i="17" s="1"/>
  <c r="AD525" i="5"/>
  <c r="AA215" i="22" s="1"/>
  <c r="AB525" i="5"/>
  <c r="Y215" i="22" s="1"/>
  <c r="AD292" i="5"/>
  <c r="AA92" i="22" s="1"/>
  <c r="AB292" i="5"/>
  <c r="Y92" i="22" s="1"/>
  <c r="AD291" i="5"/>
  <c r="AA91" i="22" s="1"/>
  <c r="AB291" i="5"/>
  <c r="Y91" i="22" s="1"/>
  <c r="AB294" i="5"/>
  <c r="Y94" i="22" s="1"/>
  <c r="AD294" i="5"/>
  <c r="AA94" i="22" s="1"/>
  <c r="AD447" i="5"/>
  <c r="AA238" i="17" s="1"/>
  <c r="AB447" i="5"/>
  <c r="Y238" i="17" s="1"/>
  <c r="AD453" i="5"/>
  <c r="AA200" i="22" s="1"/>
  <c r="AB453" i="5"/>
  <c r="Y200" i="22" s="1"/>
  <c r="AD273" i="5"/>
  <c r="AA188" i="17" s="1"/>
  <c r="AB273" i="5"/>
  <c r="Y188" i="17" s="1"/>
  <c r="AB256" i="5"/>
  <c r="AD256" i="5"/>
  <c r="AB258" i="5"/>
  <c r="Y173" i="17" s="1"/>
  <c r="AD258" i="5"/>
  <c r="AA173" i="17" s="1"/>
  <c r="AB478" i="5"/>
  <c r="Y255" i="17" s="1"/>
  <c r="AD478" i="5"/>
  <c r="AA255" i="17" s="1"/>
  <c r="AB473" i="5"/>
  <c r="Y253" i="17" s="1"/>
  <c r="AD473" i="5"/>
  <c r="AA253" i="17" s="1"/>
  <c r="AD468" i="5"/>
  <c r="AA250" i="17" s="1"/>
  <c r="AB468" i="5"/>
  <c r="Y250" i="17" s="1"/>
  <c r="AB624" i="5"/>
  <c r="Y261" i="22" s="1"/>
  <c r="AD624" i="5"/>
  <c r="AA261" i="22" s="1"/>
  <c r="AB264" i="5"/>
  <c r="Y179" i="17" s="1"/>
  <c r="AD264" i="5"/>
  <c r="AA179" i="17" s="1"/>
  <c r="AB487" i="5"/>
  <c r="Y264" i="17" s="1"/>
  <c r="AD487" i="5"/>
  <c r="AA264" i="17" s="1"/>
  <c r="AC437" i="5"/>
  <c r="Z236" i="17" s="1"/>
  <c r="AC493" i="5"/>
  <c r="Z26" i="21" s="1"/>
  <c r="AD402" i="5"/>
  <c r="AA171" i="22" s="1"/>
  <c r="AB402" i="5"/>
  <c r="Y171" i="22" s="1"/>
  <c r="AC402" i="5"/>
  <c r="Z171" i="22" s="1"/>
  <c r="AC240" i="5"/>
  <c r="Z79" i="22" s="1"/>
  <c r="AC429" i="5"/>
  <c r="Z234" i="17" s="1"/>
  <c r="AC588" i="5"/>
  <c r="Z244" i="22" s="1"/>
  <c r="AC246" i="5"/>
  <c r="Z8" i="21" s="1"/>
  <c r="AD401" i="5"/>
  <c r="AA18" i="21" s="1"/>
  <c r="AB401" i="5"/>
  <c r="Y18" i="21" s="1"/>
  <c r="AD490" i="5"/>
  <c r="AA23" i="21" s="1"/>
  <c r="AB490" i="5"/>
  <c r="Y23" i="21" s="1"/>
  <c r="AD261" i="5"/>
  <c r="AB261" i="5"/>
  <c r="AD319" i="5"/>
  <c r="AA115" i="22" s="1"/>
  <c r="AB319" i="5"/>
  <c r="Y115" i="22" s="1"/>
  <c r="AD488" i="5"/>
  <c r="AA265" i="17" s="1"/>
  <c r="AB488" i="5"/>
  <c r="Y265" i="17" s="1"/>
  <c r="AC435" i="5"/>
  <c r="Z190" i="22" s="1"/>
  <c r="AC433" i="5"/>
  <c r="Z188" i="22" s="1"/>
  <c r="AC594" i="5"/>
  <c r="Z38" i="21" s="1"/>
  <c r="AD419" i="5"/>
  <c r="AA232" i="17" s="1"/>
  <c r="AB419" i="5"/>
  <c r="Y232" i="17" s="1"/>
  <c r="AC419" i="5"/>
  <c r="Z232" i="17" s="1"/>
  <c r="AD421" i="5"/>
  <c r="AA180" i="22" s="1"/>
  <c r="AB421" i="5"/>
  <c r="Y180" i="22" s="1"/>
  <c r="AC421" i="5"/>
  <c r="Z180" i="22" s="1"/>
  <c r="AC242" i="5"/>
  <c r="Z166" i="17" s="1"/>
  <c r="AC425" i="5"/>
  <c r="Z183" i="22" s="1"/>
  <c r="AC559" i="5"/>
  <c r="Z291" i="17" s="1"/>
  <c r="AC249" i="5"/>
  <c r="Z83" i="22" s="1"/>
  <c r="AB413" i="5"/>
  <c r="Y176" i="22" s="1"/>
  <c r="AD413" i="5"/>
  <c r="AA176" i="22" s="1"/>
  <c r="AB492" i="5"/>
  <c r="Y25" i="21" s="1"/>
  <c r="AD492" i="5"/>
  <c r="AA25" i="21" s="1"/>
  <c r="AB305" i="5"/>
  <c r="Y105" i="22" s="1"/>
  <c r="AD305" i="5"/>
  <c r="AA105" i="22" s="1"/>
  <c r="AD288" i="5"/>
  <c r="AA88" i="22" s="1"/>
  <c r="AB288" i="5"/>
  <c r="Y88" i="22" s="1"/>
  <c r="AB290" i="5"/>
  <c r="Y90" i="22" s="1"/>
  <c r="AD290" i="5"/>
  <c r="AA90" i="22" s="1"/>
  <c r="AD449" i="5"/>
  <c r="AA240" i="17" s="1"/>
  <c r="AB449" i="5"/>
  <c r="Y240" i="17" s="1"/>
  <c r="AB483" i="5"/>
  <c r="Y260" i="17" s="1"/>
  <c r="AD483" i="5"/>
  <c r="AA260" i="17" s="1"/>
  <c r="AD464" i="5"/>
  <c r="AA207" i="22" s="1"/>
  <c r="AB464" i="5"/>
  <c r="Y207" i="22" s="1"/>
  <c r="Y574" i="5"/>
  <c r="Y521" i="5"/>
  <c r="Y621" i="5"/>
  <c r="AC599" i="5"/>
  <c r="Z41" i="21" s="1"/>
  <c r="AB514" i="5"/>
  <c r="Y274" i="17" s="1"/>
  <c r="AD514" i="5"/>
  <c r="AA274" i="17" s="1"/>
  <c r="AB573" i="5"/>
  <c r="Y305" i="17" s="1"/>
  <c r="AD573" i="5"/>
  <c r="AA305" i="17" s="1"/>
  <c r="AB570" i="5"/>
  <c r="Y302" i="17" s="1"/>
  <c r="AD570" i="5"/>
  <c r="AA302" i="17" s="1"/>
  <c r="AB519" i="5"/>
  <c r="Y279" i="17" s="1"/>
  <c r="AD519" i="5"/>
  <c r="AA279" i="17" s="1"/>
  <c r="AC531" i="5"/>
  <c r="Z221" i="22" s="1"/>
  <c r="AB242" i="5"/>
  <c r="Y166" i="17" s="1"/>
  <c r="AD242" i="5"/>
  <c r="AA166" i="17" s="1"/>
  <c r="AB437" i="5"/>
  <c r="Y236" i="17" s="1"/>
  <c r="AD437" i="5"/>
  <c r="AA236" i="17" s="1"/>
  <c r="AD493" i="5"/>
  <c r="AA26" i="21" s="1"/>
  <c r="AB493" i="5"/>
  <c r="Y26" i="21" s="1"/>
  <c r="AB568" i="5"/>
  <c r="Y300" i="17" s="1"/>
  <c r="AD568" i="5"/>
  <c r="AA300" i="17" s="1"/>
  <c r="AD559" i="5"/>
  <c r="AA291" i="17" s="1"/>
  <c r="AB559" i="5"/>
  <c r="Y291" i="17" s="1"/>
  <c r="AB250" i="5"/>
  <c r="Y169" i="17" s="1"/>
  <c r="AD250" i="5"/>
  <c r="AA169" i="17" s="1"/>
  <c r="AD425" i="5"/>
  <c r="AA183" i="22" s="1"/>
  <c r="AB425" i="5"/>
  <c r="Y183" i="22" s="1"/>
  <c r="AC288" i="5"/>
  <c r="Z88" i="22" s="1"/>
  <c r="AC290" i="5"/>
  <c r="Z90" i="22" s="1"/>
  <c r="AC581" i="5"/>
  <c r="Z237" i="22" s="1"/>
  <c r="AB594" i="5"/>
  <c r="Y38" i="21" s="1"/>
  <c r="AD594" i="5"/>
  <c r="AA38" i="21" s="1"/>
  <c r="AB289" i="5"/>
  <c r="Y89" i="22" s="1"/>
  <c r="AD289" i="5"/>
  <c r="AA89" i="22" s="1"/>
  <c r="AB281" i="5"/>
  <c r="Y196" i="17" s="1"/>
  <c r="AD281" i="5"/>
  <c r="AA196" i="17" s="1"/>
  <c r="AD284" i="5"/>
  <c r="AA199" i="17" s="1"/>
  <c r="AB284" i="5"/>
  <c r="Y199" i="17" s="1"/>
  <c r="AB283" i="5"/>
  <c r="Y198" i="17" s="1"/>
  <c r="AD283" i="5"/>
  <c r="AA198" i="17" s="1"/>
  <c r="AB286" i="5"/>
  <c r="Y86" i="22" s="1"/>
  <c r="AD286" i="5"/>
  <c r="AA86" i="22" s="1"/>
  <c r="AB458" i="5"/>
  <c r="Y204" i="22" s="1"/>
  <c r="AD458" i="5"/>
  <c r="AA204" i="22" s="1"/>
  <c r="AD445" i="5"/>
  <c r="AA198" i="22" s="1"/>
  <c r="AB445" i="5"/>
  <c r="Y198" i="22" s="1"/>
  <c r="AB506" i="5"/>
  <c r="Y266" i="17" s="1"/>
  <c r="AD506" i="5"/>
  <c r="AA266" i="17" s="1"/>
  <c r="AD317" i="5"/>
  <c r="AA113" i="22" s="1"/>
  <c r="AB317" i="5"/>
  <c r="Y113" i="22" s="1"/>
  <c r="AB311" i="5"/>
  <c r="Y203" i="17" s="1"/>
  <c r="AD311" i="5"/>
  <c r="AA203" i="17" s="1"/>
  <c r="AD479" i="5"/>
  <c r="AA256" i="17" s="1"/>
  <c r="AB479" i="5"/>
  <c r="Y256" i="17" s="1"/>
  <c r="AD470" i="5"/>
  <c r="AA209" i="22" s="1"/>
  <c r="AB470" i="5"/>
  <c r="Y209" i="22" s="1"/>
  <c r="AD465" i="5"/>
  <c r="AA208" i="22" s="1"/>
  <c r="AB465" i="5"/>
  <c r="Y208" i="22" s="1"/>
  <c r="AD551" i="5"/>
  <c r="AA286" i="17" s="1"/>
  <c r="AB551" i="5"/>
  <c r="Y286" i="17" s="1"/>
  <c r="AB269" i="5"/>
  <c r="Y184" i="17" s="1"/>
  <c r="AD269" i="5"/>
  <c r="AA184" i="17" s="1"/>
  <c r="AB271" i="5"/>
  <c r="Y186" i="17" s="1"/>
  <c r="AD271" i="5"/>
  <c r="AA186" i="17" s="1"/>
  <c r="AB518" i="5"/>
  <c r="Y278" i="17" s="1"/>
  <c r="AD518" i="5"/>
  <c r="AA278" i="17" s="1"/>
  <c r="AC423" i="5"/>
  <c r="Z21" i="21" s="1"/>
  <c r="AC444" i="5"/>
  <c r="Z197" i="22" s="1"/>
  <c r="AC542" i="5"/>
  <c r="Z31" i="21" s="1"/>
  <c r="AB411" i="5"/>
  <c r="Y175" i="22" s="1"/>
  <c r="AD411" i="5"/>
  <c r="AA175" i="22" s="1"/>
  <c r="AC411" i="5"/>
  <c r="Z175" i="22" s="1"/>
  <c r="AD417" i="5"/>
  <c r="AA230" i="17" s="1"/>
  <c r="AB417" i="5"/>
  <c r="Y230" i="17" s="1"/>
  <c r="AC417" i="5"/>
  <c r="Z230" i="17" s="1"/>
  <c r="AD575" i="5"/>
  <c r="AA307" i="17" s="1"/>
  <c r="AB575" i="5"/>
  <c r="Y307" i="17" s="1"/>
  <c r="AC241" i="5"/>
  <c r="Z80" i="22" s="1"/>
  <c r="AC424" i="5"/>
  <c r="Z182" i="22" s="1"/>
  <c r="AC526" i="5"/>
  <c r="Z216" i="22" s="1"/>
  <c r="AC245" i="5"/>
  <c r="Z82" i="22" s="1"/>
  <c r="AB409" i="5"/>
  <c r="Y173" i="22" s="1"/>
  <c r="AD409" i="5"/>
  <c r="AA173" i="22" s="1"/>
  <c r="AD535" i="5"/>
  <c r="AA225" i="22" s="1"/>
  <c r="AB535" i="5"/>
  <c r="Y225" i="22" s="1"/>
  <c r="Y362" i="5"/>
  <c r="Y366" i="5"/>
  <c r="Y370" i="5"/>
  <c r="Y374" i="5"/>
  <c r="Y378" i="5"/>
  <c r="Y363" i="5"/>
  <c r="Y367" i="5"/>
  <c r="Y360" i="5"/>
  <c r="Y364" i="5"/>
  <c r="Y368" i="5"/>
  <c r="Y372" i="5"/>
  <c r="Y380" i="5"/>
  <c r="Y387" i="5"/>
  <c r="Y393" i="5"/>
  <c r="Y361" i="5"/>
  <c r="Y373" i="5"/>
  <c r="Y381" i="5"/>
  <c r="Y394" i="5"/>
  <c r="Y375" i="5"/>
  <c r="Y382" i="5"/>
  <c r="Y388" i="5"/>
  <c r="Y395" i="5"/>
  <c r="Y365" i="5"/>
  <c r="Y383" i="5"/>
  <c r="Y389" i="5"/>
  <c r="Y376" i="5"/>
  <c r="Y390" i="5"/>
  <c r="Y396" i="5"/>
  <c r="Y369" i="5"/>
  <c r="Y377" i="5"/>
  <c r="Y384" i="5"/>
  <c r="Y391" i="5"/>
  <c r="Y371" i="5"/>
  <c r="Y379" i="5"/>
  <c r="Y385" i="5"/>
  <c r="Y386" i="5"/>
  <c r="Y392" i="5"/>
  <c r="Y498" i="5"/>
  <c r="Y499" i="5"/>
  <c r="AD491" i="5"/>
  <c r="AA24" i="21" s="1"/>
  <c r="AB491" i="5"/>
  <c r="Y24" i="21" s="1"/>
  <c r="AB516" i="5"/>
  <c r="AD516" i="5"/>
  <c r="AD429" i="5"/>
  <c r="AA234" i="17" s="1"/>
  <c r="AB429" i="5"/>
  <c r="Y234" i="17" s="1"/>
  <c r="AB542" i="5"/>
  <c r="Y31" i="21" s="1"/>
  <c r="AD542" i="5"/>
  <c r="AA31" i="21" s="1"/>
  <c r="AD297" i="5"/>
  <c r="AA97" i="22" s="1"/>
  <c r="AB297" i="5"/>
  <c r="Y97" i="22" s="1"/>
  <c r="AD287" i="5"/>
  <c r="AA87" i="22" s="1"/>
  <c r="AB287" i="5"/>
  <c r="Y87" i="22" s="1"/>
  <c r="AD562" i="5"/>
  <c r="AA294" i="17" s="1"/>
  <c r="AB562" i="5"/>
  <c r="Y294" i="17" s="1"/>
  <c r="AB563" i="5"/>
  <c r="Y295" i="17" s="1"/>
  <c r="AD563" i="5"/>
  <c r="AA295" i="17" s="1"/>
  <c r="AB257" i="5"/>
  <c r="Y172" i="17" s="1"/>
  <c r="AD257" i="5"/>
  <c r="AA172" i="17" s="1"/>
  <c r="AB315" i="5"/>
  <c r="Y111" i="22" s="1"/>
  <c r="AD315" i="5"/>
  <c r="AA111" i="22" s="1"/>
  <c r="AD474" i="5"/>
  <c r="AA211" i="22" s="1"/>
  <c r="AB474" i="5"/>
  <c r="Y211" i="22" s="1"/>
  <c r="AD469" i="5"/>
  <c r="AA251" i="17" s="1"/>
  <c r="AB469" i="5"/>
  <c r="Y251" i="17" s="1"/>
  <c r="AB588" i="5"/>
  <c r="Y244" i="22" s="1"/>
  <c r="AD588" i="5"/>
  <c r="AA244" i="22" s="1"/>
  <c r="AD537" i="5"/>
  <c r="AA227" i="22" s="1"/>
  <c r="AB537" i="5"/>
  <c r="Y227" i="22" s="1"/>
  <c r="AC534" i="5"/>
  <c r="Z224" i="22" s="1"/>
  <c r="AC520" i="5"/>
  <c r="Z280" i="17" s="1"/>
  <c r="AB601" i="5"/>
  <c r="Y250" i="22" s="1"/>
  <c r="AD601" i="5"/>
  <c r="AA250" i="22" s="1"/>
  <c r="AC539" i="5"/>
  <c r="Z28" i="21" s="1"/>
  <c r="AD443" i="5"/>
  <c r="AA237" i="17" s="1"/>
  <c r="AB443" i="5"/>
  <c r="Y237" i="17" s="1"/>
  <c r="AD433" i="5"/>
  <c r="AA188" i="22" s="1"/>
  <c r="AB433" i="5"/>
  <c r="Y188" i="22" s="1"/>
  <c r="AB245" i="5"/>
  <c r="Y82" i="22" s="1"/>
  <c r="AD245" i="5"/>
  <c r="AA82" i="22" s="1"/>
  <c r="AD246" i="5"/>
  <c r="AA8" i="21" s="1"/>
  <c r="AB246" i="5"/>
  <c r="Y8" i="21" s="1"/>
  <c r="AD424" i="5"/>
  <c r="AA182" i="22" s="1"/>
  <c r="AB424" i="5"/>
  <c r="Y182" i="22" s="1"/>
  <c r="AC516" i="5"/>
  <c r="AB293" i="5"/>
  <c r="Y93" i="22" s="1"/>
  <c r="AD293" i="5"/>
  <c r="AA93" i="22" s="1"/>
  <c r="AB548" i="5"/>
  <c r="Y229" i="22" s="1"/>
  <c r="AD548" i="5"/>
  <c r="AA229" i="22" s="1"/>
  <c r="AD280" i="5"/>
  <c r="AA195" i="17" s="1"/>
  <c r="AB280" i="5"/>
  <c r="Y195" i="17" s="1"/>
  <c r="AB279" i="5"/>
  <c r="Y194" i="17" s="1"/>
  <c r="AD279" i="5"/>
  <c r="AA194" i="17" s="1"/>
  <c r="AB282" i="5"/>
  <c r="Y197" i="17" s="1"/>
  <c r="AD282" i="5"/>
  <c r="AA197" i="17" s="1"/>
  <c r="AD454" i="5"/>
  <c r="AA201" i="22" s="1"/>
  <c r="AB454" i="5"/>
  <c r="Y201" i="22" s="1"/>
  <c r="AB460" i="5"/>
  <c r="Y246" i="17" s="1"/>
  <c r="AD460" i="5"/>
  <c r="AA246" i="17" s="1"/>
  <c r="AD606" i="5"/>
  <c r="AA253" i="22" s="1"/>
  <c r="AB606" i="5"/>
  <c r="Y253" i="22" s="1"/>
  <c r="Z176" i="17"/>
  <c r="AD277" i="5"/>
  <c r="AA192" i="17" s="1"/>
  <c r="AB277" i="5"/>
  <c r="Y192" i="17" s="1"/>
  <c r="AD275" i="5"/>
  <c r="AA190" i="17" s="1"/>
  <c r="AB275" i="5"/>
  <c r="Y190" i="17" s="1"/>
  <c r="AB475" i="5"/>
  <c r="Y212" i="22" s="1"/>
  <c r="AD475" i="5"/>
  <c r="AA212" i="22" s="1"/>
  <c r="AB466" i="5"/>
  <c r="Y248" i="17" s="1"/>
  <c r="AD466" i="5"/>
  <c r="AA248" i="17" s="1"/>
  <c r="AB461" i="5"/>
  <c r="AD461" i="5"/>
  <c r="AB585" i="5"/>
  <c r="Y241" i="22" s="1"/>
  <c r="AD585" i="5"/>
  <c r="AA241" i="22" s="1"/>
  <c r="AD265" i="5"/>
  <c r="AA180" i="17" s="1"/>
  <c r="AB265" i="5"/>
  <c r="Y180" i="17" s="1"/>
  <c r="AB267" i="5"/>
  <c r="Y182" i="17" s="1"/>
  <c r="AD267" i="5"/>
  <c r="AA182" i="17" s="1"/>
  <c r="AB565" i="5"/>
  <c r="Y297" i="17" s="1"/>
  <c r="AD565" i="5"/>
  <c r="AA297" i="17" s="1"/>
  <c r="AC443" i="5"/>
  <c r="Z237" i="17" s="1"/>
  <c r="AC440" i="5"/>
  <c r="Z194" i="22" s="1"/>
  <c r="AC551" i="5"/>
  <c r="Z286" i="17" s="1"/>
  <c r="AD407" i="5"/>
  <c r="AA229" i="17" s="1"/>
  <c r="AB407" i="5"/>
  <c r="Y229" i="17" s="1"/>
  <c r="AC407" i="5"/>
  <c r="Z229" i="17" s="1"/>
  <c r="AD405" i="5"/>
  <c r="AA227" i="17" s="1"/>
  <c r="AB405" i="5"/>
  <c r="Y227" i="17" s="1"/>
  <c r="AC405" i="5"/>
  <c r="Z227" i="17" s="1"/>
  <c r="AB523" i="5"/>
  <c r="Y283" i="17" s="1"/>
  <c r="AD523" i="5"/>
  <c r="AA283" i="17" s="1"/>
  <c r="AC439" i="5"/>
  <c r="Z193" i="22" s="1"/>
  <c r="AC563" i="5"/>
  <c r="Z295" i="17" s="1"/>
  <c r="AC251" i="5"/>
  <c r="Z170" i="17" s="1"/>
  <c r="AD415" i="5"/>
  <c r="AA20" i="21" s="1"/>
  <c r="AB415" i="5"/>
  <c r="Y20" i="21" s="1"/>
  <c r="AD400" i="5"/>
  <c r="AA17" i="21" s="1"/>
  <c r="AB400" i="5"/>
  <c r="Y17" i="21" s="1"/>
  <c r="AB586" i="5"/>
  <c r="Y242" i="22" s="1"/>
  <c r="AD586" i="5"/>
  <c r="AA242" i="22" s="1"/>
  <c r="DW132" i="6"/>
  <c r="DW133" i="6"/>
  <c r="DW130" i="6"/>
  <c r="DW131" i="6"/>
  <c r="Q58" i="6"/>
  <c r="Y494" i="5" s="1"/>
  <c r="Q60" i="6"/>
  <c r="Y497" i="5" s="1"/>
  <c r="AV27" i="6"/>
  <c r="AB595" i="5" l="1"/>
  <c r="Y39" i="21" s="1"/>
  <c r="AC512" i="5"/>
  <c r="Z272" i="17" s="1"/>
  <c r="AD543" i="5"/>
  <c r="AA32" i="21" s="1"/>
  <c r="AD595" i="5"/>
  <c r="AA39" i="21" s="1"/>
  <c r="Y171" i="17"/>
  <c r="Y247" i="17"/>
  <c r="AA276" i="17"/>
  <c r="AD622" i="5"/>
  <c r="AA45" i="21" s="1"/>
  <c r="Y282" i="17"/>
  <c r="AA247" i="17"/>
  <c r="AB622" i="5"/>
  <c r="Y45" i="21" s="1"/>
  <c r="AA282" i="17"/>
  <c r="Y276" i="17"/>
  <c r="Y176" i="17"/>
  <c r="Y193" i="17"/>
  <c r="AA193" i="17"/>
  <c r="AA171" i="17"/>
  <c r="AD564" i="5"/>
  <c r="AA296" i="17" s="1"/>
  <c r="AB564" i="5"/>
  <c r="Y296" i="17" s="1"/>
  <c r="Z276" i="17"/>
  <c r="AA176" i="17"/>
  <c r="Z282" i="17"/>
  <c r="AB543" i="5"/>
  <c r="Y32" i="21" s="1"/>
  <c r="AD512" i="5"/>
  <c r="AA272" i="17" s="1"/>
  <c r="AB512" i="5"/>
  <c r="Y272" i="17" s="1"/>
  <c r="EA19" i="6"/>
  <c r="EA20" i="6"/>
  <c r="EA21" i="6"/>
  <c r="EA22" i="6"/>
  <c r="EA23" i="6"/>
  <c r="EA24" i="6"/>
  <c r="EA25" i="6"/>
  <c r="EA26" i="6"/>
  <c r="EA27" i="6"/>
  <c r="EA28" i="6"/>
  <c r="EA30" i="6"/>
  <c r="EA31" i="6"/>
  <c r="EA32" i="6"/>
  <c r="EA33" i="6"/>
  <c r="EA34" i="6"/>
  <c r="EA35" i="6"/>
  <c r="EA16" i="6"/>
  <c r="AX8" i="6"/>
  <c r="BU8" i="6"/>
  <c r="BV8" i="6"/>
  <c r="BW8" i="6"/>
  <c r="D11" i="6"/>
  <c r="AE8" i="6" s="1"/>
  <c r="AJ11" i="1"/>
  <c r="L11" i="6" s="1"/>
  <c r="AK11" i="1"/>
  <c r="M11" i="6" s="1"/>
  <c r="AL11" i="1"/>
  <c r="N11" i="6" s="1"/>
  <c r="C23" i="1"/>
  <c r="C28" i="1" s="1"/>
  <c r="D23" i="1"/>
  <c r="D28" i="1" s="1"/>
  <c r="E23" i="1"/>
  <c r="E28" i="1" s="1"/>
  <c r="F23" i="1"/>
  <c r="F28" i="1" s="1"/>
  <c r="B23" i="1"/>
  <c r="B28" i="1" s="1"/>
  <c r="AC11" i="1" s="1"/>
  <c r="E11" i="6" s="1"/>
  <c r="AF8" i="6" s="1"/>
  <c r="DD3" i="6"/>
  <c r="BU2" i="6"/>
  <c r="DK2" i="6" s="1"/>
  <c r="BV2" i="6"/>
  <c r="DL2" i="6" s="1"/>
  <c r="BW2" i="6"/>
  <c r="DM2" i="6" s="1"/>
  <c r="BU3" i="6"/>
  <c r="BV3" i="6"/>
  <c r="BW3" i="6"/>
  <c r="BU4" i="6"/>
  <c r="DK4" i="6" s="1"/>
  <c r="BV4" i="6"/>
  <c r="DL4" i="6" s="1"/>
  <c r="BW4" i="6"/>
  <c r="DM4" i="6" s="1"/>
  <c r="BU5" i="6"/>
  <c r="DK5" i="6" s="1"/>
  <c r="DK8" i="6" s="1"/>
  <c r="BV5" i="6"/>
  <c r="DL5" i="6" s="1"/>
  <c r="DL8" i="6" s="1"/>
  <c r="BW5" i="6"/>
  <c r="DM5" i="6" s="1"/>
  <c r="DM8" i="6" s="1"/>
  <c r="BU6" i="6"/>
  <c r="DK6" i="6" s="1"/>
  <c r="BV6" i="6"/>
  <c r="DL6" i="6" s="1"/>
  <c r="BW6" i="6"/>
  <c r="DM6" i="6" s="1"/>
  <c r="AY2" i="6"/>
  <c r="BA2" i="6"/>
  <c r="BD2" i="6"/>
  <c r="BL2" i="6"/>
  <c r="AY3" i="6"/>
  <c r="AZ3" i="6"/>
  <c r="BA3" i="6"/>
  <c r="BB3" i="6"/>
  <c r="BC3" i="6"/>
  <c r="BD3" i="6"/>
  <c r="BE3" i="6"/>
  <c r="BF3" i="6"/>
  <c r="BG3" i="6"/>
  <c r="BH3" i="6"/>
  <c r="BI3" i="6"/>
  <c r="BJ3" i="6"/>
  <c r="BK3" i="6"/>
  <c r="BL3" i="6"/>
  <c r="BM3" i="6"/>
  <c r="BN3" i="6"/>
  <c r="BO3" i="6"/>
  <c r="BP3" i="6"/>
  <c r="BQ3" i="6"/>
  <c r="BR3" i="6"/>
  <c r="BS3" i="6"/>
  <c r="BT3" i="6"/>
  <c r="BK4" i="6"/>
  <c r="BL4" i="6"/>
  <c r="BM4" i="6"/>
  <c r="BN4" i="6"/>
  <c r="BO4" i="6"/>
  <c r="BP4" i="6"/>
  <c r="BQ4" i="6"/>
  <c r="BR4" i="6"/>
  <c r="BS4" i="6"/>
  <c r="BT4" i="6"/>
  <c r="AX4" i="6"/>
  <c r="AX5" i="6"/>
  <c r="AX6" i="6"/>
  <c r="AX7" i="6"/>
  <c r="D8" i="6"/>
  <c r="AE5" i="6" s="1"/>
  <c r="DD5" i="6" s="1"/>
  <c r="D9" i="6"/>
  <c r="AE6" i="6" s="1"/>
  <c r="DD6" i="6" s="1"/>
  <c r="D10" i="6"/>
  <c r="AE7" i="6" s="1"/>
  <c r="DD7" i="6" s="1"/>
  <c r="E3" i="6"/>
  <c r="F3" i="6"/>
  <c r="G3" i="6"/>
  <c r="H3" i="6"/>
  <c r="I3" i="6"/>
  <c r="J3" i="6"/>
  <c r="K3" i="6"/>
  <c r="L3" i="6"/>
  <c r="M3" i="6"/>
  <c r="N3" i="6"/>
  <c r="E4" i="6"/>
  <c r="F4" i="6"/>
  <c r="G4" i="6"/>
  <c r="H4" i="6"/>
  <c r="I4" i="6"/>
  <c r="J4" i="6"/>
  <c r="K4" i="6"/>
  <c r="L4" i="6"/>
  <c r="M4" i="6"/>
  <c r="N4" i="6"/>
  <c r="E5" i="6"/>
  <c r="F5" i="6"/>
  <c r="G5" i="6"/>
  <c r="H5" i="6"/>
  <c r="I5" i="6"/>
  <c r="J5" i="6"/>
  <c r="K5" i="6"/>
  <c r="L5" i="6"/>
  <c r="M5" i="6"/>
  <c r="N5" i="6"/>
  <c r="E6" i="6"/>
  <c r="F6" i="6"/>
  <c r="G6" i="6"/>
  <c r="H6" i="6"/>
  <c r="I6" i="6"/>
  <c r="J6" i="6"/>
  <c r="K6" i="6"/>
  <c r="L6" i="6"/>
  <c r="M6" i="6"/>
  <c r="N6" i="6"/>
  <c r="D7" i="6"/>
  <c r="AE4" i="6" s="1"/>
  <c r="DD4" i="6" s="1"/>
  <c r="E2" i="6"/>
  <c r="F2" i="6"/>
  <c r="G2" i="6"/>
  <c r="H2" i="6"/>
  <c r="I2" i="6"/>
  <c r="J2" i="6"/>
  <c r="K2" i="6"/>
  <c r="L2" i="6"/>
  <c r="M2" i="6"/>
  <c r="N2" i="6"/>
  <c r="AD11" i="1" l="1"/>
  <c r="F11" i="6" s="1"/>
  <c r="AG8" i="6" s="1"/>
  <c r="AH3" i="6"/>
  <c r="DG3" i="6" s="1"/>
  <c r="AI3" i="6"/>
  <c r="DH3" i="6" s="1"/>
  <c r="AG3" i="6"/>
  <c r="DF3" i="6" s="1"/>
  <c r="AF3" i="6"/>
  <c r="DE3" i="6" s="1"/>
  <c r="AL3" i="6"/>
  <c r="DJ3" i="6" s="1"/>
  <c r="AK3" i="6"/>
  <c r="DI3" i="6" s="1"/>
  <c r="AJ3" i="6"/>
  <c r="DO3" i="6" s="1"/>
  <c r="X15" i="6"/>
  <c r="Y15" i="6"/>
  <c r="AB15" i="6"/>
  <c r="W15" i="6"/>
  <c r="AA15" i="6"/>
  <c r="V15" i="6"/>
  <c r="I7" i="6" l="1"/>
  <c r="AJ4" i="6" s="1"/>
  <c r="DO4" i="6" s="1"/>
  <c r="AJ8" i="1"/>
  <c r="L8" i="6" s="1"/>
  <c r="AK8" i="1"/>
  <c r="M8" i="6" s="1"/>
  <c r="AL8" i="1"/>
  <c r="N8" i="6" s="1"/>
  <c r="AJ9" i="1"/>
  <c r="L9" i="6" s="1"/>
  <c r="AK9" i="1"/>
  <c r="M9" i="6" s="1"/>
  <c r="AL9" i="1"/>
  <c r="N9" i="6" s="1"/>
  <c r="AK7" i="1"/>
  <c r="M7" i="6" s="1"/>
  <c r="AL7" i="1"/>
  <c r="N7" i="6" s="1"/>
  <c r="AJ7" i="1"/>
  <c r="L7" i="6" s="1"/>
  <c r="C19" i="1"/>
  <c r="D19" i="1"/>
  <c r="E19" i="1"/>
  <c r="E24" i="1" s="1"/>
  <c r="F19" i="1"/>
  <c r="G19" i="1"/>
  <c r="H19" i="1"/>
  <c r="I19" i="1"/>
  <c r="J19" i="1"/>
  <c r="K19" i="1"/>
  <c r="L19" i="1"/>
  <c r="M19" i="1"/>
  <c r="N19" i="1"/>
  <c r="N24" i="1" s="1"/>
  <c r="O19" i="1"/>
  <c r="P19" i="1"/>
  <c r="Q19" i="1"/>
  <c r="R19" i="1"/>
  <c r="S19" i="1"/>
  <c r="T19" i="1"/>
  <c r="U19" i="1"/>
  <c r="V19" i="1"/>
  <c r="W19" i="1"/>
  <c r="W24" i="1" s="1"/>
  <c r="B19" i="1"/>
  <c r="BF5" i="6"/>
  <c r="BI5" i="6"/>
  <c r="BK5" i="6"/>
  <c r="BI6" i="6"/>
  <c r="BK6" i="6"/>
  <c r="BF7" i="6"/>
  <c r="BI7" i="6"/>
  <c r="BK7" i="6"/>
  <c r="AZ5" i="6"/>
  <c r="AZ6" i="6"/>
  <c r="AZ7" i="6"/>
  <c r="BB7" i="6"/>
  <c r="BC7" i="6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08" i="1"/>
  <c r="Y208" i="1"/>
  <c r="Z208" i="1"/>
  <c r="X209" i="1"/>
  <c r="Y209" i="1"/>
  <c r="Z209" i="1"/>
  <c r="X210" i="1"/>
  <c r="Y210" i="1"/>
  <c r="Z210" i="1"/>
  <c r="X211" i="1"/>
  <c r="Y211" i="1"/>
  <c r="Z211" i="1"/>
  <c r="X212" i="1"/>
  <c r="Y212" i="1"/>
  <c r="Z212" i="1"/>
  <c r="X213" i="1"/>
  <c r="Y213" i="1"/>
  <c r="Z213" i="1"/>
  <c r="X214" i="1"/>
  <c r="Y214" i="1"/>
  <c r="Z214" i="1"/>
  <c r="X215" i="1"/>
  <c r="Y215" i="1"/>
  <c r="Z215" i="1"/>
  <c r="X216" i="1"/>
  <c r="Y216" i="1"/>
  <c r="Z216" i="1"/>
  <c r="X217" i="1"/>
  <c r="Y217" i="1"/>
  <c r="Z217" i="1"/>
  <c r="X218" i="1"/>
  <c r="Y218" i="1"/>
  <c r="Z218" i="1"/>
  <c r="X219" i="1"/>
  <c r="Y219" i="1"/>
  <c r="Z219" i="1"/>
  <c r="X220" i="1"/>
  <c r="Y220" i="1"/>
  <c r="Z220" i="1"/>
  <c r="X221" i="1"/>
  <c r="Y221" i="1"/>
  <c r="Z221" i="1"/>
  <c r="X222" i="1"/>
  <c r="Y222" i="1"/>
  <c r="Z222" i="1"/>
  <c r="X223" i="1"/>
  <c r="Y223" i="1"/>
  <c r="Z223" i="1"/>
  <c r="X224" i="1"/>
  <c r="Y224" i="1"/>
  <c r="Z224" i="1"/>
  <c r="BW7" i="6" s="1"/>
  <c r="DM7" i="6" s="1"/>
  <c r="X225" i="1"/>
  <c r="Y225" i="1"/>
  <c r="Z225" i="1"/>
  <c r="X226" i="1"/>
  <c r="Y226" i="1"/>
  <c r="Z226" i="1"/>
  <c r="X227" i="1"/>
  <c r="Y227" i="1"/>
  <c r="Z227" i="1"/>
  <c r="X228" i="1"/>
  <c r="Y228" i="1"/>
  <c r="Z228" i="1"/>
  <c r="X229" i="1"/>
  <c r="Y229" i="1"/>
  <c r="Z229" i="1"/>
  <c r="X230" i="1"/>
  <c r="Y230" i="1"/>
  <c r="Z230" i="1"/>
  <c r="X231" i="1"/>
  <c r="Y231" i="1"/>
  <c r="Z231" i="1"/>
  <c r="X232" i="1"/>
  <c r="Y232" i="1"/>
  <c r="Z232" i="1"/>
  <c r="X233" i="1"/>
  <c r="Y233" i="1"/>
  <c r="Z233" i="1"/>
  <c r="X234" i="1"/>
  <c r="Y234" i="1"/>
  <c r="Z234" i="1"/>
  <c r="X235" i="1"/>
  <c r="Y235" i="1"/>
  <c r="Z235" i="1"/>
  <c r="X236" i="1"/>
  <c r="Y236" i="1"/>
  <c r="Z236" i="1"/>
  <c r="X237" i="1"/>
  <c r="Y237" i="1"/>
  <c r="Z237" i="1"/>
  <c r="X238" i="1"/>
  <c r="Y238" i="1"/>
  <c r="Z238" i="1"/>
  <c r="X239" i="1"/>
  <c r="Y239" i="1"/>
  <c r="Z239" i="1"/>
  <c r="X240" i="1"/>
  <c r="Y240" i="1"/>
  <c r="Z240" i="1"/>
  <c r="X241" i="1"/>
  <c r="Y241" i="1"/>
  <c r="Z241" i="1"/>
  <c r="X242" i="1"/>
  <c r="Y242" i="1"/>
  <c r="Z242" i="1"/>
  <c r="X243" i="1"/>
  <c r="Y243" i="1"/>
  <c r="Z243" i="1"/>
  <c r="X244" i="1"/>
  <c r="Y244" i="1"/>
  <c r="Z244" i="1"/>
  <c r="X245" i="1"/>
  <c r="Y245" i="1"/>
  <c r="Z245" i="1"/>
  <c r="X246" i="1"/>
  <c r="Y246" i="1"/>
  <c r="Z246" i="1"/>
  <c r="X247" i="1"/>
  <c r="Y247" i="1"/>
  <c r="Z247" i="1"/>
  <c r="X248" i="1"/>
  <c r="Y248" i="1"/>
  <c r="Z248" i="1"/>
  <c r="X249" i="1"/>
  <c r="Y249" i="1"/>
  <c r="Z249" i="1"/>
  <c r="X250" i="1"/>
  <c r="Y250" i="1"/>
  <c r="Z250" i="1"/>
  <c r="X251" i="1"/>
  <c r="Y251" i="1"/>
  <c r="Z251" i="1"/>
  <c r="X252" i="1"/>
  <c r="Y252" i="1"/>
  <c r="Z252" i="1"/>
  <c r="X253" i="1"/>
  <c r="Y253" i="1"/>
  <c r="Z253" i="1"/>
  <c r="X254" i="1"/>
  <c r="Y254" i="1"/>
  <c r="Z254" i="1"/>
  <c r="X255" i="1"/>
  <c r="Y255" i="1"/>
  <c r="Z255" i="1"/>
  <c r="X256" i="1"/>
  <c r="Y256" i="1"/>
  <c r="Z256" i="1"/>
  <c r="X257" i="1"/>
  <c r="Y257" i="1"/>
  <c r="Z257" i="1"/>
  <c r="X207" i="1"/>
  <c r="Y207" i="1"/>
  <c r="Z207" i="1"/>
  <c r="AC207" i="1"/>
  <c r="B207" i="1" s="1"/>
  <c r="AD207" i="1"/>
  <c r="C207" i="1" s="1"/>
  <c r="AE207" i="1"/>
  <c r="D207" i="1" s="1"/>
  <c r="AF207" i="1"/>
  <c r="E207" i="1" s="1"/>
  <c r="AG207" i="1"/>
  <c r="F207" i="1" s="1"/>
  <c r="AC208" i="1"/>
  <c r="B208" i="1" s="1"/>
  <c r="AD208" i="1"/>
  <c r="C208" i="1" s="1"/>
  <c r="AE208" i="1"/>
  <c r="D208" i="1" s="1"/>
  <c r="AF208" i="1"/>
  <c r="E208" i="1" s="1"/>
  <c r="AG208" i="1"/>
  <c r="F208" i="1" s="1"/>
  <c r="AC209" i="1"/>
  <c r="B209" i="1" s="1"/>
  <c r="AD209" i="1"/>
  <c r="C209" i="1" s="1"/>
  <c r="AE209" i="1"/>
  <c r="D209" i="1" s="1"/>
  <c r="AF209" i="1"/>
  <c r="E209" i="1" s="1"/>
  <c r="AG209" i="1"/>
  <c r="F209" i="1" s="1"/>
  <c r="AC210" i="1"/>
  <c r="B210" i="1" s="1"/>
  <c r="AD210" i="1"/>
  <c r="C210" i="1" s="1"/>
  <c r="AE210" i="1"/>
  <c r="D210" i="1" s="1"/>
  <c r="AF210" i="1"/>
  <c r="E210" i="1" s="1"/>
  <c r="AG210" i="1"/>
  <c r="F210" i="1" s="1"/>
  <c r="AC211" i="1"/>
  <c r="B211" i="1" s="1"/>
  <c r="AD211" i="1"/>
  <c r="C211" i="1" s="1"/>
  <c r="AE211" i="1"/>
  <c r="D211" i="1" s="1"/>
  <c r="AF211" i="1"/>
  <c r="E211" i="1" s="1"/>
  <c r="AG211" i="1"/>
  <c r="F211" i="1" s="1"/>
  <c r="AC212" i="1"/>
  <c r="B212" i="1" s="1"/>
  <c r="AD212" i="1"/>
  <c r="C212" i="1" s="1"/>
  <c r="AE212" i="1"/>
  <c r="D212" i="1" s="1"/>
  <c r="AF212" i="1"/>
  <c r="E212" i="1" s="1"/>
  <c r="AG212" i="1"/>
  <c r="F212" i="1" s="1"/>
  <c r="AC213" i="1"/>
  <c r="B213" i="1" s="1"/>
  <c r="AD213" i="1"/>
  <c r="C213" i="1" s="1"/>
  <c r="AE213" i="1"/>
  <c r="D213" i="1" s="1"/>
  <c r="AF213" i="1"/>
  <c r="E213" i="1" s="1"/>
  <c r="AG213" i="1"/>
  <c r="F213" i="1" s="1"/>
  <c r="AC214" i="1"/>
  <c r="B214" i="1" s="1"/>
  <c r="AD214" i="1"/>
  <c r="C214" i="1" s="1"/>
  <c r="AE214" i="1"/>
  <c r="D214" i="1" s="1"/>
  <c r="AF214" i="1"/>
  <c r="E214" i="1" s="1"/>
  <c r="AG214" i="1"/>
  <c r="F214" i="1" s="1"/>
  <c r="AC215" i="1"/>
  <c r="B215" i="1" s="1"/>
  <c r="AD215" i="1"/>
  <c r="C215" i="1" s="1"/>
  <c r="AE215" i="1"/>
  <c r="D215" i="1" s="1"/>
  <c r="AF215" i="1"/>
  <c r="E215" i="1" s="1"/>
  <c r="AG215" i="1"/>
  <c r="F215" i="1" s="1"/>
  <c r="AC216" i="1"/>
  <c r="B216" i="1" s="1"/>
  <c r="AD216" i="1"/>
  <c r="C216" i="1" s="1"/>
  <c r="AE216" i="1"/>
  <c r="D216" i="1" s="1"/>
  <c r="AF216" i="1"/>
  <c r="E216" i="1" s="1"/>
  <c r="AG216" i="1"/>
  <c r="F216" i="1" s="1"/>
  <c r="AC217" i="1"/>
  <c r="B217" i="1" s="1"/>
  <c r="AD217" i="1"/>
  <c r="C217" i="1" s="1"/>
  <c r="AE217" i="1"/>
  <c r="D217" i="1" s="1"/>
  <c r="AF217" i="1"/>
  <c r="E217" i="1" s="1"/>
  <c r="AG217" i="1"/>
  <c r="F217" i="1" s="1"/>
  <c r="AC218" i="1"/>
  <c r="B218" i="1" s="1"/>
  <c r="AD218" i="1"/>
  <c r="C218" i="1" s="1"/>
  <c r="AE218" i="1"/>
  <c r="D218" i="1" s="1"/>
  <c r="AF218" i="1"/>
  <c r="E218" i="1" s="1"/>
  <c r="AG218" i="1"/>
  <c r="F218" i="1" s="1"/>
  <c r="AC219" i="1"/>
  <c r="B219" i="1" s="1"/>
  <c r="AD219" i="1"/>
  <c r="C219" i="1" s="1"/>
  <c r="AE219" i="1"/>
  <c r="D219" i="1" s="1"/>
  <c r="AF219" i="1"/>
  <c r="E219" i="1" s="1"/>
  <c r="AG219" i="1"/>
  <c r="F219" i="1" s="1"/>
  <c r="AC220" i="1"/>
  <c r="B220" i="1" s="1"/>
  <c r="AD220" i="1"/>
  <c r="C220" i="1" s="1"/>
  <c r="AE220" i="1"/>
  <c r="D220" i="1" s="1"/>
  <c r="AF220" i="1"/>
  <c r="E220" i="1" s="1"/>
  <c r="AG220" i="1"/>
  <c r="F220" i="1" s="1"/>
  <c r="AC221" i="1"/>
  <c r="B221" i="1" s="1"/>
  <c r="AD221" i="1"/>
  <c r="C221" i="1" s="1"/>
  <c r="AE221" i="1"/>
  <c r="D221" i="1" s="1"/>
  <c r="AF221" i="1"/>
  <c r="E221" i="1" s="1"/>
  <c r="AG221" i="1"/>
  <c r="F221" i="1" s="1"/>
  <c r="AC222" i="1"/>
  <c r="B222" i="1" s="1"/>
  <c r="AD222" i="1"/>
  <c r="C222" i="1" s="1"/>
  <c r="AE222" i="1"/>
  <c r="D222" i="1" s="1"/>
  <c r="AF222" i="1"/>
  <c r="E222" i="1" s="1"/>
  <c r="AG222" i="1"/>
  <c r="F222" i="1" s="1"/>
  <c r="AC223" i="1"/>
  <c r="B223" i="1" s="1"/>
  <c r="AD223" i="1"/>
  <c r="C223" i="1" s="1"/>
  <c r="AE223" i="1"/>
  <c r="D223" i="1" s="1"/>
  <c r="AF223" i="1"/>
  <c r="E223" i="1" s="1"/>
  <c r="AG223" i="1"/>
  <c r="F223" i="1" s="1"/>
  <c r="AC224" i="1"/>
  <c r="B224" i="1" s="1"/>
  <c r="AD224" i="1"/>
  <c r="C224" i="1" s="1"/>
  <c r="AE224" i="1"/>
  <c r="D224" i="1" s="1"/>
  <c r="AF224" i="1"/>
  <c r="E224" i="1" s="1"/>
  <c r="AG224" i="1"/>
  <c r="F224" i="1" s="1"/>
  <c r="AC225" i="1"/>
  <c r="B225" i="1" s="1"/>
  <c r="AD225" i="1"/>
  <c r="C225" i="1" s="1"/>
  <c r="AE225" i="1"/>
  <c r="D225" i="1" s="1"/>
  <c r="AF225" i="1"/>
  <c r="E225" i="1" s="1"/>
  <c r="AG225" i="1"/>
  <c r="F225" i="1" s="1"/>
  <c r="AC226" i="1"/>
  <c r="B226" i="1" s="1"/>
  <c r="AD226" i="1"/>
  <c r="C226" i="1" s="1"/>
  <c r="AE226" i="1"/>
  <c r="D226" i="1" s="1"/>
  <c r="AF226" i="1"/>
  <c r="E226" i="1" s="1"/>
  <c r="AG226" i="1"/>
  <c r="F226" i="1" s="1"/>
  <c r="AC227" i="1"/>
  <c r="B227" i="1" s="1"/>
  <c r="AD227" i="1"/>
  <c r="C227" i="1" s="1"/>
  <c r="AE227" i="1"/>
  <c r="D227" i="1" s="1"/>
  <c r="AF227" i="1"/>
  <c r="E227" i="1" s="1"/>
  <c r="AG227" i="1"/>
  <c r="F227" i="1" s="1"/>
  <c r="AC228" i="1"/>
  <c r="B228" i="1" s="1"/>
  <c r="AD228" i="1"/>
  <c r="C228" i="1" s="1"/>
  <c r="AE228" i="1"/>
  <c r="D228" i="1" s="1"/>
  <c r="AF228" i="1"/>
  <c r="E228" i="1" s="1"/>
  <c r="AG228" i="1"/>
  <c r="F228" i="1" s="1"/>
  <c r="AC229" i="1"/>
  <c r="B229" i="1" s="1"/>
  <c r="AD229" i="1"/>
  <c r="C229" i="1" s="1"/>
  <c r="AE229" i="1"/>
  <c r="D229" i="1" s="1"/>
  <c r="AF229" i="1"/>
  <c r="E229" i="1" s="1"/>
  <c r="AG229" i="1"/>
  <c r="F229" i="1" s="1"/>
  <c r="AC230" i="1"/>
  <c r="B230" i="1" s="1"/>
  <c r="AD230" i="1"/>
  <c r="C230" i="1" s="1"/>
  <c r="AE230" i="1"/>
  <c r="D230" i="1" s="1"/>
  <c r="AF230" i="1"/>
  <c r="E230" i="1" s="1"/>
  <c r="AG230" i="1"/>
  <c r="F230" i="1" s="1"/>
  <c r="AC231" i="1"/>
  <c r="B231" i="1" s="1"/>
  <c r="AD231" i="1"/>
  <c r="C231" i="1" s="1"/>
  <c r="AE231" i="1"/>
  <c r="D231" i="1" s="1"/>
  <c r="AF231" i="1"/>
  <c r="E231" i="1" s="1"/>
  <c r="AG231" i="1"/>
  <c r="F231" i="1" s="1"/>
  <c r="AC232" i="1"/>
  <c r="B232" i="1" s="1"/>
  <c r="AD232" i="1"/>
  <c r="C232" i="1" s="1"/>
  <c r="AE232" i="1"/>
  <c r="D232" i="1" s="1"/>
  <c r="AF232" i="1"/>
  <c r="E232" i="1" s="1"/>
  <c r="AG232" i="1"/>
  <c r="F232" i="1" s="1"/>
  <c r="AC233" i="1"/>
  <c r="B233" i="1" s="1"/>
  <c r="AD233" i="1"/>
  <c r="C233" i="1" s="1"/>
  <c r="AE233" i="1"/>
  <c r="D233" i="1" s="1"/>
  <c r="AF233" i="1"/>
  <c r="E233" i="1" s="1"/>
  <c r="AG233" i="1"/>
  <c r="F233" i="1" s="1"/>
  <c r="AC234" i="1"/>
  <c r="B234" i="1" s="1"/>
  <c r="AD234" i="1"/>
  <c r="C234" i="1" s="1"/>
  <c r="AE234" i="1"/>
  <c r="D234" i="1" s="1"/>
  <c r="AF234" i="1"/>
  <c r="E234" i="1" s="1"/>
  <c r="AG234" i="1"/>
  <c r="F234" i="1" s="1"/>
  <c r="AC235" i="1"/>
  <c r="B235" i="1" s="1"/>
  <c r="AD235" i="1"/>
  <c r="C235" i="1" s="1"/>
  <c r="AE235" i="1"/>
  <c r="D235" i="1" s="1"/>
  <c r="AF235" i="1"/>
  <c r="E235" i="1" s="1"/>
  <c r="AG235" i="1"/>
  <c r="F235" i="1" s="1"/>
  <c r="AC236" i="1"/>
  <c r="B236" i="1" s="1"/>
  <c r="AD236" i="1"/>
  <c r="C236" i="1" s="1"/>
  <c r="AE236" i="1"/>
  <c r="D236" i="1" s="1"/>
  <c r="AF236" i="1"/>
  <c r="E236" i="1" s="1"/>
  <c r="AG236" i="1"/>
  <c r="F236" i="1" s="1"/>
  <c r="AC237" i="1"/>
  <c r="B237" i="1" s="1"/>
  <c r="AD237" i="1"/>
  <c r="C237" i="1" s="1"/>
  <c r="AE237" i="1"/>
  <c r="D237" i="1" s="1"/>
  <c r="AF237" i="1"/>
  <c r="E237" i="1" s="1"/>
  <c r="AG237" i="1"/>
  <c r="F237" i="1" s="1"/>
  <c r="AC238" i="1"/>
  <c r="B238" i="1" s="1"/>
  <c r="AD238" i="1"/>
  <c r="C238" i="1" s="1"/>
  <c r="AE238" i="1"/>
  <c r="D238" i="1" s="1"/>
  <c r="AF238" i="1"/>
  <c r="E238" i="1" s="1"/>
  <c r="AG238" i="1"/>
  <c r="F238" i="1" s="1"/>
  <c r="AC239" i="1"/>
  <c r="B239" i="1" s="1"/>
  <c r="AD239" i="1"/>
  <c r="C239" i="1" s="1"/>
  <c r="AE239" i="1"/>
  <c r="D239" i="1" s="1"/>
  <c r="AF239" i="1"/>
  <c r="E239" i="1" s="1"/>
  <c r="AG239" i="1"/>
  <c r="F239" i="1" s="1"/>
  <c r="AC240" i="1"/>
  <c r="B240" i="1" s="1"/>
  <c r="AD240" i="1"/>
  <c r="C240" i="1" s="1"/>
  <c r="AE240" i="1"/>
  <c r="D240" i="1" s="1"/>
  <c r="AF240" i="1"/>
  <c r="E240" i="1" s="1"/>
  <c r="AG240" i="1"/>
  <c r="F240" i="1" s="1"/>
  <c r="AC241" i="1"/>
  <c r="B241" i="1" s="1"/>
  <c r="AD241" i="1"/>
  <c r="C241" i="1" s="1"/>
  <c r="AE241" i="1"/>
  <c r="D241" i="1" s="1"/>
  <c r="AF241" i="1"/>
  <c r="E241" i="1" s="1"/>
  <c r="AG241" i="1"/>
  <c r="F241" i="1" s="1"/>
  <c r="AC242" i="1"/>
  <c r="B242" i="1" s="1"/>
  <c r="AD242" i="1"/>
  <c r="C242" i="1" s="1"/>
  <c r="AE242" i="1"/>
  <c r="D242" i="1" s="1"/>
  <c r="AF242" i="1"/>
  <c r="E242" i="1" s="1"/>
  <c r="AG242" i="1"/>
  <c r="F242" i="1" s="1"/>
  <c r="AC243" i="1"/>
  <c r="B243" i="1" s="1"/>
  <c r="AD243" i="1"/>
  <c r="C243" i="1" s="1"/>
  <c r="AE243" i="1"/>
  <c r="D243" i="1" s="1"/>
  <c r="AF243" i="1"/>
  <c r="E243" i="1" s="1"/>
  <c r="AG243" i="1"/>
  <c r="F243" i="1" s="1"/>
  <c r="AC244" i="1"/>
  <c r="B244" i="1" s="1"/>
  <c r="AD244" i="1"/>
  <c r="C244" i="1" s="1"/>
  <c r="AE244" i="1"/>
  <c r="D244" i="1" s="1"/>
  <c r="AF244" i="1"/>
  <c r="E244" i="1" s="1"/>
  <c r="AG244" i="1"/>
  <c r="F244" i="1" s="1"/>
  <c r="AC245" i="1"/>
  <c r="B245" i="1" s="1"/>
  <c r="AD245" i="1"/>
  <c r="C245" i="1" s="1"/>
  <c r="AE245" i="1"/>
  <c r="D245" i="1" s="1"/>
  <c r="AF245" i="1"/>
  <c r="E245" i="1" s="1"/>
  <c r="AG245" i="1"/>
  <c r="F245" i="1" s="1"/>
  <c r="AC246" i="1"/>
  <c r="B246" i="1" s="1"/>
  <c r="AD246" i="1"/>
  <c r="C246" i="1" s="1"/>
  <c r="AE246" i="1"/>
  <c r="D246" i="1" s="1"/>
  <c r="AF246" i="1"/>
  <c r="E246" i="1" s="1"/>
  <c r="AG246" i="1"/>
  <c r="F246" i="1" s="1"/>
  <c r="AC247" i="1"/>
  <c r="B247" i="1" s="1"/>
  <c r="AD247" i="1"/>
  <c r="C247" i="1" s="1"/>
  <c r="AE247" i="1"/>
  <c r="D247" i="1" s="1"/>
  <c r="AF247" i="1"/>
  <c r="E247" i="1" s="1"/>
  <c r="AG247" i="1"/>
  <c r="F247" i="1" s="1"/>
  <c r="AC248" i="1"/>
  <c r="B248" i="1" s="1"/>
  <c r="AD248" i="1"/>
  <c r="C248" i="1" s="1"/>
  <c r="AE248" i="1"/>
  <c r="D248" i="1" s="1"/>
  <c r="AF248" i="1"/>
  <c r="E248" i="1" s="1"/>
  <c r="AG248" i="1"/>
  <c r="F248" i="1" s="1"/>
  <c r="AC249" i="1"/>
  <c r="B249" i="1" s="1"/>
  <c r="AD249" i="1"/>
  <c r="C249" i="1" s="1"/>
  <c r="AE249" i="1"/>
  <c r="D249" i="1" s="1"/>
  <c r="AF249" i="1"/>
  <c r="E249" i="1" s="1"/>
  <c r="AG249" i="1"/>
  <c r="F249" i="1" s="1"/>
  <c r="AC250" i="1"/>
  <c r="B250" i="1" s="1"/>
  <c r="AD250" i="1"/>
  <c r="C250" i="1" s="1"/>
  <c r="AE250" i="1"/>
  <c r="D250" i="1" s="1"/>
  <c r="AF250" i="1"/>
  <c r="E250" i="1" s="1"/>
  <c r="AG250" i="1"/>
  <c r="F250" i="1" s="1"/>
  <c r="AC251" i="1"/>
  <c r="B251" i="1" s="1"/>
  <c r="AD251" i="1"/>
  <c r="C251" i="1" s="1"/>
  <c r="AE251" i="1"/>
  <c r="D251" i="1" s="1"/>
  <c r="AF251" i="1"/>
  <c r="E251" i="1" s="1"/>
  <c r="AG251" i="1"/>
  <c r="F251" i="1" s="1"/>
  <c r="AC252" i="1"/>
  <c r="B252" i="1" s="1"/>
  <c r="AD252" i="1"/>
  <c r="C252" i="1" s="1"/>
  <c r="AE252" i="1"/>
  <c r="D252" i="1" s="1"/>
  <c r="AF252" i="1"/>
  <c r="E252" i="1" s="1"/>
  <c r="AG252" i="1"/>
  <c r="F252" i="1" s="1"/>
  <c r="AC253" i="1"/>
  <c r="B253" i="1" s="1"/>
  <c r="AD253" i="1"/>
  <c r="C253" i="1" s="1"/>
  <c r="AE253" i="1"/>
  <c r="D253" i="1" s="1"/>
  <c r="AF253" i="1"/>
  <c r="E253" i="1" s="1"/>
  <c r="AG253" i="1"/>
  <c r="F253" i="1" s="1"/>
  <c r="AC254" i="1"/>
  <c r="B254" i="1" s="1"/>
  <c r="AD254" i="1"/>
  <c r="C254" i="1" s="1"/>
  <c r="AE254" i="1"/>
  <c r="D254" i="1" s="1"/>
  <c r="AF254" i="1"/>
  <c r="E254" i="1" s="1"/>
  <c r="AG254" i="1"/>
  <c r="F254" i="1" s="1"/>
  <c r="AC255" i="1"/>
  <c r="B255" i="1" s="1"/>
  <c r="AD255" i="1"/>
  <c r="C255" i="1" s="1"/>
  <c r="AE255" i="1"/>
  <c r="D255" i="1" s="1"/>
  <c r="AF255" i="1"/>
  <c r="E255" i="1" s="1"/>
  <c r="AG255" i="1"/>
  <c r="F255" i="1" s="1"/>
  <c r="AC256" i="1"/>
  <c r="B256" i="1" s="1"/>
  <c r="AD256" i="1"/>
  <c r="C256" i="1" s="1"/>
  <c r="AE256" i="1"/>
  <c r="D256" i="1" s="1"/>
  <c r="AF256" i="1"/>
  <c r="E256" i="1" s="1"/>
  <c r="AG256" i="1"/>
  <c r="F256" i="1" s="1"/>
  <c r="AC257" i="1"/>
  <c r="B257" i="1" s="1"/>
  <c r="AD257" i="1"/>
  <c r="C257" i="1" s="1"/>
  <c r="AE257" i="1"/>
  <c r="D257" i="1" s="1"/>
  <c r="AF257" i="1"/>
  <c r="E257" i="1" s="1"/>
  <c r="AG257" i="1"/>
  <c r="F257" i="1" s="1"/>
  <c r="AC258" i="1"/>
  <c r="B258" i="1" s="1"/>
  <c r="AD258" i="1"/>
  <c r="C258" i="1" s="1"/>
  <c r="AE258" i="1"/>
  <c r="D258" i="1" s="1"/>
  <c r="AF258" i="1"/>
  <c r="E258" i="1" s="1"/>
  <c r="AG258" i="1"/>
  <c r="F258" i="1" s="1"/>
  <c r="AC259" i="1"/>
  <c r="B259" i="1" s="1"/>
  <c r="AD259" i="1"/>
  <c r="C259" i="1" s="1"/>
  <c r="AE259" i="1"/>
  <c r="D259" i="1" s="1"/>
  <c r="AF259" i="1"/>
  <c r="E259" i="1" s="1"/>
  <c r="AG259" i="1"/>
  <c r="F259" i="1" s="1"/>
  <c r="AC260" i="1"/>
  <c r="B260" i="1" s="1"/>
  <c r="AD260" i="1"/>
  <c r="C260" i="1" s="1"/>
  <c r="AE260" i="1"/>
  <c r="D260" i="1" s="1"/>
  <c r="AF260" i="1"/>
  <c r="E260" i="1" s="1"/>
  <c r="AG260" i="1"/>
  <c r="F260" i="1" s="1"/>
  <c r="AC261" i="1"/>
  <c r="B261" i="1" s="1"/>
  <c r="AD261" i="1"/>
  <c r="C261" i="1" s="1"/>
  <c r="AE261" i="1"/>
  <c r="D261" i="1" s="1"/>
  <c r="AF261" i="1"/>
  <c r="E261" i="1" s="1"/>
  <c r="AG261" i="1"/>
  <c r="F261" i="1" s="1"/>
  <c r="AC262" i="1"/>
  <c r="B262" i="1" s="1"/>
  <c r="AD262" i="1"/>
  <c r="C262" i="1" s="1"/>
  <c r="AE262" i="1"/>
  <c r="D262" i="1" s="1"/>
  <c r="AF262" i="1"/>
  <c r="E262" i="1" s="1"/>
  <c r="AG262" i="1"/>
  <c r="F262" i="1" s="1"/>
  <c r="AC263" i="1"/>
  <c r="B263" i="1" s="1"/>
  <c r="AD263" i="1"/>
  <c r="C263" i="1" s="1"/>
  <c r="AE263" i="1"/>
  <c r="D263" i="1" s="1"/>
  <c r="AF263" i="1"/>
  <c r="E263" i="1" s="1"/>
  <c r="AG263" i="1"/>
  <c r="F263" i="1" s="1"/>
  <c r="AC264" i="1"/>
  <c r="B264" i="1" s="1"/>
  <c r="AD264" i="1"/>
  <c r="C264" i="1" s="1"/>
  <c r="AE264" i="1"/>
  <c r="D264" i="1" s="1"/>
  <c r="AF264" i="1"/>
  <c r="E264" i="1" s="1"/>
  <c r="AG264" i="1"/>
  <c r="F264" i="1" s="1"/>
  <c r="AC265" i="1"/>
  <c r="B265" i="1" s="1"/>
  <c r="AD265" i="1"/>
  <c r="C265" i="1" s="1"/>
  <c r="AE265" i="1"/>
  <c r="D265" i="1" s="1"/>
  <c r="AF265" i="1"/>
  <c r="E265" i="1" s="1"/>
  <c r="AG265" i="1"/>
  <c r="F265" i="1" s="1"/>
  <c r="AC266" i="1"/>
  <c r="B266" i="1" s="1"/>
  <c r="AD266" i="1"/>
  <c r="C266" i="1" s="1"/>
  <c r="AE266" i="1"/>
  <c r="D266" i="1" s="1"/>
  <c r="AF266" i="1"/>
  <c r="E266" i="1" s="1"/>
  <c r="AG266" i="1"/>
  <c r="F266" i="1" s="1"/>
  <c r="AC267" i="1"/>
  <c r="B267" i="1" s="1"/>
  <c r="AD267" i="1"/>
  <c r="C267" i="1" s="1"/>
  <c r="AE267" i="1"/>
  <c r="D267" i="1" s="1"/>
  <c r="AF267" i="1"/>
  <c r="E267" i="1" s="1"/>
  <c r="AG267" i="1"/>
  <c r="F267" i="1" s="1"/>
  <c r="AC268" i="1"/>
  <c r="B268" i="1" s="1"/>
  <c r="AD268" i="1"/>
  <c r="C268" i="1" s="1"/>
  <c r="AE268" i="1"/>
  <c r="D268" i="1" s="1"/>
  <c r="AF268" i="1"/>
  <c r="E268" i="1" s="1"/>
  <c r="AG268" i="1"/>
  <c r="F268" i="1" s="1"/>
  <c r="AC269" i="1"/>
  <c r="B269" i="1" s="1"/>
  <c r="AD269" i="1"/>
  <c r="C269" i="1" s="1"/>
  <c r="AE269" i="1"/>
  <c r="D269" i="1" s="1"/>
  <c r="AF269" i="1"/>
  <c r="E269" i="1" s="1"/>
  <c r="AG269" i="1"/>
  <c r="F269" i="1" s="1"/>
  <c r="AC270" i="1"/>
  <c r="B270" i="1" s="1"/>
  <c r="AD270" i="1"/>
  <c r="C270" i="1" s="1"/>
  <c r="AE270" i="1"/>
  <c r="D270" i="1" s="1"/>
  <c r="AF270" i="1"/>
  <c r="E270" i="1" s="1"/>
  <c r="AG270" i="1"/>
  <c r="F270" i="1" s="1"/>
  <c r="AC271" i="1"/>
  <c r="B271" i="1" s="1"/>
  <c r="AD271" i="1"/>
  <c r="C271" i="1" s="1"/>
  <c r="AE271" i="1"/>
  <c r="D271" i="1" s="1"/>
  <c r="AF271" i="1"/>
  <c r="E271" i="1" s="1"/>
  <c r="AG271" i="1"/>
  <c r="F271" i="1" s="1"/>
  <c r="AC272" i="1"/>
  <c r="B272" i="1" s="1"/>
  <c r="AD272" i="1"/>
  <c r="C272" i="1" s="1"/>
  <c r="AE272" i="1"/>
  <c r="D272" i="1" s="1"/>
  <c r="AF272" i="1"/>
  <c r="E272" i="1" s="1"/>
  <c r="AG272" i="1"/>
  <c r="F272" i="1" s="1"/>
  <c r="AC273" i="1"/>
  <c r="B273" i="1" s="1"/>
  <c r="AD273" i="1"/>
  <c r="C273" i="1" s="1"/>
  <c r="AE273" i="1"/>
  <c r="D273" i="1" s="1"/>
  <c r="AF273" i="1"/>
  <c r="E273" i="1" s="1"/>
  <c r="AG273" i="1"/>
  <c r="F273" i="1" s="1"/>
  <c r="AC274" i="1"/>
  <c r="B274" i="1" s="1"/>
  <c r="AD274" i="1"/>
  <c r="C274" i="1" s="1"/>
  <c r="AE274" i="1"/>
  <c r="D274" i="1" s="1"/>
  <c r="AF274" i="1"/>
  <c r="E274" i="1" s="1"/>
  <c r="AG274" i="1"/>
  <c r="F274" i="1" s="1"/>
  <c r="AC275" i="1"/>
  <c r="B275" i="1" s="1"/>
  <c r="AD275" i="1"/>
  <c r="C275" i="1" s="1"/>
  <c r="AE275" i="1"/>
  <c r="D275" i="1" s="1"/>
  <c r="AF275" i="1"/>
  <c r="E275" i="1" s="1"/>
  <c r="AG275" i="1"/>
  <c r="F275" i="1" s="1"/>
  <c r="AC276" i="1"/>
  <c r="B276" i="1" s="1"/>
  <c r="AD276" i="1"/>
  <c r="C276" i="1" s="1"/>
  <c r="AE276" i="1"/>
  <c r="D276" i="1" s="1"/>
  <c r="AF276" i="1"/>
  <c r="E276" i="1" s="1"/>
  <c r="AG276" i="1"/>
  <c r="F276" i="1" s="1"/>
  <c r="AC277" i="1"/>
  <c r="B277" i="1" s="1"/>
  <c r="AD277" i="1"/>
  <c r="C277" i="1" s="1"/>
  <c r="AE277" i="1"/>
  <c r="D277" i="1" s="1"/>
  <c r="AF277" i="1"/>
  <c r="E277" i="1" s="1"/>
  <c r="AG277" i="1"/>
  <c r="F277" i="1" s="1"/>
  <c r="AC278" i="1"/>
  <c r="AD278" i="1"/>
  <c r="AE278" i="1"/>
  <c r="AF278" i="1"/>
  <c r="AG278" i="1"/>
  <c r="AC279" i="1"/>
  <c r="AD279" i="1"/>
  <c r="AE279" i="1"/>
  <c r="AF279" i="1"/>
  <c r="AG279" i="1"/>
  <c r="CU8" i="6"/>
  <c r="I24" i="1" l="1"/>
  <c r="T24" i="1"/>
  <c r="V24" i="1"/>
  <c r="U24" i="1"/>
  <c r="S24" i="1"/>
  <c r="Q24" i="1"/>
  <c r="P24" i="1"/>
  <c r="K24" i="1"/>
  <c r="BV7" i="6"/>
  <c r="DL7" i="6" s="1"/>
  <c r="DM51" i="6" s="1"/>
  <c r="DZ51" i="6" s="1"/>
  <c r="CK51" i="6" s="1"/>
  <c r="J24" i="1"/>
  <c r="BA7" i="6"/>
  <c r="AY7" i="6"/>
  <c r="DM52" i="6"/>
  <c r="DM16" i="6"/>
  <c r="DM106" i="6"/>
  <c r="DM37" i="6"/>
  <c r="DZ37" i="6" s="1"/>
  <c r="CK37" i="6" s="1"/>
  <c r="DM53" i="6"/>
  <c r="DM61" i="6"/>
  <c r="DZ61" i="6" s="1"/>
  <c r="CK61" i="6" s="1"/>
  <c r="DM77" i="6"/>
  <c r="DZ77" i="6" s="1"/>
  <c r="CK77" i="6" s="1"/>
  <c r="DM85" i="6"/>
  <c r="DZ85" i="6" s="1"/>
  <c r="DM93" i="6"/>
  <c r="DM101" i="6"/>
  <c r="DZ101" i="6" s="1"/>
  <c r="DM109" i="6"/>
  <c r="DZ109" i="6" s="1"/>
  <c r="CK109" i="6" s="1"/>
  <c r="DM117" i="6"/>
  <c r="DM125" i="6"/>
  <c r="DZ125" i="6" s="1"/>
  <c r="DM133" i="6"/>
  <c r="DZ133" i="6" s="1"/>
  <c r="DM98" i="6"/>
  <c r="DZ98" i="6" s="1"/>
  <c r="DM22" i="6"/>
  <c r="DZ22" i="6" s="1"/>
  <c r="DM30" i="6"/>
  <c r="DM38" i="6"/>
  <c r="DZ38" i="6" s="1"/>
  <c r="CK38" i="6" s="1"/>
  <c r="DM46" i="6"/>
  <c r="DM54" i="6"/>
  <c r="DZ54" i="6" s="1"/>
  <c r="CK54" i="6" s="1"/>
  <c r="DM62" i="6"/>
  <c r="DZ62" i="6" s="1"/>
  <c r="CK62" i="6" s="1"/>
  <c r="DM70" i="6"/>
  <c r="DZ70" i="6" s="1"/>
  <c r="DM78" i="6"/>
  <c r="DZ78" i="6" s="1"/>
  <c r="DM86" i="6"/>
  <c r="DZ86" i="6" s="1"/>
  <c r="DM94" i="6"/>
  <c r="DM102" i="6"/>
  <c r="DZ102" i="6" s="1"/>
  <c r="DM110" i="6"/>
  <c r="DM118" i="6"/>
  <c r="DZ118" i="6" s="1"/>
  <c r="CK118" i="6" s="1"/>
  <c r="DM126" i="6"/>
  <c r="DZ126" i="6" s="1"/>
  <c r="CK126" i="6" s="1"/>
  <c r="DM122" i="6"/>
  <c r="DZ122" i="6" s="1"/>
  <c r="CK122" i="6" s="1"/>
  <c r="DM23" i="6"/>
  <c r="DZ23" i="6" s="1"/>
  <c r="CK23" i="6" s="1"/>
  <c r="DM31" i="6"/>
  <c r="DZ31" i="6" s="1"/>
  <c r="CK31" i="6" s="1"/>
  <c r="DM39" i="6"/>
  <c r="DM47" i="6"/>
  <c r="DZ47" i="6" s="1"/>
  <c r="CK47" i="6" s="1"/>
  <c r="DM55" i="6"/>
  <c r="DM63" i="6"/>
  <c r="DZ63" i="6" s="1"/>
  <c r="CK63" i="6" s="1"/>
  <c r="DM71" i="6"/>
  <c r="DZ71" i="6" s="1"/>
  <c r="CK71" i="6" s="1"/>
  <c r="DM79" i="6"/>
  <c r="DZ79" i="6" s="1"/>
  <c r="DM87" i="6"/>
  <c r="DZ87" i="6" s="1"/>
  <c r="DM95" i="6"/>
  <c r="DZ95" i="6" s="1"/>
  <c r="DM103" i="6"/>
  <c r="DM111" i="6"/>
  <c r="DZ111" i="6" s="1"/>
  <c r="DM119" i="6"/>
  <c r="DZ119" i="6" s="1"/>
  <c r="CK119" i="6" s="1"/>
  <c r="DM127" i="6"/>
  <c r="DM18" i="6"/>
  <c r="DZ18" i="6" s="1"/>
  <c r="CK18" i="6" s="1"/>
  <c r="DM50" i="6"/>
  <c r="DZ50" i="6" s="1"/>
  <c r="CK50" i="6" s="1"/>
  <c r="DM82" i="6"/>
  <c r="DZ82" i="6" s="1"/>
  <c r="DM130" i="6"/>
  <c r="DZ130" i="6" s="1"/>
  <c r="DM24" i="6"/>
  <c r="DM32" i="6"/>
  <c r="DZ32" i="6" s="1"/>
  <c r="CK32" i="6" s="1"/>
  <c r="DM40" i="6"/>
  <c r="DZ40" i="6" s="1"/>
  <c r="CK40" i="6" s="1"/>
  <c r="DM48" i="6"/>
  <c r="DM56" i="6"/>
  <c r="DZ56" i="6" s="1"/>
  <c r="CK56" i="6" s="1"/>
  <c r="DM64" i="6"/>
  <c r="DZ64" i="6" s="1"/>
  <c r="CK64" i="6" s="1"/>
  <c r="DM72" i="6"/>
  <c r="DZ72" i="6" s="1"/>
  <c r="CK72" i="6" s="1"/>
  <c r="DM80" i="6"/>
  <c r="DZ80" i="6" s="1"/>
  <c r="DM88" i="6"/>
  <c r="DM96" i="6"/>
  <c r="DZ96" i="6" s="1"/>
  <c r="DM104" i="6"/>
  <c r="DZ104" i="6" s="1"/>
  <c r="DM112" i="6"/>
  <c r="DZ112" i="6" s="1"/>
  <c r="CK112" i="6" s="1"/>
  <c r="DM120" i="6"/>
  <c r="DZ120" i="6" s="1"/>
  <c r="CK120" i="6" s="1"/>
  <c r="DM128" i="6"/>
  <c r="DZ128" i="6" s="1"/>
  <c r="DM42" i="6"/>
  <c r="DZ42" i="6" s="1"/>
  <c r="CK42" i="6" s="1"/>
  <c r="DM74" i="6"/>
  <c r="DZ74" i="6" s="1"/>
  <c r="CK74" i="6" s="1"/>
  <c r="DM114" i="6"/>
  <c r="DM17" i="6"/>
  <c r="DZ17" i="6" s="1"/>
  <c r="DM25" i="6"/>
  <c r="DZ25" i="6" s="1"/>
  <c r="CK25" i="6" s="1"/>
  <c r="DM33" i="6"/>
  <c r="DM41" i="6"/>
  <c r="DZ41" i="6" s="1"/>
  <c r="CK41" i="6" s="1"/>
  <c r="DM49" i="6"/>
  <c r="DZ49" i="6" s="1"/>
  <c r="CK49" i="6" s="1"/>
  <c r="DM57" i="6"/>
  <c r="DZ57" i="6" s="1"/>
  <c r="CK57" i="6" s="1"/>
  <c r="DM65" i="6"/>
  <c r="DZ65" i="6" s="1"/>
  <c r="CK65" i="6" s="1"/>
  <c r="DM73" i="6"/>
  <c r="DM81" i="6"/>
  <c r="DZ81" i="6" s="1"/>
  <c r="CK81" i="6" s="1"/>
  <c r="DM89" i="6"/>
  <c r="DZ89" i="6" s="1"/>
  <c r="DM97" i="6"/>
  <c r="DZ97" i="6" s="1"/>
  <c r="CK97" i="6" s="1"/>
  <c r="DM105" i="6"/>
  <c r="DZ105" i="6" s="1"/>
  <c r="DM113" i="6"/>
  <c r="DZ113" i="6" s="1"/>
  <c r="CK113" i="6" s="1"/>
  <c r="DM121" i="6"/>
  <c r="DZ121" i="6" s="1"/>
  <c r="CK121" i="6" s="1"/>
  <c r="DM129" i="6"/>
  <c r="DZ129" i="6" s="1"/>
  <c r="CK129" i="6" s="1"/>
  <c r="DM26" i="6"/>
  <c r="DM58" i="6"/>
  <c r="DZ58" i="6" s="1"/>
  <c r="DM90" i="6"/>
  <c r="DN17" i="6"/>
  <c r="EA17" i="6" s="1"/>
  <c r="O24" i="1"/>
  <c r="I21" i="1"/>
  <c r="BF6" i="6"/>
  <c r="DZ114" i="6"/>
  <c r="DZ117" i="6"/>
  <c r="DZ127" i="6"/>
  <c r="CK127" i="6" s="1"/>
  <c r="DZ110" i="6"/>
  <c r="DZ90" i="6"/>
  <c r="DZ106" i="6"/>
  <c r="DZ93" i="6"/>
  <c r="DZ94" i="6"/>
  <c r="CK94" i="6" s="1"/>
  <c r="DZ103" i="6"/>
  <c r="DZ88" i="6"/>
  <c r="CK88" i="6" s="1"/>
  <c r="AG13" i="1"/>
  <c r="AG12" i="1"/>
  <c r="L24" i="1"/>
  <c r="DZ53" i="6"/>
  <c r="CK53" i="6" s="1"/>
  <c r="DZ55" i="6"/>
  <c r="CK55" i="6" s="1"/>
  <c r="DZ73" i="6"/>
  <c r="DZ52" i="6"/>
  <c r="DZ16" i="6"/>
  <c r="CK16" i="6" s="1"/>
  <c r="DZ30" i="6"/>
  <c r="CK30" i="6" s="1"/>
  <c r="DZ46" i="6"/>
  <c r="CK46" i="6" s="1"/>
  <c r="DZ39" i="6"/>
  <c r="CK39" i="6" s="1"/>
  <c r="DZ48" i="6"/>
  <c r="CK48" i="6" s="1"/>
  <c r="DZ24" i="6"/>
  <c r="CK24" i="6" s="1"/>
  <c r="DZ33" i="6"/>
  <c r="CK33" i="6" s="1"/>
  <c r="DZ26" i="6"/>
  <c r="CK26" i="6" s="1"/>
  <c r="R24" i="1"/>
  <c r="BU7" i="6"/>
  <c r="DK7" i="6" s="1"/>
  <c r="AJ10" i="1"/>
  <c r="L10" i="6" s="1"/>
  <c r="N11" i="1"/>
  <c r="L11" i="1"/>
  <c r="I20" i="1"/>
  <c r="I11" i="1"/>
  <c r="N22" i="1"/>
  <c r="L21" i="1"/>
  <c r="L22" i="1"/>
  <c r="N20" i="1"/>
  <c r="N21" i="1"/>
  <c r="M24" i="1"/>
  <c r="I22" i="1"/>
  <c r="L20" i="1"/>
  <c r="X22" i="1"/>
  <c r="CL8" i="6"/>
  <c r="F22" i="1"/>
  <c r="F24" i="1"/>
  <c r="E22" i="1"/>
  <c r="D24" i="1"/>
  <c r="D22" i="1"/>
  <c r="B24" i="1"/>
  <c r="C22" i="1"/>
  <c r="C21" i="1"/>
  <c r="C20" i="1"/>
  <c r="Z22" i="1"/>
  <c r="B22" i="1"/>
  <c r="Y22" i="1"/>
  <c r="AL10" i="1"/>
  <c r="N10" i="6" s="1"/>
  <c r="AK10" i="1"/>
  <c r="M10" i="6" s="1"/>
  <c r="CM8" i="6"/>
  <c r="CN8" i="6"/>
  <c r="CT8" i="6"/>
  <c r="H24" i="1"/>
  <c r="CR8" i="6"/>
  <c r="CS8" i="6"/>
  <c r="G24" i="1"/>
  <c r="C24" i="1"/>
  <c r="DM69" i="6" l="1"/>
  <c r="DZ69" i="6" s="1"/>
  <c r="CK69" i="6" s="1"/>
  <c r="DM66" i="6"/>
  <c r="DZ66" i="6" s="1"/>
  <c r="CK66" i="6" s="1"/>
  <c r="DM132" i="6"/>
  <c r="DZ132" i="6" s="1"/>
  <c r="DM45" i="6"/>
  <c r="DZ45" i="6" s="1"/>
  <c r="CK45" i="6" s="1"/>
  <c r="DM21" i="6"/>
  <c r="DZ21" i="6" s="1"/>
  <c r="M280" i="17"/>
  <c r="CK73" i="6"/>
  <c r="M40" i="21"/>
  <c r="CK103" i="6"/>
  <c r="M252" i="22"/>
  <c r="CK110" i="6"/>
  <c r="M273" i="17"/>
  <c r="CK105" i="6"/>
  <c r="M235" i="22"/>
  <c r="CK125" i="6"/>
  <c r="DM34" i="6"/>
  <c r="DZ34" i="6" s="1"/>
  <c r="CK34" i="6" s="1"/>
  <c r="M85" i="22" s="1"/>
  <c r="CK117" i="6"/>
  <c r="M302" i="17" s="1"/>
  <c r="CK93" i="6"/>
  <c r="M279" i="17" s="1"/>
  <c r="CK58" i="6"/>
  <c r="M8" i="20" s="1"/>
  <c r="CK17" i="6"/>
  <c r="CK96" i="6"/>
  <c r="M308" i="17" s="1"/>
  <c r="CK111" i="6"/>
  <c r="M269" i="17" s="1"/>
  <c r="CK102" i="6"/>
  <c r="M299" i="17" s="1"/>
  <c r="M250" i="22"/>
  <c r="CK101" i="6"/>
  <c r="CK106" i="6"/>
  <c r="M36" i="21" s="1"/>
  <c r="DM29" i="6"/>
  <c r="DZ29" i="6" s="1"/>
  <c r="CK29" i="6" s="1"/>
  <c r="CK90" i="6"/>
  <c r="M43" i="21" s="1"/>
  <c r="CK114" i="6"/>
  <c r="M221" i="22" s="1"/>
  <c r="CK80" i="6"/>
  <c r="M227" i="22" s="1"/>
  <c r="CK95" i="6"/>
  <c r="M257" i="22" s="1"/>
  <c r="CK86" i="6"/>
  <c r="M258" i="22" s="1"/>
  <c r="CK22" i="6"/>
  <c r="M14" i="17" s="1"/>
  <c r="CK85" i="6"/>
  <c r="M251" i="22" s="1"/>
  <c r="CK21" i="6"/>
  <c r="M270" i="17" s="1"/>
  <c r="CK104" i="6"/>
  <c r="M28" i="21" s="1"/>
  <c r="CK82" i="6"/>
  <c r="M311" i="17" s="1"/>
  <c r="CK87" i="6"/>
  <c r="M301" i="17" s="1"/>
  <c r="CK78" i="6"/>
  <c r="M238" i="22" s="1"/>
  <c r="CK98" i="6"/>
  <c r="M37" i="21" s="1"/>
  <c r="CK52" i="6"/>
  <c r="M259" i="17" s="1"/>
  <c r="CK89" i="6"/>
  <c r="M41" i="21" s="1"/>
  <c r="CK128" i="6"/>
  <c r="M217" i="22" s="1"/>
  <c r="CK79" i="6"/>
  <c r="M33" i="21" s="1"/>
  <c r="CK70" i="6"/>
  <c r="M35" i="21" s="1"/>
  <c r="BK8" i="6"/>
  <c r="M118" i="22"/>
  <c r="M120" i="22"/>
  <c r="M121" i="22"/>
  <c r="M15" i="20"/>
  <c r="M16" i="20"/>
  <c r="M14" i="20"/>
  <c r="J43" i="5"/>
  <c r="M40" i="22"/>
  <c r="M278" i="17"/>
  <c r="M316" i="17"/>
  <c r="M297" i="17"/>
  <c r="M237" i="22"/>
  <c r="M276" i="17"/>
  <c r="M313" i="17"/>
  <c r="M86" i="22"/>
  <c r="M105" i="22"/>
  <c r="M195" i="17"/>
  <c r="M127" i="22"/>
  <c r="M116" i="22"/>
  <c r="M124" i="22"/>
  <c r="M122" i="22"/>
  <c r="M126" i="22"/>
  <c r="M123" i="22"/>
  <c r="M119" i="22"/>
  <c r="M117" i="22"/>
  <c r="M125" i="22"/>
  <c r="M204" i="17"/>
  <c r="M206" i="17"/>
  <c r="J616" i="5"/>
  <c r="M254" i="22"/>
  <c r="M220" i="22"/>
  <c r="M315" i="17"/>
  <c r="M298" i="17"/>
  <c r="M245" i="22"/>
  <c r="M253" i="22"/>
  <c r="M231" i="22"/>
  <c r="M226" i="22"/>
  <c r="M19" i="20"/>
  <c r="M27" i="21"/>
  <c r="M18" i="20"/>
  <c r="M17" i="20"/>
  <c r="M24" i="21"/>
  <c r="M26" i="21"/>
  <c r="M25" i="21"/>
  <c r="M23" i="21"/>
  <c r="J589" i="5"/>
  <c r="M246" i="22"/>
  <c r="M194" i="22"/>
  <c r="M190" i="22"/>
  <c r="M187" i="22"/>
  <c r="M196" i="22"/>
  <c r="M192" i="22"/>
  <c r="M21" i="21"/>
  <c r="M189" i="22"/>
  <c r="M195" i="22"/>
  <c r="M191" i="22"/>
  <c r="M197" i="22"/>
  <c r="M188" i="22"/>
  <c r="M237" i="17"/>
  <c r="M233" i="17"/>
  <c r="M236" i="17"/>
  <c r="M232" i="22"/>
  <c r="M30" i="21"/>
  <c r="M303" i="17"/>
  <c r="M193" i="22"/>
  <c r="M183" i="22"/>
  <c r="M185" i="22"/>
  <c r="M182" i="22"/>
  <c r="M186" i="22"/>
  <c r="M184" i="22"/>
  <c r="M235" i="17"/>
  <c r="M234" i="17"/>
  <c r="M169" i="22"/>
  <c r="M167" i="22"/>
  <c r="M162" i="22"/>
  <c r="M154" i="22"/>
  <c r="M164" i="22"/>
  <c r="M157" i="22"/>
  <c r="M166" i="22"/>
  <c r="M160" i="22"/>
  <c r="M153" i="22"/>
  <c r="M161" i="22"/>
  <c r="M155" i="22"/>
  <c r="M165" i="22"/>
  <c r="M163" i="22"/>
  <c r="M168" i="22"/>
  <c r="M159" i="22"/>
  <c r="M13" i="21"/>
  <c r="M170" i="22"/>
  <c r="M158" i="22"/>
  <c r="M156" i="22"/>
  <c r="M218" i="17"/>
  <c r="M215" i="17"/>
  <c r="M219" i="17"/>
  <c r="M207" i="17"/>
  <c r="M211" i="17"/>
  <c r="M210" i="17"/>
  <c r="M224" i="17"/>
  <c r="M223" i="17"/>
  <c r="M209" i="17"/>
  <c r="M220" i="17"/>
  <c r="M213" i="17"/>
  <c r="M212" i="17"/>
  <c r="M217" i="17"/>
  <c r="M214" i="17"/>
  <c r="M216" i="17"/>
  <c r="M208" i="17"/>
  <c r="M221" i="17"/>
  <c r="M222" i="17"/>
  <c r="M62" i="22"/>
  <c r="M63" i="22"/>
  <c r="M61" i="22"/>
  <c r="M123" i="17"/>
  <c r="M120" i="17"/>
  <c r="M121" i="17"/>
  <c r="M119" i="17"/>
  <c r="M124" i="17"/>
  <c r="M122" i="17"/>
  <c r="M125" i="17"/>
  <c r="M216" i="22"/>
  <c r="M9" i="21"/>
  <c r="M11" i="21"/>
  <c r="M82" i="22"/>
  <c r="M8" i="21"/>
  <c r="M83" i="22"/>
  <c r="M169" i="17"/>
  <c r="M291" i="17"/>
  <c r="M168" i="17"/>
  <c r="M170" i="17"/>
  <c r="M77" i="22"/>
  <c r="M158" i="17"/>
  <c r="M157" i="17"/>
  <c r="M64" i="22"/>
  <c r="M65" i="22"/>
  <c r="M129" i="17"/>
  <c r="M130" i="17"/>
  <c r="M267" i="17"/>
  <c r="M292" i="17"/>
  <c r="M131" i="17"/>
  <c r="M126" i="17"/>
  <c r="M128" i="17"/>
  <c r="M127" i="17"/>
  <c r="M132" i="17"/>
  <c r="M16" i="21"/>
  <c r="M177" i="22"/>
  <c r="M173" i="22"/>
  <c r="M18" i="21"/>
  <c r="M179" i="22"/>
  <c r="M176" i="22"/>
  <c r="M181" i="22"/>
  <c r="M178" i="22"/>
  <c r="M20" i="21"/>
  <c r="M17" i="21"/>
  <c r="M174" i="22"/>
  <c r="M228" i="17"/>
  <c r="M312" i="17"/>
  <c r="M149" i="22"/>
  <c r="M147" i="22"/>
  <c r="M236" i="22"/>
  <c r="M218" i="22"/>
  <c r="M275" i="17"/>
  <c r="M300" i="17"/>
  <c r="M285" i="17"/>
  <c r="M314" i="17"/>
  <c r="M80" i="22"/>
  <c r="M79" i="22"/>
  <c r="M81" i="22"/>
  <c r="M12" i="21"/>
  <c r="M167" i="17"/>
  <c r="M166" i="17"/>
  <c r="M84" i="22"/>
  <c r="M10" i="21"/>
  <c r="M259" i="22"/>
  <c r="M37" i="22"/>
  <c r="M29" i="22"/>
  <c r="M16" i="22"/>
  <c r="M9" i="22"/>
  <c r="M228" i="22"/>
  <c r="M31" i="22"/>
  <c r="M27" i="22"/>
  <c r="M20" i="22"/>
  <c r="M18" i="22"/>
  <c r="M214" i="22"/>
  <c r="M39" i="22"/>
  <c r="M36" i="22"/>
  <c r="M33" i="22"/>
  <c r="M23" i="22"/>
  <c r="M21" i="22"/>
  <c r="M11" i="22"/>
  <c r="M8" i="22"/>
  <c r="M233" i="22"/>
  <c r="M25" i="22"/>
  <c r="M15" i="22"/>
  <c r="M32" i="22"/>
  <c r="M30" i="22"/>
  <c r="M13" i="22"/>
  <c r="M10" i="22"/>
  <c r="M35" i="22"/>
  <c r="M26" i="22"/>
  <c r="M24" i="22"/>
  <c r="M22" i="22"/>
  <c r="M19" i="22"/>
  <c r="M17" i="22"/>
  <c r="M14" i="22"/>
  <c r="M38" i="22"/>
  <c r="M12" i="22"/>
  <c r="M34" i="22"/>
  <c r="M28" i="22"/>
  <c r="M241" i="22"/>
  <c r="M249" i="22"/>
  <c r="M219" i="22"/>
  <c r="M286" i="17"/>
  <c r="M260" i="22"/>
  <c r="M243" i="22"/>
  <c r="M289" i="17"/>
  <c r="M277" i="17"/>
  <c r="M10" i="20"/>
  <c r="M9" i="20"/>
  <c r="M146" i="22"/>
  <c r="M140" i="22"/>
  <c r="M136" i="22"/>
  <c r="M129" i="22"/>
  <c r="M138" i="22"/>
  <c r="M132" i="22"/>
  <c r="M134" i="22"/>
  <c r="M145" i="22"/>
  <c r="M139" i="22"/>
  <c r="M131" i="22"/>
  <c r="M137" i="22"/>
  <c r="M135" i="22"/>
  <c r="M143" i="22"/>
  <c r="M133" i="22"/>
  <c r="M128" i="22"/>
  <c r="M130" i="22"/>
  <c r="M205" i="17"/>
  <c r="J536" i="5"/>
  <c r="M224" i="22"/>
  <c r="M66" i="17"/>
  <c r="M67" i="17"/>
  <c r="M70" i="17"/>
  <c r="M61" i="17"/>
  <c r="M74" i="17"/>
  <c r="M85" i="17"/>
  <c r="M63" i="17"/>
  <c r="M68" i="17"/>
  <c r="M81" i="17"/>
  <c r="M84" i="17"/>
  <c r="M77" i="17"/>
  <c r="M65" i="17"/>
  <c r="M73" i="17"/>
  <c r="M78" i="17"/>
  <c r="M82" i="17"/>
  <c r="M69" i="17"/>
  <c r="M60" i="17"/>
  <c r="M75" i="17"/>
  <c r="M76" i="17"/>
  <c r="M62" i="17"/>
  <c r="M83" i="17"/>
  <c r="M64" i="17"/>
  <c r="M268" i="17"/>
  <c r="M80" i="17"/>
  <c r="M72" i="17"/>
  <c r="M71" i="17"/>
  <c r="M86" i="17"/>
  <c r="M79" i="17"/>
  <c r="M38" i="21"/>
  <c r="M31" i="21"/>
  <c r="M89" i="17"/>
  <c r="M109" i="17"/>
  <c r="M100" i="17"/>
  <c r="M104" i="17"/>
  <c r="M97" i="17"/>
  <c r="M93" i="17"/>
  <c r="M105" i="17"/>
  <c r="M94" i="17"/>
  <c r="M113" i="17"/>
  <c r="M101" i="17"/>
  <c r="M108" i="17"/>
  <c r="M107" i="17"/>
  <c r="M102" i="17"/>
  <c r="M118" i="17"/>
  <c r="M114" i="17"/>
  <c r="M111" i="17"/>
  <c r="M116" i="17"/>
  <c r="M106" i="17"/>
  <c r="M92" i="17"/>
  <c r="M99" i="17"/>
  <c r="M87" i="17"/>
  <c r="M110" i="17"/>
  <c r="M96" i="17"/>
  <c r="M112" i="17"/>
  <c r="M88" i="17"/>
  <c r="M103" i="17"/>
  <c r="M95" i="17"/>
  <c r="M98" i="17"/>
  <c r="M90" i="17"/>
  <c r="M91" i="17"/>
  <c r="M117" i="17"/>
  <c r="M115" i="17"/>
  <c r="J542" i="5"/>
  <c r="M29" i="21"/>
  <c r="M230" i="22"/>
  <c r="M256" i="22"/>
  <c r="M199" i="22"/>
  <c r="M203" i="22"/>
  <c r="M201" i="22"/>
  <c r="M198" i="22"/>
  <c r="M200" i="22"/>
  <c r="M204" i="22"/>
  <c r="M22" i="21"/>
  <c r="M202" i="22"/>
  <c r="M240" i="17"/>
  <c r="M244" i="17"/>
  <c r="M239" i="17"/>
  <c r="M241" i="17"/>
  <c r="M246" i="17"/>
  <c r="M245" i="17"/>
  <c r="M243" i="17"/>
  <c r="M238" i="17"/>
  <c r="M294" i="17"/>
  <c r="M242" i="17"/>
  <c r="M206" i="22"/>
  <c r="M211" i="22"/>
  <c r="M207" i="22"/>
  <c r="M205" i="22"/>
  <c r="M213" i="22"/>
  <c r="M209" i="22"/>
  <c r="M212" i="22"/>
  <c r="M210" i="22"/>
  <c r="M208" i="22"/>
  <c r="M260" i="17"/>
  <c r="M255" i="17"/>
  <c r="M256" i="17"/>
  <c r="M247" i="17"/>
  <c r="M252" i="17"/>
  <c r="M251" i="17"/>
  <c r="M248" i="17"/>
  <c r="M249" i="17"/>
  <c r="M258" i="17"/>
  <c r="M261" i="17"/>
  <c r="M263" i="17"/>
  <c r="M262" i="17"/>
  <c r="M254" i="17"/>
  <c r="M257" i="17"/>
  <c r="M253" i="17"/>
  <c r="M250" i="17"/>
  <c r="M244" i="22"/>
  <c r="M261" i="22"/>
  <c r="M287" i="17"/>
  <c r="M282" i="17"/>
  <c r="M266" i="17"/>
  <c r="M295" i="17"/>
  <c r="M240" i="22"/>
  <c r="M152" i="22"/>
  <c r="M148" i="22"/>
  <c r="M151" i="22"/>
  <c r="M222" i="22"/>
  <c r="M150" i="22"/>
  <c r="M264" i="17"/>
  <c r="M265" i="17"/>
  <c r="J541" i="5"/>
  <c r="DM116" i="6"/>
  <c r="DZ116" i="6" s="1"/>
  <c r="DM108" i="6"/>
  <c r="DZ108" i="6" s="1"/>
  <c r="CK108" i="6" s="1"/>
  <c r="DM84" i="6"/>
  <c r="DZ84" i="6" s="1"/>
  <c r="CK84" i="6" s="1"/>
  <c r="DM131" i="6"/>
  <c r="DZ131" i="6" s="1"/>
  <c r="DM67" i="6"/>
  <c r="DZ67" i="6" s="1"/>
  <c r="CK67" i="6" s="1"/>
  <c r="DM124" i="6"/>
  <c r="DZ124" i="6" s="1"/>
  <c r="CK124" i="6" s="1"/>
  <c r="J581" i="5"/>
  <c r="J529" i="5"/>
  <c r="DM36" i="6"/>
  <c r="DZ36" i="6" s="1"/>
  <c r="CK36" i="6" s="1"/>
  <c r="J261" i="5" s="1"/>
  <c r="J496" i="5"/>
  <c r="DM107" i="6"/>
  <c r="DZ107" i="6" s="1"/>
  <c r="CK107" i="6" s="1"/>
  <c r="DM99" i="6"/>
  <c r="DZ99" i="6" s="1"/>
  <c r="CK99" i="6" s="1"/>
  <c r="J539" i="5"/>
  <c r="J623" i="5"/>
  <c r="DM91" i="6"/>
  <c r="DZ91" i="6" s="1"/>
  <c r="CK91" i="6" s="1"/>
  <c r="J592" i="5"/>
  <c r="J590" i="5"/>
  <c r="J546" i="5"/>
  <c r="J555" i="5"/>
  <c r="DM43" i="6"/>
  <c r="DZ43" i="6" s="1"/>
  <c r="CK43" i="6" s="1"/>
  <c r="DM44" i="6"/>
  <c r="DZ44" i="6" s="1"/>
  <c r="CK44" i="6" s="1"/>
  <c r="DM35" i="6"/>
  <c r="DZ35" i="6" s="1"/>
  <c r="CK35" i="6" s="1"/>
  <c r="DM27" i="6"/>
  <c r="DZ27" i="6" s="1"/>
  <c r="CK27" i="6" s="1"/>
  <c r="DM100" i="6"/>
  <c r="DZ100" i="6" s="1"/>
  <c r="CK100" i="6" s="1"/>
  <c r="DM28" i="6"/>
  <c r="DZ28" i="6" s="1"/>
  <c r="CK28" i="6" s="1"/>
  <c r="J238" i="5" s="1"/>
  <c r="DM83" i="6"/>
  <c r="DZ83" i="6" s="1"/>
  <c r="DM19" i="6"/>
  <c r="DZ19" i="6" s="1"/>
  <c r="CK19" i="6" s="1"/>
  <c r="DM92" i="6"/>
  <c r="DZ92" i="6" s="1"/>
  <c r="CK92" i="6" s="1"/>
  <c r="DM20" i="6"/>
  <c r="DZ20" i="6" s="1"/>
  <c r="CK20" i="6" s="1"/>
  <c r="DM75" i="6"/>
  <c r="DZ75" i="6" s="1"/>
  <c r="CK75" i="6" s="1"/>
  <c r="DM68" i="6"/>
  <c r="DZ68" i="6" s="1"/>
  <c r="CK68" i="6" s="1"/>
  <c r="DM123" i="6"/>
  <c r="DZ123" i="6" s="1"/>
  <c r="CK123" i="6" s="1"/>
  <c r="DM59" i="6"/>
  <c r="DZ59" i="6" s="1"/>
  <c r="CK59" i="6" s="1"/>
  <c r="J498" i="5" s="1"/>
  <c r="DM60" i="6"/>
  <c r="DZ60" i="6" s="1"/>
  <c r="DM115" i="6"/>
  <c r="DZ115" i="6" s="1"/>
  <c r="AH7" i="1"/>
  <c r="DL22" i="6"/>
  <c r="DY22" i="6" s="1"/>
  <c r="CI22" i="6" s="1"/>
  <c r="DL30" i="6"/>
  <c r="DY30" i="6" s="1"/>
  <c r="CI30" i="6" s="1"/>
  <c r="DL38" i="6"/>
  <c r="DL46" i="6"/>
  <c r="DL54" i="6"/>
  <c r="DY54" i="6" s="1"/>
  <c r="CI54" i="6" s="1"/>
  <c r="DL62" i="6"/>
  <c r="DY62" i="6" s="1"/>
  <c r="CI62" i="6" s="1"/>
  <c r="DL70" i="6"/>
  <c r="DY70" i="6" s="1"/>
  <c r="CI70" i="6" s="1"/>
  <c r="DL78" i="6"/>
  <c r="DY78" i="6" s="1"/>
  <c r="CI78" i="6" s="1"/>
  <c r="DL86" i="6"/>
  <c r="DY86" i="6" s="1"/>
  <c r="CI86" i="6" s="1"/>
  <c r="DL94" i="6"/>
  <c r="DL102" i="6"/>
  <c r="DL110" i="6"/>
  <c r="DL118" i="6"/>
  <c r="DY118" i="6" s="1"/>
  <c r="CI118" i="6" s="1"/>
  <c r="DL126" i="6"/>
  <c r="DY126" i="6" s="1"/>
  <c r="CI126" i="6" s="1"/>
  <c r="DL23" i="6"/>
  <c r="DY23" i="6" s="1"/>
  <c r="CI23" i="6" s="1"/>
  <c r="DL31" i="6"/>
  <c r="DY31" i="6" s="1"/>
  <c r="CI31" i="6" s="1"/>
  <c r="DL39" i="6"/>
  <c r="DY39" i="6" s="1"/>
  <c r="CI39" i="6" s="1"/>
  <c r="DL47" i="6"/>
  <c r="DL55" i="6"/>
  <c r="DL63" i="6"/>
  <c r="DY63" i="6" s="1"/>
  <c r="CI63" i="6" s="1"/>
  <c r="DL71" i="6"/>
  <c r="DY71" i="6" s="1"/>
  <c r="CI71" i="6" s="1"/>
  <c r="DL79" i="6"/>
  <c r="DY79" i="6" s="1"/>
  <c r="CI79" i="6" s="1"/>
  <c r="DL87" i="6"/>
  <c r="DY87" i="6" s="1"/>
  <c r="CI87" i="6" s="1"/>
  <c r="DL95" i="6"/>
  <c r="DY95" i="6" s="1"/>
  <c r="CI95" i="6" s="1"/>
  <c r="DL103" i="6"/>
  <c r="DY103" i="6" s="1"/>
  <c r="CI103" i="6" s="1"/>
  <c r="DL111" i="6"/>
  <c r="DY111" i="6" s="1"/>
  <c r="CI111" i="6" s="1"/>
  <c r="DL119" i="6"/>
  <c r="DL127" i="6"/>
  <c r="DY127" i="6" s="1"/>
  <c r="CI127" i="6" s="1"/>
  <c r="DL29" i="6"/>
  <c r="DY29" i="6" s="1"/>
  <c r="CI29" i="6" s="1"/>
  <c r="DL77" i="6"/>
  <c r="DY77" i="6" s="1"/>
  <c r="CI77" i="6" s="1"/>
  <c r="DL117" i="6"/>
  <c r="DY117" i="6" s="1"/>
  <c r="CI117" i="6" s="1"/>
  <c r="DL24" i="6"/>
  <c r="DY24" i="6" s="1"/>
  <c r="CI24" i="6" s="1"/>
  <c r="DL32" i="6"/>
  <c r="DY32" i="6" s="1"/>
  <c r="CI32" i="6" s="1"/>
  <c r="DL40" i="6"/>
  <c r="DY40" i="6" s="1"/>
  <c r="CI40" i="6" s="1"/>
  <c r="DL48" i="6"/>
  <c r="DL56" i="6"/>
  <c r="DL64" i="6"/>
  <c r="DY64" i="6" s="1"/>
  <c r="CI64" i="6" s="1"/>
  <c r="DL72" i="6"/>
  <c r="DY72" i="6" s="1"/>
  <c r="CI72" i="6" s="1"/>
  <c r="DL80" i="6"/>
  <c r="DY80" i="6" s="1"/>
  <c r="CI80" i="6" s="1"/>
  <c r="DL88" i="6"/>
  <c r="DY88" i="6" s="1"/>
  <c r="CI88" i="6" s="1"/>
  <c r="DL96" i="6"/>
  <c r="DY96" i="6" s="1"/>
  <c r="CI96" i="6" s="1"/>
  <c r="DL104" i="6"/>
  <c r="DY104" i="6" s="1"/>
  <c r="CI104" i="6" s="1"/>
  <c r="DL112" i="6"/>
  <c r="DL120" i="6"/>
  <c r="DY120" i="6" s="1"/>
  <c r="CI120" i="6" s="1"/>
  <c r="DL128" i="6"/>
  <c r="DY128" i="6" s="1"/>
  <c r="CI128" i="6" s="1"/>
  <c r="DL16" i="6"/>
  <c r="DY16" i="6" s="1"/>
  <c r="CI16" i="6" s="1"/>
  <c r="DL61" i="6"/>
  <c r="DY61" i="6" s="1"/>
  <c r="CI61" i="6" s="1"/>
  <c r="DL125" i="6"/>
  <c r="DY125" i="6" s="1"/>
  <c r="CI125" i="6" s="1"/>
  <c r="DL17" i="6"/>
  <c r="DY17" i="6" s="1"/>
  <c r="CI17" i="6" s="1"/>
  <c r="DL25" i="6"/>
  <c r="DY25" i="6" s="1"/>
  <c r="CI25" i="6" s="1"/>
  <c r="DL33" i="6"/>
  <c r="DL41" i="6"/>
  <c r="DY41" i="6" s="1"/>
  <c r="CI41" i="6" s="1"/>
  <c r="DL49" i="6"/>
  <c r="DY49" i="6" s="1"/>
  <c r="CI49" i="6" s="1"/>
  <c r="DL57" i="6"/>
  <c r="DY57" i="6" s="1"/>
  <c r="CI57" i="6" s="1"/>
  <c r="DL65" i="6"/>
  <c r="DY65" i="6" s="1"/>
  <c r="CI65" i="6" s="1"/>
  <c r="DL73" i="6"/>
  <c r="DY73" i="6" s="1"/>
  <c r="CI73" i="6" s="1"/>
  <c r="DL81" i="6"/>
  <c r="DY81" i="6" s="1"/>
  <c r="CI81" i="6" s="1"/>
  <c r="DL89" i="6"/>
  <c r="DY89" i="6" s="1"/>
  <c r="CI89" i="6" s="1"/>
  <c r="DL97" i="6"/>
  <c r="DL105" i="6"/>
  <c r="DY105" i="6" s="1"/>
  <c r="CI105" i="6" s="1"/>
  <c r="DL113" i="6"/>
  <c r="DY113" i="6" s="1"/>
  <c r="CI113" i="6" s="1"/>
  <c r="DL121" i="6"/>
  <c r="DY121" i="6" s="1"/>
  <c r="CI121" i="6" s="1"/>
  <c r="DL129" i="6"/>
  <c r="DY129" i="6" s="1"/>
  <c r="CI129" i="6" s="1"/>
  <c r="DL101" i="6"/>
  <c r="DY101" i="6" s="1"/>
  <c r="CI101" i="6" s="1"/>
  <c r="DL18" i="6"/>
  <c r="DY18" i="6" s="1"/>
  <c r="CI18" i="6" s="1"/>
  <c r="DL26" i="6"/>
  <c r="DY26" i="6" s="1"/>
  <c r="CI26" i="6" s="1"/>
  <c r="DL34" i="6"/>
  <c r="DL42" i="6"/>
  <c r="DL50" i="6"/>
  <c r="DY50" i="6" s="1"/>
  <c r="CI50" i="6" s="1"/>
  <c r="DL58" i="6"/>
  <c r="DY58" i="6" s="1"/>
  <c r="CI58" i="6" s="1"/>
  <c r="DL66" i="6"/>
  <c r="DY66" i="6" s="1"/>
  <c r="CI66" i="6" s="1"/>
  <c r="DL74" i="6"/>
  <c r="DY74" i="6" s="1"/>
  <c r="CI74" i="6" s="1"/>
  <c r="DL82" i="6"/>
  <c r="DY82" i="6" s="1"/>
  <c r="CI82" i="6" s="1"/>
  <c r="DL90" i="6"/>
  <c r="DY90" i="6" s="1"/>
  <c r="CI90" i="6" s="1"/>
  <c r="DL98" i="6"/>
  <c r="DL106" i="6"/>
  <c r="DY106" i="6" s="1"/>
  <c r="CI106" i="6" s="1"/>
  <c r="DL114" i="6"/>
  <c r="DY114" i="6" s="1"/>
  <c r="CI114" i="6" s="1"/>
  <c r="DL122" i="6"/>
  <c r="DY122" i="6" s="1"/>
  <c r="CI122" i="6" s="1"/>
  <c r="DL130" i="6"/>
  <c r="DY130" i="6" s="1"/>
  <c r="EF130" i="6" s="1"/>
  <c r="DL45" i="6"/>
  <c r="DY45" i="6" s="1"/>
  <c r="CI45" i="6" s="1"/>
  <c r="DL85" i="6"/>
  <c r="DY85" i="6" s="1"/>
  <c r="CI85" i="6" s="1"/>
  <c r="DL133" i="6"/>
  <c r="DY133" i="6" s="1"/>
  <c r="EF133" i="6" s="1"/>
  <c r="DL19" i="6"/>
  <c r="DL27" i="6"/>
  <c r="DY27" i="6" s="1"/>
  <c r="CI27" i="6" s="1"/>
  <c r="DL35" i="6"/>
  <c r="DY35" i="6" s="1"/>
  <c r="CI35" i="6" s="1"/>
  <c r="DL43" i="6"/>
  <c r="DY43" i="6" s="1"/>
  <c r="CI43" i="6" s="1"/>
  <c r="DL51" i="6"/>
  <c r="DY51" i="6" s="1"/>
  <c r="CI51" i="6" s="1"/>
  <c r="DL59" i="6"/>
  <c r="DL67" i="6"/>
  <c r="DY67" i="6" s="1"/>
  <c r="CI67" i="6" s="1"/>
  <c r="DL75" i="6"/>
  <c r="DY75" i="6" s="1"/>
  <c r="CI75" i="6" s="1"/>
  <c r="DL83" i="6"/>
  <c r="DL91" i="6"/>
  <c r="DL99" i="6"/>
  <c r="DY99" i="6" s="1"/>
  <c r="CI99" i="6" s="1"/>
  <c r="DL107" i="6"/>
  <c r="DL115" i="6"/>
  <c r="DY115" i="6" s="1"/>
  <c r="CI115" i="6" s="1"/>
  <c r="DL123" i="6"/>
  <c r="DY123" i="6" s="1"/>
  <c r="CI123" i="6" s="1"/>
  <c r="DL131" i="6"/>
  <c r="DY131" i="6" s="1"/>
  <c r="EF131" i="6" s="1"/>
  <c r="DL37" i="6"/>
  <c r="DL69" i="6"/>
  <c r="DL109" i="6"/>
  <c r="DL20" i="6"/>
  <c r="DY20" i="6" s="1"/>
  <c r="CI20" i="6" s="1"/>
  <c r="DL28" i="6"/>
  <c r="DY28" i="6" s="1"/>
  <c r="CI28" i="6" s="1"/>
  <c r="DL36" i="6"/>
  <c r="DY36" i="6" s="1"/>
  <c r="CI36" i="6" s="1"/>
  <c r="DL44" i="6"/>
  <c r="DL52" i="6"/>
  <c r="DY52" i="6" s="1"/>
  <c r="CI52" i="6" s="1"/>
  <c r="DL60" i="6"/>
  <c r="DL68" i="6"/>
  <c r="DL76" i="6"/>
  <c r="DY76" i="6" s="1"/>
  <c r="CI76" i="6" s="1"/>
  <c r="DL84" i="6"/>
  <c r="DY84" i="6" s="1"/>
  <c r="CI84" i="6" s="1"/>
  <c r="DL92" i="6"/>
  <c r="DY92" i="6" s="1"/>
  <c r="CI92" i="6" s="1"/>
  <c r="DL100" i="6"/>
  <c r="DY100" i="6" s="1"/>
  <c r="CI100" i="6" s="1"/>
  <c r="DL108" i="6"/>
  <c r="DY108" i="6" s="1"/>
  <c r="CI108" i="6" s="1"/>
  <c r="DL116" i="6"/>
  <c r="DY116" i="6" s="1"/>
  <c r="CI116" i="6" s="1"/>
  <c r="DL124" i="6"/>
  <c r="DY124" i="6" s="1"/>
  <c r="CI124" i="6" s="1"/>
  <c r="DL132" i="6"/>
  <c r="DL21" i="6"/>
  <c r="DY21" i="6" s="1"/>
  <c r="CI21" i="6" s="1"/>
  <c r="DL53" i="6"/>
  <c r="DY53" i="6" s="1"/>
  <c r="CI53" i="6" s="1"/>
  <c r="DL93" i="6"/>
  <c r="DY93" i="6" s="1"/>
  <c r="CI93" i="6" s="1"/>
  <c r="DB29" i="6"/>
  <c r="J258" i="5"/>
  <c r="J259" i="5"/>
  <c r="J256" i="5"/>
  <c r="J260" i="5"/>
  <c r="J317" i="5"/>
  <c r="J257" i="5"/>
  <c r="J277" i="5"/>
  <c r="J314" i="5"/>
  <c r="J318" i="5"/>
  <c r="J273" i="5"/>
  <c r="J57" i="5"/>
  <c r="J48" i="5"/>
  <c r="J49" i="5"/>
  <c r="J51" i="5"/>
  <c r="J160" i="5"/>
  <c r="J166" i="5"/>
  <c r="J164" i="5"/>
  <c r="J148" i="5"/>
  <c r="J162" i="5"/>
  <c r="J146" i="5"/>
  <c r="J167" i="5"/>
  <c r="J157" i="5"/>
  <c r="J169" i="5"/>
  <c r="J153" i="5"/>
  <c r="J172" i="5"/>
  <c r="J144" i="5"/>
  <c r="J150" i="5"/>
  <c r="J151" i="5"/>
  <c r="J143" i="5"/>
  <c r="J173" i="5"/>
  <c r="J170" i="5"/>
  <c r="J156" i="5"/>
  <c r="J147" i="5"/>
  <c r="J165" i="5"/>
  <c r="J154" i="5"/>
  <c r="J155" i="5"/>
  <c r="J152" i="5"/>
  <c r="J158" i="5"/>
  <c r="J171" i="5"/>
  <c r="J168" i="5"/>
  <c r="J174" i="5"/>
  <c r="J149" i="5"/>
  <c r="J145" i="5"/>
  <c r="J159" i="5"/>
  <c r="J163" i="5"/>
  <c r="J161" i="5"/>
  <c r="J70" i="5"/>
  <c r="J114" i="5"/>
  <c r="J101" i="5"/>
  <c r="J115" i="5"/>
  <c r="J110" i="5"/>
  <c r="J99" i="5"/>
  <c r="J97" i="5"/>
  <c r="J106" i="5"/>
  <c r="J104" i="5"/>
  <c r="J93" i="5"/>
  <c r="J95" i="5"/>
  <c r="J109" i="5"/>
  <c r="J96" i="5"/>
  <c r="J94" i="5"/>
  <c r="J91" i="5"/>
  <c r="J103" i="5"/>
  <c r="J108" i="5"/>
  <c r="J105" i="5"/>
  <c r="J102" i="5"/>
  <c r="J98" i="5"/>
  <c r="J100" i="5"/>
  <c r="J112" i="5"/>
  <c r="J92" i="5"/>
  <c r="J89" i="5"/>
  <c r="J111" i="5"/>
  <c r="J90" i="5"/>
  <c r="J113" i="5"/>
  <c r="J107" i="5"/>
  <c r="J495" i="5"/>
  <c r="J493" i="5"/>
  <c r="J544" i="5"/>
  <c r="J593" i="5"/>
  <c r="J603" i="5"/>
  <c r="J594" i="5"/>
  <c r="J621" i="5"/>
  <c r="J551" i="5"/>
  <c r="J475" i="5"/>
  <c r="J470" i="5"/>
  <c r="J481" i="5"/>
  <c r="J476" i="5"/>
  <c r="J483" i="5"/>
  <c r="J464" i="5"/>
  <c r="J478" i="5"/>
  <c r="J477" i="5"/>
  <c r="J486" i="5"/>
  <c r="J485" i="5"/>
  <c r="J468" i="5"/>
  <c r="J463" i="5"/>
  <c r="J465" i="5"/>
  <c r="J480" i="5"/>
  <c r="J466" i="5"/>
  <c r="J471" i="5"/>
  <c r="J473" i="5"/>
  <c r="J488" i="5"/>
  <c r="J472" i="5"/>
  <c r="J487" i="5"/>
  <c r="J467" i="5"/>
  <c r="J469" i="5"/>
  <c r="J474" i="5"/>
  <c r="J479" i="5"/>
  <c r="J482" i="5"/>
  <c r="J442" i="5"/>
  <c r="J433" i="5"/>
  <c r="J441" i="5"/>
  <c r="J423" i="5"/>
  <c r="J428" i="5"/>
  <c r="J444" i="5"/>
  <c r="J432" i="5"/>
  <c r="J436" i="5"/>
  <c r="J445" i="5"/>
  <c r="J446" i="5"/>
  <c r="J440" i="5"/>
  <c r="J438" i="5"/>
  <c r="J443" i="5"/>
  <c r="J435" i="5"/>
  <c r="J437" i="5"/>
  <c r="J434" i="5"/>
  <c r="J19" i="5"/>
  <c r="J30" i="5"/>
  <c r="J17" i="5"/>
  <c r="J33" i="5"/>
  <c r="J32" i="5"/>
  <c r="J26" i="5"/>
  <c r="J20" i="5"/>
  <c r="J21" i="5"/>
  <c r="J22" i="5"/>
  <c r="J16" i="5"/>
  <c r="J37" i="5"/>
  <c r="J25" i="5"/>
  <c r="J18" i="5"/>
  <c r="J36" i="5"/>
  <c r="J28" i="5"/>
  <c r="J41" i="5"/>
  <c r="J34" i="5"/>
  <c r="J39" i="5"/>
  <c r="J38" i="5"/>
  <c r="J23" i="5"/>
  <c r="J15" i="5"/>
  <c r="J29" i="5"/>
  <c r="J31" i="5"/>
  <c r="J14" i="5"/>
  <c r="J35" i="5"/>
  <c r="J24" i="5"/>
  <c r="J27" i="5"/>
  <c r="J13" i="5"/>
  <c r="J40" i="5"/>
  <c r="J42" i="5"/>
  <c r="J11" i="5"/>
  <c r="J526" i="5"/>
  <c r="J576" i="5"/>
  <c r="J596" i="5"/>
  <c r="J548" i="5"/>
  <c r="J500" i="5"/>
  <c r="J501" i="5"/>
  <c r="J508" i="5"/>
  <c r="J565" i="5"/>
  <c r="J515" i="5"/>
  <c r="J516" i="5"/>
  <c r="J349" i="5"/>
  <c r="J341" i="5"/>
  <c r="J333" i="5"/>
  <c r="J351" i="5"/>
  <c r="J343" i="5"/>
  <c r="J352" i="5"/>
  <c r="J335" i="5"/>
  <c r="J344" i="5"/>
  <c r="J336" i="5"/>
  <c r="J340" i="5"/>
  <c r="J346" i="5"/>
  <c r="J338" i="5"/>
  <c r="J342" i="5"/>
  <c r="J345" i="5"/>
  <c r="J337" i="5"/>
  <c r="J339" i="5"/>
  <c r="J334" i="5"/>
  <c r="J321" i="5"/>
  <c r="J331" i="5"/>
  <c r="J323" i="5"/>
  <c r="J327" i="5"/>
  <c r="J328" i="5"/>
  <c r="J320" i="5"/>
  <c r="J332" i="5"/>
  <c r="J330" i="5"/>
  <c r="J353" i="5"/>
  <c r="J326" i="5"/>
  <c r="J329" i="5"/>
  <c r="J484" i="5"/>
  <c r="J568" i="5"/>
  <c r="J517" i="5"/>
  <c r="J552" i="5"/>
  <c r="J599" i="5"/>
  <c r="J504" i="5"/>
  <c r="J502" i="5"/>
  <c r="J503" i="5"/>
  <c r="J567" i="5"/>
  <c r="J609" i="5"/>
  <c r="J553" i="5"/>
  <c r="J584" i="5"/>
  <c r="J531" i="5"/>
  <c r="J570" i="5"/>
  <c r="J606" i="5"/>
  <c r="J550" i="5"/>
  <c r="J563" i="5"/>
  <c r="J527" i="5"/>
  <c r="J290" i="5"/>
  <c r="J283" i="5"/>
  <c r="J284" i="5"/>
  <c r="J293" i="5"/>
  <c r="J528" i="5"/>
  <c r="J247" i="5"/>
  <c r="J251" i="5"/>
  <c r="J248" i="5"/>
  <c r="J249" i="5"/>
  <c r="J245" i="5"/>
  <c r="J254" i="5"/>
  <c r="J246" i="5"/>
  <c r="J250" i="5"/>
  <c r="J411" i="5"/>
  <c r="J419" i="5"/>
  <c r="J421" i="5"/>
  <c r="J397" i="5"/>
  <c r="J417" i="5"/>
  <c r="J404" i="5"/>
  <c r="J418" i="5"/>
  <c r="J408" i="5"/>
  <c r="J403" i="5"/>
  <c r="J398" i="5"/>
  <c r="J405" i="5"/>
  <c r="J407" i="5"/>
  <c r="J412" i="5"/>
  <c r="J402" i="5"/>
  <c r="J359" i="5"/>
  <c r="J583" i="5"/>
  <c r="J534" i="5"/>
  <c r="J358" i="5"/>
  <c r="J357" i="5"/>
  <c r="J355" i="5"/>
  <c r="J624" i="5"/>
  <c r="J601" i="5"/>
  <c r="J520" i="5"/>
  <c r="J494" i="5"/>
  <c r="J492" i="5"/>
  <c r="J588" i="5"/>
  <c r="J554" i="5"/>
  <c r="J615" i="5"/>
  <c r="J538" i="5"/>
  <c r="J489" i="5"/>
  <c r="J490" i="5"/>
  <c r="J562" i="5"/>
  <c r="J509" i="5"/>
  <c r="J193" i="5"/>
  <c r="J185" i="5"/>
  <c r="J189" i="5"/>
  <c r="J186" i="5"/>
  <c r="J190" i="5"/>
  <c r="J191" i="5"/>
  <c r="J187" i="5"/>
  <c r="J192" i="5"/>
  <c r="J188" i="5"/>
  <c r="J510" i="5"/>
  <c r="J141" i="5"/>
  <c r="J137" i="5"/>
  <c r="J127" i="5"/>
  <c r="J121" i="5"/>
  <c r="J128" i="5"/>
  <c r="J132" i="5"/>
  <c r="J116" i="5"/>
  <c r="J130" i="5"/>
  <c r="J135" i="5"/>
  <c r="J131" i="5"/>
  <c r="J125" i="5"/>
  <c r="J140" i="5"/>
  <c r="J129" i="5"/>
  <c r="J118" i="5"/>
  <c r="J119" i="5"/>
  <c r="J138" i="5"/>
  <c r="J124" i="5"/>
  <c r="J133" i="5"/>
  <c r="J122" i="5"/>
  <c r="J134" i="5"/>
  <c r="J123" i="5"/>
  <c r="J120" i="5"/>
  <c r="J126" i="5"/>
  <c r="J139" i="5"/>
  <c r="J136" i="5"/>
  <c r="J142" i="5"/>
  <c r="J117" i="5"/>
  <c r="J512" i="5"/>
  <c r="J617" i="5"/>
  <c r="J269" i="5"/>
  <c r="J272" i="5"/>
  <c r="J607" i="5"/>
  <c r="J620" i="5"/>
  <c r="J585" i="5"/>
  <c r="J537" i="5"/>
  <c r="J518" i="5"/>
  <c r="J580" i="5"/>
  <c r="J598" i="5"/>
  <c r="J575" i="5"/>
  <c r="J558" i="5"/>
  <c r="J605" i="5"/>
  <c r="J557" i="5"/>
  <c r="J524" i="5"/>
  <c r="J587" i="5"/>
  <c r="J348" i="5"/>
  <c r="J350" i="5"/>
  <c r="J347" i="5"/>
  <c r="J456" i="5"/>
  <c r="J449" i="5"/>
  <c r="J564" i="5"/>
  <c r="J451" i="5"/>
  <c r="J450" i="5"/>
  <c r="J455" i="5"/>
  <c r="J452" i="5"/>
  <c r="J454" i="5"/>
  <c r="J453" i="5"/>
  <c r="J458" i="5"/>
  <c r="J447" i="5"/>
  <c r="J461" i="5"/>
  <c r="J491" i="5"/>
  <c r="J448" i="5"/>
  <c r="J457" i="5"/>
  <c r="J459" i="5"/>
  <c r="J462" i="5"/>
  <c r="J460" i="5"/>
  <c r="J426" i="5"/>
  <c r="J439" i="5"/>
  <c r="J429" i="5"/>
  <c r="J431" i="5"/>
  <c r="J425" i="5"/>
  <c r="J427" i="5"/>
  <c r="J430" i="5"/>
  <c r="J424" i="5"/>
  <c r="J416" i="5"/>
  <c r="J406" i="5"/>
  <c r="J409" i="5"/>
  <c r="J413" i="5"/>
  <c r="J415" i="5"/>
  <c r="J420" i="5"/>
  <c r="J401" i="5"/>
  <c r="J414" i="5"/>
  <c r="J410" i="5"/>
  <c r="J400" i="5"/>
  <c r="J399" i="5"/>
  <c r="J422" i="5"/>
  <c r="J513" i="5"/>
  <c r="J237" i="5"/>
  <c r="J209" i="5"/>
  <c r="J201" i="5"/>
  <c r="J205" i="5"/>
  <c r="J197" i="5"/>
  <c r="J226" i="5"/>
  <c r="J210" i="5"/>
  <c r="J202" i="5"/>
  <c r="J206" i="5"/>
  <c r="J198" i="5"/>
  <c r="J211" i="5"/>
  <c r="J203" i="5"/>
  <c r="J195" i="5"/>
  <c r="J223" i="5"/>
  <c r="J224" i="5"/>
  <c r="J207" i="5"/>
  <c r="J199" i="5"/>
  <c r="J236" i="5"/>
  <c r="J208" i="5"/>
  <c r="J200" i="5"/>
  <c r="J212" i="5"/>
  <c r="J196" i="5"/>
  <c r="J225" i="5"/>
  <c r="J194" i="5"/>
  <c r="J204" i="5"/>
  <c r="J522" i="5"/>
  <c r="J556" i="5"/>
  <c r="J543" i="5"/>
  <c r="J571" i="5"/>
  <c r="J521" i="5"/>
  <c r="J507" i="5"/>
  <c r="J540" i="5"/>
  <c r="J506" i="5"/>
  <c r="J505" i="5"/>
  <c r="J325" i="5"/>
  <c r="J324" i="5"/>
  <c r="J322" i="5"/>
  <c r="J370" i="5"/>
  <c r="J360" i="5"/>
  <c r="J374" i="5"/>
  <c r="J385" i="5"/>
  <c r="J368" i="5"/>
  <c r="J382" i="5"/>
  <c r="J389" i="5"/>
  <c r="J395" i="5"/>
  <c r="J386" i="5"/>
  <c r="J367" i="5"/>
  <c r="J364" i="5"/>
  <c r="J390" i="5"/>
  <c r="J365" i="5"/>
  <c r="J394" i="5"/>
  <c r="J375" i="5"/>
  <c r="J372" i="5"/>
  <c r="J369" i="5"/>
  <c r="J384" i="5"/>
  <c r="J362" i="5"/>
  <c r="J379" i="5"/>
  <c r="J387" i="5"/>
  <c r="J373" i="5"/>
  <c r="J383" i="5"/>
  <c r="J380" i="5"/>
  <c r="J377" i="5"/>
  <c r="J392" i="5"/>
  <c r="J376" i="5"/>
  <c r="J393" i="5"/>
  <c r="J361" i="5"/>
  <c r="J366" i="5"/>
  <c r="J396" i="5"/>
  <c r="J371" i="5"/>
  <c r="J363" i="5"/>
  <c r="J381" i="5"/>
  <c r="J391" i="5"/>
  <c r="J388" i="5"/>
  <c r="J378" i="5"/>
  <c r="J549" i="5"/>
  <c r="J560" i="5"/>
  <c r="J64" i="5"/>
  <c r="J67" i="5"/>
  <c r="J81" i="5"/>
  <c r="J69" i="5"/>
  <c r="J83" i="5"/>
  <c r="J82" i="5"/>
  <c r="J88" i="5"/>
  <c r="J78" i="5"/>
  <c r="J65" i="5"/>
  <c r="J71" i="5"/>
  <c r="J72" i="5"/>
  <c r="J66" i="5"/>
  <c r="J77" i="5"/>
  <c r="J86" i="5"/>
  <c r="J75" i="5"/>
  <c r="J76" i="5"/>
  <c r="J73" i="5"/>
  <c r="J87" i="5"/>
  <c r="J79" i="5"/>
  <c r="J68" i="5"/>
  <c r="J74" i="5"/>
  <c r="J80" i="5"/>
  <c r="J84" i="5"/>
  <c r="J85" i="5"/>
  <c r="J579" i="5"/>
  <c r="J530" i="5"/>
  <c r="J354" i="5"/>
  <c r="J356" i="5"/>
  <c r="J569" i="5"/>
  <c r="J611" i="5"/>
  <c r="J511" i="5"/>
  <c r="J177" i="5"/>
  <c r="J181" i="5"/>
  <c r="J178" i="5"/>
  <c r="J182" i="5"/>
  <c r="J183" i="5"/>
  <c r="J175" i="5"/>
  <c r="J179" i="5"/>
  <c r="J176" i="5"/>
  <c r="J180" i="5"/>
  <c r="J184" i="5"/>
  <c r="J252" i="5"/>
  <c r="J253" i="5"/>
  <c r="J255" i="5"/>
  <c r="J243" i="5"/>
  <c r="J240" i="5"/>
  <c r="J244" i="5"/>
  <c r="J241" i="5"/>
  <c r="J242" i="5"/>
  <c r="J229" i="5"/>
  <c r="J218" i="5"/>
  <c r="J230" i="5"/>
  <c r="J239" i="5"/>
  <c r="J231" i="5"/>
  <c r="J217" i="5"/>
  <c r="J574" i="5"/>
  <c r="J602" i="5"/>
  <c r="J523" i="5"/>
  <c r="J532" i="5"/>
  <c r="J566" i="5"/>
  <c r="J600" i="5"/>
  <c r="J559" i="5"/>
  <c r="J519" i="5"/>
  <c r="J586" i="5"/>
  <c r="J604" i="5"/>
  <c r="BF8" i="6"/>
  <c r="I23" i="1"/>
  <c r="DY112" i="6"/>
  <c r="CI112" i="6" s="1"/>
  <c r="DY119" i="6"/>
  <c r="CI119" i="6" s="1"/>
  <c r="DY132" i="6"/>
  <c r="EF132" i="6" s="1"/>
  <c r="DY110" i="6"/>
  <c r="CI110" i="6" s="1"/>
  <c r="DB18" i="6"/>
  <c r="DY83" i="6"/>
  <c r="CI83" i="6" s="1"/>
  <c r="DY109" i="6"/>
  <c r="CI109" i="6" s="1"/>
  <c r="DY97" i="6"/>
  <c r="CI97" i="6" s="1"/>
  <c r="DY94" i="6"/>
  <c r="CI94" i="6" s="1"/>
  <c r="DY102" i="6"/>
  <c r="CI102" i="6" s="1"/>
  <c r="DY98" i="6"/>
  <c r="CI98" i="6" s="1"/>
  <c r="DY91" i="6"/>
  <c r="CI91" i="6" s="1"/>
  <c r="DY107" i="6"/>
  <c r="CI107" i="6" s="1"/>
  <c r="BI8" i="6"/>
  <c r="L23" i="1"/>
  <c r="N23" i="1"/>
  <c r="AD7" i="1"/>
  <c r="F7" i="6" s="1"/>
  <c r="AG4" i="6" s="1"/>
  <c r="DF4" i="6" s="1"/>
  <c r="DY59" i="6"/>
  <c r="CI59" i="6" s="1"/>
  <c r="DY60" i="6"/>
  <c r="CI60" i="6" s="1"/>
  <c r="DY68" i="6"/>
  <c r="CI68" i="6" s="1"/>
  <c r="DY69" i="6"/>
  <c r="CI69" i="6" s="1"/>
  <c r="DY55" i="6"/>
  <c r="CI55" i="6" s="1"/>
  <c r="DY56" i="6"/>
  <c r="CI56" i="6" s="1"/>
  <c r="AE7" i="1"/>
  <c r="G7" i="6" s="1"/>
  <c r="AH4" i="6" s="1"/>
  <c r="DG4" i="6" s="1"/>
  <c r="AF7" i="1"/>
  <c r="AC7" i="1"/>
  <c r="E7" i="6" s="1"/>
  <c r="AF4" i="6" s="1"/>
  <c r="DE4" i="6" s="1"/>
  <c r="AI7" i="1"/>
  <c r="K7" i="6" s="1"/>
  <c r="AL4" i="6" s="1"/>
  <c r="DJ4" i="6" s="1"/>
  <c r="DY48" i="6"/>
  <c r="CI48" i="6" s="1"/>
  <c r="DY33" i="6"/>
  <c r="CI33" i="6" s="1"/>
  <c r="DY34" i="6"/>
  <c r="CI34" i="6" s="1"/>
  <c r="DY42" i="6"/>
  <c r="CI42" i="6" s="1"/>
  <c r="DY19" i="6"/>
  <c r="CI19" i="6" s="1"/>
  <c r="DY44" i="6"/>
  <c r="CI44" i="6" s="1"/>
  <c r="DY37" i="6"/>
  <c r="CI37" i="6" s="1"/>
  <c r="DY38" i="6"/>
  <c r="CI38" i="6" s="1"/>
  <c r="DY46" i="6"/>
  <c r="CI46" i="6" s="1"/>
  <c r="DY47" i="6"/>
  <c r="CI47" i="6" s="1"/>
  <c r="DB43" i="6"/>
  <c r="DB44" i="6"/>
  <c r="DB45" i="6"/>
  <c r="DB54" i="6"/>
  <c r="DB55" i="6"/>
  <c r="DB56" i="6"/>
  <c r="DB57" i="6"/>
  <c r="DB63" i="6"/>
  <c r="DB64" i="6"/>
  <c r="DB65" i="6"/>
  <c r="DB71" i="6"/>
  <c r="DB72" i="6"/>
  <c r="DB73" i="6"/>
  <c r="DB82" i="6"/>
  <c r="DB111" i="6"/>
  <c r="DB112" i="6"/>
  <c r="DB114" i="6"/>
  <c r="DB116" i="6"/>
  <c r="DB126" i="6"/>
  <c r="DB131" i="6"/>
  <c r="DB113" i="6"/>
  <c r="DB132" i="6"/>
  <c r="DB100" i="6"/>
  <c r="DB62" i="6"/>
  <c r="DB90" i="6"/>
  <c r="DB95" i="6"/>
  <c r="DB105" i="6"/>
  <c r="DB106" i="6"/>
  <c r="DB123" i="6"/>
  <c r="DB124" i="6"/>
  <c r="DB125" i="6"/>
  <c r="DB127" i="6"/>
  <c r="DB130" i="6"/>
  <c r="DB42" i="6"/>
  <c r="DB51" i="6"/>
  <c r="DB52" i="6"/>
  <c r="DB53" i="6"/>
  <c r="DB70" i="6"/>
  <c r="DB79" i="6"/>
  <c r="DB80" i="6"/>
  <c r="DB81" i="6"/>
  <c r="DB94" i="6"/>
  <c r="DB99" i="6"/>
  <c r="DB104" i="6"/>
  <c r="DB110" i="6"/>
  <c r="DB122" i="6"/>
  <c r="DB128" i="6"/>
  <c r="DB129" i="6"/>
  <c r="DB133" i="6"/>
  <c r="DB36" i="6"/>
  <c r="DB50" i="6"/>
  <c r="DB59" i="6"/>
  <c r="DB60" i="6"/>
  <c r="DB61" i="6"/>
  <c r="DB67" i="6"/>
  <c r="DB68" i="6"/>
  <c r="DB78" i="6"/>
  <c r="DB89" i="6"/>
  <c r="DB93" i="6"/>
  <c r="DB38" i="6"/>
  <c r="DB39" i="6"/>
  <c r="DB40" i="6"/>
  <c r="DB41" i="6"/>
  <c r="DB69" i="6"/>
  <c r="DB75" i="6"/>
  <c r="DB76" i="6"/>
  <c r="DB87" i="6"/>
  <c r="DB88" i="6"/>
  <c r="DB92" i="6"/>
  <c r="DB108" i="6"/>
  <c r="DB109" i="6"/>
  <c r="DB118" i="6"/>
  <c r="DB119" i="6"/>
  <c r="DB120" i="6"/>
  <c r="DB121" i="6"/>
  <c r="DB115" i="6"/>
  <c r="DB47" i="6"/>
  <c r="DB48" i="6"/>
  <c r="DB49" i="6"/>
  <c r="DB77" i="6"/>
  <c r="DB86" i="6"/>
  <c r="DB98" i="6"/>
  <c r="DB103" i="6"/>
  <c r="DB85" i="6"/>
  <c r="DB37" i="6"/>
  <c r="DB46" i="6"/>
  <c r="DB58" i="6"/>
  <c r="DB66" i="6"/>
  <c r="DB74" i="6"/>
  <c r="DB83" i="6"/>
  <c r="DB84" i="6"/>
  <c r="DB91" i="6"/>
  <c r="DB96" i="6"/>
  <c r="DB97" i="6"/>
  <c r="DB102" i="6"/>
  <c r="DB117" i="6"/>
  <c r="DB101" i="6"/>
  <c r="DB107" i="6"/>
  <c r="J7" i="6"/>
  <c r="AK4" i="6" s="1"/>
  <c r="DI4" i="6" s="1"/>
  <c r="DB24" i="6"/>
  <c r="DB30" i="6"/>
  <c r="DB20" i="6"/>
  <c r="DB25" i="6"/>
  <c r="DB35" i="6"/>
  <c r="DB21" i="6"/>
  <c r="DB31" i="6"/>
  <c r="DB26" i="6"/>
  <c r="DB22" i="6"/>
  <c r="DB32" i="6"/>
  <c r="DB34" i="6"/>
  <c r="DB27" i="6"/>
  <c r="DB19" i="6"/>
  <c r="DB23" i="6"/>
  <c r="DB33" i="6"/>
  <c r="DB28" i="6"/>
  <c r="E27" i="1"/>
  <c r="F27" i="1"/>
  <c r="D27" i="1"/>
  <c r="C27" i="1"/>
  <c r="B27" i="1"/>
  <c r="DB17" i="6"/>
  <c r="DB16" i="6"/>
  <c r="J233" i="5" l="1"/>
  <c r="J219" i="5"/>
  <c r="J234" i="5"/>
  <c r="J525" i="5"/>
  <c r="J267" i="5"/>
  <c r="J310" i="5"/>
  <c r="J292" i="5"/>
  <c r="J299" i="5"/>
  <c r="J298" i="5"/>
  <c r="M197" i="17"/>
  <c r="M194" i="17"/>
  <c r="M215" i="22"/>
  <c r="M88" i="22"/>
  <c r="M87" i="22"/>
  <c r="M107" i="22"/>
  <c r="J220" i="5"/>
  <c r="J227" i="5"/>
  <c r="J213" i="5"/>
  <c r="J271" i="5"/>
  <c r="J561" i="5"/>
  <c r="J301" i="5"/>
  <c r="J300" i="5"/>
  <c r="J279" i="5"/>
  <c r="J278" i="5"/>
  <c r="M193" i="17"/>
  <c r="M199" i="17"/>
  <c r="M93" i="22"/>
  <c r="M94" i="22"/>
  <c r="M92" i="22"/>
  <c r="J263" i="5"/>
  <c r="J266" i="5"/>
  <c r="J291" i="5"/>
  <c r="J309" i="5"/>
  <c r="J280" i="5"/>
  <c r="J307" i="5"/>
  <c r="J306" i="5"/>
  <c r="M201" i="17"/>
  <c r="M202" i="17"/>
  <c r="M97" i="22"/>
  <c r="M96" i="22"/>
  <c r="M248" i="22"/>
  <c r="J228" i="5"/>
  <c r="J216" i="5"/>
  <c r="J214" i="5"/>
  <c r="J265" i="5"/>
  <c r="J319" i="5"/>
  <c r="J286" i="5"/>
  <c r="J281" i="5"/>
  <c r="J308" i="5"/>
  <c r="J287" i="5"/>
  <c r="M196" i="17"/>
  <c r="M89" i="22"/>
  <c r="M100" i="22"/>
  <c r="M101" i="22"/>
  <c r="J221" i="5"/>
  <c r="J215" i="5"/>
  <c r="J222" i="5"/>
  <c r="J268" i="5"/>
  <c r="J262" i="5"/>
  <c r="J294" i="5"/>
  <c r="J289" i="5"/>
  <c r="J288" i="5"/>
  <c r="J295" i="5"/>
  <c r="M200" i="17"/>
  <c r="M91" i="22"/>
  <c r="M104" i="22"/>
  <c r="M99" i="22"/>
  <c r="J232" i="5"/>
  <c r="J276" i="5"/>
  <c r="J270" i="5"/>
  <c r="J285" i="5"/>
  <c r="J297" i="5"/>
  <c r="J296" i="5"/>
  <c r="J303" i="5"/>
  <c r="M293" i="17"/>
  <c r="M95" i="22"/>
  <c r="M90" i="22"/>
  <c r="M98" i="22"/>
  <c r="J235" i="5"/>
  <c r="J597" i="5"/>
  <c r="J264" i="5"/>
  <c r="J302" i="5"/>
  <c r="J305" i="5"/>
  <c r="J304" i="5"/>
  <c r="J282" i="5"/>
  <c r="M198" i="17"/>
  <c r="M103" i="22"/>
  <c r="M106" i="22"/>
  <c r="M102" i="22"/>
  <c r="CK115" i="6"/>
  <c r="J514" i="5" s="1"/>
  <c r="M229" i="22"/>
  <c r="CK60" i="6"/>
  <c r="J497" i="5" s="1"/>
  <c r="CK83" i="6"/>
  <c r="J545" i="5" s="1"/>
  <c r="CK116" i="6"/>
  <c r="J573" i="5" s="1"/>
  <c r="J577" i="5"/>
  <c r="M234" i="22"/>
  <c r="M58" i="17"/>
  <c r="M50" i="17"/>
  <c r="M59" i="17"/>
  <c r="M44" i="17"/>
  <c r="M39" i="17"/>
  <c r="M48" i="17"/>
  <c r="M37" i="17"/>
  <c r="M47" i="17"/>
  <c r="M36" i="17"/>
  <c r="M35" i="17"/>
  <c r="M51" i="17"/>
  <c r="M53" i="17"/>
  <c r="M56" i="17"/>
  <c r="M40" i="17"/>
  <c r="M45" i="17"/>
  <c r="M55" i="17"/>
  <c r="M43" i="17"/>
  <c r="M49" i="17"/>
  <c r="M33" i="17"/>
  <c r="M54" i="17"/>
  <c r="M52" i="17"/>
  <c r="M46" i="17"/>
  <c r="M34" i="17"/>
  <c r="M42" i="17"/>
  <c r="M38" i="17"/>
  <c r="M57" i="17"/>
  <c r="M41" i="17"/>
  <c r="M180" i="22"/>
  <c r="M175" i="22"/>
  <c r="M171" i="22"/>
  <c r="M19" i="21"/>
  <c r="M14" i="21"/>
  <c r="M172" i="22"/>
  <c r="M15" i="21"/>
  <c r="M231" i="17"/>
  <c r="M232" i="17"/>
  <c r="M227" i="17"/>
  <c r="M230" i="17"/>
  <c r="M226" i="17"/>
  <c r="M229" i="17"/>
  <c r="M225" i="17"/>
  <c r="M296" i="17"/>
  <c r="M272" i="17"/>
  <c r="J612" i="5"/>
  <c r="M310" i="17"/>
  <c r="M142" i="22"/>
  <c r="M144" i="22"/>
  <c r="M141" i="22"/>
  <c r="J613" i="5"/>
  <c r="M42" i="21"/>
  <c r="M8" i="17"/>
  <c r="M13" i="17"/>
  <c r="M20" i="17"/>
  <c r="M27" i="17"/>
  <c r="M28" i="17"/>
  <c r="M15" i="17"/>
  <c r="M16" i="17"/>
  <c r="M23" i="17"/>
  <c r="M11" i="17"/>
  <c r="M12" i="17"/>
  <c r="M29" i="17"/>
  <c r="M21" i="17"/>
  <c r="M32" i="17"/>
  <c r="M24" i="17"/>
  <c r="M19" i="17"/>
  <c r="M31" i="17"/>
  <c r="M290" i="17"/>
  <c r="M284" i="17"/>
  <c r="M17" i="17"/>
  <c r="M9" i="17"/>
  <c r="M25" i="17"/>
  <c r="M30" i="17"/>
  <c r="M10" i="17"/>
  <c r="M18" i="17"/>
  <c r="M26" i="17"/>
  <c r="M22" i="17"/>
  <c r="J535" i="5"/>
  <c r="M223" i="22"/>
  <c r="J591" i="5"/>
  <c r="M247" i="22"/>
  <c r="M242" i="22"/>
  <c r="M225" i="22"/>
  <c r="M12" i="20"/>
  <c r="M13" i="20"/>
  <c r="M78" i="22"/>
  <c r="M72" i="22"/>
  <c r="M73" i="22"/>
  <c r="M76" i="22"/>
  <c r="M162" i="17"/>
  <c r="M147" i="17"/>
  <c r="M150" i="17"/>
  <c r="M151" i="17"/>
  <c r="M160" i="17"/>
  <c r="M146" i="17"/>
  <c r="M149" i="17"/>
  <c r="M159" i="17"/>
  <c r="M152" i="17"/>
  <c r="M153" i="17"/>
  <c r="M165" i="17"/>
  <c r="M148" i="17"/>
  <c r="M156" i="17"/>
  <c r="M161" i="17"/>
  <c r="J618" i="5"/>
  <c r="M255" i="22"/>
  <c r="M115" i="22"/>
  <c r="M183" i="17"/>
  <c r="M187" i="17"/>
  <c r="M179" i="17"/>
  <c r="M181" i="17"/>
  <c r="M185" i="17"/>
  <c r="M177" i="17"/>
  <c r="M191" i="17"/>
  <c r="M176" i="17"/>
  <c r="M180" i="17"/>
  <c r="M186" i="17"/>
  <c r="M178" i="17"/>
  <c r="M182" i="17"/>
  <c r="M184" i="17"/>
  <c r="J595" i="5"/>
  <c r="M45" i="21"/>
  <c r="M32" i="21"/>
  <c r="M39" i="21"/>
  <c r="J619" i="5"/>
  <c r="M44" i="21"/>
  <c r="J608" i="5"/>
  <c r="M309" i="17"/>
  <c r="M74" i="22"/>
  <c r="M69" i="22"/>
  <c r="M66" i="22"/>
  <c r="M67" i="22"/>
  <c r="M75" i="22"/>
  <c r="M71" i="22"/>
  <c r="M70" i="22"/>
  <c r="M68" i="22"/>
  <c r="M138" i="17"/>
  <c r="M271" i="17"/>
  <c r="M134" i="17"/>
  <c r="M136" i="17"/>
  <c r="M154" i="17"/>
  <c r="M143" i="17"/>
  <c r="M133" i="17"/>
  <c r="M141" i="17"/>
  <c r="M155" i="17"/>
  <c r="M163" i="17"/>
  <c r="M135" i="17"/>
  <c r="M140" i="17"/>
  <c r="M142" i="17"/>
  <c r="M137" i="17"/>
  <c r="M139" i="17"/>
  <c r="M144" i="17"/>
  <c r="M164" i="17"/>
  <c r="M145" i="17"/>
  <c r="J582" i="5"/>
  <c r="M239" i="22"/>
  <c r="J54" i="5"/>
  <c r="M60" i="22"/>
  <c r="M47" i="22"/>
  <c r="M41" i="22"/>
  <c r="M58" i="22"/>
  <c r="M49" i="22"/>
  <c r="M44" i="22"/>
  <c r="M55" i="22"/>
  <c r="M46" i="22"/>
  <c r="M57" i="22"/>
  <c r="M52" i="22"/>
  <c r="M42" i="22"/>
  <c r="M50" i="22"/>
  <c r="M54" i="22"/>
  <c r="M48" i="22"/>
  <c r="M51" i="22"/>
  <c r="M43" i="22"/>
  <c r="M59" i="22"/>
  <c r="M56" i="22"/>
  <c r="M53" i="22"/>
  <c r="M45" i="22"/>
  <c r="M281" i="17"/>
  <c r="M306" i="17"/>
  <c r="M317" i="17"/>
  <c r="J275" i="5"/>
  <c r="M111" i="22"/>
  <c r="M109" i="22"/>
  <c r="M113" i="22"/>
  <c r="M112" i="22"/>
  <c r="M114" i="22"/>
  <c r="M110" i="22"/>
  <c r="M108" i="22"/>
  <c r="M203" i="17"/>
  <c r="M175" i="17"/>
  <c r="M171" i="17"/>
  <c r="M173" i="17"/>
  <c r="M189" i="17"/>
  <c r="M172" i="17"/>
  <c r="M174" i="17"/>
  <c r="M190" i="17"/>
  <c r="M188" i="17"/>
  <c r="M192" i="17"/>
  <c r="M307" i="17"/>
  <c r="M283" i="17"/>
  <c r="M288" i="17"/>
  <c r="J315" i="5"/>
  <c r="J316" i="5"/>
  <c r="J311" i="5"/>
  <c r="J610" i="5"/>
  <c r="J312" i="5"/>
  <c r="J274" i="5"/>
  <c r="J313" i="5"/>
  <c r="J622" i="5"/>
  <c r="J499" i="5"/>
  <c r="J547" i="5"/>
  <c r="J614" i="5"/>
  <c r="J578" i="5"/>
  <c r="J533" i="5"/>
  <c r="J62" i="5"/>
  <c r="J52" i="5"/>
  <c r="J61" i="5"/>
  <c r="J58" i="5"/>
  <c r="J50" i="5"/>
  <c r="J55" i="5"/>
  <c r="J44" i="5"/>
  <c r="J46" i="5"/>
  <c r="J59" i="5"/>
  <c r="J45" i="5"/>
  <c r="J60" i="5"/>
  <c r="J47" i="5"/>
  <c r="J63" i="5"/>
  <c r="J53" i="5"/>
  <c r="J56" i="5"/>
  <c r="K35" i="21"/>
  <c r="K254" i="22"/>
  <c r="K279" i="17"/>
  <c r="K221" i="22"/>
  <c r="K223" i="22"/>
  <c r="K258" i="22"/>
  <c r="K251" i="22"/>
  <c r="K234" i="22"/>
  <c r="K224" i="22"/>
  <c r="K29" i="21"/>
  <c r="K252" i="22"/>
  <c r="K305" i="17"/>
  <c r="K14" i="17"/>
  <c r="K40" i="21"/>
  <c r="K41" i="21"/>
  <c r="K44" i="21"/>
  <c r="K259" i="17"/>
  <c r="K311" i="17"/>
  <c r="K257" i="22"/>
  <c r="K310" i="17"/>
  <c r="K301" i="17"/>
  <c r="K308" i="17"/>
  <c r="K247" i="22"/>
  <c r="K235" i="22"/>
  <c r="K274" i="17"/>
  <c r="K309" i="17"/>
  <c r="K273" i="17"/>
  <c r="K302" i="17"/>
  <c r="K270" i="17"/>
  <c r="K280" i="17"/>
  <c r="K304" i="17"/>
  <c r="K43" i="21"/>
  <c r="K299" i="17"/>
  <c r="K269" i="17"/>
  <c r="AC10" i="1"/>
  <c r="E10" i="6" s="1"/>
  <c r="AF7" i="6" s="1"/>
  <c r="DE7" i="6" s="1"/>
  <c r="AD10" i="1"/>
  <c r="F10" i="6" s="1"/>
  <c r="AG7" i="6" s="1"/>
  <c r="DF7" i="6" s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T137" i="1" s="1"/>
  <c r="AV137" i="1"/>
  <c r="U137" i="1" s="1"/>
  <c r="AW137" i="1"/>
  <c r="V137" i="1" s="1"/>
  <c r="AX137" i="1"/>
  <c r="W137" i="1" s="1"/>
  <c r="AH138" i="1"/>
  <c r="AI138" i="1"/>
  <c r="AJ138" i="1"/>
  <c r="AK138" i="1"/>
  <c r="AL138" i="1"/>
  <c r="AM138" i="1"/>
  <c r="L138" i="1" s="1"/>
  <c r="AN138" i="1"/>
  <c r="AO138" i="1"/>
  <c r="AP138" i="1"/>
  <c r="O138" i="1" s="1"/>
  <c r="AQ138" i="1"/>
  <c r="P138" i="1" s="1"/>
  <c r="AR138" i="1"/>
  <c r="Q138" i="1" s="1"/>
  <c r="AS138" i="1"/>
  <c r="R138" i="1" s="1"/>
  <c r="AT138" i="1"/>
  <c r="S138" i="1" s="1"/>
  <c r="AU138" i="1"/>
  <c r="AV138" i="1"/>
  <c r="AW138" i="1"/>
  <c r="AX138" i="1"/>
  <c r="AH139" i="1"/>
  <c r="AI139" i="1"/>
  <c r="AJ139" i="1"/>
  <c r="AK139" i="1"/>
  <c r="AL139" i="1"/>
  <c r="K139" i="1" s="1"/>
  <c r="AM139" i="1"/>
  <c r="AN139" i="1"/>
  <c r="M139" i="1" s="1"/>
  <c r="AO139" i="1"/>
  <c r="N139" i="1" s="1"/>
  <c r="AP139" i="1"/>
  <c r="AQ139" i="1"/>
  <c r="AR139" i="1"/>
  <c r="AS139" i="1"/>
  <c r="AT139" i="1"/>
  <c r="AU139" i="1"/>
  <c r="AV139" i="1"/>
  <c r="AW139" i="1"/>
  <c r="AX139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H141" i="1"/>
  <c r="G141" i="1" s="1"/>
  <c r="AI141" i="1"/>
  <c r="H141" i="1" s="1"/>
  <c r="AJ141" i="1"/>
  <c r="I141" i="1" s="1"/>
  <c r="AK141" i="1"/>
  <c r="J141" i="1" s="1"/>
  <c r="AL141" i="1"/>
  <c r="AM141" i="1"/>
  <c r="L141" i="1" s="1"/>
  <c r="AN141" i="1"/>
  <c r="AO141" i="1"/>
  <c r="AP141" i="1"/>
  <c r="AQ141" i="1"/>
  <c r="AR141" i="1"/>
  <c r="AS141" i="1"/>
  <c r="AT141" i="1"/>
  <c r="AU141" i="1"/>
  <c r="T141" i="1" s="1"/>
  <c r="AV141" i="1"/>
  <c r="U141" i="1" s="1"/>
  <c r="AW141" i="1"/>
  <c r="V141" i="1" s="1"/>
  <c r="AX141" i="1"/>
  <c r="W141" i="1" s="1"/>
  <c r="AH142" i="1"/>
  <c r="AI142" i="1"/>
  <c r="AJ142" i="1"/>
  <c r="AK142" i="1"/>
  <c r="AL142" i="1"/>
  <c r="AM142" i="1"/>
  <c r="AN142" i="1"/>
  <c r="M142" i="1" s="1"/>
  <c r="AO142" i="1"/>
  <c r="AP142" i="1"/>
  <c r="O142" i="1" s="1"/>
  <c r="AQ142" i="1"/>
  <c r="P142" i="1" s="1"/>
  <c r="AR142" i="1"/>
  <c r="Q142" i="1" s="1"/>
  <c r="AS142" i="1"/>
  <c r="R142" i="1" s="1"/>
  <c r="AT142" i="1"/>
  <c r="S142" i="1" s="1"/>
  <c r="AU142" i="1"/>
  <c r="AV142" i="1"/>
  <c r="AW142" i="1"/>
  <c r="AX142" i="1"/>
  <c r="AH143" i="1"/>
  <c r="AI143" i="1"/>
  <c r="H143" i="1" s="1"/>
  <c r="AJ143" i="1"/>
  <c r="AK143" i="1"/>
  <c r="AL143" i="1"/>
  <c r="K143" i="1" s="1"/>
  <c r="AM143" i="1"/>
  <c r="AN143" i="1"/>
  <c r="AO143" i="1"/>
  <c r="AP143" i="1"/>
  <c r="AQ143" i="1"/>
  <c r="AR143" i="1"/>
  <c r="AS143" i="1"/>
  <c r="AT143" i="1"/>
  <c r="AU143" i="1"/>
  <c r="AV143" i="1"/>
  <c r="AW143" i="1"/>
  <c r="AX143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H145" i="1"/>
  <c r="G145" i="1" s="1"/>
  <c r="AI145" i="1"/>
  <c r="AJ145" i="1"/>
  <c r="I145" i="1" s="1"/>
  <c r="AK145" i="1"/>
  <c r="AL145" i="1"/>
  <c r="AM145" i="1"/>
  <c r="AN145" i="1"/>
  <c r="AO145" i="1"/>
  <c r="N145" i="1" s="1"/>
  <c r="AP145" i="1"/>
  <c r="AQ145" i="1"/>
  <c r="AR145" i="1"/>
  <c r="AS145" i="1"/>
  <c r="AT145" i="1"/>
  <c r="AU145" i="1"/>
  <c r="AV145" i="1"/>
  <c r="AW145" i="1"/>
  <c r="AX145" i="1"/>
  <c r="AH146" i="1"/>
  <c r="AI146" i="1"/>
  <c r="H146" i="1" s="1"/>
  <c r="AJ146" i="1"/>
  <c r="AK146" i="1"/>
  <c r="AL146" i="1"/>
  <c r="AM146" i="1"/>
  <c r="AN146" i="1"/>
  <c r="M146" i="1" s="1"/>
  <c r="AO146" i="1"/>
  <c r="AP146" i="1"/>
  <c r="AQ146" i="1"/>
  <c r="AR146" i="1"/>
  <c r="AS146" i="1"/>
  <c r="AT146" i="1"/>
  <c r="AU146" i="1"/>
  <c r="AV146" i="1"/>
  <c r="AW146" i="1"/>
  <c r="AX146" i="1"/>
  <c r="AH147" i="1"/>
  <c r="AI147" i="1"/>
  <c r="AJ147" i="1"/>
  <c r="AK147" i="1"/>
  <c r="J147" i="1" s="1"/>
  <c r="AL147" i="1"/>
  <c r="K147" i="1" s="1"/>
  <c r="AM147" i="1"/>
  <c r="L147" i="1" s="1"/>
  <c r="AN147" i="1"/>
  <c r="AO147" i="1"/>
  <c r="AP147" i="1"/>
  <c r="AQ147" i="1"/>
  <c r="AR147" i="1"/>
  <c r="AS147" i="1"/>
  <c r="AT147" i="1"/>
  <c r="AU147" i="1"/>
  <c r="AV147" i="1"/>
  <c r="AW147" i="1"/>
  <c r="AX147" i="1"/>
  <c r="AH148" i="1"/>
  <c r="AI148" i="1"/>
  <c r="AJ148" i="1"/>
  <c r="AK148" i="1"/>
  <c r="AL148" i="1"/>
  <c r="AM148" i="1"/>
  <c r="AN148" i="1"/>
  <c r="AO148" i="1"/>
  <c r="AP148" i="1"/>
  <c r="O148" i="1" s="1"/>
  <c r="AQ148" i="1"/>
  <c r="P148" i="1" s="1"/>
  <c r="AR148" i="1"/>
  <c r="Q148" i="1" s="1"/>
  <c r="AS148" i="1"/>
  <c r="R148" i="1" s="1"/>
  <c r="AT148" i="1"/>
  <c r="S148" i="1" s="1"/>
  <c r="AU148" i="1"/>
  <c r="T148" i="1" s="1"/>
  <c r="AV148" i="1"/>
  <c r="U148" i="1" s="1"/>
  <c r="AW148" i="1"/>
  <c r="V148" i="1" s="1"/>
  <c r="AX148" i="1"/>
  <c r="W148" i="1" s="1"/>
  <c r="AH149" i="1"/>
  <c r="AI149" i="1"/>
  <c r="AJ149" i="1"/>
  <c r="AK149" i="1"/>
  <c r="AL149" i="1"/>
  <c r="AM149" i="1"/>
  <c r="AN149" i="1"/>
  <c r="AO149" i="1"/>
  <c r="AP149" i="1"/>
  <c r="AQ149" i="1"/>
  <c r="AR149" i="1"/>
  <c r="AS149" i="1"/>
  <c r="AT149" i="1"/>
  <c r="AU149" i="1"/>
  <c r="AV149" i="1"/>
  <c r="AW149" i="1"/>
  <c r="AX149" i="1"/>
  <c r="AH150" i="1"/>
  <c r="AI150" i="1"/>
  <c r="AJ150" i="1"/>
  <c r="I150" i="1" s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H151" i="1"/>
  <c r="G151" i="1" s="1"/>
  <c r="AI151" i="1"/>
  <c r="AJ151" i="1"/>
  <c r="AK151" i="1"/>
  <c r="AL151" i="1"/>
  <c r="AM151" i="1"/>
  <c r="AN151" i="1"/>
  <c r="AO151" i="1"/>
  <c r="N151" i="1" s="1"/>
  <c r="AP151" i="1"/>
  <c r="AQ151" i="1"/>
  <c r="AR151" i="1"/>
  <c r="AS151" i="1"/>
  <c r="AT151" i="1"/>
  <c r="AU151" i="1"/>
  <c r="AV151" i="1"/>
  <c r="AW151" i="1"/>
  <c r="AX151" i="1"/>
  <c r="AH152" i="1"/>
  <c r="AI152" i="1"/>
  <c r="AJ152" i="1"/>
  <c r="AK152" i="1"/>
  <c r="J152" i="1" s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H153" i="1"/>
  <c r="AI153" i="1"/>
  <c r="H153" i="1" s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T154" i="1" s="1"/>
  <c r="AV154" i="1"/>
  <c r="U154" i="1" s="1"/>
  <c r="AW154" i="1"/>
  <c r="V154" i="1" s="1"/>
  <c r="AX154" i="1"/>
  <c r="W154" i="1" s="1"/>
  <c r="AH155" i="1"/>
  <c r="AI155" i="1"/>
  <c r="AJ155" i="1"/>
  <c r="AK155" i="1"/>
  <c r="AL155" i="1"/>
  <c r="K155" i="1" s="1"/>
  <c r="AM155" i="1"/>
  <c r="L155" i="1" s="1"/>
  <c r="AN155" i="1"/>
  <c r="M155" i="1" s="1"/>
  <c r="AO155" i="1"/>
  <c r="AP155" i="1"/>
  <c r="AQ155" i="1"/>
  <c r="AR155" i="1"/>
  <c r="AS155" i="1"/>
  <c r="AT155" i="1"/>
  <c r="AU155" i="1"/>
  <c r="AV155" i="1"/>
  <c r="AW155" i="1"/>
  <c r="AX155" i="1"/>
  <c r="AH156" i="1"/>
  <c r="G156" i="1" s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H157" i="1"/>
  <c r="AI157" i="1"/>
  <c r="AJ157" i="1"/>
  <c r="I157" i="1" s="1"/>
  <c r="AK157" i="1"/>
  <c r="J157" i="1" s="1"/>
  <c r="AL157" i="1"/>
  <c r="AM157" i="1"/>
  <c r="AN157" i="1"/>
  <c r="AO157" i="1"/>
  <c r="AP157" i="1"/>
  <c r="O157" i="1" s="1"/>
  <c r="AQ157" i="1"/>
  <c r="P157" i="1" s="1"/>
  <c r="AR157" i="1"/>
  <c r="Q157" i="1" s="1"/>
  <c r="AS157" i="1"/>
  <c r="R157" i="1" s="1"/>
  <c r="AT157" i="1"/>
  <c r="S157" i="1" s="1"/>
  <c r="AU157" i="1"/>
  <c r="AV157" i="1"/>
  <c r="AW157" i="1"/>
  <c r="AX157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H161" i="1"/>
  <c r="AI161" i="1"/>
  <c r="AJ161" i="1"/>
  <c r="AK161" i="1"/>
  <c r="AL161" i="1"/>
  <c r="AM161" i="1"/>
  <c r="AN161" i="1"/>
  <c r="AO161" i="1"/>
  <c r="N161" i="1" s="1"/>
  <c r="AP161" i="1"/>
  <c r="AQ161" i="1"/>
  <c r="AR161" i="1"/>
  <c r="AS161" i="1"/>
  <c r="AT161" i="1"/>
  <c r="AU161" i="1"/>
  <c r="AV161" i="1"/>
  <c r="AW161" i="1"/>
  <c r="AX161" i="1"/>
  <c r="AH162" i="1"/>
  <c r="AI162" i="1"/>
  <c r="H162" i="1" s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T162" i="1" s="1"/>
  <c r="AV162" i="1"/>
  <c r="U162" i="1" s="1"/>
  <c r="AW162" i="1"/>
  <c r="V162" i="1" s="1"/>
  <c r="AX162" i="1"/>
  <c r="W162" i="1" s="1"/>
  <c r="AH163" i="1"/>
  <c r="G163" i="1" s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H165" i="1"/>
  <c r="AI165" i="1"/>
  <c r="AJ165" i="1"/>
  <c r="I165" i="1" s="1"/>
  <c r="AK165" i="1"/>
  <c r="J165" i="1" s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H166" i="1"/>
  <c r="AI166" i="1"/>
  <c r="AJ166" i="1"/>
  <c r="AK166" i="1"/>
  <c r="AL166" i="1"/>
  <c r="K166" i="1" s="1"/>
  <c r="AM166" i="1"/>
  <c r="L166" i="1" s="1"/>
  <c r="AN166" i="1"/>
  <c r="AO166" i="1"/>
  <c r="AP166" i="1"/>
  <c r="AQ166" i="1"/>
  <c r="AR166" i="1"/>
  <c r="AS166" i="1"/>
  <c r="AT166" i="1"/>
  <c r="AU166" i="1"/>
  <c r="AV166" i="1"/>
  <c r="AW166" i="1"/>
  <c r="AX166" i="1"/>
  <c r="AH167" i="1"/>
  <c r="AI167" i="1"/>
  <c r="AJ167" i="1"/>
  <c r="AK167" i="1"/>
  <c r="AL167" i="1"/>
  <c r="AM167" i="1"/>
  <c r="AN167" i="1"/>
  <c r="M167" i="1" s="1"/>
  <c r="AO167" i="1"/>
  <c r="AP167" i="1"/>
  <c r="O167" i="1" s="1"/>
  <c r="AQ167" i="1"/>
  <c r="P167" i="1" s="1"/>
  <c r="AR167" i="1"/>
  <c r="Q167" i="1" s="1"/>
  <c r="AS167" i="1"/>
  <c r="R167" i="1" s="1"/>
  <c r="AT167" i="1"/>
  <c r="S167" i="1" s="1"/>
  <c r="AU167" i="1"/>
  <c r="AV167" i="1"/>
  <c r="AW167" i="1"/>
  <c r="AX167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H169" i="1"/>
  <c r="G169" i="1" s="1"/>
  <c r="AI169" i="1"/>
  <c r="AJ169" i="1"/>
  <c r="AK169" i="1"/>
  <c r="J169" i="1" s="1"/>
  <c r="AL169" i="1"/>
  <c r="AM169" i="1"/>
  <c r="AN169" i="1"/>
  <c r="AO169" i="1"/>
  <c r="N169" i="1" s="1"/>
  <c r="AP169" i="1"/>
  <c r="AQ169" i="1"/>
  <c r="AR169" i="1"/>
  <c r="AS169" i="1"/>
  <c r="AT169" i="1"/>
  <c r="AU169" i="1"/>
  <c r="T169" i="1" s="1"/>
  <c r="AV169" i="1"/>
  <c r="U169" i="1" s="1"/>
  <c r="AW169" i="1"/>
  <c r="V169" i="1" s="1"/>
  <c r="AX169" i="1"/>
  <c r="W169" i="1" s="1"/>
  <c r="AH170" i="1"/>
  <c r="AI170" i="1"/>
  <c r="H170" i="1" s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H171" i="1"/>
  <c r="AI171" i="1"/>
  <c r="AJ171" i="1"/>
  <c r="I171" i="1" s="1"/>
  <c r="AK171" i="1"/>
  <c r="AL171" i="1"/>
  <c r="K171" i="1" s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H172" i="1"/>
  <c r="AI172" i="1"/>
  <c r="AJ172" i="1"/>
  <c r="AK172" i="1"/>
  <c r="AL172" i="1"/>
  <c r="AM172" i="1"/>
  <c r="AN172" i="1"/>
  <c r="AO172" i="1"/>
  <c r="AP172" i="1"/>
  <c r="O172" i="1" s="1"/>
  <c r="AQ172" i="1"/>
  <c r="P172" i="1" s="1"/>
  <c r="AR172" i="1"/>
  <c r="Q172" i="1" s="1"/>
  <c r="AS172" i="1"/>
  <c r="R172" i="1" s="1"/>
  <c r="AT172" i="1"/>
  <c r="S172" i="1" s="1"/>
  <c r="AU172" i="1"/>
  <c r="AV172" i="1"/>
  <c r="AW172" i="1"/>
  <c r="AX172" i="1"/>
  <c r="AH173" i="1"/>
  <c r="AI173" i="1"/>
  <c r="AJ173" i="1"/>
  <c r="AK173" i="1"/>
  <c r="AL173" i="1"/>
  <c r="AM173" i="1"/>
  <c r="L173" i="1" s="1"/>
  <c r="AN173" i="1"/>
  <c r="M173" i="1" s="1"/>
  <c r="AO173" i="1"/>
  <c r="AP173" i="1"/>
  <c r="AQ173" i="1"/>
  <c r="AR173" i="1"/>
  <c r="AS173" i="1"/>
  <c r="AT173" i="1"/>
  <c r="AU173" i="1"/>
  <c r="AV173" i="1"/>
  <c r="AW173" i="1"/>
  <c r="AX173" i="1"/>
  <c r="AH174" i="1"/>
  <c r="G174" i="1" s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T174" i="1" s="1"/>
  <c r="AV174" i="1"/>
  <c r="U174" i="1" s="1"/>
  <c r="AW174" i="1"/>
  <c r="V174" i="1" s="1"/>
  <c r="AX174" i="1"/>
  <c r="W174" i="1" s="1"/>
  <c r="AH175" i="1"/>
  <c r="AI175" i="1"/>
  <c r="H175" i="1" s="1"/>
  <c r="AJ175" i="1"/>
  <c r="AK175" i="1"/>
  <c r="J175" i="1" s="1"/>
  <c r="AL175" i="1"/>
  <c r="AM175" i="1"/>
  <c r="AN175" i="1"/>
  <c r="AO175" i="1"/>
  <c r="N175" i="1" s="1"/>
  <c r="AP175" i="1"/>
  <c r="AQ175" i="1"/>
  <c r="AR175" i="1"/>
  <c r="AS175" i="1"/>
  <c r="AT175" i="1"/>
  <c r="AU175" i="1"/>
  <c r="AV175" i="1"/>
  <c r="AW175" i="1"/>
  <c r="AX175" i="1"/>
  <c r="AH176" i="1"/>
  <c r="AI176" i="1"/>
  <c r="AJ176" i="1"/>
  <c r="I176" i="1" s="1"/>
  <c r="AK176" i="1"/>
  <c r="AL176" i="1"/>
  <c r="K176" i="1" s="1"/>
  <c r="AM176" i="1"/>
  <c r="L176" i="1" s="1"/>
  <c r="AN176" i="1"/>
  <c r="M176" i="1" s="1"/>
  <c r="AO176" i="1"/>
  <c r="AP176" i="1"/>
  <c r="O176" i="1" s="1"/>
  <c r="AQ176" i="1"/>
  <c r="P176" i="1" s="1"/>
  <c r="AR176" i="1"/>
  <c r="Q176" i="1" s="1"/>
  <c r="AS176" i="1"/>
  <c r="R176" i="1" s="1"/>
  <c r="AT176" i="1"/>
  <c r="S176" i="1" s="1"/>
  <c r="AU176" i="1"/>
  <c r="AV176" i="1"/>
  <c r="AW176" i="1"/>
  <c r="AX176" i="1"/>
  <c r="AH177" i="1"/>
  <c r="AI177" i="1"/>
  <c r="AJ177" i="1"/>
  <c r="AK177" i="1"/>
  <c r="AL177" i="1"/>
  <c r="AM177" i="1"/>
  <c r="AN177" i="1"/>
  <c r="AO177" i="1"/>
  <c r="N177" i="1" s="1"/>
  <c r="AP177" i="1"/>
  <c r="AQ177" i="1"/>
  <c r="AR177" i="1"/>
  <c r="AS177" i="1"/>
  <c r="AT177" i="1"/>
  <c r="AU177" i="1"/>
  <c r="AV177" i="1"/>
  <c r="AW177" i="1"/>
  <c r="AX177" i="1"/>
  <c r="AH178" i="1"/>
  <c r="G178" i="1" s="1"/>
  <c r="AI178" i="1"/>
  <c r="H178" i="1" s="1"/>
  <c r="AJ178" i="1"/>
  <c r="AK178" i="1"/>
  <c r="J178" i="1" s="1"/>
  <c r="AL178" i="1"/>
  <c r="AM178" i="1"/>
  <c r="AN178" i="1"/>
  <c r="AO178" i="1"/>
  <c r="AP178" i="1"/>
  <c r="AQ178" i="1"/>
  <c r="AR178" i="1"/>
  <c r="AS178" i="1"/>
  <c r="AT178" i="1"/>
  <c r="AU178" i="1"/>
  <c r="T178" i="1" s="1"/>
  <c r="AV178" i="1"/>
  <c r="U178" i="1" s="1"/>
  <c r="AW178" i="1"/>
  <c r="V178" i="1" s="1"/>
  <c r="AX178" i="1"/>
  <c r="W178" i="1" s="1"/>
  <c r="AH179" i="1"/>
  <c r="AI179" i="1"/>
  <c r="AJ179" i="1"/>
  <c r="I179" i="1" s="1"/>
  <c r="AK179" i="1"/>
  <c r="AL179" i="1"/>
  <c r="K179" i="1" s="1"/>
  <c r="AM179" i="1"/>
  <c r="AN179" i="1"/>
  <c r="M179" i="1" s="1"/>
  <c r="AO179" i="1"/>
  <c r="N179" i="1" s="1"/>
  <c r="AP179" i="1"/>
  <c r="O179" i="1" s="1"/>
  <c r="AQ179" i="1"/>
  <c r="P179" i="1" s="1"/>
  <c r="AR179" i="1"/>
  <c r="Q179" i="1" s="1"/>
  <c r="AS179" i="1"/>
  <c r="R179" i="1" s="1"/>
  <c r="AT179" i="1"/>
  <c r="S179" i="1" s="1"/>
  <c r="AU179" i="1"/>
  <c r="AV179" i="1"/>
  <c r="AW179" i="1"/>
  <c r="AX179" i="1"/>
  <c r="AH180" i="1"/>
  <c r="AI180" i="1"/>
  <c r="AJ180" i="1"/>
  <c r="AK180" i="1"/>
  <c r="AL180" i="1"/>
  <c r="AM180" i="1"/>
  <c r="L180" i="1" s="1"/>
  <c r="AN180" i="1"/>
  <c r="AO180" i="1"/>
  <c r="AP180" i="1"/>
  <c r="AQ180" i="1"/>
  <c r="AR180" i="1"/>
  <c r="AS180" i="1"/>
  <c r="AT180" i="1"/>
  <c r="AU180" i="1"/>
  <c r="AV180" i="1"/>
  <c r="AW180" i="1"/>
  <c r="AX180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AT181" i="1"/>
  <c r="AU181" i="1"/>
  <c r="AV181" i="1"/>
  <c r="AW181" i="1"/>
  <c r="AX181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AW183" i="1"/>
  <c r="AX183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H185" i="1"/>
  <c r="AI185" i="1"/>
  <c r="AJ185" i="1"/>
  <c r="AK185" i="1"/>
  <c r="AL185" i="1"/>
  <c r="AM185" i="1"/>
  <c r="AN185" i="1"/>
  <c r="AO185" i="1"/>
  <c r="AP185" i="1"/>
  <c r="AQ185" i="1"/>
  <c r="AR185" i="1"/>
  <c r="AS185" i="1"/>
  <c r="AT185" i="1"/>
  <c r="AU185" i="1"/>
  <c r="AV185" i="1"/>
  <c r="AW185" i="1"/>
  <c r="AX185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H189" i="1"/>
  <c r="AI189" i="1"/>
  <c r="AJ189" i="1"/>
  <c r="AK189" i="1"/>
  <c r="AL189" i="1"/>
  <c r="AM189" i="1"/>
  <c r="AN189" i="1"/>
  <c r="AO189" i="1"/>
  <c r="AP189" i="1"/>
  <c r="AQ189" i="1"/>
  <c r="AR189" i="1"/>
  <c r="AS189" i="1"/>
  <c r="AT189" i="1"/>
  <c r="AU189" i="1"/>
  <c r="AV189" i="1"/>
  <c r="AW189" i="1"/>
  <c r="AX189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H191" i="1"/>
  <c r="AI191" i="1"/>
  <c r="AJ191" i="1"/>
  <c r="AK191" i="1"/>
  <c r="AL191" i="1"/>
  <c r="AM191" i="1"/>
  <c r="AN191" i="1"/>
  <c r="AO191" i="1"/>
  <c r="AP191" i="1"/>
  <c r="AQ191" i="1"/>
  <c r="AR191" i="1"/>
  <c r="AS191" i="1"/>
  <c r="AT191" i="1"/>
  <c r="AU191" i="1"/>
  <c r="AV191" i="1"/>
  <c r="AW191" i="1"/>
  <c r="AX191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H193" i="1"/>
  <c r="AI193" i="1"/>
  <c r="AJ193" i="1"/>
  <c r="AK193" i="1"/>
  <c r="AL193" i="1"/>
  <c r="AM193" i="1"/>
  <c r="AN193" i="1"/>
  <c r="AO193" i="1"/>
  <c r="AP193" i="1"/>
  <c r="AQ193" i="1"/>
  <c r="AR193" i="1"/>
  <c r="AS193" i="1"/>
  <c r="AT193" i="1"/>
  <c r="AU193" i="1"/>
  <c r="AV193" i="1"/>
  <c r="AW193" i="1"/>
  <c r="AX193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H195" i="1"/>
  <c r="AI195" i="1"/>
  <c r="AJ195" i="1"/>
  <c r="AK195" i="1"/>
  <c r="AL195" i="1"/>
  <c r="AM195" i="1"/>
  <c r="AN195" i="1"/>
  <c r="AO195" i="1"/>
  <c r="AP195" i="1"/>
  <c r="AQ195" i="1"/>
  <c r="AR195" i="1"/>
  <c r="AS195" i="1"/>
  <c r="AT195" i="1"/>
  <c r="AU195" i="1"/>
  <c r="AV195" i="1"/>
  <c r="AW195" i="1"/>
  <c r="AX195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H197" i="1"/>
  <c r="AI197" i="1"/>
  <c r="AJ197" i="1"/>
  <c r="AK197" i="1"/>
  <c r="AL197" i="1"/>
  <c r="AM197" i="1"/>
  <c r="AN197" i="1"/>
  <c r="AO197" i="1"/>
  <c r="AP197" i="1"/>
  <c r="AQ197" i="1"/>
  <c r="AR197" i="1"/>
  <c r="AS197" i="1"/>
  <c r="AT197" i="1"/>
  <c r="AU197" i="1"/>
  <c r="AV197" i="1"/>
  <c r="AW197" i="1"/>
  <c r="AX197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H199" i="1"/>
  <c r="AI199" i="1"/>
  <c r="AJ199" i="1"/>
  <c r="AK199" i="1"/>
  <c r="AL199" i="1"/>
  <c r="AM199" i="1"/>
  <c r="AN199" i="1"/>
  <c r="AO199" i="1"/>
  <c r="AP199" i="1"/>
  <c r="AQ199" i="1"/>
  <c r="AR199" i="1"/>
  <c r="AS199" i="1"/>
  <c r="AT199" i="1"/>
  <c r="AU199" i="1"/>
  <c r="AV199" i="1"/>
  <c r="AW199" i="1"/>
  <c r="AX199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H201" i="1"/>
  <c r="AI201" i="1"/>
  <c r="AJ201" i="1"/>
  <c r="AK201" i="1"/>
  <c r="AL201" i="1"/>
  <c r="AM201" i="1"/>
  <c r="AN201" i="1"/>
  <c r="AO201" i="1"/>
  <c r="AP201" i="1"/>
  <c r="AQ201" i="1"/>
  <c r="AR201" i="1"/>
  <c r="AS201" i="1"/>
  <c r="AT201" i="1"/>
  <c r="AU201" i="1"/>
  <c r="AV201" i="1"/>
  <c r="AW201" i="1"/>
  <c r="AX201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H203" i="1"/>
  <c r="AI203" i="1"/>
  <c r="AJ203" i="1"/>
  <c r="AK203" i="1"/>
  <c r="AL203" i="1"/>
  <c r="AM203" i="1"/>
  <c r="AN203" i="1"/>
  <c r="AO203" i="1"/>
  <c r="AP203" i="1"/>
  <c r="AQ203" i="1"/>
  <c r="AR203" i="1"/>
  <c r="AS203" i="1"/>
  <c r="AT203" i="1"/>
  <c r="AU203" i="1"/>
  <c r="AV203" i="1"/>
  <c r="AW203" i="1"/>
  <c r="AX203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H207" i="1"/>
  <c r="G207" i="1" s="1"/>
  <c r="AI207" i="1"/>
  <c r="H207" i="1" s="1"/>
  <c r="AJ207" i="1"/>
  <c r="I207" i="1" s="1"/>
  <c r="AK207" i="1"/>
  <c r="J207" i="1" s="1"/>
  <c r="AL207" i="1"/>
  <c r="K207" i="1" s="1"/>
  <c r="AM207" i="1"/>
  <c r="L207" i="1" s="1"/>
  <c r="AN207" i="1"/>
  <c r="M207" i="1" s="1"/>
  <c r="AO207" i="1"/>
  <c r="N207" i="1" s="1"/>
  <c r="AP207" i="1"/>
  <c r="O207" i="1" s="1"/>
  <c r="AQ207" i="1"/>
  <c r="P207" i="1" s="1"/>
  <c r="AR207" i="1"/>
  <c r="Q207" i="1" s="1"/>
  <c r="AS207" i="1"/>
  <c r="R207" i="1" s="1"/>
  <c r="AT207" i="1"/>
  <c r="S207" i="1" s="1"/>
  <c r="AU207" i="1"/>
  <c r="T207" i="1" s="1"/>
  <c r="AV207" i="1"/>
  <c r="U207" i="1" s="1"/>
  <c r="AW207" i="1"/>
  <c r="V207" i="1" s="1"/>
  <c r="AX207" i="1"/>
  <c r="W207" i="1" s="1"/>
  <c r="AH208" i="1"/>
  <c r="G208" i="1" s="1"/>
  <c r="AI208" i="1"/>
  <c r="H208" i="1" s="1"/>
  <c r="AJ208" i="1"/>
  <c r="I208" i="1" s="1"/>
  <c r="AK208" i="1"/>
  <c r="J208" i="1" s="1"/>
  <c r="AL208" i="1"/>
  <c r="K208" i="1" s="1"/>
  <c r="AM208" i="1"/>
  <c r="L208" i="1" s="1"/>
  <c r="AN208" i="1"/>
  <c r="M208" i="1" s="1"/>
  <c r="AO208" i="1"/>
  <c r="N208" i="1" s="1"/>
  <c r="AP208" i="1"/>
  <c r="O208" i="1" s="1"/>
  <c r="AQ208" i="1"/>
  <c r="P208" i="1" s="1"/>
  <c r="AR208" i="1"/>
  <c r="Q208" i="1" s="1"/>
  <c r="AS208" i="1"/>
  <c r="R208" i="1" s="1"/>
  <c r="AT208" i="1"/>
  <c r="S208" i="1" s="1"/>
  <c r="AU208" i="1"/>
  <c r="T208" i="1" s="1"/>
  <c r="AV208" i="1"/>
  <c r="U208" i="1" s="1"/>
  <c r="AW208" i="1"/>
  <c r="V208" i="1" s="1"/>
  <c r="AX208" i="1"/>
  <c r="W208" i="1" s="1"/>
  <c r="AH209" i="1"/>
  <c r="G209" i="1" s="1"/>
  <c r="AI209" i="1"/>
  <c r="H209" i="1" s="1"/>
  <c r="AJ209" i="1"/>
  <c r="I209" i="1" s="1"/>
  <c r="AK209" i="1"/>
  <c r="J209" i="1" s="1"/>
  <c r="AL209" i="1"/>
  <c r="K209" i="1" s="1"/>
  <c r="AM209" i="1"/>
  <c r="L209" i="1" s="1"/>
  <c r="AN209" i="1"/>
  <c r="M209" i="1" s="1"/>
  <c r="AO209" i="1"/>
  <c r="N209" i="1" s="1"/>
  <c r="AP209" i="1"/>
  <c r="O209" i="1" s="1"/>
  <c r="AQ209" i="1"/>
  <c r="P209" i="1" s="1"/>
  <c r="AR209" i="1"/>
  <c r="Q209" i="1" s="1"/>
  <c r="AS209" i="1"/>
  <c r="R209" i="1" s="1"/>
  <c r="AT209" i="1"/>
  <c r="S209" i="1" s="1"/>
  <c r="AU209" i="1"/>
  <c r="T209" i="1" s="1"/>
  <c r="AV209" i="1"/>
  <c r="U209" i="1" s="1"/>
  <c r="AW209" i="1"/>
  <c r="V209" i="1" s="1"/>
  <c r="AX209" i="1"/>
  <c r="W209" i="1" s="1"/>
  <c r="AH210" i="1"/>
  <c r="G210" i="1" s="1"/>
  <c r="AI210" i="1"/>
  <c r="H210" i="1" s="1"/>
  <c r="AJ210" i="1"/>
  <c r="I210" i="1" s="1"/>
  <c r="AK210" i="1"/>
  <c r="J210" i="1" s="1"/>
  <c r="AL210" i="1"/>
  <c r="K210" i="1" s="1"/>
  <c r="AM210" i="1"/>
  <c r="L210" i="1" s="1"/>
  <c r="AN210" i="1"/>
  <c r="M210" i="1" s="1"/>
  <c r="AO210" i="1"/>
  <c r="N210" i="1" s="1"/>
  <c r="AP210" i="1"/>
  <c r="O210" i="1" s="1"/>
  <c r="AQ210" i="1"/>
  <c r="P210" i="1" s="1"/>
  <c r="AR210" i="1"/>
  <c r="Q210" i="1" s="1"/>
  <c r="AS210" i="1"/>
  <c r="R210" i="1" s="1"/>
  <c r="AT210" i="1"/>
  <c r="S210" i="1" s="1"/>
  <c r="AU210" i="1"/>
  <c r="T210" i="1" s="1"/>
  <c r="AV210" i="1"/>
  <c r="U210" i="1" s="1"/>
  <c r="AW210" i="1"/>
  <c r="V210" i="1" s="1"/>
  <c r="AX210" i="1"/>
  <c r="W210" i="1" s="1"/>
  <c r="AH211" i="1"/>
  <c r="G211" i="1" s="1"/>
  <c r="AI211" i="1"/>
  <c r="H211" i="1" s="1"/>
  <c r="AJ211" i="1"/>
  <c r="I211" i="1" s="1"/>
  <c r="AK211" i="1"/>
  <c r="J211" i="1" s="1"/>
  <c r="AL211" i="1"/>
  <c r="K211" i="1" s="1"/>
  <c r="AM211" i="1"/>
  <c r="L211" i="1" s="1"/>
  <c r="AN211" i="1"/>
  <c r="M211" i="1" s="1"/>
  <c r="AO211" i="1"/>
  <c r="N211" i="1" s="1"/>
  <c r="AP211" i="1"/>
  <c r="O211" i="1" s="1"/>
  <c r="AQ211" i="1"/>
  <c r="P211" i="1" s="1"/>
  <c r="AR211" i="1"/>
  <c r="Q211" i="1" s="1"/>
  <c r="AS211" i="1"/>
  <c r="R211" i="1" s="1"/>
  <c r="AT211" i="1"/>
  <c r="S211" i="1" s="1"/>
  <c r="AU211" i="1"/>
  <c r="T211" i="1" s="1"/>
  <c r="AV211" i="1"/>
  <c r="U211" i="1" s="1"/>
  <c r="AW211" i="1"/>
  <c r="V211" i="1" s="1"/>
  <c r="AX211" i="1"/>
  <c r="W211" i="1" s="1"/>
  <c r="AH212" i="1"/>
  <c r="G212" i="1" s="1"/>
  <c r="AI212" i="1"/>
  <c r="H212" i="1" s="1"/>
  <c r="AJ212" i="1"/>
  <c r="I212" i="1" s="1"/>
  <c r="AK212" i="1"/>
  <c r="J212" i="1" s="1"/>
  <c r="AL212" i="1"/>
  <c r="K212" i="1" s="1"/>
  <c r="AM212" i="1"/>
  <c r="L212" i="1" s="1"/>
  <c r="AN212" i="1"/>
  <c r="M212" i="1" s="1"/>
  <c r="AO212" i="1"/>
  <c r="N212" i="1" s="1"/>
  <c r="AP212" i="1"/>
  <c r="O212" i="1" s="1"/>
  <c r="AQ212" i="1"/>
  <c r="P212" i="1" s="1"/>
  <c r="AR212" i="1"/>
  <c r="Q212" i="1" s="1"/>
  <c r="AS212" i="1"/>
  <c r="R212" i="1" s="1"/>
  <c r="AT212" i="1"/>
  <c r="S212" i="1" s="1"/>
  <c r="AU212" i="1"/>
  <c r="T212" i="1" s="1"/>
  <c r="AV212" i="1"/>
  <c r="U212" i="1" s="1"/>
  <c r="AW212" i="1"/>
  <c r="V212" i="1" s="1"/>
  <c r="AX212" i="1"/>
  <c r="W212" i="1" s="1"/>
  <c r="AH213" i="1"/>
  <c r="G213" i="1" s="1"/>
  <c r="AI213" i="1"/>
  <c r="H213" i="1" s="1"/>
  <c r="AJ213" i="1"/>
  <c r="I213" i="1" s="1"/>
  <c r="AK213" i="1"/>
  <c r="J213" i="1" s="1"/>
  <c r="AL213" i="1"/>
  <c r="K213" i="1" s="1"/>
  <c r="AM213" i="1"/>
  <c r="L213" i="1" s="1"/>
  <c r="AN213" i="1"/>
  <c r="M213" i="1" s="1"/>
  <c r="AO213" i="1"/>
  <c r="N213" i="1" s="1"/>
  <c r="AP213" i="1"/>
  <c r="O213" i="1" s="1"/>
  <c r="AQ213" i="1"/>
  <c r="P213" i="1" s="1"/>
  <c r="AR213" i="1"/>
  <c r="Q213" i="1" s="1"/>
  <c r="AS213" i="1"/>
  <c r="R213" i="1" s="1"/>
  <c r="AT213" i="1"/>
  <c r="S213" i="1" s="1"/>
  <c r="AU213" i="1"/>
  <c r="T213" i="1" s="1"/>
  <c r="AV213" i="1"/>
  <c r="U213" i="1" s="1"/>
  <c r="AW213" i="1"/>
  <c r="V213" i="1" s="1"/>
  <c r="AX213" i="1"/>
  <c r="W213" i="1" s="1"/>
  <c r="AH214" i="1"/>
  <c r="G214" i="1" s="1"/>
  <c r="AI214" i="1"/>
  <c r="H214" i="1" s="1"/>
  <c r="AJ214" i="1"/>
  <c r="I214" i="1" s="1"/>
  <c r="AK214" i="1"/>
  <c r="J214" i="1" s="1"/>
  <c r="AL214" i="1"/>
  <c r="K214" i="1" s="1"/>
  <c r="AM214" i="1"/>
  <c r="L214" i="1" s="1"/>
  <c r="AN214" i="1"/>
  <c r="M214" i="1" s="1"/>
  <c r="AO214" i="1"/>
  <c r="N214" i="1" s="1"/>
  <c r="AP214" i="1"/>
  <c r="O214" i="1" s="1"/>
  <c r="AQ214" i="1"/>
  <c r="P214" i="1" s="1"/>
  <c r="AR214" i="1"/>
  <c r="Q214" i="1" s="1"/>
  <c r="AS214" i="1"/>
  <c r="R214" i="1" s="1"/>
  <c r="AT214" i="1"/>
  <c r="S214" i="1" s="1"/>
  <c r="AU214" i="1"/>
  <c r="T214" i="1" s="1"/>
  <c r="AV214" i="1"/>
  <c r="U214" i="1" s="1"/>
  <c r="AW214" i="1"/>
  <c r="V214" i="1" s="1"/>
  <c r="AX214" i="1"/>
  <c r="W214" i="1" s="1"/>
  <c r="AH215" i="1"/>
  <c r="G215" i="1" s="1"/>
  <c r="AI215" i="1"/>
  <c r="H215" i="1" s="1"/>
  <c r="AJ215" i="1"/>
  <c r="I215" i="1" s="1"/>
  <c r="AK215" i="1"/>
  <c r="J215" i="1" s="1"/>
  <c r="AL215" i="1"/>
  <c r="K215" i="1" s="1"/>
  <c r="AM215" i="1"/>
  <c r="L215" i="1" s="1"/>
  <c r="AN215" i="1"/>
  <c r="M215" i="1" s="1"/>
  <c r="AO215" i="1"/>
  <c r="N215" i="1" s="1"/>
  <c r="AP215" i="1"/>
  <c r="O215" i="1" s="1"/>
  <c r="AQ215" i="1"/>
  <c r="P215" i="1" s="1"/>
  <c r="AR215" i="1"/>
  <c r="Q215" i="1" s="1"/>
  <c r="AS215" i="1"/>
  <c r="R215" i="1" s="1"/>
  <c r="AT215" i="1"/>
  <c r="S215" i="1" s="1"/>
  <c r="AU215" i="1"/>
  <c r="T215" i="1" s="1"/>
  <c r="AV215" i="1"/>
  <c r="U215" i="1" s="1"/>
  <c r="AW215" i="1"/>
  <c r="V215" i="1" s="1"/>
  <c r="AX215" i="1"/>
  <c r="W215" i="1" s="1"/>
  <c r="AH216" i="1"/>
  <c r="G216" i="1" s="1"/>
  <c r="AI216" i="1"/>
  <c r="H216" i="1" s="1"/>
  <c r="AJ216" i="1"/>
  <c r="I216" i="1" s="1"/>
  <c r="AK216" i="1"/>
  <c r="J216" i="1" s="1"/>
  <c r="AL216" i="1"/>
  <c r="K216" i="1" s="1"/>
  <c r="AM216" i="1"/>
  <c r="L216" i="1" s="1"/>
  <c r="AN216" i="1"/>
  <c r="M216" i="1" s="1"/>
  <c r="AO216" i="1"/>
  <c r="N216" i="1" s="1"/>
  <c r="AP216" i="1"/>
  <c r="O216" i="1" s="1"/>
  <c r="AQ216" i="1"/>
  <c r="P216" i="1" s="1"/>
  <c r="AR216" i="1"/>
  <c r="Q216" i="1" s="1"/>
  <c r="AS216" i="1"/>
  <c r="R216" i="1" s="1"/>
  <c r="AT216" i="1"/>
  <c r="S216" i="1" s="1"/>
  <c r="AU216" i="1"/>
  <c r="T216" i="1" s="1"/>
  <c r="AV216" i="1"/>
  <c r="U216" i="1" s="1"/>
  <c r="AW216" i="1"/>
  <c r="V216" i="1" s="1"/>
  <c r="AX216" i="1"/>
  <c r="W216" i="1" s="1"/>
  <c r="AH217" i="1"/>
  <c r="G217" i="1" s="1"/>
  <c r="AI217" i="1"/>
  <c r="H217" i="1" s="1"/>
  <c r="AJ217" i="1"/>
  <c r="I217" i="1" s="1"/>
  <c r="AK217" i="1"/>
  <c r="J217" i="1" s="1"/>
  <c r="AL217" i="1"/>
  <c r="K217" i="1" s="1"/>
  <c r="AM217" i="1"/>
  <c r="L217" i="1" s="1"/>
  <c r="AN217" i="1"/>
  <c r="M217" i="1" s="1"/>
  <c r="AO217" i="1"/>
  <c r="N217" i="1" s="1"/>
  <c r="AP217" i="1"/>
  <c r="O217" i="1" s="1"/>
  <c r="AQ217" i="1"/>
  <c r="P217" i="1" s="1"/>
  <c r="AR217" i="1"/>
  <c r="Q217" i="1" s="1"/>
  <c r="AS217" i="1"/>
  <c r="R217" i="1" s="1"/>
  <c r="AT217" i="1"/>
  <c r="S217" i="1" s="1"/>
  <c r="AU217" i="1"/>
  <c r="T217" i="1" s="1"/>
  <c r="AV217" i="1"/>
  <c r="U217" i="1" s="1"/>
  <c r="AW217" i="1"/>
  <c r="V217" i="1" s="1"/>
  <c r="AX217" i="1"/>
  <c r="W217" i="1" s="1"/>
  <c r="AH218" i="1"/>
  <c r="G218" i="1" s="1"/>
  <c r="AI218" i="1"/>
  <c r="H218" i="1" s="1"/>
  <c r="AJ218" i="1"/>
  <c r="I218" i="1" s="1"/>
  <c r="AK218" i="1"/>
  <c r="J218" i="1" s="1"/>
  <c r="AL218" i="1"/>
  <c r="K218" i="1" s="1"/>
  <c r="AM218" i="1"/>
  <c r="L218" i="1" s="1"/>
  <c r="AN218" i="1"/>
  <c r="M218" i="1" s="1"/>
  <c r="AO218" i="1"/>
  <c r="N218" i="1" s="1"/>
  <c r="AP218" i="1"/>
  <c r="O218" i="1" s="1"/>
  <c r="AQ218" i="1"/>
  <c r="P218" i="1" s="1"/>
  <c r="AR218" i="1"/>
  <c r="Q218" i="1" s="1"/>
  <c r="AS218" i="1"/>
  <c r="R218" i="1" s="1"/>
  <c r="AT218" i="1"/>
  <c r="S218" i="1" s="1"/>
  <c r="AU218" i="1"/>
  <c r="T218" i="1" s="1"/>
  <c r="AV218" i="1"/>
  <c r="U218" i="1" s="1"/>
  <c r="AW218" i="1"/>
  <c r="V218" i="1" s="1"/>
  <c r="AX218" i="1"/>
  <c r="W218" i="1" s="1"/>
  <c r="AH219" i="1"/>
  <c r="G219" i="1" s="1"/>
  <c r="AI219" i="1"/>
  <c r="H219" i="1" s="1"/>
  <c r="BE7" i="6" s="1"/>
  <c r="AJ219" i="1"/>
  <c r="I219" i="1" s="1"/>
  <c r="AK219" i="1"/>
  <c r="J219" i="1" s="1"/>
  <c r="AL219" i="1"/>
  <c r="K219" i="1" s="1"/>
  <c r="AM219" i="1"/>
  <c r="L219" i="1" s="1"/>
  <c r="AN219" i="1"/>
  <c r="M219" i="1" s="1"/>
  <c r="AO219" i="1"/>
  <c r="N219" i="1" s="1"/>
  <c r="AP219" i="1"/>
  <c r="O219" i="1" s="1"/>
  <c r="AQ219" i="1"/>
  <c r="P219" i="1" s="1"/>
  <c r="AR219" i="1"/>
  <c r="Q219" i="1" s="1"/>
  <c r="AS219" i="1"/>
  <c r="R219" i="1" s="1"/>
  <c r="AT219" i="1"/>
  <c r="S219" i="1" s="1"/>
  <c r="AU219" i="1"/>
  <c r="T219" i="1" s="1"/>
  <c r="AV219" i="1"/>
  <c r="U219" i="1" s="1"/>
  <c r="AW219" i="1"/>
  <c r="V219" i="1" s="1"/>
  <c r="AX219" i="1"/>
  <c r="W219" i="1" s="1"/>
  <c r="AH220" i="1"/>
  <c r="G220" i="1" s="1"/>
  <c r="AI220" i="1"/>
  <c r="H220" i="1" s="1"/>
  <c r="AJ220" i="1"/>
  <c r="I220" i="1" s="1"/>
  <c r="AK220" i="1"/>
  <c r="J220" i="1" s="1"/>
  <c r="AL220" i="1"/>
  <c r="K220" i="1" s="1"/>
  <c r="AM220" i="1"/>
  <c r="L220" i="1" s="1"/>
  <c r="AN220" i="1"/>
  <c r="M220" i="1" s="1"/>
  <c r="AO220" i="1"/>
  <c r="N220" i="1" s="1"/>
  <c r="AP220" i="1"/>
  <c r="O220" i="1" s="1"/>
  <c r="AQ220" i="1"/>
  <c r="P220" i="1" s="1"/>
  <c r="AR220" i="1"/>
  <c r="Q220" i="1" s="1"/>
  <c r="AS220" i="1"/>
  <c r="R220" i="1" s="1"/>
  <c r="AT220" i="1"/>
  <c r="S220" i="1" s="1"/>
  <c r="AU220" i="1"/>
  <c r="T220" i="1" s="1"/>
  <c r="AV220" i="1"/>
  <c r="U220" i="1" s="1"/>
  <c r="AW220" i="1"/>
  <c r="V220" i="1" s="1"/>
  <c r="AX220" i="1"/>
  <c r="W220" i="1" s="1"/>
  <c r="AH221" i="1"/>
  <c r="G221" i="1" s="1"/>
  <c r="AI221" i="1"/>
  <c r="H221" i="1" s="1"/>
  <c r="AJ221" i="1"/>
  <c r="I221" i="1" s="1"/>
  <c r="AK221" i="1"/>
  <c r="J221" i="1" s="1"/>
  <c r="AL221" i="1"/>
  <c r="K221" i="1" s="1"/>
  <c r="AM221" i="1"/>
  <c r="L221" i="1" s="1"/>
  <c r="AN221" i="1"/>
  <c r="M221" i="1" s="1"/>
  <c r="AO221" i="1"/>
  <c r="N221" i="1" s="1"/>
  <c r="AP221" i="1"/>
  <c r="O221" i="1" s="1"/>
  <c r="AQ221" i="1"/>
  <c r="P221" i="1" s="1"/>
  <c r="AR221" i="1"/>
  <c r="Q221" i="1" s="1"/>
  <c r="AS221" i="1"/>
  <c r="R221" i="1" s="1"/>
  <c r="AT221" i="1"/>
  <c r="S221" i="1" s="1"/>
  <c r="AU221" i="1"/>
  <c r="T221" i="1" s="1"/>
  <c r="AV221" i="1"/>
  <c r="U221" i="1" s="1"/>
  <c r="AW221" i="1"/>
  <c r="V221" i="1" s="1"/>
  <c r="AX221" i="1"/>
  <c r="W221" i="1" s="1"/>
  <c r="AH222" i="1"/>
  <c r="G222" i="1" s="1"/>
  <c r="AI222" i="1"/>
  <c r="H222" i="1" s="1"/>
  <c r="AJ222" i="1"/>
  <c r="I222" i="1" s="1"/>
  <c r="AK222" i="1"/>
  <c r="J222" i="1" s="1"/>
  <c r="AL222" i="1"/>
  <c r="K222" i="1" s="1"/>
  <c r="AM222" i="1"/>
  <c r="L222" i="1" s="1"/>
  <c r="AN222" i="1"/>
  <c r="M222" i="1" s="1"/>
  <c r="AO222" i="1"/>
  <c r="N222" i="1" s="1"/>
  <c r="AP222" i="1"/>
  <c r="O222" i="1" s="1"/>
  <c r="AQ222" i="1"/>
  <c r="P222" i="1" s="1"/>
  <c r="AR222" i="1"/>
  <c r="Q222" i="1" s="1"/>
  <c r="AS222" i="1"/>
  <c r="R222" i="1" s="1"/>
  <c r="AT222" i="1"/>
  <c r="S222" i="1" s="1"/>
  <c r="AU222" i="1"/>
  <c r="T222" i="1" s="1"/>
  <c r="AV222" i="1"/>
  <c r="U222" i="1" s="1"/>
  <c r="AW222" i="1"/>
  <c r="V222" i="1" s="1"/>
  <c r="AX222" i="1"/>
  <c r="W222" i="1" s="1"/>
  <c r="AH223" i="1"/>
  <c r="G223" i="1" s="1"/>
  <c r="AI223" i="1"/>
  <c r="H223" i="1" s="1"/>
  <c r="AJ223" i="1"/>
  <c r="I223" i="1" s="1"/>
  <c r="AK223" i="1"/>
  <c r="J223" i="1" s="1"/>
  <c r="AL223" i="1"/>
  <c r="K223" i="1" s="1"/>
  <c r="AM223" i="1"/>
  <c r="L223" i="1" s="1"/>
  <c r="AN223" i="1"/>
  <c r="M223" i="1" s="1"/>
  <c r="AO223" i="1"/>
  <c r="N223" i="1" s="1"/>
  <c r="AP223" i="1"/>
  <c r="O223" i="1" s="1"/>
  <c r="AQ223" i="1"/>
  <c r="P223" i="1" s="1"/>
  <c r="AR223" i="1"/>
  <c r="Q223" i="1" s="1"/>
  <c r="AS223" i="1"/>
  <c r="R223" i="1" s="1"/>
  <c r="AT223" i="1"/>
  <c r="S223" i="1" s="1"/>
  <c r="AU223" i="1"/>
  <c r="T223" i="1" s="1"/>
  <c r="AV223" i="1"/>
  <c r="U223" i="1" s="1"/>
  <c r="AW223" i="1"/>
  <c r="V223" i="1" s="1"/>
  <c r="AX223" i="1"/>
  <c r="W223" i="1" s="1"/>
  <c r="AH224" i="1"/>
  <c r="G224" i="1" s="1"/>
  <c r="AI224" i="1"/>
  <c r="H224" i="1" s="1"/>
  <c r="AJ224" i="1"/>
  <c r="I224" i="1" s="1"/>
  <c r="AK224" i="1"/>
  <c r="J224" i="1" s="1"/>
  <c r="AL224" i="1"/>
  <c r="K224" i="1" s="1"/>
  <c r="AM224" i="1"/>
  <c r="L224" i="1" s="1"/>
  <c r="AN224" i="1"/>
  <c r="M224" i="1" s="1"/>
  <c r="AO224" i="1"/>
  <c r="N224" i="1" s="1"/>
  <c r="AP224" i="1"/>
  <c r="O224" i="1" s="1"/>
  <c r="AQ224" i="1"/>
  <c r="P224" i="1" s="1"/>
  <c r="AR224" i="1"/>
  <c r="Q224" i="1" s="1"/>
  <c r="AS224" i="1"/>
  <c r="R224" i="1" s="1"/>
  <c r="AT224" i="1"/>
  <c r="S224" i="1" s="1"/>
  <c r="AU224" i="1"/>
  <c r="T224" i="1" s="1"/>
  <c r="AV224" i="1"/>
  <c r="U224" i="1" s="1"/>
  <c r="AW224" i="1"/>
  <c r="V224" i="1" s="1"/>
  <c r="AX224" i="1"/>
  <c r="W224" i="1" s="1"/>
  <c r="AH225" i="1"/>
  <c r="G225" i="1" s="1"/>
  <c r="AI225" i="1"/>
  <c r="H225" i="1" s="1"/>
  <c r="AJ225" i="1"/>
  <c r="I225" i="1" s="1"/>
  <c r="AK225" i="1"/>
  <c r="J225" i="1" s="1"/>
  <c r="AL225" i="1"/>
  <c r="K225" i="1" s="1"/>
  <c r="AM225" i="1"/>
  <c r="L225" i="1" s="1"/>
  <c r="AN225" i="1"/>
  <c r="M225" i="1" s="1"/>
  <c r="AO225" i="1"/>
  <c r="N225" i="1" s="1"/>
  <c r="AP225" i="1"/>
  <c r="O225" i="1" s="1"/>
  <c r="AQ225" i="1"/>
  <c r="P225" i="1" s="1"/>
  <c r="AR225" i="1"/>
  <c r="Q225" i="1" s="1"/>
  <c r="AS225" i="1"/>
  <c r="R225" i="1" s="1"/>
  <c r="AT225" i="1"/>
  <c r="S225" i="1" s="1"/>
  <c r="AU225" i="1"/>
  <c r="T225" i="1" s="1"/>
  <c r="AV225" i="1"/>
  <c r="U225" i="1" s="1"/>
  <c r="AW225" i="1"/>
  <c r="V225" i="1" s="1"/>
  <c r="AX225" i="1"/>
  <c r="W225" i="1" s="1"/>
  <c r="AH226" i="1"/>
  <c r="G226" i="1" s="1"/>
  <c r="AI226" i="1"/>
  <c r="H226" i="1" s="1"/>
  <c r="AJ226" i="1"/>
  <c r="I226" i="1" s="1"/>
  <c r="AK226" i="1"/>
  <c r="J226" i="1" s="1"/>
  <c r="AL226" i="1"/>
  <c r="K226" i="1" s="1"/>
  <c r="AM226" i="1"/>
  <c r="L226" i="1" s="1"/>
  <c r="AN226" i="1"/>
  <c r="M226" i="1" s="1"/>
  <c r="AO226" i="1"/>
  <c r="N226" i="1" s="1"/>
  <c r="AP226" i="1"/>
  <c r="O226" i="1" s="1"/>
  <c r="AQ226" i="1"/>
  <c r="P226" i="1" s="1"/>
  <c r="AR226" i="1"/>
  <c r="Q226" i="1" s="1"/>
  <c r="AS226" i="1"/>
  <c r="R226" i="1" s="1"/>
  <c r="AT226" i="1"/>
  <c r="S226" i="1" s="1"/>
  <c r="AU226" i="1"/>
  <c r="T226" i="1" s="1"/>
  <c r="AV226" i="1"/>
  <c r="U226" i="1" s="1"/>
  <c r="AW226" i="1"/>
  <c r="V226" i="1" s="1"/>
  <c r="AX226" i="1"/>
  <c r="W226" i="1" s="1"/>
  <c r="AH227" i="1"/>
  <c r="G227" i="1" s="1"/>
  <c r="AI227" i="1"/>
  <c r="H227" i="1" s="1"/>
  <c r="AJ227" i="1"/>
  <c r="I227" i="1" s="1"/>
  <c r="AK227" i="1"/>
  <c r="J227" i="1" s="1"/>
  <c r="AL227" i="1"/>
  <c r="K227" i="1" s="1"/>
  <c r="AM227" i="1"/>
  <c r="L227" i="1" s="1"/>
  <c r="AN227" i="1"/>
  <c r="M227" i="1" s="1"/>
  <c r="AO227" i="1"/>
  <c r="N227" i="1" s="1"/>
  <c r="AP227" i="1"/>
  <c r="O227" i="1" s="1"/>
  <c r="AQ227" i="1"/>
  <c r="P227" i="1" s="1"/>
  <c r="AR227" i="1"/>
  <c r="Q227" i="1" s="1"/>
  <c r="AS227" i="1"/>
  <c r="R227" i="1" s="1"/>
  <c r="AT227" i="1"/>
  <c r="S227" i="1" s="1"/>
  <c r="AU227" i="1"/>
  <c r="T227" i="1" s="1"/>
  <c r="AV227" i="1"/>
  <c r="U227" i="1" s="1"/>
  <c r="AW227" i="1"/>
  <c r="V227" i="1" s="1"/>
  <c r="AX227" i="1"/>
  <c r="W227" i="1" s="1"/>
  <c r="AH228" i="1"/>
  <c r="G228" i="1" s="1"/>
  <c r="AI228" i="1"/>
  <c r="H228" i="1" s="1"/>
  <c r="AJ228" i="1"/>
  <c r="I228" i="1" s="1"/>
  <c r="AK228" i="1"/>
  <c r="J228" i="1" s="1"/>
  <c r="AL228" i="1"/>
  <c r="K228" i="1" s="1"/>
  <c r="AM228" i="1"/>
  <c r="L228" i="1" s="1"/>
  <c r="AN228" i="1"/>
  <c r="M228" i="1" s="1"/>
  <c r="AO228" i="1"/>
  <c r="N228" i="1" s="1"/>
  <c r="AP228" i="1"/>
  <c r="O228" i="1" s="1"/>
  <c r="AQ228" i="1"/>
  <c r="P228" i="1" s="1"/>
  <c r="AR228" i="1"/>
  <c r="Q228" i="1" s="1"/>
  <c r="AS228" i="1"/>
  <c r="R228" i="1" s="1"/>
  <c r="AT228" i="1"/>
  <c r="S228" i="1" s="1"/>
  <c r="AU228" i="1"/>
  <c r="T228" i="1" s="1"/>
  <c r="AV228" i="1"/>
  <c r="U228" i="1" s="1"/>
  <c r="AW228" i="1"/>
  <c r="V228" i="1" s="1"/>
  <c r="AX228" i="1"/>
  <c r="W228" i="1" s="1"/>
  <c r="AH229" i="1"/>
  <c r="G229" i="1" s="1"/>
  <c r="AI229" i="1"/>
  <c r="H229" i="1" s="1"/>
  <c r="AJ229" i="1"/>
  <c r="I229" i="1" s="1"/>
  <c r="AK229" i="1"/>
  <c r="J229" i="1" s="1"/>
  <c r="AL229" i="1"/>
  <c r="K229" i="1" s="1"/>
  <c r="AM229" i="1"/>
  <c r="L229" i="1" s="1"/>
  <c r="AN229" i="1"/>
  <c r="M229" i="1" s="1"/>
  <c r="AO229" i="1"/>
  <c r="N229" i="1" s="1"/>
  <c r="AP229" i="1"/>
  <c r="O229" i="1" s="1"/>
  <c r="AQ229" i="1"/>
  <c r="P229" i="1" s="1"/>
  <c r="AR229" i="1"/>
  <c r="Q229" i="1" s="1"/>
  <c r="AS229" i="1"/>
  <c r="R229" i="1" s="1"/>
  <c r="AT229" i="1"/>
  <c r="S229" i="1" s="1"/>
  <c r="AU229" i="1"/>
  <c r="T229" i="1" s="1"/>
  <c r="AV229" i="1"/>
  <c r="U229" i="1" s="1"/>
  <c r="AW229" i="1"/>
  <c r="V229" i="1" s="1"/>
  <c r="AX229" i="1"/>
  <c r="W229" i="1" s="1"/>
  <c r="AH230" i="1"/>
  <c r="G230" i="1" s="1"/>
  <c r="AI230" i="1"/>
  <c r="H230" i="1" s="1"/>
  <c r="AJ230" i="1"/>
  <c r="I230" i="1" s="1"/>
  <c r="AK230" i="1"/>
  <c r="J230" i="1" s="1"/>
  <c r="AL230" i="1"/>
  <c r="K230" i="1" s="1"/>
  <c r="AM230" i="1"/>
  <c r="L230" i="1" s="1"/>
  <c r="AN230" i="1"/>
  <c r="M230" i="1" s="1"/>
  <c r="AO230" i="1"/>
  <c r="N230" i="1" s="1"/>
  <c r="AP230" i="1"/>
  <c r="O230" i="1" s="1"/>
  <c r="AQ230" i="1"/>
  <c r="P230" i="1" s="1"/>
  <c r="AR230" i="1"/>
  <c r="Q230" i="1" s="1"/>
  <c r="AS230" i="1"/>
  <c r="R230" i="1" s="1"/>
  <c r="AT230" i="1"/>
  <c r="S230" i="1" s="1"/>
  <c r="AU230" i="1"/>
  <c r="T230" i="1" s="1"/>
  <c r="AV230" i="1"/>
  <c r="U230" i="1" s="1"/>
  <c r="AW230" i="1"/>
  <c r="V230" i="1" s="1"/>
  <c r="AX230" i="1"/>
  <c r="W230" i="1" s="1"/>
  <c r="AH231" i="1"/>
  <c r="G231" i="1" s="1"/>
  <c r="AI231" i="1"/>
  <c r="H231" i="1" s="1"/>
  <c r="AJ231" i="1"/>
  <c r="I231" i="1" s="1"/>
  <c r="AK231" i="1"/>
  <c r="J231" i="1" s="1"/>
  <c r="AL231" i="1"/>
  <c r="K231" i="1" s="1"/>
  <c r="AM231" i="1"/>
  <c r="L231" i="1" s="1"/>
  <c r="AN231" i="1"/>
  <c r="M231" i="1" s="1"/>
  <c r="AO231" i="1"/>
  <c r="N231" i="1" s="1"/>
  <c r="AP231" i="1"/>
  <c r="O231" i="1" s="1"/>
  <c r="AQ231" i="1"/>
  <c r="P231" i="1" s="1"/>
  <c r="AR231" i="1"/>
  <c r="Q231" i="1" s="1"/>
  <c r="AS231" i="1"/>
  <c r="R231" i="1" s="1"/>
  <c r="AT231" i="1"/>
  <c r="S231" i="1" s="1"/>
  <c r="AU231" i="1"/>
  <c r="T231" i="1" s="1"/>
  <c r="AV231" i="1"/>
  <c r="U231" i="1" s="1"/>
  <c r="AW231" i="1"/>
  <c r="V231" i="1" s="1"/>
  <c r="AX231" i="1"/>
  <c r="W231" i="1" s="1"/>
  <c r="AH232" i="1"/>
  <c r="G232" i="1" s="1"/>
  <c r="AI232" i="1"/>
  <c r="H232" i="1" s="1"/>
  <c r="AJ232" i="1"/>
  <c r="I232" i="1" s="1"/>
  <c r="AK232" i="1"/>
  <c r="J232" i="1" s="1"/>
  <c r="AL232" i="1"/>
  <c r="K232" i="1" s="1"/>
  <c r="AM232" i="1"/>
  <c r="L232" i="1" s="1"/>
  <c r="AN232" i="1"/>
  <c r="M232" i="1" s="1"/>
  <c r="AO232" i="1"/>
  <c r="N232" i="1" s="1"/>
  <c r="AP232" i="1"/>
  <c r="O232" i="1" s="1"/>
  <c r="AQ232" i="1"/>
  <c r="P232" i="1" s="1"/>
  <c r="AR232" i="1"/>
  <c r="Q232" i="1" s="1"/>
  <c r="AS232" i="1"/>
  <c r="R232" i="1" s="1"/>
  <c r="AT232" i="1"/>
  <c r="S232" i="1" s="1"/>
  <c r="AU232" i="1"/>
  <c r="T232" i="1" s="1"/>
  <c r="AV232" i="1"/>
  <c r="U232" i="1" s="1"/>
  <c r="AW232" i="1"/>
  <c r="V232" i="1" s="1"/>
  <c r="AX232" i="1"/>
  <c r="W232" i="1" s="1"/>
  <c r="AH233" i="1"/>
  <c r="G233" i="1" s="1"/>
  <c r="AI233" i="1"/>
  <c r="H233" i="1" s="1"/>
  <c r="AJ233" i="1"/>
  <c r="I233" i="1" s="1"/>
  <c r="AK233" i="1"/>
  <c r="J233" i="1" s="1"/>
  <c r="AL233" i="1"/>
  <c r="K233" i="1" s="1"/>
  <c r="AM233" i="1"/>
  <c r="L233" i="1" s="1"/>
  <c r="AN233" i="1"/>
  <c r="M233" i="1" s="1"/>
  <c r="AO233" i="1"/>
  <c r="N233" i="1" s="1"/>
  <c r="AP233" i="1"/>
  <c r="O233" i="1" s="1"/>
  <c r="AQ233" i="1"/>
  <c r="P233" i="1" s="1"/>
  <c r="AR233" i="1"/>
  <c r="Q233" i="1" s="1"/>
  <c r="AS233" i="1"/>
  <c r="R233" i="1" s="1"/>
  <c r="AT233" i="1"/>
  <c r="S233" i="1" s="1"/>
  <c r="AU233" i="1"/>
  <c r="T233" i="1" s="1"/>
  <c r="AV233" i="1"/>
  <c r="U233" i="1" s="1"/>
  <c r="AW233" i="1"/>
  <c r="V233" i="1" s="1"/>
  <c r="AX233" i="1"/>
  <c r="W233" i="1" s="1"/>
  <c r="AH234" i="1"/>
  <c r="G234" i="1" s="1"/>
  <c r="AI234" i="1"/>
  <c r="H234" i="1" s="1"/>
  <c r="AJ234" i="1"/>
  <c r="I234" i="1" s="1"/>
  <c r="AK234" i="1"/>
  <c r="J234" i="1" s="1"/>
  <c r="AL234" i="1"/>
  <c r="K234" i="1" s="1"/>
  <c r="AM234" i="1"/>
  <c r="L234" i="1" s="1"/>
  <c r="AN234" i="1"/>
  <c r="M234" i="1" s="1"/>
  <c r="AO234" i="1"/>
  <c r="N234" i="1" s="1"/>
  <c r="AP234" i="1"/>
  <c r="O234" i="1" s="1"/>
  <c r="AQ234" i="1"/>
  <c r="P234" i="1" s="1"/>
  <c r="AR234" i="1"/>
  <c r="Q234" i="1" s="1"/>
  <c r="AS234" i="1"/>
  <c r="R234" i="1" s="1"/>
  <c r="AT234" i="1"/>
  <c r="S234" i="1" s="1"/>
  <c r="AU234" i="1"/>
  <c r="T234" i="1" s="1"/>
  <c r="AV234" i="1"/>
  <c r="U234" i="1" s="1"/>
  <c r="AW234" i="1"/>
  <c r="V234" i="1" s="1"/>
  <c r="AX234" i="1"/>
  <c r="W234" i="1" s="1"/>
  <c r="AH235" i="1"/>
  <c r="G235" i="1" s="1"/>
  <c r="AI235" i="1"/>
  <c r="H235" i="1" s="1"/>
  <c r="AJ235" i="1"/>
  <c r="I235" i="1" s="1"/>
  <c r="AK235" i="1"/>
  <c r="J235" i="1" s="1"/>
  <c r="AL235" i="1"/>
  <c r="K235" i="1" s="1"/>
  <c r="AM235" i="1"/>
  <c r="L235" i="1" s="1"/>
  <c r="AN235" i="1"/>
  <c r="M235" i="1" s="1"/>
  <c r="AO235" i="1"/>
  <c r="N235" i="1" s="1"/>
  <c r="AP235" i="1"/>
  <c r="O235" i="1" s="1"/>
  <c r="AQ235" i="1"/>
  <c r="P235" i="1" s="1"/>
  <c r="AR235" i="1"/>
  <c r="Q235" i="1" s="1"/>
  <c r="AS235" i="1"/>
  <c r="R235" i="1" s="1"/>
  <c r="AT235" i="1"/>
  <c r="S235" i="1" s="1"/>
  <c r="AU235" i="1"/>
  <c r="T235" i="1" s="1"/>
  <c r="AV235" i="1"/>
  <c r="U235" i="1" s="1"/>
  <c r="AW235" i="1"/>
  <c r="V235" i="1" s="1"/>
  <c r="AX235" i="1"/>
  <c r="W235" i="1" s="1"/>
  <c r="AH236" i="1"/>
  <c r="G236" i="1" s="1"/>
  <c r="AI236" i="1"/>
  <c r="H236" i="1" s="1"/>
  <c r="AJ236" i="1"/>
  <c r="I236" i="1" s="1"/>
  <c r="AK236" i="1"/>
  <c r="J236" i="1" s="1"/>
  <c r="AL236" i="1"/>
  <c r="K236" i="1" s="1"/>
  <c r="AM236" i="1"/>
  <c r="L236" i="1" s="1"/>
  <c r="AN236" i="1"/>
  <c r="M236" i="1" s="1"/>
  <c r="AO236" i="1"/>
  <c r="N236" i="1" s="1"/>
  <c r="AP236" i="1"/>
  <c r="O236" i="1" s="1"/>
  <c r="AQ236" i="1"/>
  <c r="P236" i="1" s="1"/>
  <c r="AR236" i="1"/>
  <c r="Q236" i="1" s="1"/>
  <c r="AS236" i="1"/>
  <c r="R236" i="1" s="1"/>
  <c r="AT236" i="1"/>
  <c r="S236" i="1" s="1"/>
  <c r="AU236" i="1"/>
  <c r="T236" i="1" s="1"/>
  <c r="AV236" i="1"/>
  <c r="U236" i="1" s="1"/>
  <c r="AW236" i="1"/>
  <c r="V236" i="1" s="1"/>
  <c r="AX236" i="1"/>
  <c r="W236" i="1" s="1"/>
  <c r="AH237" i="1"/>
  <c r="G237" i="1" s="1"/>
  <c r="AI237" i="1"/>
  <c r="H237" i="1" s="1"/>
  <c r="AJ237" i="1"/>
  <c r="I237" i="1" s="1"/>
  <c r="AK237" i="1"/>
  <c r="J237" i="1" s="1"/>
  <c r="AL237" i="1"/>
  <c r="K237" i="1" s="1"/>
  <c r="AM237" i="1"/>
  <c r="L237" i="1" s="1"/>
  <c r="AN237" i="1"/>
  <c r="M237" i="1" s="1"/>
  <c r="AO237" i="1"/>
  <c r="N237" i="1" s="1"/>
  <c r="AP237" i="1"/>
  <c r="O237" i="1" s="1"/>
  <c r="AQ237" i="1"/>
  <c r="P237" i="1" s="1"/>
  <c r="AR237" i="1"/>
  <c r="Q237" i="1" s="1"/>
  <c r="AS237" i="1"/>
  <c r="R237" i="1" s="1"/>
  <c r="AT237" i="1"/>
  <c r="S237" i="1" s="1"/>
  <c r="AU237" i="1"/>
  <c r="T237" i="1" s="1"/>
  <c r="AV237" i="1"/>
  <c r="U237" i="1" s="1"/>
  <c r="AW237" i="1"/>
  <c r="V237" i="1" s="1"/>
  <c r="AX237" i="1"/>
  <c r="W237" i="1" s="1"/>
  <c r="AH238" i="1"/>
  <c r="G238" i="1" s="1"/>
  <c r="AI238" i="1"/>
  <c r="H238" i="1" s="1"/>
  <c r="AJ238" i="1"/>
  <c r="I238" i="1" s="1"/>
  <c r="AK238" i="1"/>
  <c r="J238" i="1" s="1"/>
  <c r="AL238" i="1"/>
  <c r="K238" i="1" s="1"/>
  <c r="AM238" i="1"/>
  <c r="L238" i="1" s="1"/>
  <c r="AN238" i="1"/>
  <c r="M238" i="1" s="1"/>
  <c r="AO238" i="1"/>
  <c r="N238" i="1" s="1"/>
  <c r="AP238" i="1"/>
  <c r="O238" i="1" s="1"/>
  <c r="AQ238" i="1"/>
  <c r="P238" i="1" s="1"/>
  <c r="AR238" i="1"/>
  <c r="Q238" i="1" s="1"/>
  <c r="AS238" i="1"/>
  <c r="R238" i="1" s="1"/>
  <c r="AT238" i="1"/>
  <c r="S238" i="1" s="1"/>
  <c r="AU238" i="1"/>
  <c r="T238" i="1" s="1"/>
  <c r="AV238" i="1"/>
  <c r="U238" i="1" s="1"/>
  <c r="AW238" i="1"/>
  <c r="V238" i="1" s="1"/>
  <c r="AX238" i="1"/>
  <c r="W238" i="1" s="1"/>
  <c r="AH239" i="1"/>
  <c r="G239" i="1" s="1"/>
  <c r="AI239" i="1"/>
  <c r="H239" i="1" s="1"/>
  <c r="AJ239" i="1"/>
  <c r="I239" i="1" s="1"/>
  <c r="AK239" i="1"/>
  <c r="J239" i="1" s="1"/>
  <c r="AL239" i="1"/>
  <c r="K239" i="1" s="1"/>
  <c r="AM239" i="1"/>
  <c r="L239" i="1" s="1"/>
  <c r="AN239" i="1"/>
  <c r="M239" i="1" s="1"/>
  <c r="AO239" i="1"/>
  <c r="N239" i="1" s="1"/>
  <c r="AP239" i="1"/>
  <c r="O239" i="1" s="1"/>
  <c r="AQ239" i="1"/>
  <c r="P239" i="1" s="1"/>
  <c r="AR239" i="1"/>
  <c r="Q239" i="1" s="1"/>
  <c r="AS239" i="1"/>
  <c r="R239" i="1" s="1"/>
  <c r="AT239" i="1"/>
  <c r="S239" i="1" s="1"/>
  <c r="AU239" i="1"/>
  <c r="T239" i="1" s="1"/>
  <c r="AV239" i="1"/>
  <c r="U239" i="1" s="1"/>
  <c r="AW239" i="1"/>
  <c r="V239" i="1" s="1"/>
  <c r="AX239" i="1"/>
  <c r="W239" i="1" s="1"/>
  <c r="AH240" i="1"/>
  <c r="G240" i="1" s="1"/>
  <c r="AI240" i="1"/>
  <c r="H240" i="1" s="1"/>
  <c r="AJ240" i="1"/>
  <c r="I240" i="1" s="1"/>
  <c r="AK240" i="1"/>
  <c r="J240" i="1" s="1"/>
  <c r="AL240" i="1"/>
  <c r="K240" i="1" s="1"/>
  <c r="AM240" i="1"/>
  <c r="L240" i="1" s="1"/>
  <c r="AN240" i="1"/>
  <c r="M240" i="1" s="1"/>
  <c r="AO240" i="1"/>
  <c r="N240" i="1" s="1"/>
  <c r="AP240" i="1"/>
  <c r="O240" i="1" s="1"/>
  <c r="AQ240" i="1"/>
  <c r="P240" i="1" s="1"/>
  <c r="AR240" i="1"/>
  <c r="Q240" i="1" s="1"/>
  <c r="AS240" i="1"/>
  <c r="R240" i="1" s="1"/>
  <c r="AT240" i="1"/>
  <c r="S240" i="1" s="1"/>
  <c r="AU240" i="1"/>
  <c r="T240" i="1" s="1"/>
  <c r="AV240" i="1"/>
  <c r="U240" i="1" s="1"/>
  <c r="AW240" i="1"/>
  <c r="V240" i="1" s="1"/>
  <c r="AX240" i="1"/>
  <c r="W240" i="1" s="1"/>
  <c r="AH241" i="1"/>
  <c r="G241" i="1" s="1"/>
  <c r="AI241" i="1"/>
  <c r="H241" i="1" s="1"/>
  <c r="AJ241" i="1"/>
  <c r="I241" i="1" s="1"/>
  <c r="AK241" i="1"/>
  <c r="J241" i="1" s="1"/>
  <c r="AL241" i="1"/>
  <c r="K241" i="1" s="1"/>
  <c r="AM241" i="1"/>
  <c r="L241" i="1" s="1"/>
  <c r="AN241" i="1"/>
  <c r="M241" i="1" s="1"/>
  <c r="AO241" i="1"/>
  <c r="N241" i="1" s="1"/>
  <c r="AP241" i="1"/>
  <c r="O241" i="1" s="1"/>
  <c r="AQ241" i="1"/>
  <c r="P241" i="1" s="1"/>
  <c r="AR241" i="1"/>
  <c r="Q241" i="1" s="1"/>
  <c r="AS241" i="1"/>
  <c r="R241" i="1" s="1"/>
  <c r="AT241" i="1"/>
  <c r="S241" i="1" s="1"/>
  <c r="AU241" i="1"/>
  <c r="T241" i="1" s="1"/>
  <c r="AV241" i="1"/>
  <c r="U241" i="1" s="1"/>
  <c r="AW241" i="1"/>
  <c r="V241" i="1" s="1"/>
  <c r="AX241" i="1"/>
  <c r="W241" i="1" s="1"/>
  <c r="AH242" i="1"/>
  <c r="G242" i="1" s="1"/>
  <c r="AI242" i="1"/>
  <c r="H242" i="1" s="1"/>
  <c r="AJ242" i="1"/>
  <c r="I242" i="1" s="1"/>
  <c r="AK242" i="1"/>
  <c r="J242" i="1" s="1"/>
  <c r="AL242" i="1"/>
  <c r="K242" i="1" s="1"/>
  <c r="AM242" i="1"/>
  <c r="L242" i="1" s="1"/>
  <c r="AN242" i="1"/>
  <c r="M242" i="1" s="1"/>
  <c r="AO242" i="1"/>
  <c r="N242" i="1" s="1"/>
  <c r="AP242" i="1"/>
  <c r="O242" i="1" s="1"/>
  <c r="AQ242" i="1"/>
  <c r="P242" i="1" s="1"/>
  <c r="AR242" i="1"/>
  <c r="Q242" i="1" s="1"/>
  <c r="AS242" i="1"/>
  <c r="R242" i="1" s="1"/>
  <c r="AT242" i="1"/>
  <c r="S242" i="1" s="1"/>
  <c r="AU242" i="1"/>
  <c r="T242" i="1" s="1"/>
  <c r="AV242" i="1"/>
  <c r="U242" i="1" s="1"/>
  <c r="AW242" i="1"/>
  <c r="V242" i="1" s="1"/>
  <c r="AX242" i="1"/>
  <c r="W242" i="1" s="1"/>
  <c r="AH243" i="1"/>
  <c r="G243" i="1" s="1"/>
  <c r="AI243" i="1"/>
  <c r="H243" i="1" s="1"/>
  <c r="AJ243" i="1"/>
  <c r="I243" i="1" s="1"/>
  <c r="AK243" i="1"/>
  <c r="J243" i="1" s="1"/>
  <c r="AL243" i="1"/>
  <c r="K243" i="1" s="1"/>
  <c r="AM243" i="1"/>
  <c r="L243" i="1" s="1"/>
  <c r="AN243" i="1"/>
  <c r="M243" i="1" s="1"/>
  <c r="AO243" i="1"/>
  <c r="N243" i="1" s="1"/>
  <c r="AP243" i="1"/>
  <c r="O243" i="1" s="1"/>
  <c r="AQ243" i="1"/>
  <c r="P243" i="1" s="1"/>
  <c r="AR243" i="1"/>
  <c r="Q243" i="1" s="1"/>
  <c r="AS243" i="1"/>
  <c r="R243" i="1" s="1"/>
  <c r="AT243" i="1"/>
  <c r="S243" i="1" s="1"/>
  <c r="AU243" i="1"/>
  <c r="T243" i="1" s="1"/>
  <c r="AV243" i="1"/>
  <c r="U243" i="1" s="1"/>
  <c r="AW243" i="1"/>
  <c r="V243" i="1" s="1"/>
  <c r="AX243" i="1"/>
  <c r="W243" i="1" s="1"/>
  <c r="AH244" i="1"/>
  <c r="G244" i="1" s="1"/>
  <c r="AI244" i="1"/>
  <c r="H244" i="1" s="1"/>
  <c r="AJ244" i="1"/>
  <c r="I244" i="1" s="1"/>
  <c r="AK244" i="1"/>
  <c r="J244" i="1" s="1"/>
  <c r="AL244" i="1"/>
  <c r="K244" i="1" s="1"/>
  <c r="AM244" i="1"/>
  <c r="L244" i="1" s="1"/>
  <c r="AN244" i="1"/>
  <c r="M244" i="1" s="1"/>
  <c r="AO244" i="1"/>
  <c r="N244" i="1" s="1"/>
  <c r="AP244" i="1"/>
  <c r="O244" i="1" s="1"/>
  <c r="AQ244" i="1"/>
  <c r="P244" i="1" s="1"/>
  <c r="AR244" i="1"/>
  <c r="Q244" i="1" s="1"/>
  <c r="AS244" i="1"/>
  <c r="R244" i="1" s="1"/>
  <c r="AT244" i="1"/>
  <c r="S244" i="1" s="1"/>
  <c r="AU244" i="1"/>
  <c r="T244" i="1" s="1"/>
  <c r="AV244" i="1"/>
  <c r="U244" i="1" s="1"/>
  <c r="AW244" i="1"/>
  <c r="V244" i="1" s="1"/>
  <c r="AX244" i="1"/>
  <c r="W244" i="1" s="1"/>
  <c r="AH245" i="1"/>
  <c r="G245" i="1" s="1"/>
  <c r="AI245" i="1"/>
  <c r="H245" i="1" s="1"/>
  <c r="AJ245" i="1"/>
  <c r="I245" i="1" s="1"/>
  <c r="AK245" i="1"/>
  <c r="J245" i="1" s="1"/>
  <c r="AL245" i="1"/>
  <c r="K245" i="1" s="1"/>
  <c r="AM245" i="1"/>
  <c r="L245" i="1" s="1"/>
  <c r="AN245" i="1"/>
  <c r="M245" i="1" s="1"/>
  <c r="AO245" i="1"/>
  <c r="N245" i="1" s="1"/>
  <c r="AP245" i="1"/>
  <c r="O245" i="1" s="1"/>
  <c r="AQ245" i="1"/>
  <c r="P245" i="1" s="1"/>
  <c r="AR245" i="1"/>
  <c r="Q245" i="1" s="1"/>
  <c r="AS245" i="1"/>
  <c r="R245" i="1" s="1"/>
  <c r="AT245" i="1"/>
  <c r="S245" i="1" s="1"/>
  <c r="AU245" i="1"/>
  <c r="T245" i="1" s="1"/>
  <c r="AV245" i="1"/>
  <c r="U245" i="1" s="1"/>
  <c r="AW245" i="1"/>
  <c r="V245" i="1" s="1"/>
  <c r="AX245" i="1"/>
  <c r="W245" i="1" s="1"/>
  <c r="AH246" i="1"/>
  <c r="G246" i="1" s="1"/>
  <c r="AI246" i="1"/>
  <c r="H246" i="1" s="1"/>
  <c r="AJ246" i="1"/>
  <c r="I246" i="1" s="1"/>
  <c r="AK246" i="1"/>
  <c r="J246" i="1" s="1"/>
  <c r="AL246" i="1"/>
  <c r="K246" i="1" s="1"/>
  <c r="AM246" i="1"/>
  <c r="L246" i="1" s="1"/>
  <c r="AN246" i="1"/>
  <c r="M246" i="1" s="1"/>
  <c r="AO246" i="1"/>
  <c r="N246" i="1" s="1"/>
  <c r="AP246" i="1"/>
  <c r="O246" i="1" s="1"/>
  <c r="AQ246" i="1"/>
  <c r="P246" i="1" s="1"/>
  <c r="AR246" i="1"/>
  <c r="Q246" i="1" s="1"/>
  <c r="AS246" i="1"/>
  <c r="R246" i="1" s="1"/>
  <c r="AT246" i="1"/>
  <c r="S246" i="1" s="1"/>
  <c r="AU246" i="1"/>
  <c r="T246" i="1" s="1"/>
  <c r="AV246" i="1"/>
  <c r="U246" i="1" s="1"/>
  <c r="AW246" i="1"/>
  <c r="V246" i="1" s="1"/>
  <c r="AX246" i="1"/>
  <c r="W246" i="1" s="1"/>
  <c r="AH247" i="1"/>
  <c r="G247" i="1" s="1"/>
  <c r="AI247" i="1"/>
  <c r="H247" i="1" s="1"/>
  <c r="AJ247" i="1"/>
  <c r="I247" i="1" s="1"/>
  <c r="AK247" i="1"/>
  <c r="J247" i="1" s="1"/>
  <c r="AL247" i="1"/>
  <c r="K247" i="1" s="1"/>
  <c r="AM247" i="1"/>
  <c r="L247" i="1" s="1"/>
  <c r="AN247" i="1"/>
  <c r="M247" i="1" s="1"/>
  <c r="AO247" i="1"/>
  <c r="N247" i="1" s="1"/>
  <c r="AP247" i="1"/>
  <c r="O247" i="1" s="1"/>
  <c r="AQ247" i="1"/>
  <c r="P247" i="1" s="1"/>
  <c r="AR247" i="1"/>
  <c r="Q247" i="1" s="1"/>
  <c r="AS247" i="1"/>
  <c r="R247" i="1" s="1"/>
  <c r="AT247" i="1"/>
  <c r="S247" i="1" s="1"/>
  <c r="AU247" i="1"/>
  <c r="T247" i="1" s="1"/>
  <c r="AV247" i="1"/>
  <c r="U247" i="1" s="1"/>
  <c r="AW247" i="1"/>
  <c r="V247" i="1" s="1"/>
  <c r="AX247" i="1"/>
  <c r="W247" i="1" s="1"/>
  <c r="AH248" i="1"/>
  <c r="G248" i="1" s="1"/>
  <c r="AI248" i="1"/>
  <c r="H248" i="1" s="1"/>
  <c r="AJ248" i="1"/>
  <c r="I248" i="1" s="1"/>
  <c r="AK248" i="1"/>
  <c r="J248" i="1" s="1"/>
  <c r="AL248" i="1"/>
  <c r="K248" i="1" s="1"/>
  <c r="AM248" i="1"/>
  <c r="L248" i="1" s="1"/>
  <c r="AN248" i="1"/>
  <c r="M248" i="1" s="1"/>
  <c r="AO248" i="1"/>
  <c r="N248" i="1" s="1"/>
  <c r="AP248" i="1"/>
  <c r="O248" i="1" s="1"/>
  <c r="AQ248" i="1"/>
  <c r="P248" i="1" s="1"/>
  <c r="AR248" i="1"/>
  <c r="Q248" i="1" s="1"/>
  <c r="AS248" i="1"/>
  <c r="R248" i="1" s="1"/>
  <c r="AT248" i="1"/>
  <c r="S248" i="1" s="1"/>
  <c r="AU248" i="1"/>
  <c r="T248" i="1" s="1"/>
  <c r="AV248" i="1"/>
  <c r="U248" i="1" s="1"/>
  <c r="AW248" i="1"/>
  <c r="V248" i="1" s="1"/>
  <c r="AX248" i="1"/>
  <c r="W248" i="1" s="1"/>
  <c r="AH249" i="1"/>
  <c r="G249" i="1" s="1"/>
  <c r="AI249" i="1"/>
  <c r="H249" i="1" s="1"/>
  <c r="AJ249" i="1"/>
  <c r="I249" i="1" s="1"/>
  <c r="AK249" i="1"/>
  <c r="J249" i="1" s="1"/>
  <c r="AL249" i="1"/>
  <c r="K249" i="1" s="1"/>
  <c r="AM249" i="1"/>
  <c r="L249" i="1" s="1"/>
  <c r="AN249" i="1"/>
  <c r="M249" i="1" s="1"/>
  <c r="AO249" i="1"/>
  <c r="N249" i="1" s="1"/>
  <c r="AP249" i="1"/>
  <c r="O249" i="1" s="1"/>
  <c r="AQ249" i="1"/>
  <c r="P249" i="1" s="1"/>
  <c r="AR249" i="1"/>
  <c r="Q249" i="1" s="1"/>
  <c r="AS249" i="1"/>
  <c r="R249" i="1" s="1"/>
  <c r="AT249" i="1"/>
  <c r="S249" i="1" s="1"/>
  <c r="AU249" i="1"/>
  <c r="T249" i="1" s="1"/>
  <c r="AV249" i="1"/>
  <c r="U249" i="1" s="1"/>
  <c r="AW249" i="1"/>
  <c r="V249" i="1" s="1"/>
  <c r="AX249" i="1"/>
  <c r="W249" i="1" s="1"/>
  <c r="AH250" i="1"/>
  <c r="G250" i="1" s="1"/>
  <c r="AI250" i="1"/>
  <c r="H250" i="1" s="1"/>
  <c r="AJ250" i="1"/>
  <c r="I250" i="1" s="1"/>
  <c r="AK250" i="1"/>
  <c r="J250" i="1" s="1"/>
  <c r="AL250" i="1"/>
  <c r="K250" i="1" s="1"/>
  <c r="AM250" i="1"/>
  <c r="L250" i="1" s="1"/>
  <c r="AN250" i="1"/>
  <c r="M250" i="1" s="1"/>
  <c r="AO250" i="1"/>
  <c r="N250" i="1" s="1"/>
  <c r="AP250" i="1"/>
  <c r="O250" i="1" s="1"/>
  <c r="AQ250" i="1"/>
  <c r="P250" i="1" s="1"/>
  <c r="AR250" i="1"/>
  <c r="Q250" i="1" s="1"/>
  <c r="AS250" i="1"/>
  <c r="R250" i="1" s="1"/>
  <c r="AT250" i="1"/>
  <c r="S250" i="1" s="1"/>
  <c r="AU250" i="1"/>
  <c r="T250" i="1" s="1"/>
  <c r="AV250" i="1"/>
  <c r="U250" i="1" s="1"/>
  <c r="AW250" i="1"/>
  <c r="V250" i="1" s="1"/>
  <c r="AX250" i="1"/>
  <c r="W250" i="1" s="1"/>
  <c r="AH251" i="1"/>
  <c r="G251" i="1" s="1"/>
  <c r="AI251" i="1"/>
  <c r="H251" i="1" s="1"/>
  <c r="AJ251" i="1"/>
  <c r="I251" i="1" s="1"/>
  <c r="AK251" i="1"/>
  <c r="J251" i="1" s="1"/>
  <c r="AL251" i="1"/>
  <c r="K251" i="1" s="1"/>
  <c r="AM251" i="1"/>
  <c r="L251" i="1" s="1"/>
  <c r="AN251" i="1"/>
  <c r="M251" i="1" s="1"/>
  <c r="AO251" i="1"/>
  <c r="N251" i="1" s="1"/>
  <c r="AP251" i="1"/>
  <c r="O251" i="1" s="1"/>
  <c r="AQ251" i="1"/>
  <c r="P251" i="1" s="1"/>
  <c r="AR251" i="1"/>
  <c r="Q251" i="1" s="1"/>
  <c r="AS251" i="1"/>
  <c r="R251" i="1" s="1"/>
  <c r="AT251" i="1"/>
  <c r="S251" i="1" s="1"/>
  <c r="AU251" i="1"/>
  <c r="T251" i="1" s="1"/>
  <c r="AV251" i="1"/>
  <c r="U251" i="1" s="1"/>
  <c r="AW251" i="1"/>
  <c r="V251" i="1" s="1"/>
  <c r="AX251" i="1"/>
  <c r="W251" i="1" s="1"/>
  <c r="AH252" i="1"/>
  <c r="G252" i="1" s="1"/>
  <c r="AI252" i="1"/>
  <c r="H252" i="1" s="1"/>
  <c r="AJ252" i="1"/>
  <c r="I252" i="1" s="1"/>
  <c r="AK252" i="1"/>
  <c r="J252" i="1" s="1"/>
  <c r="AL252" i="1"/>
  <c r="K252" i="1" s="1"/>
  <c r="AM252" i="1"/>
  <c r="L252" i="1" s="1"/>
  <c r="AN252" i="1"/>
  <c r="M252" i="1" s="1"/>
  <c r="AO252" i="1"/>
  <c r="N252" i="1" s="1"/>
  <c r="AP252" i="1"/>
  <c r="O252" i="1" s="1"/>
  <c r="AQ252" i="1"/>
  <c r="P252" i="1" s="1"/>
  <c r="AR252" i="1"/>
  <c r="Q252" i="1" s="1"/>
  <c r="AS252" i="1"/>
  <c r="R252" i="1" s="1"/>
  <c r="AT252" i="1"/>
  <c r="S252" i="1" s="1"/>
  <c r="AU252" i="1"/>
  <c r="T252" i="1" s="1"/>
  <c r="AV252" i="1"/>
  <c r="U252" i="1" s="1"/>
  <c r="AW252" i="1"/>
  <c r="V252" i="1" s="1"/>
  <c r="AX252" i="1"/>
  <c r="W252" i="1" s="1"/>
  <c r="AH253" i="1"/>
  <c r="G253" i="1" s="1"/>
  <c r="AI253" i="1"/>
  <c r="H253" i="1" s="1"/>
  <c r="AJ253" i="1"/>
  <c r="I253" i="1" s="1"/>
  <c r="AK253" i="1"/>
  <c r="J253" i="1" s="1"/>
  <c r="AL253" i="1"/>
  <c r="K253" i="1" s="1"/>
  <c r="AM253" i="1"/>
  <c r="L253" i="1" s="1"/>
  <c r="AN253" i="1"/>
  <c r="M253" i="1" s="1"/>
  <c r="AO253" i="1"/>
  <c r="N253" i="1" s="1"/>
  <c r="AP253" i="1"/>
  <c r="O253" i="1" s="1"/>
  <c r="AQ253" i="1"/>
  <c r="P253" i="1" s="1"/>
  <c r="AR253" i="1"/>
  <c r="Q253" i="1" s="1"/>
  <c r="AS253" i="1"/>
  <c r="R253" i="1" s="1"/>
  <c r="AT253" i="1"/>
  <c r="S253" i="1" s="1"/>
  <c r="AU253" i="1"/>
  <c r="T253" i="1" s="1"/>
  <c r="AV253" i="1"/>
  <c r="U253" i="1" s="1"/>
  <c r="AW253" i="1"/>
  <c r="V253" i="1" s="1"/>
  <c r="AX253" i="1"/>
  <c r="W253" i="1" s="1"/>
  <c r="AH254" i="1"/>
  <c r="G254" i="1" s="1"/>
  <c r="AI254" i="1"/>
  <c r="H254" i="1" s="1"/>
  <c r="AJ254" i="1"/>
  <c r="I254" i="1" s="1"/>
  <c r="AK254" i="1"/>
  <c r="J254" i="1" s="1"/>
  <c r="AL254" i="1"/>
  <c r="K254" i="1" s="1"/>
  <c r="AM254" i="1"/>
  <c r="L254" i="1" s="1"/>
  <c r="AN254" i="1"/>
  <c r="M254" i="1" s="1"/>
  <c r="AO254" i="1"/>
  <c r="N254" i="1" s="1"/>
  <c r="AP254" i="1"/>
  <c r="O254" i="1" s="1"/>
  <c r="AQ254" i="1"/>
  <c r="P254" i="1" s="1"/>
  <c r="AR254" i="1"/>
  <c r="Q254" i="1" s="1"/>
  <c r="AS254" i="1"/>
  <c r="R254" i="1" s="1"/>
  <c r="AT254" i="1"/>
  <c r="S254" i="1" s="1"/>
  <c r="AU254" i="1"/>
  <c r="T254" i="1" s="1"/>
  <c r="AV254" i="1"/>
  <c r="U254" i="1" s="1"/>
  <c r="AW254" i="1"/>
  <c r="V254" i="1" s="1"/>
  <c r="AX254" i="1"/>
  <c r="W254" i="1" s="1"/>
  <c r="AH255" i="1"/>
  <c r="AI255" i="1"/>
  <c r="AJ255" i="1"/>
  <c r="AK255" i="1"/>
  <c r="AL255" i="1"/>
  <c r="AM255" i="1"/>
  <c r="AN255" i="1"/>
  <c r="AO255" i="1"/>
  <c r="AP255" i="1"/>
  <c r="AQ255" i="1"/>
  <c r="AR255" i="1"/>
  <c r="AS255" i="1"/>
  <c r="AT255" i="1"/>
  <c r="AU255" i="1"/>
  <c r="AV255" i="1"/>
  <c r="AW255" i="1"/>
  <c r="AX255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H257" i="1"/>
  <c r="AI257" i="1"/>
  <c r="AJ257" i="1"/>
  <c r="AK257" i="1"/>
  <c r="AL257" i="1"/>
  <c r="AM257" i="1"/>
  <c r="AN257" i="1"/>
  <c r="AO257" i="1"/>
  <c r="AP257" i="1"/>
  <c r="AQ257" i="1"/>
  <c r="AR257" i="1"/>
  <c r="AS257" i="1"/>
  <c r="AT257" i="1"/>
  <c r="AU257" i="1"/>
  <c r="AV257" i="1"/>
  <c r="AW257" i="1"/>
  <c r="AX257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H261" i="1"/>
  <c r="AI261" i="1"/>
  <c r="AJ261" i="1"/>
  <c r="AK261" i="1"/>
  <c r="AL261" i="1"/>
  <c r="AM261" i="1"/>
  <c r="AN261" i="1"/>
  <c r="AO261" i="1"/>
  <c r="AP261" i="1"/>
  <c r="AQ261" i="1"/>
  <c r="AR261" i="1"/>
  <c r="AS261" i="1"/>
  <c r="AT261" i="1"/>
  <c r="AU261" i="1"/>
  <c r="AV261" i="1"/>
  <c r="AW261" i="1"/>
  <c r="AX261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H263" i="1"/>
  <c r="AI263" i="1"/>
  <c r="AJ263" i="1"/>
  <c r="AK263" i="1"/>
  <c r="AL263" i="1"/>
  <c r="AM263" i="1"/>
  <c r="AN263" i="1"/>
  <c r="AO263" i="1"/>
  <c r="AP263" i="1"/>
  <c r="AQ263" i="1"/>
  <c r="AR263" i="1"/>
  <c r="AS263" i="1"/>
  <c r="AT263" i="1"/>
  <c r="AU263" i="1"/>
  <c r="AV263" i="1"/>
  <c r="AW263" i="1"/>
  <c r="AX263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AW265" i="1"/>
  <c r="AX265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H267" i="1"/>
  <c r="AI267" i="1"/>
  <c r="AJ267" i="1"/>
  <c r="AK267" i="1"/>
  <c r="AL267" i="1"/>
  <c r="AM267" i="1"/>
  <c r="AN267" i="1"/>
  <c r="AO267" i="1"/>
  <c r="AP267" i="1"/>
  <c r="AQ267" i="1"/>
  <c r="AR267" i="1"/>
  <c r="AS267" i="1"/>
  <c r="AT267" i="1"/>
  <c r="AU267" i="1"/>
  <c r="AV267" i="1"/>
  <c r="AW267" i="1"/>
  <c r="AX267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H269" i="1"/>
  <c r="AI269" i="1"/>
  <c r="AJ269" i="1"/>
  <c r="AK269" i="1"/>
  <c r="AL269" i="1"/>
  <c r="AM269" i="1"/>
  <c r="AN269" i="1"/>
  <c r="AO269" i="1"/>
  <c r="AP269" i="1"/>
  <c r="AQ269" i="1"/>
  <c r="AR269" i="1"/>
  <c r="AS269" i="1"/>
  <c r="AT269" i="1"/>
  <c r="AU269" i="1"/>
  <c r="AV269" i="1"/>
  <c r="AW269" i="1"/>
  <c r="AX269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H273" i="1"/>
  <c r="AI273" i="1"/>
  <c r="AJ273" i="1"/>
  <c r="AK273" i="1"/>
  <c r="AL273" i="1"/>
  <c r="AM273" i="1"/>
  <c r="AN273" i="1"/>
  <c r="AO273" i="1"/>
  <c r="AP273" i="1"/>
  <c r="AQ273" i="1"/>
  <c r="AR273" i="1"/>
  <c r="AS273" i="1"/>
  <c r="AT273" i="1"/>
  <c r="AU273" i="1"/>
  <c r="AV273" i="1"/>
  <c r="AW273" i="1"/>
  <c r="AX273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H275" i="1"/>
  <c r="AI275" i="1"/>
  <c r="AJ275" i="1"/>
  <c r="AK275" i="1"/>
  <c r="AL275" i="1"/>
  <c r="AM275" i="1"/>
  <c r="AN275" i="1"/>
  <c r="AO275" i="1"/>
  <c r="AP275" i="1"/>
  <c r="AQ275" i="1"/>
  <c r="AR275" i="1"/>
  <c r="AS275" i="1"/>
  <c r="AT275" i="1"/>
  <c r="AU275" i="1"/>
  <c r="AV275" i="1"/>
  <c r="AW275" i="1"/>
  <c r="AX275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H277" i="1"/>
  <c r="AI277" i="1"/>
  <c r="AJ277" i="1"/>
  <c r="AK277" i="1"/>
  <c r="AL277" i="1"/>
  <c r="AM277" i="1"/>
  <c r="AN277" i="1"/>
  <c r="AO277" i="1"/>
  <c r="AP277" i="1"/>
  <c r="AQ277" i="1"/>
  <c r="AR277" i="1"/>
  <c r="AS277" i="1"/>
  <c r="AT277" i="1"/>
  <c r="AU277" i="1"/>
  <c r="AV277" i="1"/>
  <c r="AW277" i="1"/>
  <c r="AX277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H279" i="1"/>
  <c r="AI279" i="1"/>
  <c r="AJ279" i="1"/>
  <c r="AK279" i="1"/>
  <c r="AL279" i="1"/>
  <c r="AM279" i="1"/>
  <c r="AN279" i="1"/>
  <c r="AO279" i="1"/>
  <c r="AP279" i="1"/>
  <c r="AQ279" i="1"/>
  <c r="AR279" i="1"/>
  <c r="AS279" i="1"/>
  <c r="AT279" i="1"/>
  <c r="AU279" i="1"/>
  <c r="AV279" i="1"/>
  <c r="AW279" i="1"/>
  <c r="AX279" i="1"/>
  <c r="AB38" i="1"/>
  <c r="AB37" i="1"/>
  <c r="AB36" i="1"/>
  <c r="AB35" i="1"/>
  <c r="AB34" i="1"/>
  <c r="AB33" i="1"/>
  <c r="AB32" i="1"/>
  <c r="AB3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C52" i="1"/>
  <c r="AC53" i="1"/>
  <c r="AC54" i="1"/>
  <c r="AC55" i="1"/>
  <c r="AC56" i="1"/>
  <c r="AC57" i="1"/>
  <c r="AC58" i="1"/>
  <c r="AC5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C42" i="1"/>
  <c r="AC43" i="1"/>
  <c r="AC44" i="1"/>
  <c r="AC45" i="1"/>
  <c r="AC46" i="1"/>
  <c r="AC47" i="1"/>
  <c r="AC48" i="1"/>
  <c r="AC41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W65" i="1" s="1"/>
  <c r="AH66" i="1"/>
  <c r="AI66" i="1"/>
  <c r="AJ66" i="1"/>
  <c r="AK66" i="1"/>
  <c r="AL66" i="1"/>
  <c r="AM66" i="1"/>
  <c r="AN66" i="1"/>
  <c r="AO66" i="1"/>
  <c r="AP66" i="1"/>
  <c r="O66" i="1" s="1"/>
  <c r="AQ66" i="1"/>
  <c r="AR66" i="1"/>
  <c r="AS66" i="1"/>
  <c r="R66" i="1" s="1"/>
  <c r="AT66" i="1"/>
  <c r="AU66" i="1"/>
  <c r="AV66" i="1"/>
  <c r="AW66" i="1"/>
  <c r="AX66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H69" i="1"/>
  <c r="AI69" i="1"/>
  <c r="AJ69" i="1"/>
  <c r="AK69" i="1"/>
  <c r="AL69" i="1"/>
  <c r="AM69" i="1"/>
  <c r="L69" i="1" s="1"/>
  <c r="AN69" i="1"/>
  <c r="AO69" i="1"/>
  <c r="AP69" i="1"/>
  <c r="AQ69" i="1"/>
  <c r="AR69" i="1"/>
  <c r="AS69" i="1"/>
  <c r="AT69" i="1"/>
  <c r="AU69" i="1"/>
  <c r="AV69" i="1"/>
  <c r="AW69" i="1"/>
  <c r="AX69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R70" i="1" s="1"/>
  <c r="AT70" i="1"/>
  <c r="S70" i="1" s="1"/>
  <c r="AU70" i="1"/>
  <c r="AV70" i="1"/>
  <c r="AW70" i="1"/>
  <c r="AX70" i="1"/>
  <c r="AH71" i="1"/>
  <c r="AI71" i="1"/>
  <c r="AJ71" i="1"/>
  <c r="AK71" i="1"/>
  <c r="AL71" i="1"/>
  <c r="K71" i="1" s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H73" i="1"/>
  <c r="G73" i="1" s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T76" i="1" s="1"/>
  <c r="AV76" i="1"/>
  <c r="U76" i="1" s="1"/>
  <c r="AW76" i="1"/>
  <c r="AX76" i="1"/>
  <c r="AH77" i="1"/>
  <c r="AI77" i="1"/>
  <c r="AJ77" i="1"/>
  <c r="AK77" i="1"/>
  <c r="AL77" i="1"/>
  <c r="AM77" i="1"/>
  <c r="AN77" i="1"/>
  <c r="AO77" i="1"/>
  <c r="AP77" i="1"/>
  <c r="AQ77" i="1"/>
  <c r="P77" i="1" s="1"/>
  <c r="AR77" i="1"/>
  <c r="AS77" i="1"/>
  <c r="AT77" i="1"/>
  <c r="AU77" i="1"/>
  <c r="AV77" i="1"/>
  <c r="AW77" i="1"/>
  <c r="AX77" i="1"/>
  <c r="AH78" i="1"/>
  <c r="G78" i="1" s="1"/>
  <c r="AI78" i="1"/>
  <c r="AJ78" i="1"/>
  <c r="I78" i="1" s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H81" i="1"/>
  <c r="AI81" i="1"/>
  <c r="H81" i="1" s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U82" i="1" s="1"/>
  <c r="AW82" i="1"/>
  <c r="V82" i="1" s="1"/>
  <c r="AX82" i="1"/>
  <c r="W82" i="1" s="1"/>
  <c r="AH83" i="1"/>
  <c r="AI83" i="1"/>
  <c r="AJ83" i="1"/>
  <c r="AK83" i="1"/>
  <c r="AL83" i="1"/>
  <c r="AM83" i="1"/>
  <c r="L83" i="1" s="1"/>
  <c r="AN83" i="1"/>
  <c r="M83" i="1" s="1"/>
  <c r="AO83" i="1"/>
  <c r="AP83" i="1"/>
  <c r="AQ83" i="1"/>
  <c r="AR83" i="1"/>
  <c r="AS83" i="1"/>
  <c r="AT83" i="1"/>
  <c r="AU83" i="1"/>
  <c r="AV83" i="1"/>
  <c r="AW83" i="1"/>
  <c r="AX83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H85" i="1"/>
  <c r="AI85" i="1"/>
  <c r="AJ85" i="1"/>
  <c r="AK85" i="1"/>
  <c r="J85" i="1" s="1"/>
  <c r="AL85" i="1"/>
  <c r="AM85" i="1"/>
  <c r="AN85" i="1"/>
  <c r="AO85" i="1"/>
  <c r="AP85" i="1"/>
  <c r="AQ85" i="1"/>
  <c r="AR85" i="1"/>
  <c r="AS85" i="1"/>
  <c r="AT85" i="1"/>
  <c r="S85" i="1" s="1"/>
  <c r="AU85" i="1"/>
  <c r="AV85" i="1"/>
  <c r="AW85" i="1"/>
  <c r="AX85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H89" i="1"/>
  <c r="AI89" i="1"/>
  <c r="AJ89" i="1"/>
  <c r="AK89" i="1"/>
  <c r="AL89" i="1"/>
  <c r="AM89" i="1"/>
  <c r="AN89" i="1"/>
  <c r="AO89" i="1"/>
  <c r="N89" i="1" s="1"/>
  <c r="AP89" i="1"/>
  <c r="AQ89" i="1"/>
  <c r="AR89" i="1"/>
  <c r="AS89" i="1"/>
  <c r="AT89" i="1"/>
  <c r="AU89" i="1"/>
  <c r="AV89" i="1"/>
  <c r="AW89" i="1"/>
  <c r="AX89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U90" i="1" s="1"/>
  <c r="AW90" i="1"/>
  <c r="V90" i="1" s="1"/>
  <c r="AX90" i="1"/>
  <c r="W90" i="1" s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H93" i="1"/>
  <c r="AI93" i="1"/>
  <c r="AJ93" i="1"/>
  <c r="AK93" i="1"/>
  <c r="J93" i="1" s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H94" i="1"/>
  <c r="AI94" i="1"/>
  <c r="AJ94" i="1"/>
  <c r="AK94" i="1"/>
  <c r="AL94" i="1"/>
  <c r="K94" i="1" s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H95" i="1"/>
  <c r="AI95" i="1"/>
  <c r="AJ95" i="1"/>
  <c r="AK95" i="1"/>
  <c r="AL95" i="1"/>
  <c r="AM95" i="1"/>
  <c r="AN95" i="1"/>
  <c r="AO95" i="1"/>
  <c r="AP95" i="1"/>
  <c r="AQ95" i="1"/>
  <c r="P95" i="1" s="1"/>
  <c r="AR95" i="1"/>
  <c r="AS95" i="1"/>
  <c r="R95" i="1" s="1"/>
  <c r="AT95" i="1"/>
  <c r="AU95" i="1"/>
  <c r="AV95" i="1"/>
  <c r="AW95" i="1"/>
  <c r="AX95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H97" i="1"/>
  <c r="G97" i="1" s="1"/>
  <c r="AI97" i="1"/>
  <c r="AJ97" i="1"/>
  <c r="AK97" i="1"/>
  <c r="J97" i="1" s="1"/>
  <c r="AL97" i="1"/>
  <c r="AM97" i="1"/>
  <c r="AN97" i="1"/>
  <c r="AO97" i="1"/>
  <c r="N97" i="1" s="1"/>
  <c r="AP97" i="1"/>
  <c r="AQ97" i="1"/>
  <c r="AR97" i="1"/>
  <c r="AS97" i="1"/>
  <c r="AT97" i="1"/>
  <c r="AU97" i="1"/>
  <c r="AV97" i="1"/>
  <c r="AW97" i="1"/>
  <c r="V97" i="1" s="1"/>
  <c r="AX97" i="1"/>
  <c r="W97" i="1" s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H100" i="1"/>
  <c r="AI100" i="1"/>
  <c r="AJ100" i="1"/>
  <c r="AK100" i="1"/>
  <c r="AL100" i="1"/>
  <c r="AM100" i="1"/>
  <c r="AN100" i="1"/>
  <c r="AO100" i="1"/>
  <c r="AP100" i="1"/>
  <c r="O100" i="1" s="1"/>
  <c r="AQ100" i="1"/>
  <c r="AR100" i="1"/>
  <c r="Q100" i="1" s="1"/>
  <c r="AS100" i="1"/>
  <c r="R100" i="1" s="1"/>
  <c r="AT100" i="1"/>
  <c r="S100" i="1" s="1"/>
  <c r="AU100" i="1"/>
  <c r="AV100" i="1"/>
  <c r="AW100" i="1"/>
  <c r="AX100" i="1"/>
  <c r="AH101" i="1"/>
  <c r="AI101" i="1"/>
  <c r="AJ101" i="1"/>
  <c r="AK101" i="1"/>
  <c r="AL101" i="1"/>
  <c r="AM101" i="1"/>
  <c r="L101" i="1" s="1"/>
  <c r="AN101" i="1"/>
  <c r="AO101" i="1"/>
  <c r="AP101" i="1"/>
  <c r="AQ101" i="1"/>
  <c r="AR101" i="1"/>
  <c r="AS101" i="1"/>
  <c r="AT101" i="1"/>
  <c r="AU101" i="1"/>
  <c r="AV101" i="1"/>
  <c r="AW101" i="1"/>
  <c r="AX101" i="1"/>
  <c r="AH102" i="1"/>
  <c r="G102" i="1" s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T102" i="1" s="1"/>
  <c r="AV102" i="1"/>
  <c r="AW102" i="1"/>
  <c r="AX102" i="1"/>
  <c r="W102" i="1" s="1"/>
  <c r="AH103" i="1"/>
  <c r="AI103" i="1"/>
  <c r="H103" i="1" s="1"/>
  <c r="AJ103" i="1"/>
  <c r="AK103" i="1"/>
  <c r="J103" i="1" s="1"/>
  <c r="AL103" i="1"/>
  <c r="AM103" i="1"/>
  <c r="AN103" i="1"/>
  <c r="AO103" i="1"/>
  <c r="N103" i="1" s="1"/>
  <c r="AP103" i="1"/>
  <c r="AQ103" i="1"/>
  <c r="AR103" i="1"/>
  <c r="AS103" i="1"/>
  <c r="AT103" i="1"/>
  <c r="AU103" i="1"/>
  <c r="AV103" i="1"/>
  <c r="AW103" i="1"/>
  <c r="AX103" i="1"/>
  <c r="AH104" i="1"/>
  <c r="AI104" i="1"/>
  <c r="AJ104" i="1"/>
  <c r="I104" i="1" s="1"/>
  <c r="AK104" i="1"/>
  <c r="AL104" i="1"/>
  <c r="K104" i="1" s="1"/>
  <c r="AM104" i="1"/>
  <c r="L104" i="1" s="1"/>
  <c r="AN104" i="1"/>
  <c r="M104" i="1" s="1"/>
  <c r="AO104" i="1"/>
  <c r="AP104" i="1"/>
  <c r="O104" i="1" s="1"/>
  <c r="AQ104" i="1"/>
  <c r="P104" i="1" s="1"/>
  <c r="AR104" i="1"/>
  <c r="AS104" i="1"/>
  <c r="R104" i="1" s="1"/>
  <c r="AT104" i="1"/>
  <c r="AU104" i="1"/>
  <c r="AV104" i="1"/>
  <c r="AW104" i="1"/>
  <c r="AX104" i="1"/>
  <c r="AH105" i="1"/>
  <c r="AI105" i="1"/>
  <c r="AJ105" i="1"/>
  <c r="AK105" i="1"/>
  <c r="AL105" i="1"/>
  <c r="AM105" i="1"/>
  <c r="AN105" i="1"/>
  <c r="AO105" i="1"/>
  <c r="N105" i="1" s="1"/>
  <c r="AP105" i="1"/>
  <c r="AQ105" i="1"/>
  <c r="AR105" i="1"/>
  <c r="AS105" i="1"/>
  <c r="AT105" i="1"/>
  <c r="AU105" i="1"/>
  <c r="AV105" i="1"/>
  <c r="AW105" i="1"/>
  <c r="AX105" i="1"/>
  <c r="AH106" i="1"/>
  <c r="G106" i="1" s="1"/>
  <c r="AI106" i="1"/>
  <c r="H106" i="1" s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T106" i="1" s="1"/>
  <c r="AV106" i="1"/>
  <c r="U106" i="1" s="1"/>
  <c r="AW106" i="1"/>
  <c r="V106" i="1" s="1"/>
  <c r="AX106" i="1"/>
  <c r="W106" i="1" s="1"/>
  <c r="AH107" i="1"/>
  <c r="AI107" i="1"/>
  <c r="AJ107" i="1"/>
  <c r="AK107" i="1"/>
  <c r="AL107" i="1"/>
  <c r="K107" i="1" s="1"/>
  <c r="AM107" i="1"/>
  <c r="AN107" i="1"/>
  <c r="M107" i="1" s="1"/>
  <c r="AO107" i="1"/>
  <c r="N107" i="1" s="1"/>
  <c r="AP107" i="1"/>
  <c r="O107" i="1" s="1"/>
  <c r="AQ107" i="1"/>
  <c r="P107" i="1" s="1"/>
  <c r="AR107" i="1"/>
  <c r="AS107" i="1"/>
  <c r="R107" i="1" s="1"/>
  <c r="AT107" i="1"/>
  <c r="AU107" i="1"/>
  <c r="AV107" i="1"/>
  <c r="AW107" i="1"/>
  <c r="AX107" i="1"/>
  <c r="AH108" i="1"/>
  <c r="AI108" i="1"/>
  <c r="AJ108" i="1"/>
  <c r="AK108" i="1"/>
  <c r="AL108" i="1"/>
  <c r="AM108" i="1"/>
  <c r="L108" i="1" s="1"/>
  <c r="AN108" i="1"/>
  <c r="AO108" i="1"/>
  <c r="AP108" i="1"/>
  <c r="AQ108" i="1"/>
  <c r="AR108" i="1"/>
  <c r="AS108" i="1"/>
  <c r="AT108" i="1"/>
  <c r="AU108" i="1"/>
  <c r="AV108" i="1"/>
  <c r="AW108" i="1"/>
  <c r="AX108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H63" i="1"/>
  <c r="AC64" i="1"/>
  <c r="B64" i="1" s="1"/>
  <c r="AD64" i="1"/>
  <c r="AE64" i="1"/>
  <c r="AF64" i="1"/>
  <c r="E64" i="1" s="1"/>
  <c r="AG64" i="1"/>
  <c r="AC65" i="1"/>
  <c r="B65" i="1" s="1"/>
  <c r="AD65" i="1"/>
  <c r="AE65" i="1"/>
  <c r="AF65" i="1"/>
  <c r="E65" i="1" s="1"/>
  <c r="AG65" i="1"/>
  <c r="AC66" i="1"/>
  <c r="B66" i="1" s="1"/>
  <c r="AD66" i="1"/>
  <c r="AE66" i="1"/>
  <c r="AF66" i="1"/>
  <c r="E66" i="1" s="1"/>
  <c r="AG66" i="1"/>
  <c r="AC67" i="1"/>
  <c r="B67" i="1" s="1"/>
  <c r="AD67" i="1"/>
  <c r="AE67" i="1"/>
  <c r="AF67" i="1"/>
  <c r="AG67" i="1"/>
  <c r="AC68" i="1"/>
  <c r="B68" i="1" s="1"/>
  <c r="AD68" i="1"/>
  <c r="C68" i="1" s="1"/>
  <c r="AE68" i="1"/>
  <c r="D68" i="1" s="1"/>
  <c r="AF68" i="1"/>
  <c r="E68" i="1" s="1"/>
  <c r="AG68" i="1"/>
  <c r="AC69" i="1"/>
  <c r="B69" i="1" s="1"/>
  <c r="AD69" i="1"/>
  <c r="AE69" i="1"/>
  <c r="AF69" i="1"/>
  <c r="E69" i="1" s="1"/>
  <c r="AG69" i="1"/>
  <c r="AC70" i="1"/>
  <c r="B70" i="1" s="1"/>
  <c r="AD70" i="1"/>
  <c r="AE70" i="1"/>
  <c r="AF70" i="1"/>
  <c r="E70" i="1" s="1"/>
  <c r="AG70" i="1"/>
  <c r="AC71" i="1"/>
  <c r="B71" i="1" s="1"/>
  <c r="AD71" i="1"/>
  <c r="AE71" i="1"/>
  <c r="AF71" i="1"/>
  <c r="E71" i="1" s="1"/>
  <c r="AG71" i="1"/>
  <c r="AC72" i="1"/>
  <c r="B72" i="1" s="1"/>
  <c r="AD72" i="1"/>
  <c r="AE72" i="1"/>
  <c r="AF72" i="1"/>
  <c r="E72" i="1" s="1"/>
  <c r="AG72" i="1"/>
  <c r="AC73" i="1"/>
  <c r="B73" i="1" s="1"/>
  <c r="AD73" i="1"/>
  <c r="AE73" i="1"/>
  <c r="AF73" i="1"/>
  <c r="E73" i="1" s="1"/>
  <c r="AG73" i="1"/>
  <c r="AC74" i="1"/>
  <c r="B74" i="1" s="1"/>
  <c r="AD74" i="1"/>
  <c r="AE74" i="1"/>
  <c r="AF74" i="1"/>
  <c r="E74" i="1" s="1"/>
  <c r="AG74" i="1"/>
  <c r="AC75" i="1"/>
  <c r="B75" i="1" s="1"/>
  <c r="AD75" i="1"/>
  <c r="AE75" i="1"/>
  <c r="AF75" i="1"/>
  <c r="AG75" i="1"/>
  <c r="AC76" i="1"/>
  <c r="B76" i="1" s="1"/>
  <c r="AD76" i="1"/>
  <c r="C76" i="1" s="1"/>
  <c r="AE76" i="1"/>
  <c r="D76" i="1" s="1"/>
  <c r="AF76" i="1"/>
  <c r="E76" i="1" s="1"/>
  <c r="AG76" i="1"/>
  <c r="AC77" i="1"/>
  <c r="B77" i="1" s="1"/>
  <c r="AD77" i="1"/>
  <c r="AE77" i="1"/>
  <c r="AF77" i="1"/>
  <c r="E77" i="1" s="1"/>
  <c r="AG77" i="1"/>
  <c r="AC78" i="1"/>
  <c r="B78" i="1" s="1"/>
  <c r="AD78" i="1"/>
  <c r="AE78" i="1"/>
  <c r="AF78" i="1"/>
  <c r="E78" i="1" s="1"/>
  <c r="AG78" i="1"/>
  <c r="F78" i="1" s="1"/>
  <c r="AC79" i="1"/>
  <c r="B79" i="1" s="1"/>
  <c r="AD79" i="1"/>
  <c r="AE79" i="1"/>
  <c r="AF79" i="1"/>
  <c r="E79" i="1" s="1"/>
  <c r="AG79" i="1"/>
  <c r="AC80" i="1"/>
  <c r="B80" i="1" s="1"/>
  <c r="AD80" i="1"/>
  <c r="C80" i="1" s="1"/>
  <c r="AE80" i="1"/>
  <c r="AF80" i="1"/>
  <c r="E80" i="1" s="1"/>
  <c r="AG80" i="1"/>
  <c r="AC81" i="1"/>
  <c r="B81" i="1" s="1"/>
  <c r="AD81" i="1"/>
  <c r="AE81" i="1"/>
  <c r="AF81" i="1"/>
  <c r="AG81" i="1"/>
  <c r="AC82" i="1"/>
  <c r="AD82" i="1"/>
  <c r="C82" i="1" s="1"/>
  <c r="AE82" i="1"/>
  <c r="D82" i="1" s="1"/>
  <c r="AF82" i="1"/>
  <c r="AG82" i="1"/>
  <c r="AC83" i="1"/>
  <c r="AD83" i="1"/>
  <c r="AE83" i="1"/>
  <c r="AF83" i="1"/>
  <c r="AG83" i="1"/>
  <c r="AC84" i="1"/>
  <c r="AD84" i="1"/>
  <c r="AE84" i="1"/>
  <c r="AF84" i="1"/>
  <c r="AG84" i="1"/>
  <c r="AC85" i="1"/>
  <c r="AD85" i="1"/>
  <c r="AE85" i="1"/>
  <c r="D85" i="1" s="1"/>
  <c r="AF85" i="1"/>
  <c r="AG85" i="1"/>
  <c r="AC86" i="1"/>
  <c r="AD86" i="1"/>
  <c r="AE86" i="1"/>
  <c r="AF86" i="1"/>
  <c r="AG86" i="1"/>
  <c r="AC87" i="1"/>
  <c r="AD87" i="1"/>
  <c r="C87" i="1" s="1"/>
  <c r="AE87" i="1"/>
  <c r="AF87" i="1"/>
  <c r="AG87" i="1"/>
  <c r="AC88" i="1"/>
  <c r="B88" i="1" s="1"/>
  <c r="AD88" i="1"/>
  <c r="AE88" i="1"/>
  <c r="AF88" i="1"/>
  <c r="E88" i="1" s="1"/>
  <c r="AG88" i="1"/>
  <c r="F88" i="1" s="1"/>
  <c r="AC89" i="1"/>
  <c r="AD89" i="1"/>
  <c r="AE89" i="1"/>
  <c r="AF89" i="1"/>
  <c r="E89" i="1" s="1"/>
  <c r="AG89" i="1"/>
  <c r="AC90" i="1"/>
  <c r="AD90" i="1"/>
  <c r="AE90" i="1"/>
  <c r="AF90" i="1"/>
  <c r="AG90" i="1"/>
  <c r="AC91" i="1"/>
  <c r="AD91" i="1"/>
  <c r="AE91" i="1"/>
  <c r="AF91" i="1"/>
  <c r="AG91" i="1"/>
  <c r="F91" i="1" s="1"/>
  <c r="AC92" i="1"/>
  <c r="AD92" i="1"/>
  <c r="AE92" i="1"/>
  <c r="D92" i="1" s="1"/>
  <c r="AF92" i="1"/>
  <c r="AG92" i="1"/>
  <c r="AC93" i="1"/>
  <c r="AD93" i="1"/>
  <c r="AE93" i="1"/>
  <c r="AF93" i="1"/>
  <c r="AG93" i="1"/>
  <c r="AC94" i="1"/>
  <c r="AD94" i="1"/>
  <c r="AE94" i="1"/>
  <c r="AF94" i="1"/>
  <c r="AG94" i="1"/>
  <c r="AC95" i="1"/>
  <c r="B95" i="1" s="1"/>
  <c r="AD95" i="1"/>
  <c r="C95" i="1" s="1"/>
  <c r="AE95" i="1"/>
  <c r="AF95" i="1"/>
  <c r="AG95" i="1"/>
  <c r="AC96" i="1"/>
  <c r="B96" i="1" s="1"/>
  <c r="AD96" i="1"/>
  <c r="AE96" i="1"/>
  <c r="AF96" i="1"/>
  <c r="AG96" i="1"/>
  <c r="AC97" i="1"/>
  <c r="AD97" i="1"/>
  <c r="AE97" i="1"/>
  <c r="AF97" i="1"/>
  <c r="AG97" i="1"/>
  <c r="F97" i="1" s="1"/>
  <c r="AC98" i="1"/>
  <c r="AD98" i="1"/>
  <c r="AE98" i="1"/>
  <c r="AF98" i="1"/>
  <c r="AG98" i="1"/>
  <c r="AC99" i="1"/>
  <c r="AD99" i="1"/>
  <c r="AE99" i="1"/>
  <c r="AF99" i="1"/>
  <c r="AG99" i="1"/>
  <c r="F99" i="1" s="1"/>
  <c r="AC100" i="1"/>
  <c r="AD100" i="1"/>
  <c r="AE100" i="1"/>
  <c r="AF100" i="1"/>
  <c r="E100" i="1" s="1"/>
  <c r="AG100" i="1"/>
  <c r="AC101" i="1"/>
  <c r="AD101" i="1"/>
  <c r="AE101" i="1"/>
  <c r="D101" i="1" s="1"/>
  <c r="AF101" i="1"/>
  <c r="AG101" i="1"/>
  <c r="AC102" i="1"/>
  <c r="AD102" i="1"/>
  <c r="AE102" i="1"/>
  <c r="AF102" i="1"/>
  <c r="AG102" i="1"/>
  <c r="AC103" i="1"/>
  <c r="AD103" i="1"/>
  <c r="AE103" i="1"/>
  <c r="AF103" i="1"/>
  <c r="AG103" i="1"/>
  <c r="AC104" i="1"/>
  <c r="AD104" i="1"/>
  <c r="C104" i="1" s="1"/>
  <c r="AE104" i="1"/>
  <c r="AF104" i="1"/>
  <c r="E104" i="1" s="1"/>
  <c r="AG104" i="1"/>
  <c r="AC105" i="1"/>
  <c r="AD105" i="1"/>
  <c r="AE105" i="1"/>
  <c r="AF105" i="1"/>
  <c r="AG105" i="1"/>
  <c r="AC106" i="1"/>
  <c r="B106" i="1" s="1"/>
  <c r="AD106" i="1"/>
  <c r="AE106" i="1"/>
  <c r="AF106" i="1"/>
  <c r="AG106" i="1"/>
  <c r="AC107" i="1"/>
  <c r="AD107" i="1"/>
  <c r="AE107" i="1"/>
  <c r="AF107" i="1"/>
  <c r="AG107" i="1"/>
  <c r="F107" i="1" s="1"/>
  <c r="AC108" i="1"/>
  <c r="AD108" i="1"/>
  <c r="AE108" i="1"/>
  <c r="AF108" i="1"/>
  <c r="AG108" i="1"/>
  <c r="AC109" i="1"/>
  <c r="AD109" i="1"/>
  <c r="AE109" i="1"/>
  <c r="AF109" i="1"/>
  <c r="AG109" i="1"/>
  <c r="F109" i="1" s="1"/>
  <c r="AC110" i="1"/>
  <c r="AD110" i="1"/>
  <c r="AE110" i="1"/>
  <c r="AF110" i="1"/>
  <c r="AG110" i="1"/>
  <c r="AC111" i="1"/>
  <c r="AD111" i="1"/>
  <c r="AE111" i="1"/>
  <c r="AF111" i="1"/>
  <c r="E111" i="1" s="1"/>
  <c r="AG111" i="1"/>
  <c r="AC112" i="1"/>
  <c r="AD112" i="1"/>
  <c r="AE112" i="1"/>
  <c r="AF112" i="1"/>
  <c r="AG112" i="1"/>
  <c r="AC113" i="1"/>
  <c r="AD113" i="1"/>
  <c r="AE113" i="1"/>
  <c r="D113" i="1" s="1"/>
  <c r="AF113" i="1"/>
  <c r="AG113" i="1"/>
  <c r="AC114" i="1"/>
  <c r="AD114" i="1"/>
  <c r="AE114" i="1"/>
  <c r="AF114" i="1"/>
  <c r="AG114" i="1"/>
  <c r="AC115" i="1"/>
  <c r="AD115" i="1"/>
  <c r="C115" i="1" s="1"/>
  <c r="AE115" i="1"/>
  <c r="AF115" i="1"/>
  <c r="AG115" i="1"/>
  <c r="AC116" i="1"/>
  <c r="B116" i="1" s="1"/>
  <c r="AD116" i="1"/>
  <c r="AE116" i="1"/>
  <c r="AF116" i="1"/>
  <c r="AG116" i="1"/>
  <c r="AC117" i="1"/>
  <c r="AD117" i="1"/>
  <c r="AE117" i="1"/>
  <c r="AF117" i="1"/>
  <c r="AG117" i="1"/>
  <c r="AC118" i="1"/>
  <c r="AD118" i="1"/>
  <c r="AE118" i="1"/>
  <c r="AF118" i="1"/>
  <c r="AG118" i="1"/>
  <c r="AC119" i="1"/>
  <c r="AD119" i="1"/>
  <c r="AE119" i="1"/>
  <c r="AF119" i="1"/>
  <c r="AG119" i="1"/>
  <c r="AC120" i="1"/>
  <c r="AD120" i="1"/>
  <c r="AE120" i="1"/>
  <c r="AF120" i="1"/>
  <c r="AG120" i="1"/>
  <c r="AC121" i="1"/>
  <c r="AD121" i="1"/>
  <c r="AE121" i="1"/>
  <c r="AF121" i="1"/>
  <c r="AG121" i="1"/>
  <c r="AC122" i="1"/>
  <c r="AD122" i="1"/>
  <c r="AE122" i="1"/>
  <c r="AF122" i="1"/>
  <c r="AG122" i="1"/>
  <c r="AC123" i="1"/>
  <c r="AD123" i="1"/>
  <c r="AE123" i="1"/>
  <c r="AF123" i="1"/>
  <c r="AG123" i="1"/>
  <c r="AC124" i="1"/>
  <c r="AD124" i="1"/>
  <c r="AE124" i="1"/>
  <c r="AF124" i="1"/>
  <c r="AG124" i="1"/>
  <c r="AC125" i="1"/>
  <c r="AD125" i="1"/>
  <c r="AE125" i="1"/>
  <c r="AF125" i="1"/>
  <c r="AG125" i="1"/>
  <c r="AC126" i="1"/>
  <c r="AD126" i="1"/>
  <c r="AE126" i="1"/>
  <c r="AF126" i="1"/>
  <c r="AG126" i="1"/>
  <c r="AC127" i="1"/>
  <c r="AD127" i="1"/>
  <c r="AE127" i="1"/>
  <c r="AF127" i="1"/>
  <c r="AG127" i="1"/>
  <c r="AC128" i="1"/>
  <c r="AD128" i="1"/>
  <c r="C128" i="1" s="1"/>
  <c r="AE128" i="1"/>
  <c r="AF128" i="1"/>
  <c r="AG128" i="1"/>
  <c r="AC129" i="1"/>
  <c r="B129" i="1" s="1"/>
  <c r="AD129" i="1"/>
  <c r="AE129" i="1"/>
  <c r="AF129" i="1"/>
  <c r="AG129" i="1"/>
  <c r="F129" i="1" s="1"/>
  <c r="AC130" i="1"/>
  <c r="AD130" i="1"/>
  <c r="AE130" i="1"/>
  <c r="AF130" i="1"/>
  <c r="E130" i="1" s="1"/>
  <c r="AG130" i="1"/>
  <c r="AC131" i="1"/>
  <c r="AD131" i="1"/>
  <c r="AE131" i="1"/>
  <c r="AF131" i="1"/>
  <c r="AG131" i="1"/>
  <c r="AC132" i="1"/>
  <c r="AD132" i="1"/>
  <c r="AE132" i="1"/>
  <c r="AF132" i="1"/>
  <c r="AG132" i="1"/>
  <c r="AC133" i="1"/>
  <c r="AD133" i="1"/>
  <c r="AE133" i="1"/>
  <c r="D133" i="1" s="1"/>
  <c r="AF133" i="1"/>
  <c r="AG133" i="1"/>
  <c r="AC134" i="1"/>
  <c r="AD134" i="1"/>
  <c r="AE134" i="1"/>
  <c r="AF134" i="1"/>
  <c r="AG134" i="1"/>
  <c r="AC135" i="1"/>
  <c r="AD135" i="1"/>
  <c r="AE135" i="1"/>
  <c r="AF135" i="1"/>
  <c r="AG135" i="1"/>
  <c r="AC136" i="1"/>
  <c r="AD136" i="1"/>
  <c r="AE136" i="1"/>
  <c r="AF136" i="1"/>
  <c r="AG136" i="1"/>
  <c r="AC137" i="1"/>
  <c r="AD137" i="1"/>
  <c r="AE137" i="1"/>
  <c r="AF137" i="1"/>
  <c r="AG137" i="1"/>
  <c r="AC138" i="1"/>
  <c r="AD138" i="1"/>
  <c r="AE138" i="1"/>
  <c r="AF138" i="1"/>
  <c r="AG138" i="1"/>
  <c r="AC139" i="1"/>
  <c r="AD139" i="1"/>
  <c r="AE139" i="1"/>
  <c r="AF139" i="1"/>
  <c r="AG139" i="1"/>
  <c r="AC140" i="1"/>
  <c r="AD140" i="1"/>
  <c r="AE140" i="1"/>
  <c r="AF140" i="1"/>
  <c r="AG140" i="1"/>
  <c r="AC141" i="1"/>
  <c r="AD141" i="1"/>
  <c r="AE141" i="1"/>
  <c r="AF141" i="1"/>
  <c r="AG141" i="1"/>
  <c r="AC142" i="1"/>
  <c r="AD142" i="1"/>
  <c r="AE142" i="1"/>
  <c r="AF142" i="1"/>
  <c r="AG142" i="1"/>
  <c r="AC143" i="1"/>
  <c r="AD143" i="1"/>
  <c r="AE143" i="1"/>
  <c r="AF143" i="1"/>
  <c r="AG143" i="1"/>
  <c r="AC144" i="1"/>
  <c r="AD144" i="1"/>
  <c r="AE144" i="1"/>
  <c r="AF144" i="1"/>
  <c r="AG144" i="1"/>
  <c r="AC145" i="1"/>
  <c r="AD145" i="1"/>
  <c r="AE145" i="1"/>
  <c r="AF145" i="1"/>
  <c r="AG145" i="1"/>
  <c r="AC146" i="1"/>
  <c r="AD146" i="1"/>
  <c r="AE146" i="1"/>
  <c r="AF146" i="1"/>
  <c r="AG146" i="1"/>
  <c r="AC147" i="1"/>
  <c r="AD147" i="1"/>
  <c r="AE147" i="1"/>
  <c r="AF147" i="1"/>
  <c r="AG147" i="1"/>
  <c r="AC148" i="1"/>
  <c r="AD148" i="1"/>
  <c r="AE148" i="1"/>
  <c r="AF148" i="1"/>
  <c r="AG148" i="1"/>
  <c r="AC149" i="1"/>
  <c r="AD149" i="1"/>
  <c r="AE149" i="1"/>
  <c r="AF149" i="1"/>
  <c r="AG149" i="1"/>
  <c r="AC150" i="1"/>
  <c r="AD150" i="1"/>
  <c r="AE150" i="1"/>
  <c r="AF150" i="1"/>
  <c r="AG150" i="1"/>
  <c r="AC151" i="1"/>
  <c r="AD151" i="1"/>
  <c r="AE151" i="1"/>
  <c r="AF151" i="1"/>
  <c r="AG151" i="1"/>
  <c r="AC152" i="1"/>
  <c r="AD152" i="1"/>
  <c r="AE152" i="1"/>
  <c r="AF152" i="1"/>
  <c r="AG152" i="1"/>
  <c r="AC153" i="1"/>
  <c r="AD153" i="1"/>
  <c r="AE153" i="1"/>
  <c r="AF153" i="1"/>
  <c r="AG153" i="1"/>
  <c r="AC154" i="1"/>
  <c r="AD154" i="1"/>
  <c r="AE154" i="1"/>
  <c r="AF154" i="1"/>
  <c r="AG154" i="1"/>
  <c r="AC155" i="1"/>
  <c r="AD155" i="1"/>
  <c r="AE155" i="1"/>
  <c r="AF155" i="1"/>
  <c r="AG155" i="1"/>
  <c r="AC156" i="1"/>
  <c r="AD156" i="1"/>
  <c r="AE156" i="1"/>
  <c r="AF156" i="1"/>
  <c r="AG156" i="1"/>
  <c r="AC157" i="1"/>
  <c r="AD157" i="1"/>
  <c r="AE157" i="1"/>
  <c r="D157" i="1" s="1"/>
  <c r="AF157" i="1"/>
  <c r="AG157" i="1"/>
  <c r="AC158" i="1"/>
  <c r="AD158" i="1"/>
  <c r="AE158" i="1"/>
  <c r="AF158" i="1"/>
  <c r="AG158" i="1"/>
  <c r="AC159" i="1"/>
  <c r="AD159" i="1"/>
  <c r="C159" i="1" s="1"/>
  <c r="AE159" i="1"/>
  <c r="AF159" i="1"/>
  <c r="AG159" i="1"/>
  <c r="AC160" i="1"/>
  <c r="B160" i="1" s="1"/>
  <c r="AD160" i="1"/>
  <c r="AE160" i="1"/>
  <c r="AF160" i="1"/>
  <c r="E160" i="1" s="1"/>
  <c r="AG160" i="1"/>
  <c r="AC161" i="1"/>
  <c r="AD161" i="1"/>
  <c r="AE161" i="1"/>
  <c r="AF161" i="1"/>
  <c r="E161" i="1" s="1"/>
  <c r="AG161" i="1"/>
  <c r="AC162" i="1"/>
  <c r="AD162" i="1"/>
  <c r="C162" i="1" s="1"/>
  <c r="AE162" i="1"/>
  <c r="AF162" i="1"/>
  <c r="AG162" i="1"/>
  <c r="AC163" i="1"/>
  <c r="AD163" i="1"/>
  <c r="AE163" i="1"/>
  <c r="AF163" i="1"/>
  <c r="AG163" i="1"/>
  <c r="AC164" i="1"/>
  <c r="AD164" i="1"/>
  <c r="AE164" i="1"/>
  <c r="D164" i="1" s="1"/>
  <c r="AF164" i="1"/>
  <c r="AG164" i="1"/>
  <c r="AC165" i="1"/>
  <c r="AD165" i="1"/>
  <c r="AE165" i="1"/>
  <c r="AF165" i="1"/>
  <c r="AG165" i="1"/>
  <c r="AC166" i="1"/>
  <c r="AD166" i="1"/>
  <c r="AE166" i="1"/>
  <c r="AF166" i="1"/>
  <c r="AG166" i="1"/>
  <c r="AC167" i="1"/>
  <c r="B167" i="1" s="1"/>
  <c r="AD167" i="1"/>
  <c r="C167" i="1" s="1"/>
  <c r="AE167" i="1"/>
  <c r="AF167" i="1"/>
  <c r="AG167" i="1"/>
  <c r="AC168" i="1"/>
  <c r="B168" i="1" s="1"/>
  <c r="AD168" i="1"/>
  <c r="AE168" i="1"/>
  <c r="AF168" i="1"/>
  <c r="E168" i="1" s="1"/>
  <c r="AG168" i="1"/>
  <c r="AC169" i="1"/>
  <c r="AD169" i="1"/>
  <c r="AE169" i="1"/>
  <c r="AF169" i="1"/>
  <c r="AG169" i="1"/>
  <c r="F169" i="1" s="1"/>
  <c r="AC170" i="1"/>
  <c r="AD170" i="1"/>
  <c r="C170" i="1" s="1"/>
  <c r="AE170" i="1"/>
  <c r="AF170" i="1"/>
  <c r="AG170" i="1"/>
  <c r="AC171" i="1"/>
  <c r="AD171" i="1"/>
  <c r="AE171" i="1"/>
  <c r="AF171" i="1"/>
  <c r="AG171" i="1"/>
  <c r="F171" i="1" s="1"/>
  <c r="AC172" i="1"/>
  <c r="AD172" i="1"/>
  <c r="AE172" i="1"/>
  <c r="AF172" i="1"/>
  <c r="E172" i="1" s="1"/>
  <c r="AG172" i="1"/>
  <c r="AC173" i="1"/>
  <c r="AD173" i="1"/>
  <c r="AE173" i="1"/>
  <c r="D173" i="1" s="1"/>
  <c r="AF173" i="1"/>
  <c r="AG173" i="1"/>
  <c r="AC174" i="1"/>
  <c r="AD174" i="1"/>
  <c r="AE174" i="1"/>
  <c r="AF174" i="1"/>
  <c r="AG174" i="1"/>
  <c r="AC175" i="1"/>
  <c r="B175" i="1" s="1"/>
  <c r="AD175" i="1"/>
  <c r="AE175" i="1"/>
  <c r="AF175" i="1"/>
  <c r="AG175" i="1"/>
  <c r="AC176" i="1"/>
  <c r="AD176" i="1"/>
  <c r="C176" i="1" s="1"/>
  <c r="AE176" i="1"/>
  <c r="AF176" i="1"/>
  <c r="E176" i="1" s="1"/>
  <c r="AG176" i="1"/>
  <c r="AC177" i="1"/>
  <c r="AD177" i="1"/>
  <c r="AE177" i="1"/>
  <c r="AF177" i="1"/>
  <c r="AG177" i="1"/>
  <c r="AC178" i="1"/>
  <c r="B178" i="1" s="1"/>
  <c r="AD178" i="1"/>
  <c r="AE178" i="1"/>
  <c r="AF178" i="1"/>
  <c r="AG178" i="1"/>
  <c r="AC179" i="1"/>
  <c r="AD179" i="1"/>
  <c r="AE179" i="1"/>
  <c r="AF179" i="1"/>
  <c r="AG179" i="1"/>
  <c r="AC180" i="1"/>
  <c r="AD180" i="1"/>
  <c r="AE180" i="1"/>
  <c r="AF180" i="1"/>
  <c r="AG180" i="1"/>
  <c r="AC181" i="1"/>
  <c r="AD181" i="1"/>
  <c r="AE181" i="1"/>
  <c r="AF181" i="1"/>
  <c r="AG181" i="1"/>
  <c r="AC182" i="1"/>
  <c r="AD182" i="1"/>
  <c r="AE182" i="1"/>
  <c r="AF182" i="1"/>
  <c r="AG182" i="1"/>
  <c r="AC183" i="1"/>
  <c r="AD183" i="1"/>
  <c r="AE183" i="1"/>
  <c r="AF183" i="1"/>
  <c r="E183" i="1" s="1"/>
  <c r="AG183" i="1"/>
  <c r="AC184" i="1"/>
  <c r="AD184" i="1"/>
  <c r="AE184" i="1"/>
  <c r="AF184" i="1"/>
  <c r="AG184" i="1"/>
  <c r="AC185" i="1"/>
  <c r="AD185" i="1"/>
  <c r="AE185" i="1"/>
  <c r="D185" i="1" s="1"/>
  <c r="AF185" i="1"/>
  <c r="AG185" i="1"/>
  <c r="AC186" i="1"/>
  <c r="AD186" i="1"/>
  <c r="AE186" i="1"/>
  <c r="AF186" i="1"/>
  <c r="AG186" i="1"/>
  <c r="AC187" i="1"/>
  <c r="AD187" i="1"/>
  <c r="C187" i="1" s="1"/>
  <c r="AE187" i="1"/>
  <c r="AF187" i="1"/>
  <c r="AG187" i="1"/>
  <c r="AC188" i="1"/>
  <c r="B188" i="1" s="1"/>
  <c r="AD188" i="1"/>
  <c r="AE188" i="1"/>
  <c r="AF188" i="1"/>
  <c r="AG188" i="1"/>
  <c r="AC189" i="1"/>
  <c r="AD189" i="1"/>
  <c r="AE189" i="1"/>
  <c r="AF189" i="1"/>
  <c r="AG189" i="1"/>
  <c r="AC190" i="1"/>
  <c r="AD190" i="1"/>
  <c r="AE190" i="1"/>
  <c r="AF190" i="1"/>
  <c r="AG190" i="1"/>
  <c r="AC191" i="1"/>
  <c r="AD191" i="1"/>
  <c r="AE191" i="1"/>
  <c r="AF191" i="1"/>
  <c r="AG191" i="1"/>
  <c r="AC192" i="1"/>
  <c r="AD192" i="1"/>
  <c r="AE192" i="1"/>
  <c r="AF192" i="1"/>
  <c r="AG192" i="1"/>
  <c r="AC193" i="1"/>
  <c r="AD193" i="1"/>
  <c r="AE193" i="1"/>
  <c r="AF193" i="1"/>
  <c r="AG193" i="1"/>
  <c r="AC194" i="1"/>
  <c r="AD194" i="1"/>
  <c r="AE194" i="1"/>
  <c r="AF194" i="1"/>
  <c r="AG194" i="1"/>
  <c r="AC195" i="1"/>
  <c r="AD195" i="1"/>
  <c r="AE195" i="1"/>
  <c r="AF195" i="1"/>
  <c r="AG195" i="1"/>
  <c r="AC196" i="1"/>
  <c r="AD196" i="1"/>
  <c r="AE196" i="1"/>
  <c r="AF196" i="1"/>
  <c r="AG196" i="1"/>
  <c r="AC197" i="1"/>
  <c r="AD197" i="1"/>
  <c r="AE197" i="1"/>
  <c r="AF197" i="1"/>
  <c r="AG197" i="1"/>
  <c r="AC198" i="1"/>
  <c r="AD198" i="1"/>
  <c r="AE198" i="1"/>
  <c r="AF198" i="1"/>
  <c r="AG198" i="1"/>
  <c r="AC199" i="1"/>
  <c r="AD199" i="1"/>
  <c r="AE199" i="1"/>
  <c r="AF199" i="1"/>
  <c r="AG199" i="1"/>
  <c r="AC200" i="1"/>
  <c r="AD200" i="1"/>
  <c r="C200" i="1" s="1"/>
  <c r="AE200" i="1"/>
  <c r="AF200" i="1"/>
  <c r="AG200" i="1"/>
  <c r="AC201" i="1"/>
  <c r="B201" i="1" s="1"/>
  <c r="AD201" i="1"/>
  <c r="AE201" i="1"/>
  <c r="AF201" i="1"/>
  <c r="AG201" i="1"/>
  <c r="F201" i="1" s="1"/>
  <c r="AC202" i="1"/>
  <c r="AD202" i="1"/>
  <c r="AE202" i="1"/>
  <c r="AF202" i="1"/>
  <c r="E202" i="1" s="1"/>
  <c r="AG202" i="1"/>
  <c r="AC203" i="1"/>
  <c r="AD203" i="1"/>
  <c r="AE203" i="1"/>
  <c r="AF203" i="1"/>
  <c r="AG203" i="1"/>
  <c r="AC204" i="1"/>
  <c r="AD204" i="1"/>
  <c r="AE204" i="1"/>
  <c r="AF204" i="1"/>
  <c r="AG204" i="1"/>
  <c r="AC205" i="1"/>
  <c r="AD205" i="1"/>
  <c r="AE205" i="1"/>
  <c r="D205" i="1" s="1"/>
  <c r="AF205" i="1"/>
  <c r="AG205" i="1"/>
  <c r="AC206" i="1"/>
  <c r="AD206" i="1"/>
  <c r="AE206" i="1"/>
  <c r="AF206" i="1"/>
  <c r="AG206" i="1"/>
  <c r="AD63" i="1"/>
  <c r="AE63" i="1"/>
  <c r="AF63" i="1"/>
  <c r="AG63" i="1"/>
  <c r="AC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B63" i="1"/>
  <c r="M11" i="20" l="1"/>
  <c r="M274" i="17"/>
  <c r="M34" i="21"/>
  <c r="M305" i="17"/>
  <c r="G66" i="1"/>
  <c r="O65" i="1"/>
  <c r="G65" i="1"/>
  <c r="H499" i="5"/>
  <c r="K11" i="20"/>
  <c r="K94" i="17"/>
  <c r="K101" i="17"/>
  <c r="K97" i="17"/>
  <c r="K93" i="17"/>
  <c r="K113" i="17"/>
  <c r="K109" i="17"/>
  <c r="K105" i="17"/>
  <c r="K100" i="17"/>
  <c r="K104" i="17"/>
  <c r="K89" i="17"/>
  <c r="K118" i="17"/>
  <c r="K108" i="17"/>
  <c r="K107" i="17"/>
  <c r="K102" i="17"/>
  <c r="K114" i="17"/>
  <c r="K111" i="17"/>
  <c r="K116" i="17"/>
  <c r="K106" i="17"/>
  <c r="K92" i="17"/>
  <c r="K112" i="17"/>
  <c r="K88" i="17"/>
  <c r="K99" i="17"/>
  <c r="K87" i="17"/>
  <c r="K110" i="17"/>
  <c r="K96" i="17"/>
  <c r="K117" i="17"/>
  <c r="K115" i="17"/>
  <c r="K103" i="17"/>
  <c r="K95" i="17"/>
  <c r="K98" i="17"/>
  <c r="K90" i="17"/>
  <c r="K91" i="17"/>
  <c r="K220" i="22"/>
  <c r="K315" i="17"/>
  <c r="K298" i="17"/>
  <c r="K202" i="22"/>
  <c r="K199" i="22"/>
  <c r="K203" i="22"/>
  <c r="K201" i="22"/>
  <c r="K198" i="22"/>
  <c r="K200" i="22"/>
  <c r="K204" i="22"/>
  <c r="K22" i="21"/>
  <c r="K244" i="17"/>
  <c r="K240" i="17"/>
  <c r="K239" i="17"/>
  <c r="K241" i="17"/>
  <c r="K246" i="17"/>
  <c r="K243" i="17"/>
  <c r="K238" i="17"/>
  <c r="K245" i="17"/>
  <c r="K294" i="17"/>
  <c r="K242" i="17"/>
  <c r="K241" i="22"/>
  <c r="K249" i="22"/>
  <c r="K219" i="22"/>
  <c r="K286" i="17"/>
  <c r="K259" i="22"/>
  <c r="K233" i="22"/>
  <c r="K34" i="22"/>
  <c r="K28" i="22"/>
  <c r="K37" i="22"/>
  <c r="K29" i="22"/>
  <c r="K16" i="22"/>
  <c r="K9" i="22"/>
  <c r="K228" i="22"/>
  <c r="K31" i="22"/>
  <c r="K27" i="22"/>
  <c r="K20" i="22"/>
  <c r="K18" i="22"/>
  <c r="K214" i="22"/>
  <c r="K39" i="22"/>
  <c r="K36" i="22"/>
  <c r="K33" i="22"/>
  <c r="K23" i="22"/>
  <c r="K21" i="22"/>
  <c r="K11" i="22"/>
  <c r="K8" i="22"/>
  <c r="K25" i="22"/>
  <c r="K15" i="22"/>
  <c r="K32" i="22"/>
  <c r="K30" i="22"/>
  <c r="K13" i="22"/>
  <c r="K10" i="22"/>
  <c r="K35" i="22"/>
  <c r="K26" i="22"/>
  <c r="K24" i="22"/>
  <c r="K22" i="22"/>
  <c r="K19" i="22"/>
  <c r="K17" i="22"/>
  <c r="K14" i="22"/>
  <c r="K38" i="22"/>
  <c r="K12" i="22"/>
  <c r="H541" i="5"/>
  <c r="K28" i="21"/>
  <c r="K264" i="17"/>
  <c r="K265" i="17"/>
  <c r="K30" i="21"/>
  <c r="K232" i="22"/>
  <c r="K303" i="17"/>
  <c r="K174" i="22"/>
  <c r="K16" i="21"/>
  <c r="K177" i="22"/>
  <c r="K173" i="22"/>
  <c r="K18" i="21"/>
  <c r="K179" i="22"/>
  <c r="K176" i="22"/>
  <c r="K181" i="22"/>
  <c r="K178" i="22"/>
  <c r="K20" i="21"/>
  <c r="K17" i="21"/>
  <c r="K228" i="17"/>
  <c r="K312" i="17"/>
  <c r="K245" i="22"/>
  <c r="K253" i="22"/>
  <c r="K231" i="22"/>
  <c r="K226" i="22"/>
  <c r="H547" i="5"/>
  <c r="K34" i="21"/>
  <c r="K212" i="22"/>
  <c r="K210" i="22"/>
  <c r="K208" i="22"/>
  <c r="K206" i="22"/>
  <c r="K211" i="22"/>
  <c r="K207" i="22"/>
  <c r="K205" i="22"/>
  <c r="K213" i="22"/>
  <c r="K209" i="22"/>
  <c r="K252" i="17"/>
  <c r="K260" i="17"/>
  <c r="K251" i="17"/>
  <c r="K247" i="17"/>
  <c r="K248" i="17"/>
  <c r="K255" i="17"/>
  <c r="K256" i="17"/>
  <c r="K258" i="17"/>
  <c r="K249" i="17"/>
  <c r="K261" i="17"/>
  <c r="K263" i="17"/>
  <c r="K262" i="17"/>
  <c r="K254" i="17"/>
  <c r="K257" i="17"/>
  <c r="K253" i="17"/>
  <c r="K250" i="17"/>
  <c r="K15" i="20"/>
  <c r="K16" i="20"/>
  <c r="K14" i="20"/>
  <c r="K108" i="22"/>
  <c r="K111" i="22"/>
  <c r="K109" i="22"/>
  <c r="K113" i="22"/>
  <c r="K112" i="22"/>
  <c r="K114" i="22"/>
  <c r="K110" i="22"/>
  <c r="K175" i="17"/>
  <c r="K171" i="17"/>
  <c r="K173" i="17"/>
  <c r="K189" i="17"/>
  <c r="K203" i="17"/>
  <c r="K174" i="17"/>
  <c r="K172" i="17"/>
  <c r="K190" i="17"/>
  <c r="K188" i="17"/>
  <c r="K192" i="17"/>
  <c r="K142" i="22"/>
  <c r="K144" i="22"/>
  <c r="K141" i="22"/>
  <c r="K158" i="22"/>
  <c r="K156" i="22"/>
  <c r="K169" i="22"/>
  <c r="K167" i="22"/>
  <c r="K162" i="22"/>
  <c r="K154" i="22"/>
  <c r="K164" i="22"/>
  <c r="K157" i="22"/>
  <c r="K166" i="22"/>
  <c r="K160" i="22"/>
  <c r="K153" i="22"/>
  <c r="K161" i="22"/>
  <c r="K155" i="22"/>
  <c r="K165" i="22"/>
  <c r="K163" i="22"/>
  <c r="K168" i="22"/>
  <c r="K159" i="22"/>
  <c r="K13" i="21"/>
  <c r="K170" i="22"/>
  <c r="K218" i="17"/>
  <c r="K215" i="17"/>
  <c r="K223" i="17"/>
  <c r="K211" i="17"/>
  <c r="K210" i="17"/>
  <c r="K219" i="17"/>
  <c r="K207" i="17"/>
  <c r="K224" i="17"/>
  <c r="K209" i="17"/>
  <c r="K220" i="17"/>
  <c r="K216" i="17"/>
  <c r="K208" i="17"/>
  <c r="K213" i="17"/>
  <c r="K212" i="17"/>
  <c r="K217" i="17"/>
  <c r="K214" i="17"/>
  <c r="K221" i="17"/>
  <c r="K222" i="17"/>
  <c r="K281" i="17"/>
  <c r="K317" i="17"/>
  <c r="K306" i="17"/>
  <c r="K193" i="22"/>
  <c r="K183" i="22"/>
  <c r="K185" i="22"/>
  <c r="K182" i="22"/>
  <c r="K186" i="22"/>
  <c r="K184" i="22"/>
  <c r="K234" i="17"/>
  <c r="K235" i="17"/>
  <c r="K261" i="22"/>
  <c r="K244" i="22"/>
  <c r="K287" i="17"/>
  <c r="K282" i="17"/>
  <c r="H589" i="5"/>
  <c r="K246" i="22"/>
  <c r="K255" i="22"/>
  <c r="K115" i="22"/>
  <c r="K185" i="17"/>
  <c r="K191" i="17"/>
  <c r="K181" i="17"/>
  <c r="K177" i="17"/>
  <c r="K179" i="17"/>
  <c r="K183" i="17"/>
  <c r="K187" i="17"/>
  <c r="K176" i="17"/>
  <c r="K180" i="17"/>
  <c r="K186" i="17"/>
  <c r="K178" i="17"/>
  <c r="K182" i="17"/>
  <c r="K184" i="17"/>
  <c r="H591" i="5"/>
  <c r="K36" i="21"/>
  <c r="K39" i="21"/>
  <c r="K45" i="21"/>
  <c r="K32" i="21"/>
  <c r="K121" i="22"/>
  <c r="K118" i="22"/>
  <c r="K120" i="22"/>
  <c r="K56" i="17"/>
  <c r="K48" i="17"/>
  <c r="K47" i="17"/>
  <c r="K45" i="17"/>
  <c r="K51" i="17"/>
  <c r="K50" i="17"/>
  <c r="K36" i="17"/>
  <c r="K59" i="17"/>
  <c r="K53" i="17"/>
  <c r="K37" i="17"/>
  <c r="K43" i="17"/>
  <c r="K55" i="17"/>
  <c r="K40" i="17"/>
  <c r="K35" i="17"/>
  <c r="K58" i="17"/>
  <c r="K44" i="17"/>
  <c r="K39" i="17"/>
  <c r="K46" i="17"/>
  <c r="K49" i="17"/>
  <c r="K33" i="17"/>
  <c r="K54" i="17"/>
  <c r="K52" i="17"/>
  <c r="K38" i="17"/>
  <c r="K34" i="17"/>
  <c r="K42" i="17"/>
  <c r="K57" i="17"/>
  <c r="K41" i="17"/>
  <c r="H613" i="5"/>
  <c r="K42" i="21"/>
  <c r="K78" i="22"/>
  <c r="K72" i="22"/>
  <c r="K73" i="22"/>
  <c r="K76" i="22"/>
  <c r="K160" i="17"/>
  <c r="K149" i="17"/>
  <c r="K150" i="17"/>
  <c r="K147" i="17"/>
  <c r="K146" i="17"/>
  <c r="K151" i="17"/>
  <c r="K159" i="17"/>
  <c r="K162" i="17"/>
  <c r="K153" i="17"/>
  <c r="K152" i="17"/>
  <c r="K165" i="17"/>
  <c r="K148" i="17"/>
  <c r="K156" i="17"/>
  <c r="K161" i="17"/>
  <c r="H581" i="5"/>
  <c r="K238" i="22"/>
  <c r="K272" i="17"/>
  <c r="K296" i="17"/>
  <c r="K77" i="22"/>
  <c r="K157" i="17"/>
  <c r="K158" i="17"/>
  <c r="K216" i="22"/>
  <c r="K9" i="21"/>
  <c r="K11" i="21"/>
  <c r="K82" i="22"/>
  <c r="K8" i="21"/>
  <c r="K83" i="22"/>
  <c r="K291" i="17"/>
  <c r="K169" i="17"/>
  <c r="K170" i="17"/>
  <c r="K168" i="17"/>
  <c r="K25" i="21"/>
  <c r="K23" i="21"/>
  <c r="K62" i="22"/>
  <c r="K63" i="22"/>
  <c r="K61" i="22"/>
  <c r="K119" i="17"/>
  <c r="K123" i="17"/>
  <c r="K120" i="17"/>
  <c r="K122" i="17"/>
  <c r="K121" i="17"/>
  <c r="K125" i="17"/>
  <c r="K124" i="17"/>
  <c r="H546" i="5"/>
  <c r="K33" i="21"/>
  <c r="K13" i="20"/>
  <c r="K12" i="20"/>
  <c r="H43" i="5"/>
  <c r="K40" i="22"/>
  <c r="H610" i="5"/>
  <c r="K250" i="22"/>
  <c r="K146" i="22"/>
  <c r="K140" i="22"/>
  <c r="K136" i="22"/>
  <c r="K129" i="22"/>
  <c r="K138" i="22"/>
  <c r="K132" i="22"/>
  <c r="K134" i="22"/>
  <c r="K145" i="22"/>
  <c r="K139" i="22"/>
  <c r="K131" i="22"/>
  <c r="K137" i="22"/>
  <c r="K135" i="22"/>
  <c r="K143" i="22"/>
  <c r="K133" i="22"/>
  <c r="K128" i="22"/>
  <c r="K130" i="22"/>
  <c r="K205" i="17"/>
  <c r="H592" i="5"/>
  <c r="K37" i="21"/>
  <c r="H529" i="5"/>
  <c r="K217" i="22"/>
  <c r="K278" i="17"/>
  <c r="K316" i="17"/>
  <c r="K297" i="17"/>
  <c r="H539" i="5"/>
  <c r="K227" i="22"/>
  <c r="H582" i="5"/>
  <c r="K239" i="22"/>
  <c r="K260" i="22"/>
  <c r="K243" i="22"/>
  <c r="K289" i="17"/>
  <c r="K277" i="17"/>
  <c r="K300" i="17"/>
  <c r="K275" i="17"/>
  <c r="K285" i="17"/>
  <c r="K314" i="17"/>
  <c r="K307" i="17"/>
  <c r="K283" i="17"/>
  <c r="K288" i="17"/>
  <c r="K149" i="22"/>
  <c r="K147" i="22"/>
  <c r="K236" i="22"/>
  <c r="K218" i="22"/>
  <c r="K70" i="22"/>
  <c r="K68" i="22"/>
  <c r="K74" i="22"/>
  <c r="K69" i="22"/>
  <c r="K66" i="22"/>
  <c r="K67" i="22"/>
  <c r="K75" i="22"/>
  <c r="K71" i="22"/>
  <c r="K271" i="17"/>
  <c r="K134" i="17"/>
  <c r="K155" i="17"/>
  <c r="K141" i="17"/>
  <c r="K154" i="17"/>
  <c r="K136" i="17"/>
  <c r="K143" i="17"/>
  <c r="K138" i="17"/>
  <c r="K133" i="17"/>
  <c r="K163" i="17"/>
  <c r="K142" i="17"/>
  <c r="K135" i="17"/>
  <c r="K140" i="17"/>
  <c r="K137" i="17"/>
  <c r="K139" i="17"/>
  <c r="K144" i="17"/>
  <c r="K145" i="17"/>
  <c r="K164" i="17"/>
  <c r="K38" i="21"/>
  <c r="K31" i="21"/>
  <c r="K84" i="22"/>
  <c r="K10" i="21"/>
  <c r="K194" i="22"/>
  <c r="K190" i="22"/>
  <c r="K187" i="22"/>
  <c r="K196" i="22"/>
  <c r="K192" i="22"/>
  <c r="K21" i="21"/>
  <c r="K189" i="22"/>
  <c r="K195" i="22"/>
  <c r="K191" i="22"/>
  <c r="K197" i="22"/>
  <c r="K188" i="22"/>
  <c r="K237" i="17"/>
  <c r="K233" i="17"/>
  <c r="K236" i="17"/>
  <c r="K240" i="22"/>
  <c r="K152" i="22"/>
  <c r="K148" i="22"/>
  <c r="K151" i="22"/>
  <c r="K222" i="22"/>
  <c r="K150" i="22"/>
  <c r="K24" i="21"/>
  <c r="K26" i="21"/>
  <c r="K19" i="20"/>
  <c r="K27" i="21"/>
  <c r="K18" i="20"/>
  <c r="K17" i="20"/>
  <c r="K10" i="20"/>
  <c r="K9" i="20"/>
  <c r="K237" i="22"/>
  <c r="K276" i="17"/>
  <c r="K313" i="17"/>
  <c r="K125" i="22"/>
  <c r="K127" i="22"/>
  <c r="K116" i="22"/>
  <c r="K124" i="22"/>
  <c r="K122" i="22"/>
  <c r="K126" i="22"/>
  <c r="K123" i="22"/>
  <c r="K119" i="22"/>
  <c r="K117" i="22"/>
  <c r="K204" i="17"/>
  <c r="K206" i="17"/>
  <c r="K59" i="22"/>
  <c r="K56" i="22"/>
  <c r="K53" i="22"/>
  <c r="K45" i="22"/>
  <c r="K60" i="22"/>
  <c r="K47" i="22"/>
  <c r="K41" i="22"/>
  <c r="K58" i="22"/>
  <c r="K49" i="22"/>
  <c r="K44" i="22"/>
  <c r="K55" i="22"/>
  <c r="K46" i="22"/>
  <c r="K57" i="22"/>
  <c r="K52" i="22"/>
  <c r="K42" i="22"/>
  <c r="K50" i="22"/>
  <c r="K54" i="22"/>
  <c r="K48" i="22"/>
  <c r="K51" i="22"/>
  <c r="K43" i="22"/>
  <c r="K12" i="21"/>
  <c r="K80" i="22"/>
  <c r="K79" i="22"/>
  <c r="K81" i="22"/>
  <c r="K166" i="17"/>
  <c r="K167" i="17"/>
  <c r="K266" i="17"/>
  <c r="K295" i="17"/>
  <c r="K248" i="22"/>
  <c r="K215" i="22"/>
  <c r="K105" i="22"/>
  <c r="K103" i="22"/>
  <c r="K95" i="22"/>
  <c r="K91" i="22"/>
  <c r="K89" i="22"/>
  <c r="K92" i="22"/>
  <c r="K87" i="22"/>
  <c r="K85" i="22"/>
  <c r="K107" i="22"/>
  <c r="K102" i="22"/>
  <c r="K98" i="22"/>
  <c r="K229" i="22"/>
  <c r="K99" i="22"/>
  <c r="K101" i="22"/>
  <c r="K96" i="22"/>
  <c r="K94" i="22"/>
  <c r="K88" i="22"/>
  <c r="K86" i="22"/>
  <c r="K106" i="22"/>
  <c r="K90" i="22"/>
  <c r="K104" i="22"/>
  <c r="K100" i="22"/>
  <c r="K97" i="22"/>
  <c r="K93" i="22"/>
  <c r="K202" i="17"/>
  <c r="K194" i="17"/>
  <c r="K195" i="17"/>
  <c r="K199" i="17"/>
  <c r="K293" i="17"/>
  <c r="K200" i="17"/>
  <c r="K198" i="17"/>
  <c r="K196" i="17"/>
  <c r="K201" i="17"/>
  <c r="K193" i="17"/>
  <c r="K197" i="17"/>
  <c r="K15" i="21"/>
  <c r="K180" i="22"/>
  <c r="K175" i="22"/>
  <c r="K171" i="22"/>
  <c r="K19" i="21"/>
  <c r="K14" i="21"/>
  <c r="K172" i="22"/>
  <c r="K232" i="17"/>
  <c r="K227" i="17"/>
  <c r="K231" i="17"/>
  <c r="K230" i="17"/>
  <c r="K226" i="17"/>
  <c r="K229" i="17"/>
  <c r="K225" i="17"/>
  <c r="H496" i="5"/>
  <c r="K8" i="20"/>
  <c r="K256" i="22"/>
  <c r="K230" i="22"/>
  <c r="K242" i="22"/>
  <c r="K225" i="22"/>
  <c r="K65" i="17"/>
  <c r="K68" i="17"/>
  <c r="K63" i="17"/>
  <c r="K66" i="17"/>
  <c r="K61" i="17"/>
  <c r="K70" i="17"/>
  <c r="K81" i="17"/>
  <c r="K85" i="17"/>
  <c r="K67" i="17"/>
  <c r="K84" i="17"/>
  <c r="K74" i="17"/>
  <c r="K73" i="17"/>
  <c r="K77" i="17"/>
  <c r="K78" i="17"/>
  <c r="K82" i="17"/>
  <c r="K69" i="17"/>
  <c r="K75" i="17"/>
  <c r="K76" i="17"/>
  <c r="K60" i="17"/>
  <c r="K83" i="17"/>
  <c r="K64" i="17"/>
  <c r="K268" i="17"/>
  <c r="K80" i="17"/>
  <c r="K72" i="17"/>
  <c r="K62" i="17"/>
  <c r="K71" i="17"/>
  <c r="K86" i="17"/>
  <c r="K79" i="17"/>
  <c r="K64" i="22"/>
  <c r="K65" i="22"/>
  <c r="K267" i="17"/>
  <c r="K292" i="17"/>
  <c r="K129" i="17"/>
  <c r="K130" i="17"/>
  <c r="K131" i="17"/>
  <c r="K126" i="17"/>
  <c r="K128" i="17"/>
  <c r="K127" i="17"/>
  <c r="K132" i="17"/>
  <c r="K16" i="17"/>
  <c r="K11" i="17"/>
  <c r="K20" i="17"/>
  <c r="K13" i="17"/>
  <c r="K32" i="17"/>
  <c r="K27" i="17"/>
  <c r="K8" i="17"/>
  <c r="K12" i="17"/>
  <c r="K15" i="17"/>
  <c r="K24" i="17"/>
  <c r="K19" i="17"/>
  <c r="K28" i="17"/>
  <c r="K23" i="17"/>
  <c r="K29" i="17"/>
  <c r="K21" i="17"/>
  <c r="K31" i="17"/>
  <c r="K9" i="17"/>
  <c r="K290" i="17"/>
  <c r="K284" i="17"/>
  <c r="K17" i="17"/>
  <c r="K30" i="17"/>
  <c r="K25" i="17"/>
  <c r="K22" i="17"/>
  <c r="K10" i="17"/>
  <c r="K18" i="17"/>
  <c r="K26" i="17"/>
  <c r="H595" i="5"/>
  <c r="H618" i="5"/>
  <c r="H578" i="5"/>
  <c r="H614" i="5"/>
  <c r="H590" i="5"/>
  <c r="H533" i="5"/>
  <c r="H623" i="5"/>
  <c r="H577" i="5"/>
  <c r="H619" i="5"/>
  <c r="H542" i="5"/>
  <c r="H535" i="5"/>
  <c r="H608" i="5"/>
  <c r="H555" i="5"/>
  <c r="H622" i="5"/>
  <c r="H536" i="5"/>
  <c r="H612" i="5"/>
  <c r="H616" i="5"/>
  <c r="C79" i="1"/>
  <c r="C71" i="1"/>
  <c r="D181" i="1"/>
  <c r="B159" i="1"/>
  <c r="D109" i="1"/>
  <c r="C74" i="1"/>
  <c r="C66" i="1"/>
  <c r="C69" i="1"/>
  <c r="C72" i="1"/>
  <c r="C64" i="1"/>
  <c r="C75" i="1"/>
  <c r="C67" i="1"/>
  <c r="C78" i="1"/>
  <c r="C70" i="1"/>
  <c r="C73" i="1"/>
  <c r="C65" i="1"/>
  <c r="C202" i="1"/>
  <c r="D197" i="1"/>
  <c r="B191" i="1"/>
  <c r="B183" i="1"/>
  <c r="D165" i="1"/>
  <c r="F131" i="1"/>
  <c r="C130" i="1"/>
  <c r="E128" i="1"/>
  <c r="B127" i="1"/>
  <c r="D125" i="1"/>
  <c r="C122" i="1"/>
  <c r="E120" i="1"/>
  <c r="B119" i="1"/>
  <c r="D117" i="1"/>
  <c r="C114" i="1"/>
  <c r="E112" i="1"/>
  <c r="C106" i="1"/>
  <c r="T113" i="1"/>
  <c r="L113" i="1"/>
  <c r="U112" i="1"/>
  <c r="M112" i="1"/>
  <c r="V111" i="1"/>
  <c r="N111" i="1"/>
  <c r="W110" i="1"/>
  <c r="O110" i="1"/>
  <c r="G110" i="1"/>
  <c r="P109" i="1"/>
  <c r="H109" i="1"/>
  <c r="Q108" i="1"/>
  <c r="I108" i="1"/>
  <c r="J107" i="1"/>
  <c r="T105" i="1"/>
  <c r="L105" i="1"/>
  <c r="U104" i="1"/>
  <c r="V103" i="1"/>
  <c r="O102" i="1"/>
  <c r="I100" i="1"/>
  <c r="R99" i="1"/>
  <c r="J99" i="1"/>
  <c r="S98" i="1"/>
  <c r="K98" i="1"/>
  <c r="U96" i="1"/>
  <c r="H93" i="1"/>
  <c r="R91" i="1"/>
  <c r="T89" i="1"/>
  <c r="B199" i="1"/>
  <c r="E192" i="1"/>
  <c r="C186" i="1"/>
  <c r="E200" i="1"/>
  <c r="C194" i="1"/>
  <c r="D189" i="1"/>
  <c r="E184" i="1"/>
  <c r="C178" i="1"/>
  <c r="J138" i="1"/>
  <c r="F179" i="1"/>
  <c r="B202" i="1"/>
  <c r="C189" i="1"/>
  <c r="E179" i="1"/>
  <c r="D168" i="1"/>
  <c r="C157" i="1"/>
  <c r="C133" i="1"/>
  <c r="D120" i="1"/>
  <c r="C109" i="1"/>
  <c r="D88" i="1"/>
  <c r="V110" i="1"/>
  <c r="C204" i="1"/>
  <c r="F197" i="1"/>
  <c r="E194" i="1"/>
  <c r="D191" i="1"/>
  <c r="C188" i="1"/>
  <c r="B185" i="1"/>
  <c r="F181" i="1"/>
  <c r="E178" i="1"/>
  <c r="D175" i="1"/>
  <c r="C172" i="1"/>
  <c r="B169" i="1"/>
  <c r="F165" i="1"/>
  <c r="E162" i="1"/>
  <c r="D159" i="1"/>
  <c r="C156" i="1"/>
  <c r="F133" i="1"/>
  <c r="C132" i="1"/>
  <c r="C124" i="1"/>
  <c r="B121" i="1"/>
  <c r="D119" i="1"/>
  <c r="C116" i="1"/>
  <c r="D111" i="1"/>
  <c r="C108" i="1"/>
  <c r="E106" i="1"/>
  <c r="D103" i="1"/>
  <c r="F101" i="1"/>
  <c r="F93" i="1"/>
  <c r="B89" i="1"/>
  <c r="D87" i="1"/>
  <c r="F85" i="1"/>
  <c r="C84" i="1"/>
  <c r="E82" i="1"/>
  <c r="V113" i="1"/>
  <c r="N113" i="1"/>
  <c r="W112" i="1"/>
  <c r="O112" i="1"/>
  <c r="G112" i="1"/>
  <c r="P111" i="1"/>
  <c r="H111" i="1"/>
  <c r="Q110" i="1"/>
  <c r="I110" i="1"/>
  <c r="R109" i="1"/>
  <c r="J109" i="1"/>
  <c r="K108" i="1"/>
  <c r="T107" i="1"/>
  <c r="L107" i="1"/>
  <c r="V105" i="1"/>
  <c r="W104" i="1"/>
  <c r="G104" i="1"/>
  <c r="Q102" i="1"/>
  <c r="I102" i="1"/>
  <c r="R101" i="1"/>
  <c r="J101" i="1"/>
  <c r="L99" i="1"/>
  <c r="O96" i="1"/>
  <c r="G96" i="1"/>
  <c r="H95" i="1"/>
  <c r="Q94" i="1"/>
  <c r="I94" i="1"/>
  <c r="R93" i="1"/>
  <c r="S92" i="1"/>
  <c r="K92" i="1"/>
  <c r="M90" i="1"/>
  <c r="V89" i="1"/>
  <c r="W88" i="1"/>
  <c r="O88" i="1"/>
  <c r="G88" i="1"/>
  <c r="P87" i="1"/>
  <c r="H87" i="1"/>
  <c r="I86" i="1"/>
  <c r="S84" i="1"/>
  <c r="K84" i="1"/>
  <c r="T83" i="1"/>
  <c r="V81" i="1"/>
  <c r="P79" i="1"/>
  <c r="C205" i="1"/>
  <c r="F198" i="1"/>
  <c r="E187" i="1"/>
  <c r="D176" i="1"/>
  <c r="C165" i="1"/>
  <c r="D112" i="1"/>
  <c r="D96" i="1"/>
  <c r="N110" i="1"/>
  <c r="R98" i="1"/>
  <c r="F205" i="1"/>
  <c r="D199" i="1"/>
  <c r="C196" i="1"/>
  <c r="B193" i="1"/>
  <c r="F189" i="1"/>
  <c r="E186" i="1"/>
  <c r="D183" i="1"/>
  <c r="C180" i="1"/>
  <c r="B177" i="1"/>
  <c r="F173" i="1"/>
  <c r="E170" i="1"/>
  <c r="D167" i="1"/>
  <c r="C164" i="1"/>
  <c r="B161" i="1"/>
  <c r="F157" i="1"/>
  <c r="D127" i="1"/>
  <c r="AA63" i="1"/>
  <c r="X63" i="1"/>
  <c r="Z63" i="1"/>
  <c r="E205" i="1"/>
  <c r="B204" i="1"/>
  <c r="D202" i="1"/>
  <c r="F200" i="1"/>
  <c r="C199" i="1"/>
  <c r="E197" i="1"/>
  <c r="B196" i="1"/>
  <c r="D194" i="1"/>
  <c r="F192" i="1"/>
  <c r="C191" i="1"/>
  <c r="E189" i="1"/>
  <c r="D186" i="1"/>
  <c r="F184" i="1"/>
  <c r="C183" i="1"/>
  <c r="E181" i="1"/>
  <c r="B180" i="1"/>
  <c r="D178" i="1"/>
  <c r="F176" i="1"/>
  <c r="C175" i="1"/>
  <c r="E173" i="1"/>
  <c r="B172" i="1"/>
  <c r="D170" i="1"/>
  <c r="F168" i="1"/>
  <c r="BB6" i="6"/>
  <c r="E165" i="1"/>
  <c r="B164" i="1"/>
  <c r="D162" i="1"/>
  <c r="F160" i="1"/>
  <c r="E157" i="1"/>
  <c r="B156" i="1"/>
  <c r="B132" i="1"/>
  <c r="D130" i="1"/>
  <c r="F128" i="1"/>
  <c r="C127" i="1"/>
  <c r="B124" i="1"/>
  <c r="D122" i="1"/>
  <c r="F120" i="1"/>
  <c r="C119" i="1"/>
  <c r="D114" i="1"/>
  <c r="F112" i="1"/>
  <c r="C111" i="1"/>
  <c r="E109" i="1"/>
  <c r="D106" i="1"/>
  <c r="F104" i="1"/>
  <c r="C103" i="1"/>
  <c r="E101" i="1"/>
  <c r="D98" i="1"/>
  <c r="F96" i="1"/>
  <c r="B92" i="1"/>
  <c r="D90" i="1"/>
  <c r="E85" i="1"/>
  <c r="U113" i="1"/>
  <c r="M113" i="1"/>
  <c r="V112" i="1"/>
  <c r="N112" i="1"/>
  <c r="W111" i="1"/>
  <c r="O111" i="1"/>
  <c r="G111" i="1"/>
  <c r="P110" i="1"/>
  <c r="H110" i="1"/>
  <c r="Q109" i="1"/>
  <c r="I109" i="1"/>
  <c r="Y107" i="1"/>
  <c r="L106" i="1"/>
  <c r="U105" i="1"/>
  <c r="P205" i="1"/>
  <c r="H205" i="1"/>
  <c r="Q204" i="1"/>
  <c r="I204" i="1"/>
  <c r="R203" i="1"/>
  <c r="J203" i="1"/>
  <c r="S202" i="1"/>
  <c r="K202" i="1"/>
  <c r="T201" i="1"/>
  <c r="L201" i="1"/>
  <c r="U200" i="1"/>
  <c r="M200" i="1"/>
  <c r="V199" i="1"/>
  <c r="N199" i="1"/>
  <c r="W198" i="1"/>
  <c r="O198" i="1"/>
  <c r="G198" i="1"/>
  <c r="P197" i="1"/>
  <c r="H197" i="1"/>
  <c r="Q196" i="1"/>
  <c r="I196" i="1"/>
  <c r="R195" i="1"/>
  <c r="J195" i="1"/>
  <c r="S194" i="1"/>
  <c r="K194" i="1"/>
  <c r="T193" i="1"/>
  <c r="L193" i="1"/>
  <c r="U192" i="1"/>
  <c r="M192" i="1"/>
  <c r="V191" i="1"/>
  <c r="N191" i="1"/>
  <c r="W190" i="1"/>
  <c r="O190" i="1"/>
  <c r="G190" i="1"/>
  <c r="P189" i="1"/>
  <c r="H189" i="1"/>
  <c r="Q188" i="1"/>
  <c r="I188" i="1"/>
  <c r="R187" i="1"/>
  <c r="J187" i="1"/>
  <c r="S186" i="1"/>
  <c r="K186" i="1"/>
  <c r="T185" i="1"/>
  <c r="L185" i="1"/>
  <c r="U184" i="1"/>
  <c r="M184" i="1"/>
  <c r="V183" i="1"/>
  <c r="N183" i="1"/>
  <c r="W182" i="1"/>
  <c r="O182" i="1"/>
  <c r="G182" i="1"/>
  <c r="P181" i="1"/>
  <c r="H181" i="1"/>
  <c r="Q180" i="1"/>
  <c r="I180" i="1"/>
  <c r="J179" i="1"/>
  <c r="S178" i="1"/>
  <c r="K178" i="1"/>
  <c r="T177" i="1"/>
  <c r="L177" i="1"/>
  <c r="U176" i="1"/>
  <c r="V175" i="1"/>
  <c r="O174" i="1"/>
  <c r="P173" i="1"/>
  <c r="H173" i="1"/>
  <c r="I172" i="1"/>
  <c r="R171" i="1"/>
  <c r="J171" i="1"/>
  <c r="S170" i="1"/>
  <c r="K170" i="1"/>
  <c r="L169" i="1"/>
  <c r="U168" i="1"/>
  <c r="M168" i="1"/>
  <c r="V167" i="1"/>
  <c r="N167" i="1"/>
  <c r="W166" i="1"/>
  <c r="O166" i="1"/>
  <c r="G166" i="1"/>
  <c r="P165" i="1"/>
  <c r="H165" i="1"/>
  <c r="Q164" i="1"/>
  <c r="I164" i="1"/>
  <c r="R163" i="1"/>
  <c r="J163" i="1"/>
  <c r="S162" i="1"/>
  <c r="K162" i="1"/>
  <c r="T161" i="1"/>
  <c r="L161" i="1"/>
  <c r="U160" i="1"/>
  <c r="M160" i="1"/>
  <c r="V159" i="1"/>
  <c r="N159" i="1"/>
  <c r="W158" i="1"/>
  <c r="O158" i="1"/>
  <c r="G158" i="1"/>
  <c r="E195" i="1"/>
  <c r="D184" i="1"/>
  <c r="B170" i="1"/>
  <c r="B122" i="1"/>
  <c r="F102" i="1"/>
  <c r="S113" i="1"/>
  <c r="P84" i="1"/>
  <c r="W205" i="1"/>
  <c r="O205" i="1"/>
  <c r="G205" i="1"/>
  <c r="P204" i="1"/>
  <c r="H204" i="1"/>
  <c r="Q203" i="1"/>
  <c r="I203" i="1"/>
  <c r="R202" i="1"/>
  <c r="J202" i="1"/>
  <c r="S201" i="1"/>
  <c r="K201" i="1"/>
  <c r="T200" i="1"/>
  <c r="L200" i="1"/>
  <c r="U199" i="1"/>
  <c r="M199" i="1"/>
  <c r="V198" i="1"/>
  <c r="N198" i="1"/>
  <c r="W197" i="1"/>
  <c r="O197" i="1"/>
  <c r="G197" i="1"/>
  <c r="P196" i="1"/>
  <c r="H196" i="1"/>
  <c r="Q195" i="1"/>
  <c r="I195" i="1"/>
  <c r="R194" i="1"/>
  <c r="J194" i="1"/>
  <c r="S193" i="1"/>
  <c r="K193" i="1"/>
  <c r="T192" i="1"/>
  <c r="L192" i="1"/>
  <c r="U191" i="1"/>
  <c r="M191" i="1"/>
  <c r="V190" i="1"/>
  <c r="N190" i="1"/>
  <c r="W189" i="1"/>
  <c r="O189" i="1"/>
  <c r="G189" i="1"/>
  <c r="P188" i="1"/>
  <c r="H188" i="1"/>
  <c r="Q187" i="1"/>
  <c r="I187" i="1"/>
  <c r="R186" i="1"/>
  <c r="J186" i="1"/>
  <c r="S185" i="1"/>
  <c r="K185" i="1"/>
  <c r="T184" i="1"/>
  <c r="L184" i="1"/>
  <c r="U183" i="1"/>
  <c r="M183" i="1"/>
  <c r="V182" i="1"/>
  <c r="N182" i="1"/>
  <c r="W181" i="1"/>
  <c r="O181" i="1"/>
  <c r="G181" i="1"/>
  <c r="P180" i="1"/>
  <c r="H180" i="1"/>
  <c r="R178" i="1"/>
  <c r="S177" i="1"/>
  <c r="K177" i="1"/>
  <c r="T176" i="1"/>
  <c r="U175" i="1"/>
  <c r="M175" i="1"/>
  <c r="N174" i="1"/>
  <c r="W173" i="1"/>
  <c r="O173" i="1"/>
  <c r="G173" i="1"/>
  <c r="H172" i="1"/>
  <c r="Q171" i="1"/>
  <c r="R170" i="1"/>
  <c r="J170" i="1"/>
  <c r="S169" i="1"/>
  <c r="K169" i="1"/>
  <c r="T168" i="1"/>
  <c r="L168" i="1"/>
  <c r="U167" i="1"/>
  <c r="V166" i="1"/>
  <c r="F195" i="1"/>
  <c r="F187" i="1"/>
  <c r="B194" i="1"/>
  <c r="F166" i="1"/>
  <c r="F158" i="1"/>
  <c r="D128" i="1"/>
  <c r="E107" i="1"/>
  <c r="C85" i="1"/>
  <c r="L112" i="1"/>
  <c r="J98" i="1"/>
  <c r="G93" i="1"/>
  <c r="G85" i="1"/>
  <c r="O77" i="1"/>
  <c r="U71" i="1"/>
  <c r="B205" i="1"/>
  <c r="D203" i="1"/>
  <c r="E198" i="1"/>
  <c r="B197" i="1"/>
  <c r="D195" i="1"/>
  <c r="F193" i="1"/>
  <c r="C192" i="1"/>
  <c r="E190" i="1"/>
  <c r="B189" i="1"/>
  <c r="D187" i="1"/>
  <c r="F185" i="1"/>
  <c r="C184" i="1"/>
  <c r="E182" i="1"/>
  <c r="B181" i="1"/>
  <c r="D179" i="1"/>
  <c r="F177" i="1"/>
  <c r="E174" i="1"/>
  <c r="B173" i="1"/>
  <c r="D171" i="1"/>
  <c r="C168" i="1"/>
  <c r="E166" i="1"/>
  <c r="B165" i="1"/>
  <c r="D163" i="1"/>
  <c r="F161" i="1"/>
  <c r="C160" i="1"/>
  <c r="E158" i="1"/>
  <c r="B157" i="1"/>
  <c r="B133" i="1"/>
  <c r="D131" i="1"/>
  <c r="B125" i="1"/>
  <c r="D123" i="1"/>
  <c r="C120" i="1"/>
  <c r="B117" i="1"/>
  <c r="D115" i="1"/>
  <c r="C112" i="1"/>
  <c r="E110" i="1"/>
  <c r="D107" i="1"/>
  <c r="F105" i="1"/>
  <c r="E102" i="1"/>
  <c r="D99" i="1"/>
  <c r="E94" i="1"/>
  <c r="B93" i="1"/>
  <c r="D91" i="1"/>
  <c r="F89" i="1"/>
  <c r="E86" i="1"/>
  <c r="D83" i="1"/>
  <c r="F81" i="1"/>
  <c r="R113" i="1"/>
  <c r="J113" i="1"/>
  <c r="S112" i="1"/>
  <c r="K112" i="1"/>
  <c r="T111" i="1"/>
  <c r="L111" i="1"/>
  <c r="U110" i="1"/>
  <c r="M110" i="1"/>
  <c r="V109" i="1"/>
  <c r="N109" i="1"/>
  <c r="W108" i="1"/>
  <c r="O108" i="1"/>
  <c r="G108" i="1"/>
  <c r="H107" i="1"/>
  <c r="Q106" i="1"/>
  <c r="R105" i="1"/>
  <c r="T103" i="1"/>
  <c r="E203" i="1"/>
  <c r="D192" i="1"/>
  <c r="C181" i="1"/>
  <c r="E171" i="1"/>
  <c r="D160" i="1"/>
  <c r="D104" i="1"/>
  <c r="T112" i="1"/>
  <c r="Y63" i="1"/>
  <c r="F204" i="1"/>
  <c r="C203" i="1"/>
  <c r="E201" i="1"/>
  <c r="B200" i="1"/>
  <c r="D198" i="1"/>
  <c r="F196" i="1"/>
  <c r="C195" i="1"/>
  <c r="E193" i="1"/>
  <c r="B192" i="1"/>
  <c r="D190" i="1"/>
  <c r="F188" i="1"/>
  <c r="E185" i="1"/>
  <c r="B184" i="1"/>
  <c r="D182" i="1"/>
  <c r="F180" i="1"/>
  <c r="C179" i="1"/>
  <c r="E177" i="1"/>
  <c r="B176" i="1"/>
  <c r="D174" i="1"/>
  <c r="F172" i="1"/>
  <c r="C171" i="1"/>
  <c r="E169" i="1"/>
  <c r="D166" i="1"/>
  <c r="F164" i="1"/>
  <c r="C163" i="1"/>
  <c r="D158" i="1"/>
  <c r="F156" i="1"/>
  <c r="F132" i="1"/>
  <c r="C131" i="1"/>
  <c r="B128" i="1"/>
  <c r="D126" i="1"/>
  <c r="C123" i="1"/>
  <c r="B120" i="1"/>
  <c r="D118" i="1"/>
  <c r="B112" i="1"/>
  <c r="D110" i="1"/>
  <c r="F108" i="1"/>
  <c r="C107" i="1"/>
  <c r="E105" i="1"/>
  <c r="B104" i="1"/>
  <c r="D102" i="1"/>
  <c r="F100" i="1"/>
  <c r="D94" i="1"/>
  <c r="F92" i="1"/>
  <c r="C91" i="1"/>
  <c r="D86" i="1"/>
  <c r="C83" i="1"/>
  <c r="E81" i="1"/>
  <c r="Q113" i="1"/>
  <c r="I113" i="1"/>
  <c r="R112" i="1"/>
  <c r="J112" i="1"/>
  <c r="S111" i="1"/>
  <c r="K111" i="1"/>
  <c r="T110" i="1"/>
  <c r="L110" i="1"/>
  <c r="U109" i="1"/>
  <c r="M109" i="1"/>
  <c r="V108" i="1"/>
  <c r="N108" i="1"/>
  <c r="W107" i="1"/>
  <c r="G107" i="1"/>
  <c r="P106" i="1"/>
  <c r="I105" i="1"/>
  <c r="J104" i="1"/>
  <c r="F203" i="1"/>
  <c r="C197" i="1"/>
  <c r="B186" i="1"/>
  <c r="F174" i="1"/>
  <c r="E163" i="1"/>
  <c r="B130" i="1"/>
  <c r="C117" i="1"/>
  <c r="U111" i="1"/>
  <c r="E204" i="1"/>
  <c r="D201" i="1"/>
  <c r="F199" i="1"/>
  <c r="C198" i="1"/>
  <c r="E196" i="1"/>
  <c r="B195" i="1"/>
  <c r="D193" i="1"/>
  <c r="F191" i="1"/>
  <c r="C190" i="1"/>
  <c r="E188" i="1"/>
  <c r="B187" i="1"/>
  <c r="F183" i="1"/>
  <c r="C182" i="1"/>
  <c r="E180" i="1"/>
  <c r="B179" i="1"/>
  <c r="D177" i="1"/>
  <c r="F175" i="1"/>
  <c r="C174" i="1"/>
  <c r="B171" i="1"/>
  <c r="D169" i="1"/>
  <c r="F167" i="1"/>
  <c r="C166" i="1"/>
  <c r="E164" i="1"/>
  <c r="B163" i="1"/>
  <c r="D161" i="1"/>
  <c r="F159" i="1"/>
  <c r="C158" i="1"/>
  <c r="E156" i="1"/>
  <c r="B131" i="1"/>
  <c r="D129" i="1"/>
  <c r="C126" i="1"/>
  <c r="B123" i="1"/>
  <c r="D121" i="1"/>
  <c r="C118" i="1"/>
  <c r="C110" i="1"/>
  <c r="E108" i="1"/>
  <c r="D105" i="1"/>
  <c r="F103" i="1"/>
  <c r="B99" i="1"/>
  <c r="F95" i="1"/>
  <c r="C94" i="1"/>
  <c r="B91" i="1"/>
  <c r="D89" i="1"/>
  <c r="C86" i="1"/>
  <c r="E84" i="1"/>
  <c r="P113" i="1"/>
  <c r="H113" i="1"/>
  <c r="Q112" i="1"/>
  <c r="I112" i="1"/>
  <c r="R111" i="1"/>
  <c r="J111" i="1"/>
  <c r="S110" i="1"/>
  <c r="K110" i="1"/>
  <c r="T109" i="1"/>
  <c r="L109" i="1"/>
  <c r="U108" i="1"/>
  <c r="M108" i="1"/>
  <c r="V107" i="1"/>
  <c r="O106" i="1"/>
  <c r="P105" i="1"/>
  <c r="H105" i="1"/>
  <c r="R103" i="1"/>
  <c r="S102" i="1"/>
  <c r="T101" i="1"/>
  <c r="V99" i="1"/>
  <c r="N99" i="1"/>
  <c r="W98" i="1"/>
  <c r="O98" i="1"/>
  <c r="G98" i="1"/>
  <c r="P97" i="1"/>
  <c r="H97" i="1"/>
  <c r="I96" i="1"/>
  <c r="S94" i="1"/>
  <c r="T93" i="1"/>
  <c r="U92" i="1"/>
  <c r="M92" i="1"/>
  <c r="V91" i="1"/>
  <c r="N91" i="1"/>
  <c r="F163" i="1"/>
  <c r="D200" i="1"/>
  <c r="F190" i="1"/>
  <c r="F182" i="1"/>
  <c r="C173" i="1"/>
  <c r="B162" i="1"/>
  <c r="C125" i="1"/>
  <c r="E83" i="1"/>
  <c r="K113" i="1"/>
  <c r="Y113" i="1" s="1"/>
  <c r="T104" i="1"/>
  <c r="Q91" i="1"/>
  <c r="B203" i="1"/>
  <c r="D204" i="1"/>
  <c r="F202" i="1"/>
  <c r="C201" i="1"/>
  <c r="E199" i="1"/>
  <c r="B198" i="1"/>
  <c r="D196" i="1"/>
  <c r="F194" i="1"/>
  <c r="C193" i="1"/>
  <c r="E191" i="1"/>
  <c r="B190" i="1"/>
  <c r="D188" i="1"/>
  <c r="F186" i="1"/>
  <c r="C185" i="1"/>
  <c r="B182" i="1"/>
  <c r="D180" i="1"/>
  <c r="F178" i="1"/>
  <c r="C177" i="1"/>
  <c r="E175" i="1"/>
  <c r="B174" i="1"/>
  <c r="D172" i="1"/>
  <c r="F170" i="1"/>
  <c r="C169" i="1"/>
  <c r="E167" i="1"/>
  <c r="B166" i="1"/>
  <c r="F162" i="1"/>
  <c r="C161" i="1"/>
  <c r="E159" i="1"/>
  <c r="B158" i="1"/>
  <c r="D156" i="1"/>
  <c r="D132" i="1"/>
  <c r="F130" i="1"/>
  <c r="C129" i="1"/>
  <c r="B126" i="1"/>
  <c r="D124" i="1"/>
  <c r="C121" i="1"/>
  <c r="B118" i="1"/>
  <c r="D116" i="1"/>
  <c r="C113" i="1"/>
  <c r="D108" i="1"/>
  <c r="F106" i="1"/>
  <c r="C105" i="1"/>
  <c r="E103" i="1"/>
  <c r="D100" i="1"/>
  <c r="F98" i="1"/>
  <c r="B94" i="1"/>
  <c r="F90" i="1"/>
  <c r="E87" i="1"/>
  <c r="D84" i="1"/>
  <c r="C81" i="1"/>
  <c r="W113" i="1"/>
  <c r="O113" i="1"/>
  <c r="G113" i="1"/>
  <c r="P112" i="1"/>
  <c r="H112" i="1"/>
  <c r="Q111" i="1"/>
  <c r="I111" i="1"/>
  <c r="R110" i="1"/>
  <c r="J110" i="1"/>
  <c r="K109" i="1"/>
  <c r="T108" i="1"/>
  <c r="U107" i="1"/>
  <c r="N106" i="1"/>
  <c r="W105" i="1"/>
  <c r="O105" i="1"/>
  <c r="G105" i="1"/>
  <c r="H104" i="1"/>
  <c r="Q103" i="1"/>
  <c r="I103" i="1"/>
  <c r="R102" i="1"/>
  <c r="J102" i="1"/>
  <c r="S101" i="1"/>
  <c r="T100" i="1"/>
  <c r="L100" i="1"/>
  <c r="U99" i="1"/>
  <c r="V98" i="1"/>
  <c r="N98" i="1"/>
  <c r="O97" i="1"/>
  <c r="P96" i="1"/>
  <c r="H96" i="1"/>
  <c r="I95" i="1"/>
  <c r="R94" i="1"/>
  <c r="S93" i="1"/>
  <c r="H157" i="1"/>
  <c r="Q156" i="1"/>
  <c r="I156" i="1"/>
  <c r="R155" i="1"/>
  <c r="J155" i="1"/>
  <c r="S154" i="1"/>
  <c r="K154" i="1"/>
  <c r="T153" i="1"/>
  <c r="L153" i="1"/>
  <c r="U152" i="1"/>
  <c r="M152" i="1"/>
  <c r="V151" i="1"/>
  <c r="W150" i="1"/>
  <c r="O150" i="1"/>
  <c r="G150" i="1"/>
  <c r="P149" i="1"/>
  <c r="H149" i="1"/>
  <c r="I148" i="1"/>
  <c r="R147" i="1"/>
  <c r="S146" i="1"/>
  <c r="K146" i="1"/>
  <c r="T145" i="1"/>
  <c r="L145" i="1"/>
  <c r="U144" i="1"/>
  <c r="M144" i="1"/>
  <c r="V143" i="1"/>
  <c r="N143" i="1"/>
  <c r="W142" i="1"/>
  <c r="G142" i="1"/>
  <c r="P141" i="1"/>
  <c r="Q140" i="1"/>
  <c r="I140" i="1"/>
  <c r="R139" i="1"/>
  <c r="J139" i="1"/>
  <c r="K138" i="1"/>
  <c r="L137" i="1"/>
  <c r="U136" i="1"/>
  <c r="M136" i="1"/>
  <c r="V135" i="1"/>
  <c r="N135" i="1"/>
  <c r="N166" i="1"/>
  <c r="W165" i="1"/>
  <c r="O165" i="1"/>
  <c r="G165" i="1"/>
  <c r="P164" i="1"/>
  <c r="H164" i="1"/>
  <c r="Q163" i="1"/>
  <c r="I163" i="1"/>
  <c r="R162" i="1"/>
  <c r="J162" i="1"/>
  <c r="S161" i="1"/>
  <c r="K161" i="1"/>
  <c r="T160" i="1"/>
  <c r="L160" i="1"/>
  <c r="U159" i="1"/>
  <c r="M159" i="1"/>
  <c r="V158" i="1"/>
  <c r="N158" i="1"/>
  <c r="W157" i="1"/>
  <c r="G157" i="1"/>
  <c r="P156" i="1"/>
  <c r="H156" i="1"/>
  <c r="Q155" i="1"/>
  <c r="I155" i="1"/>
  <c r="R154" i="1"/>
  <c r="J154" i="1"/>
  <c r="S153" i="1"/>
  <c r="K153" i="1"/>
  <c r="T152" i="1"/>
  <c r="L152" i="1"/>
  <c r="U151" i="1"/>
  <c r="M151" i="1"/>
  <c r="V150" i="1"/>
  <c r="N150" i="1"/>
  <c r="W149" i="1"/>
  <c r="O149" i="1"/>
  <c r="G149" i="1"/>
  <c r="H148" i="1"/>
  <c r="Q147" i="1"/>
  <c r="I147" i="1"/>
  <c r="R146" i="1"/>
  <c r="J146" i="1"/>
  <c r="S145" i="1"/>
  <c r="K145" i="1"/>
  <c r="T144" i="1"/>
  <c r="L144" i="1"/>
  <c r="U143" i="1"/>
  <c r="M143" i="1"/>
  <c r="V142" i="1"/>
  <c r="N142" i="1"/>
  <c r="O141" i="1"/>
  <c r="Z141" i="1"/>
  <c r="P140" i="1"/>
  <c r="H140" i="1"/>
  <c r="Q139" i="1"/>
  <c r="I139" i="1"/>
  <c r="S137" i="1"/>
  <c r="K137" i="1"/>
  <c r="T136" i="1"/>
  <c r="L136" i="1"/>
  <c r="U135" i="1"/>
  <c r="M135" i="1"/>
  <c r="L103" i="1"/>
  <c r="V101" i="1"/>
  <c r="N101" i="1"/>
  <c r="W100" i="1"/>
  <c r="G100" i="1"/>
  <c r="P99" i="1"/>
  <c r="Q98" i="1"/>
  <c r="I98" i="1"/>
  <c r="R97" i="1"/>
  <c r="S96" i="1"/>
  <c r="K96" i="1"/>
  <c r="U94" i="1"/>
  <c r="M94" i="1"/>
  <c r="V93" i="1"/>
  <c r="O92" i="1"/>
  <c r="G92" i="1"/>
  <c r="P91" i="1"/>
  <c r="H91" i="1"/>
  <c r="S88" i="1"/>
  <c r="K88" i="1"/>
  <c r="T87" i="1"/>
  <c r="V85" i="1"/>
  <c r="W84" i="1"/>
  <c r="O84" i="1"/>
  <c r="V77" i="1"/>
  <c r="H67" i="1"/>
  <c r="BG7" i="6"/>
  <c r="J22" i="1"/>
  <c r="V205" i="1"/>
  <c r="N205" i="1"/>
  <c r="W204" i="1"/>
  <c r="O204" i="1"/>
  <c r="G204" i="1"/>
  <c r="P203" i="1"/>
  <c r="H203" i="1"/>
  <c r="Q202" i="1"/>
  <c r="I202" i="1"/>
  <c r="R201" i="1"/>
  <c r="J201" i="1"/>
  <c r="S200" i="1"/>
  <c r="K200" i="1"/>
  <c r="T199" i="1"/>
  <c r="L199" i="1"/>
  <c r="U198" i="1"/>
  <c r="M198" i="1"/>
  <c r="V197" i="1"/>
  <c r="N197" i="1"/>
  <c r="W196" i="1"/>
  <c r="O196" i="1"/>
  <c r="G196" i="1"/>
  <c r="P195" i="1"/>
  <c r="H195" i="1"/>
  <c r="Q194" i="1"/>
  <c r="I194" i="1"/>
  <c r="R193" i="1"/>
  <c r="J193" i="1"/>
  <c r="S192" i="1"/>
  <c r="K192" i="1"/>
  <c r="T191" i="1"/>
  <c r="L191" i="1"/>
  <c r="U190" i="1"/>
  <c r="M190" i="1"/>
  <c r="V189" i="1"/>
  <c r="N189" i="1"/>
  <c r="W188" i="1"/>
  <c r="O188" i="1"/>
  <c r="G188" i="1"/>
  <c r="P187" i="1"/>
  <c r="H187" i="1"/>
  <c r="Q186" i="1"/>
  <c r="I186" i="1"/>
  <c r="R185" i="1"/>
  <c r="J185" i="1"/>
  <c r="S184" i="1"/>
  <c r="K184" i="1"/>
  <c r="T183" i="1"/>
  <c r="L183" i="1"/>
  <c r="U182" i="1"/>
  <c r="M182" i="1"/>
  <c r="V181" i="1"/>
  <c r="N181" i="1"/>
  <c r="W180" i="1"/>
  <c r="O180" i="1"/>
  <c r="G180" i="1"/>
  <c r="H179" i="1"/>
  <c r="Q178" i="1"/>
  <c r="I178" i="1"/>
  <c r="Z178" i="1" s="1"/>
  <c r="R177" i="1"/>
  <c r="J177" i="1"/>
  <c r="T175" i="1"/>
  <c r="L175" i="1"/>
  <c r="M174" i="1"/>
  <c r="V173" i="1"/>
  <c r="N173" i="1"/>
  <c r="W172" i="1"/>
  <c r="G172" i="1"/>
  <c r="P171" i="1"/>
  <c r="H171" i="1"/>
  <c r="Q170" i="1"/>
  <c r="I170" i="1"/>
  <c r="R169" i="1"/>
  <c r="S168" i="1"/>
  <c r="K168" i="1"/>
  <c r="T167" i="1"/>
  <c r="L167" i="1"/>
  <c r="U166" i="1"/>
  <c r="M166" i="1"/>
  <c r="V165" i="1"/>
  <c r="N165" i="1"/>
  <c r="W164" i="1"/>
  <c r="O164" i="1"/>
  <c r="G164" i="1"/>
  <c r="P163" i="1"/>
  <c r="H163" i="1"/>
  <c r="Q162" i="1"/>
  <c r="I162" i="1"/>
  <c r="R161" i="1"/>
  <c r="J161" i="1"/>
  <c r="S160" i="1"/>
  <c r="K160" i="1"/>
  <c r="T159" i="1"/>
  <c r="L159" i="1"/>
  <c r="U158" i="1"/>
  <c r="M158" i="1"/>
  <c r="V157" i="1"/>
  <c r="N157" i="1"/>
  <c r="W156" i="1"/>
  <c r="O156" i="1"/>
  <c r="P155" i="1"/>
  <c r="H155" i="1"/>
  <c r="Q154" i="1"/>
  <c r="I154" i="1"/>
  <c r="R153" i="1"/>
  <c r="J153" i="1"/>
  <c r="S152" i="1"/>
  <c r="K152" i="1"/>
  <c r="T151" i="1"/>
  <c r="L151" i="1"/>
  <c r="U150" i="1"/>
  <c r="M150" i="1"/>
  <c r="V149" i="1"/>
  <c r="N149" i="1"/>
  <c r="AA148" i="1"/>
  <c r="G148" i="1"/>
  <c r="P147" i="1"/>
  <c r="H147" i="1"/>
  <c r="Q146" i="1"/>
  <c r="I146" i="1"/>
  <c r="R145" i="1"/>
  <c r="J145" i="1"/>
  <c r="S144" i="1"/>
  <c r="K144" i="1"/>
  <c r="T143" i="1"/>
  <c r="L143" i="1"/>
  <c r="X143" i="1" s="1"/>
  <c r="U142" i="1"/>
  <c r="N141" i="1"/>
  <c r="W140" i="1"/>
  <c r="O140" i="1"/>
  <c r="G140" i="1"/>
  <c r="P139" i="1"/>
  <c r="H139" i="1"/>
  <c r="I138" i="1"/>
  <c r="R137" i="1"/>
  <c r="J137" i="1"/>
  <c r="S136" i="1"/>
  <c r="K136" i="1"/>
  <c r="T135" i="1"/>
  <c r="L135" i="1"/>
  <c r="S103" i="1"/>
  <c r="L102" i="1"/>
  <c r="G99" i="1"/>
  <c r="P98" i="1"/>
  <c r="W91" i="1"/>
  <c r="O91" i="1"/>
  <c r="V84" i="1"/>
  <c r="U77" i="1"/>
  <c r="N68" i="1"/>
  <c r="U205" i="1"/>
  <c r="M205" i="1"/>
  <c r="V204" i="1"/>
  <c r="N204" i="1"/>
  <c r="W203" i="1"/>
  <c r="O203" i="1"/>
  <c r="G203" i="1"/>
  <c r="P202" i="1"/>
  <c r="H202" i="1"/>
  <c r="Q201" i="1"/>
  <c r="I201" i="1"/>
  <c r="R200" i="1"/>
  <c r="J200" i="1"/>
  <c r="S199" i="1"/>
  <c r="K199" i="1"/>
  <c r="T198" i="1"/>
  <c r="L198" i="1"/>
  <c r="U197" i="1"/>
  <c r="M197" i="1"/>
  <c r="V196" i="1"/>
  <c r="N196" i="1"/>
  <c r="W195" i="1"/>
  <c r="O195" i="1"/>
  <c r="G195" i="1"/>
  <c r="P194" i="1"/>
  <c r="H194" i="1"/>
  <c r="Q193" i="1"/>
  <c r="I193" i="1"/>
  <c r="R192" i="1"/>
  <c r="J192" i="1"/>
  <c r="S191" i="1"/>
  <c r="K191" i="1"/>
  <c r="T190" i="1"/>
  <c r="L190" i="1"/>
  <c r="U189" i="1"/>
  <c r="M189" i="1"/>
  <c r="V188" i="1"/>
  <c r="N188" i="1"/>
  <c r="W187" i="1"/>
  <c r="O187" i="1"/>
  <c r="G187" i="1"/>
  <c r="P186" i="1"/>
  <c r="H186" i="1"/>
  <c r="Q185" i="1"/>
  <c r="I185" i="1"/>
  <c r="R184" i="1"/>
  <c r="J184" i="1"/>
  <c r="S183" i="1"/>
  <c r="K183" i="1"/>
  <c r="X183" i="1" s="1"/>
  <c r="T182" i="1"/>
  <c r="L182" i="1"/>
  <c r="U181" i="1"/>
  <c r="M181" i="1"/>
  <c r="V180" i="1"/>
  <c r="N180" i="1"/>
  <c r="W179" i="1"/>
  <c r="G179" i="1"/>
  <c r="P178" i="1"/>
  <c r="Q177" i="1"/>
  <c r="I177" i="1"/>
  <c r="J176" i="1"/>
  <c r="S175" i="1"/>
  <c r="K175" i="1"/>
  <c r="X175" i="1" s="1"/>
  <c r="L174" i="1"/>
  <c r="U173" i="1"/>
  <c r="V172" i="1"/>
  <c r="N172" i="1"/>
  <c r="W171" i="1"/>
  <c r="O171" i="1"/>
  <c r="G171" i="1"/>
  <c r="P170" i="1"/>
  <c r="Q169" i="1"/>
  <c r="I169" i="1"/>
  <c r="R168" i="1"/>
  <c r="J168" i="1"/>
  <c r="K167" i="1"/>
  <c r="X167" i="1" s="1"/>
  <c r="T166" i="1"/>
  <c r="U165" i="1"/>
  <c r="M165" i="1"/>
  <c r="V164" i="1"/>
  <c r="N164" i="1"/>
  <c r="W163" i="1"/>
  <c r="O163" i="1"/>
  <c r="Z163" i="1"/>
  <c r="P162" i="1"/>
  <c r="Q161" i="1"/>
  <c r="I161" i="1"/>
  <c r="R160" i="1"/>
  <c r="J160" i="1"/>
  <c r="S159" i="1"/>
  <c r="K159" i="1"/>
  <c r="T158" i="1"/>
  <c r="L158" i="1"/>
  <c r="U157" i="1"/>
  <c r="M157" i="1"/>
  <c r="V156" i="1"/>
  <c r="N156" i="1"/>
  <c r="W155" i="1"/>
  <c r="O155" i="1"/>
  <c r="G155" i="1"/>
  <c r="P154" i="1"/>
  <c r="H154" i="1"/>
  <c r="Q153" i="1"/>
  <c r="I153" i="1"/>
  <c r="R152" i="1"/>
  <c r="S151" i="1"/>
  <c r="K151" i="1"/>
  <c r="T150" i="1"/>
  <c r="L150" i="1"/>
  <c r="U149" i="1"/>
  <c r="M149" i="1"/>
  <c r="N148" i="1"/>
  <c r="W147" i="1"/>
  <c r="O147" i="1"/>
  <c r="G147" i="1"/>
  <c r="P146" i="1"/>
  <c r="Q145" i="1"/>
  <c r="R144" i="1"/>
  <c r="J144" i="1"/>
  <c r="S143" i="1"/>
  <c r="T142" i="1"/>
  <c r="AA142" i="1" s="1"/>
  <c r="L142" i="1"/>
  <c r="M141" i="1"/>
  <c r="V140" i="1"/>
  <c r="N140" i="1"/>
  <c r="W139" i="1"/>
  <c r="O139" i="1"/>
  <c r="G139" i="1"/>
  <c r="H138" i="1"/>
  <c r="Q137" i="1"/>
  <c r="I137" i="1"/>
  <c r="R136" i="1"/>
  <c r="J136" i="1"/>
  <c r="S135" i="1"/>
  <c r="K135" i="1"/>
  <c r="X135" i="1" s="1"/>
  <c r="O90" i="1"/>
  <c r="G90" i="1"/>
  <c r="P89" i="1"/>
  <c r="H89" i="1"/>
  <c r="Q88" i="1"/>
  <c r="I88" i="1"/>
  <c r="S86" i="1"/>
  <c r="K86" i="1"/>
  <c r="T85" i="1"/>
  <c r="U84" i="1"/>
  <c r="M84" i="1"/>
  <c r="V83" i="1"/>
  <c r="N83" i="1"/>
  <c r="O82" i="1"/>
  <c r="P81" i="1"/>
  <c r="Q80" i="1"/>
  <c r="I80" i="1"/>
  <c r="R79" i="1"/>
  <c r="J79" i="1"/>
  <c r="S78" i="1"/>
  <c r="T77" i="1"/>
  <c r="O74" i="1"/>
  <c r="I72" i="1"/>
  <c r="K70" i="1"/>
  <c r="U68" i="1"/>
  <c r="M68" i="1"/>
  <c r="V67" i="1"/>
  <c r="W66" i="1"/>
  <c r="P65" i="1"/>
  <c r="H65" i="1"/>
  <c r="Q64" i="1"/>
  <c r="T205" i="1"/>
  <c r="L205" i="1"/>
  <c r="U204" i="1"/>
  <c r="M204" i="1"/>
  <c r="V203" i="1"/>
  <c r="N203" i="1"/>
  <c r="W202" i="1"/>
  <c r="O202" i="1"/>
  <c r="G202" i="1"/>
  <c r="P201" i="1"/>
  <c r="H201" i="1"/>
  <c r="Q200" i="1"/>
  <c r="I200" i="1"/>
  <c r="R199" i="1"/>
  <c r="J199" i="1"/>
  <c r="S198" i="1"/>
  <c r="K198" i="1"/>
  <c r="T197" i="1"/>
  <c r="L197" i="1"/>
  <c r="U196" i="1"/>
  <c r="M196" i="1"/>
  <c r="V195" i="1"/>
  <c r="N195" i="1"/>
  <c r="W194" i="1"/>
  <c r="O194" i="1"/>
  <c r="G194" i="1"/>
  <c r="P193" i="1"/>
  <c r="H193" i="1"/>
  <c r="Q192" i="1"/>
  <c r="I192" i="1"/>
  <c r="R191" i="1"/>
  <c r="J191" i="1"/>
  <c r="S190" i="1"/>
  <c r="K190" i="1"/>
  <c r="T189" i="1"/>
  <c r="L189" i="1"/>
  <c r="U188" i="1"/>
  <c r="M188" i="1"/>
  <c r="V187" i="1"/>
  <c r="N187" i="1"/>
  <c r="W186" i="1"/>
  <c r="O186" i="1"/>
  <c r="G186" i="1"/>
  <c r="P185" i="1"/>
  <c r="H185" i="1"/>
  <c r="Q184" i="1"/>
  <c r="I184" i="1"/>
  <c r="R183" i="1"/>
  <c r="J183" i="1"/>
  <c r="S182" i="1"/>
  <c r="K182" i="1"/>
  <c r="T181" i="1"/>
  <c r="L181" i="1"/>
  <c r="U180" i="1"/>
  <c r="M180" i="1"/>
  <c r="V179" i="1"/>
  <c r="O178" i="1"/>
  <c r="AA178" i="1" s="1"/>
  <c r="P177" i="1"/>
  <c r="H177" i="1"/>
  <c r="R175" i="1"/>
  <c r="S174" i="1"/>
  <c r="K174" i="1"/>
  <c r="T173" i="1"/>
  <c r="U172" i="1"/>
  <c r="M172" i="1"/>
  <c r="V171" i="1"/>
  <c r="N171" i="1"/>
  <c r="W170" i="1"/>
  <c r="O170" i="1"/>
  <c r="G170" i="1"/>
  <c r="P169" i="1"/>
  <c r="H169" i="1"/>
  <c r="Q168" i="1"/>
  <c r="I168" i="1"/>
  <c r="J167" i="1"/>
  <c r="S166" i="1"/>
  <c r="X166" i="1"/>
  <c r="T165" i="1"/>
  <c r="L165" i="1"/>
  <c r="U164" i="1"/>
  <c r="M164" i="1"/>
  <c r="V163" i="1"/>
  <c r="N163" i="1"/>
  <c r="O162" i="1"/>
  <c r="AA162" i="1" s="1"/>
  <c r="G162" i="1"/>
  <c r="P161" i="1"/>
  <c r="H161" i="1"/>
  <c r="Q160" i="1"/>
  <c r="I160" i="1"/>
  <c r="R159" i="1"/>
  <c r="J159" i="1"/>
  <c r="S158" i="1"/>
  <c r="K158" i="1"/>
  <c r="X158" i="1" s="1"/>
  <c r="T157" i="1"/>
  <c r="L157" i="1"/>
  <c r="U156" i="1"/>
  <c r="M156" i="1"/>
  <c r="V155" i="1"/>
  <c r="N155" i="1"/>
  <c r="O154" i="1"/>
  <c r="AA154" i="1" s="1"/>
  <c r="G154" i="1"/>
  <c r="P153" i="1"/>
  <c r="Q152" i="1"/>
  <c r="I152" i="1"/>
  <c r="R151" i="1"/>
  <c r="J151" i="1"/>
  <c r="S150" i="1"/>
  <c r="K150" i="1"/>
  <c r="X150" i="1" s="1"/>
  <c r="T149" i="1"/>
  <c r="L149" i="1"/>
  <c r="M148" i="1"/>
  <c r="V147" i="1"/>
  <c r="N147" i="1"/>
  <c r="W146" i="1"/>
  <c r="O146" i="1"/>
  <c r="G146" i="1"/>
  <c r="P145" i="1"/>
  <c r="H145" i="1"/>
  <c r="Q144" i="1"/>
  <c r="I144" i="1"/>
  <c r="R143" i="1"/>
  <c r="J143" i="1"/>
  <c r="K142" i="1"/>
  <c r="X142" i="1" s="1"/>
  <c r="U140" i="1"/>
  <c r="M140" i="1"/>
  <c r="V139" i="1"/>
  <c r="W138" i="1"/>
  <c r="G138" i="1"/>
  <c r="P137" i="1"/>
  <c r="H137" i="1"/>
  <c r="Q136" i="1"/>
  <c r="I136" i="1"/>
  <c r="R135" i="1"/>
  <c r="J135" i="1"/>
  <c r="K93" i="1"/>
  <c r="T92" i="1"/>
  <c r="U91" i="1"/>
  <c r="M91" i="1"/>
  <c r="N90" i="1"/>
  <c r="W89" i="1"/>
  <c r="O89" i="1"/>
  <c r="G89" i="1"/>
  <c r="P88" i="1"/>
  <c r="H88" i="1"/>
  <c r="I87" i="1"/>
  <c r="K85" i="1"/>
  <c r="T84" i="1"/>
  <c r="U83" i="1"/>
  <c r="N82" i="1"/>
  <c r="W81" i="1"/>
  <c r="P80" i="1"/>
  <c r="H80" i="1"/>
  <c r="Q79" i="1"/>
  <c r="I79" i="1"/>
  <c r="R78" i="1"/>
  <c r="J78" i="1"/>
  <c r="S77" i="1"/>
  <c r="U75" i="1"/>
  <c r="M75" i="1"/>
  <c r="V74" i="1"/>
  <c r="O73" i="1"/>
  <c r="K69" i="1"/>
  <c r="T68" i="1"/>
  <c r="L68" i="1"/>
  <c r="V66" i="1"/>
  <c r="P64" i="1"/>
  <c r="H64" i="1"/>
  <c r="S205" i="1"/>
  <c r="K205" i="1"/>
  <c r="T204" i="1"/>
  <c r="L204" i="1"/>
  <c r="U203" i="1"/>
  <c r="M203" i="1"/>
  <c r="V202" i="1"/>
  <c r="N202" i="1"/>
  <c r="W201" i="1"/>
  <c r="O201" i="1"/>
  <c r="G201" i="1"/>
  <c r="P200" i="1"/>
  <c r="H200" i="1"/>
  <c r="Q199" i="1"/>
  <c r="I199" i="1"/>
  <c r="R198" i="1"/>
  <c r="J198" i="1"/>
  <c r="S197" i="1"/>
  <c r="K197" i="1"/>
  <c r="T196" i="1"/>
  <c r="L196" i="1"/>
  <c r="U195" i="1"/>
  <c r="M195" i="1"/>
  <c r="V194" i="1"/>
  <c r="N194" i="1"/>
  <c r="W193" i="1"/>
  <c r="O193" i="1"/>
  <c r="G193" i="1"/>
  <c r="P192" i="1"/>
  <c r="H192" i="1"/>
  <c r="Q191" i="1"/>
  <c r="I191" i="1"/>
  <c r="R190" i="1"/>
  <c r="J190" i="1"/>
  <c r="S189" i="1"/>
  <c r="K189" i="1"/>
  <c r="T188" i="1"/>
  <c r="L188" i="1"/>
  <c r="U187" i="1"/>
  <c r="M187" i="1"/>
  <c r="V186" i="1"/>
  <c r="N186" i="1"/>
  <c r="W185" i="1"/>
  <c r="O185" i="1"/>
  <c r="G185" i="1"/>
  <c r="P184" i="1"/>
  <c r="H184" i="1"/>
  <c r="Q183" i="1"/>
  <c r="I183" i="1"/>
  <c r="R182" i="1"/>
  <c r="J182" i="1"/>
  <c r="S181" i="1"/>
  <c r="K181" i="1"/>
  <c r="T180" i="1"/>
  <c r="U179" i="1"/>
  <c r="N178" i="1"/>
  <c r="W177" i="1"/>
  <c r="O177" i="1"/>
  <c r="G177" i="1"/>
  <c r="H176" i="1"/>
  <c r="Q175" i="1"/>
  <c r="I175" i="1"/>
  <c r="R174" i="1"/>
  <c r="J174" i="1"/>
  <c r="S173" i="1"/>
  <c r="K173" i="1"/>
  <c r="X173" i="1" s="1"/>
  <c r="T172" i="1"/>
  <c r="L172" i="1"/>
  <c r="U171" i="1"/>
  <c r="M171" i="1"/>
  <c r="V170" i="1"/>
  <c r="N170" i="1"/>
  <c r="O169" i="1"/>
  <c r="Z169" i="1"/>
  <c r="P168" i="1"/>
  <c r="H168" i="1"/>
  <c r="I167" i="1"/>
  <c r="R166" i="1"/>
  <c r="J166" i="1"/>
  <c r="S165" i="1"/>
  <c r="K165" i="1"/>
  <c r="T164" i="1"/>
  <c r="L164" i="1"/>
  <c r="U163" i="1"/>
  <c r="M163" i="1"/>
  <c r="N162" i="1"/>
  <c r="W161" i="1"/>
  <c r="O161" i="1"/>
  <c r="G161" i="1"/>
  <c r="P160" i="1"/>
  <c r="H160" i="1"/>
  <c r="Q159" i="1"/>
  <c r="I159" i="1"/>
  <c r="R158" i="1"/>
  <c r="J158" i="1"/>
  <c r="K157" i="1"/>
  <c r="T156" i="1"/>
  <c r="L156" i="1"/>
  <c r="U155" i="1"/>
  <c r="N154" i="1"/>
  <c r="W153" i="1"/>
  <c r="O153" i="1"/>
  <c r="G153" i="1"/>
  <c r="P152" i="1"/>
  <c r="H152" i="1"/>
  <c r="Q151" i="1"/>
  <c r="I151" i="1"/>
  <c r="R150" i="1"/>
  <c r="J150" i="1"/>
  <c r="S149" i="1"/>
  <c r="K149" i="1"/>
  <c r="X149" i="1" s="1"/>
  <c r="L148" i="1"/>
  <c r="U147" i="1"/>
  <c r="M147" i="1"/>
  <c r="X147" i="1" s="1"/>
  <c r="V146" i="1"/>
  <c r="N146" i="1"/>
  <c r="W145" i="1"/>
  <c r="O145" i="1"/>
  <c r="Z145" i="1"/>
  <c r="P144" i="1"/>
  <c r="H144" i="1"/>
  <c r="Q143" i="1"/>
  <c r="I143" i="1"/>
  <c r="J142" i="1"/>
  <c r="S141" i="1"/>
  <c r="K141" i="1"/>
  <c r="X141" i="1" s="1"/>
  <c r="T140" i="1"/>
  <c r="L140" i="1"/>
  <c r="U139" i="1"/>
  <c r="V138" i="1"/>
  <c r="N138" i="1"/>
  <c r="O137" i="1"/>
  <c r="AA137" i="1" s="1"/>
  <c r="G137" i="1"/>
  <c r="P136" i="1"/>
  <c r="H136" i="1"/>
  <c r="Q135" i="1"/>
  <c r="I135" i="1"/>
  <c r="H79" i="1"/>
  <c r="Q78" i="1"/>
  <c r="R77" i="1"/>
  <c r="S68" i="1"/>
  <c r="L67" i="1"/>
  <c r="R205" i="1"/>
  <c r="J205" i="1"/>
  <c r="S204" i="1"/>
  <c r="K204" i="1"/>
  <c r="T203" i="1"/>
  <c r="L203" i="1"/>
  <c r="U202" i="1"/>
  <c r="M202" i="1"/>
  <c r="V201" i="1"/>
  <c r="N201" i="1"/>
  <c r="W200" i="1"/>
  <c r="O200" i="1"/>
  <c r="G200" i="1"/>
  <c r="P199" i="1"/>
  <c r="H199" i="1"/>
  <c r="Q198" i="1"/>
  <c r="I198" i="1"/>
  <c r="R197" i="1"/>
  <c r="J197" i="1"/>
  <c r="S196" i="1"/>
  <c r="K196" i="1"/>
  <c r="T195" i="1"/>
  <c r="L195" i="1"/>
  <c r="U194" i="1"/>
  <c r="M194" i="1"/>
  <c r="V193" i="1"/>
  <c r="N193" i="1"/>
  <c r="W192" i="1"/>
  <c r="O192" i="1"/>
  <c r="G192" i="1"/>
  <c r="P191" i="1"/>
  <c r="H191" i="1"/>
  <c r="Q190" i="1"/>
  <c r="I190" i="1"/>
  <c r="R189" i="1"/>
  <c r="J189" i="1"/>
  <c r="S188" i="1"/>
  <c r="K188" i="1"/>
  <c r="T187" i="1"/>
  <c r="L187" i="1"/>
  <c r="U186" i="1"/>
  <c r="M186" i="1"/>
  <c r="V185" i="1"/>
  <c r="N185" i="1"/>
  <c r="W184" i="1"/>
  <c r="O184" i="1"/>
  <c r="G184" i="1"/>
  <c r="P183" i="1"/>
  <c r="H183" i="1"/>
  <c r="Q182" i="1"/>
  <c r="I182" i="1"/>
  <c r="R181" i="1"/>
  <c r="J181" i="1"/>
  <c r="S180" i="1"/>
  <c r="K180" i="1"/>
  <c r="X180" i="1" s="1"/>
  <c r="T179" i="1"/>
  <c r="L179" i="1"/>
  <c r="X179" i="1" s="1"/>
  <c r="M178" i="1"/>
  <c r="V177" i="1"/>
  <c r="W176" i="1"/>
  <c r="G176" i="1"/>
  <c r="P175" i="1"/>
  <c r="Q174" i="1"/>
  <c r="I174" i="1"/>
  <c r="R173" i="1"/>
  <c r="J173" i="1"/>
  <c r="K172" i="1"/>
  <c r="X172" i="1" s="1"/>
  <c r="T171" i="1"/>
  <c r="L171" i="1"/>
  <c r="X171" i="1" s="1"/>
  <c r="U170" i="1"/>
  <c r="M170" i="1"/>
  <c r="W168" i="1"/>
  <c r="O168" i="1"/>
  <c r="G168" i="1"/>
  <c r="H167" i="1"/>
  <c r="Q166" i="1"/>
  <c r="I166" i="1"/>
  <c r="R165" i="1"/>
  <c r="S164" i="1"/>
  <c r="K164" i="1"/>
  <c r="T163" i="1"/>
  <c r="L163" i="1"/>
  <c r="M162" i="1"/>
  <c r="V161" i="1"/>
  <c r="W160" i="1"/>
  <c r="O160" i="1"/>
  <c r="G160" i="1"/>
  <c r="P159" i="1"/>
  <c r="H159" i="1"/>
  <c r="Q158" i="1"/>
  <c r="I158" i="1"/>
  <c r="S156" i="1"/>
  <c r="K156" i="1"/>
  <c r="T155" i="1"/>
  <c r="M154" i="1"/>
  <c r="V153" i="1"/>
  <c r="N153" i="1"/>
  <c r="W152" i="1"/>
  <c r="O152" i="1"/>
  <c r="G152" i="1"/>
  <c r="P151" i="1"/>
  <c r="H151" i="1"/>
  <c r="Q150" i="1"/>
  <c r="R149" i="1"/>
  <c r="J149" i="1"/>
  <c r="K148" i="1"/>
  <c r="T147" i="1"/>
  <c r="U146" i="1"/>
  <c r="V145" i="1"/>
  <c r="W144" i="1"/>
  <c r="O144" i="1"/>
  <c r="G144" i="1"/>
  <c r="P143" i="1"/>
  <c r="I142" i="1"/>
  <c r="R141" i="1"/>
  <c r="S140" i="1"/>
  <c r="K140" i="1"/>
  <c r="T139" i="1"/>
  <c r="L139" i="1"/>
  <c r="U138" i="1"/>
  <c r="M138" i="1"/>
  <c r="N137" i="1"/>
  <c r="W136" i="1"/>
  <c r="O136" i="1"/>
  <c r="G136" i="1"/>
  <c r="P135" i="1"/>
  <c r="H135" i="1"/>
  <c r="V104" i="1"/>
  <c r="Q101" i="1"/>
  <c r="I101" i="1"/>
  <c r="J100" i="1"/>
  <c r="L98" i="1"/>
  <c r="H94" i="1"/>
  <c r="S91" i="1"/>
  <c r="K91" i="1"/>
  <c r="H86" i="1"/>
  <c r="J84" i="1"/>
  <c r="Q77" i="1"/>
  <c r="G71" i="1"/>
  <c r="Q205" i="1"/>
  <c r="I205" i="1"/>
  <c r="R204" i="1"/>
  <c r="J204" i="1"/>
  <c r="S203" i="1"/>
  <c r="K203" i="1"/>
  <c r="T202" i="1"/>
  <c r="L202" i="1"/>
  <c r="U201" i="1"/>
  <c r="M201" i="1"/>
  <c r="V200" i="1"/>
  <c r="N200" i="1"/>
  <c r="W199" i="1"/>
  <c r="O199" i="1"/>
  <c r="G199" i="1"/>
  <c r="P198" i="1"/>
  <c r="H198" i="1"/>
  <c r="Q197" i="1"/>
  <c r="I197" i="1"/>
  <c r="R196" i="1"/>
  <c r="J196" i="1"/>
  <c r="S195" i="1"/>
  <c r="K195" i="1"/>
  <c r="T194" i="1"/>
  <c r="L194" i="1"/>
  <c r="U193" i="1"/>
  <c r="M193" i="1"/>
  <c r="V192" i="1"/>
  <c r="N192" i="1"/>
  <c r="W191" i="1"/>
  <c r="O191" i="1"/>
  <c r="G191" i="1"/>
  <c r="P190" i="1"/>
  <c r="H190" i="1"/>
  <c r="Q189" i="1"/>
  <c r="I189" i="1"/>
  <c r="R188" i="1"/>
  <c r="J188" i="1"/>
  <c r="S187" i="1"/>
  <c r="K187" i="1"/>
  <c r="T186" i="1"/>
  <c r="L186" i="1"/>
  <c r="U185" i="1"/>
  <c r="M185" i="1"/>
  <c r="V184" i="1"/>
  <c r="N184" i="1"/>
  <c r="W183" i="1"/>
  <c r="O183" i="1"/>
  <c r="G183" i="1"/>
  <c r="P182" i="1"/>
  <c r="H182" i="1"/>
  <c r="Q181" i="1"/>
  <c r="I181" i="1"/>
  <c r="R180" i="1"/>
  <c r="J180" i="1"/>
  <c r="L178" i="1"/>
  <c r="U177" i="1"/>
  <c r="M177" i="1"/>
  <c r="V176" i="1"/>
  <c r="N176" i="1"/>
  <c r="X176" i="1" s="1"/>
  <c r="W175" i="1"/>
  <c r="O175" i="1"/>
  <c r="G175" i="1"/>
  <c r="P174" i="1"/>
  <c r="H174" i="1"/>
  <c r="Z174" i="1" s="1"/>
  <c r="Q173" i="1"/>
  <c r="I173" i="1"/>
  <c r="J172" i="1"/>
  <c r="S171" i="1"/>
  <c r="T170" i="1"/>
  <c r="L170" i="1"/>
  <c r="M169" i="1"/>
  <c r="V168" i="1"/>
  <c r="N168" i="1"/>
  <c r="W167" i="1"/>
  <c r="AA167" i="1" s="1"/>
  <c r="G167" i="1"/>
  <c r="P166" i="1"/>
  <c r="H166" i="1"/>
  <c r="Q165" i="1"/>
  <c r="R164" i="1"/>
  <c r="J164" i="1"/>
  <c r="S163" i="1"/>
  <c r="K163" i="1"/>
  <c r="L162" i="1"/>
  <c r="U161" i="1"/>
  <c r="M161" i="1"/>
  <c r="V160" i="1"/>
  <c r="N160" i="1"/>
  <c r="W159" i="1"/>
  <c r="O159" i="1"/>
  <c r="G159" i="1"/>
  <c r="P158" i="1"/>
  <c r="H158" i="1"/>
  <c r="R156" i="1"/>
  <c r="J156" i="1"/>
  <c r="Z156" i="1" s="1"/>
  <c r="S155" i="1"/>
  <c r="X155" i="1"/>
  <c r="L154" i="1"/>
  <c r="U153" i="1"/>
  <c r="M153" i="1"/>
  <c r="V152" i="1"/>
  <c r="N152" i="1"/>
  <c r="W151" i="1"/>
  <c r="O151" i="1"/>
  <c r="Z151" i="1"/>
  <c r="Y151" i="1"/>
  <c r="P150" i="1"/>
  <c r="H150" i="1"/>
  <c r="Q149" i="1"/>
  <c r="I149" i="1"/>
  <c r="J148" i="1"/>
  <c r="S147" i="1"/>
  <c r="T146" i="1"/>
  <c r="L146" i="1"/>
  <c r="U145" i="1"/>
  <c r="M145" i="1"/>
  <c r="Y145" i="1" s="1"/>
  <c r="V144" i="1"/>
  <c r="N144" i="1"/>
  <c r="W143" i="1"/>
  <c r="O143" i="1"/>
  <c r="G143" i="1"/>
  <c r="H142" i="1"/>
  <c r="Q141" i="1"/>
  <c r="R140" i="1"/>
  <c r="J140" i="1"/>
  <c r="S139" i="1"/>
  <c r="X139" i="1"/>
  <c r="T138" i="1"/>
  <c r="M137" i="1"/>
  <c r="V136" i="1"/>
  <c r="N136" i="1"/>
  <c r="W135" i="1"/>
  <c r="O135" i="1"/>
  <c r="G135" i="1"/>
  <c r="H567" i="5"/>
  <c r="H513" i="5"/>
  <c r="H211" i="5"/>
  <c r="H203" i="5"/>
  <c r="H195" i="5"/>
  <c r="H223" i="5"/>
  <c r="H224" i="5"/>
  <c r="H207" i="5"/>
  <c r="H199" i="5"/>
  <c r="H236" i="5"/>
  <c r="H208" i="5"/>
  <c r="H200" i="5"/>
  <c r="H212" i="5"/>
  <c r="H204" i="5"/>
  <c r="H196" i="5"/>
  <c r="H225" i="5"/>
  <c r="H237" i="5"/>
  <c r="H209" i="5"/>
  <c r="H201" i="5"/>
  <c r="H205" i="5"/>
  <c r="H197" i="5"/>
  <c r="H226" i="5"/>
  <c r="H210" i="5"/>
  <c r="H202" i="5"/>
  <c r="H194" i="5"/>
  <c r="H206" i="5"/>
  <c r="H198" i="5"/>
  <c r="H544" i="5"/>
  <c r="H593" i="5"/>
  <c r="H516" i="5"/>
  <c r="H253" i="5"/>
  <c r="H252" i="5"/>
  <c r="H423" i="5"/>
  <c r="H428" i="5"/>
  <c r="H445" i="5"/>
  <c r="H444" i="5"/>
  <c r="H432" i="5"/>
  <c r="H436" i="5"/>
  <c r="H435" i="5"/>
  <c r="H446" i="5"/>
  <c r="H433" i="5"/>
  <c r="H442" i="5"/>
  <c r="H441" i="5"/>
  <c r="H438" i="5"/>
  <c r="H434" i="5"/>
  <c r="H437" i="5"/>
  <c r="H440" i="5"/>
  <c r="H443" i="5"/>
  <c r="H583" i="5"/>
  <c r="H534" i="5"/>
  <c r="H359" i="5"/>
  <c r="H358" i="5"/>
  <c r="H355" i="5"/>
  <c r="H357" i="5"/>
  <c r="H573" i="5"/>
  <c r="H493" i="5"/>
  <c r="H495" i="5"/>
  <c r="H507" i="5"/>
  <c r="H506" i="5"/>
  <c r="H540" i="5"/>
  <c r="H505" i="5"/>
  <c r="H497" i="5"/>
  <c r="H498" i="5"/>
  <c r="H518" i="5"/>
  <c r="H580" i="5"/>
  <c r="H598" i="5"/>
  <c r="H330" i="5"/>
  <c r="H326" i="5"/>
  <c r="H353" i="5"/>
  <c r="H329" i="5"/>
  <c r="H331" i="5"/>
  <c r="H321" i="5"/>
  <c r="H323" i="5"/>
  <c r="H327" i="5"/>
  <c r="H328" i="5"/>
  <c r="H320" i="5"/>
  <c r="H332" i="5"/>
  <c r="H512" i="5"/>
  <c r="H607" i="5"/>
  <c r="H51" i="5"/>
  <c r="H59" i="5"/>
  <c r="H53" i="5"/>
  <c r="H48" i="5"/>
  <c r="H58" i="5"/>
  <c r="H62" i="5"/>
  <c r="H57" i="5"/>
  <c r="H54" i="5"/>
  <c r="H63" i="5"/>
  <c r="H60" i="5"/>
  <c r="H61" i="5"/>
  <c r="H50" i="5"/>
  <c r="H56" i="5"/>
  <c r="H47" i="5"/>
  <c r="H45" i="5"/>
  <c r="H46" i="5"/>
  <c r="H55" i="5"/>
  <c r="H52" i="5"/>
  <c r="H49" i="5"/>
  <c r="H44" i="5"/>
  <c r="H620" i="5"/>
  <c r="H244" i="5"/>
  <c r="H241" i="5"/>
  <c r="H242" i="5"/>
  <c r="H255" i="5"/>
  <c r="H243" i="5"/>
  <c r="H240" i="5"/>
  <c r="H508" i="5"/>
  <c r="H565" i="5"/>
  <c r="H521" i="5"/>
  <c r="H606" i="5"/>
  <c r="H550" i="5"/>
  <c r="H563" i="5"/>
  <c r="H527" i="5"/>
  <c r="H296" i="5"/>
  <c r="H288" i="5"/>
  <c r="H308" i="5"/>
  <c r="H280" i="5"/>
  <c r="H300" i="5"/>
  <c r="H292" i="5"/>
  <c r="H284" i="5"/>
  <c r="H305" i="5"/>
  <c r="H297" i="5"/>
  <c r="H289" i="5"/>
  <c r="H281" i="5"/>
  <c r="H309" i="5"/>
  <c r="H301" i="5"/>
  <c r="H310" i="5"/>
  <c r="H293" i="5"/>
  <c r="H302" i="5"/>
  <c r="H285" i="5"/>
  <c r="H294" i="5"/>
  <c r="H286" i="5"/>
  <c r="H306" i="5"/>
  <c r="H278" i="5"/>
  <c r="H298" i="5"/>
  <c r="H290" i="5"/>
  <c r="H282" i="5"/>
  <c r="H303" i="5"/>
  <c r="H295" i="5"/>
  <c r="H287" i="5"/>
  <c r="H307" i="5"/>
  <c r="H279" i="5"/>
  <c r="H299" i="5"/>
  <c r="H291" i="5"/>
  <c r="H283" i="5"/>
  <c r="H304" i="5"/>
  <c r="H572" i="5"/>
  <c r="H419" i="5"/>
  <c r="H404" i="5"/>
  <c r="H418" i="5"/>
  <c r="H408" i="5"/>
  <c r="H403" i="5"/>
  <c r="H411" i="5"/>
  <c r="H421" i="5"/>
  <c r="H397" i="5"/>
  <c r="H412" i="5"/>
  <c r="H407" i="5"/>
  <c r="H402" i="5"/>
  <c r="H417" i="5"/>
  <c r="H398" i="5"/>
  <c r="H405" i="5"/>
  <c r="H551" i="5"/>
  <c r="H621" i="5"/>
  <c r="H585" i="5"/>
  <c r="H537" i="5"/>
  <c r="H510" i="5"/>
  <c r="H133" i="5"/>
  <c r="H122" i="5"/>
  <c r="H120" i="5"/>
  <c r="H126" i="5"/>
  <c r="H139" i="5"/>
  <c r="H136" i="5"/>
  <c r="H142" i="5"/>
  <c r="H117" i="5"/>
  <c r="H137" i="5"/>
  <c r="H127" i="5"/>
  <c r="H121" i="5"/>
  <c r="H123" i="5"/>
  <c r="H132" i="5"/>
  <c r="H130" i="5"/>
  <c r="H116" i="5"/>
  <c r="H135" i="5"/>
  <c r="H125" i="5"/>
  <c r="H131" i="5"/>
  <c r="H141" i="5"/>
  <c r="H140" i="5"/>
  <c r="H129" i="5"/>
  <c r="H118" i="5"/>
  <c r="H119" i="5"/>
  <c r="H128" i="5"/>
  <c r="H134" i="5"/>
  <c r="H138" i="5"/>
  <c r="H124" i="5"/>
  <c r="H562" i="5"/>
  <c r="H509" i="5"/>
  <c r="H190" i="5"/>
  <c r="H191" i="5"/>
  <c r="H187" i="5"/>
  <c r="H192" i="5"/>
  <c r="H188" i="5"/>
  <c r="H193" i="5"/>
  <c r="H185" i="5"/>
  <c r="H189" i="5"/>
  <c r="H186" i="5"/>
  <c r="H560" i="5"/>
  <c r="H549" i="5"/>
  <c r="H74" i="5"/>
  <c r="H80" i="5"/>
  <c r="H76" i="5"/>
  <c r="H85" i="5"/>
  <c r="H64" i="5"/>
  <c r="H83" i="5"/>
  <c r="H69" i="5"/>
  <c r="H82" i="5"/>
  <c r="H88" i="5"/>
  <c r="H68" i="5"/>
  <c r="H78" i="5"/>
  <c r="H84" i="5"/>
  <c r="H67" i="5"/>
  <c r="H65" i="5"/>
  <c r="H71" i="5"/>
  <c r="H72" i="5"/>
  <c r="H81" i="5"/>
  <c r="H66" i="5"/>
  <c r="H77" i="5"/>
  <c r="H86" i="5"/>
  <c r="H75" i="5"/>
  <c r="H73" i="5"/>
  <c r="H87" i="5"/>
  <c r="H79" i="5"/>
  <c r="H570" i="5"/>
  <c r="H152" i="5"/>
  <c r="H158" i="5"/>
  <c r="H171" i="5"/>
  <c r="H168" i="5"/>
  <c r="H174" i="5"/>
  <c r="H149" i="5"/>
  <c r="H145" i="5"/>
  <c r="H159" i="5"/>
  <c r="H161" i="5"/>
  <c r="H155" i="5"/>
  <c r="H164" i="5"/>
  <c r="H143" i="5"/>
  <c r="H162" i="5"/>
  <c r="H148" i="5"/>
  <c r="H167" i="5"/>
  <c r="H147" i="5"/>
  <c r="H157" i="5"/>
  <c r="H169" i="5"/>
  <c r="H163" i="5"/>
  <c r="H146" i="5"/>
  <c r="H173" i="5"/>
  <c r="H172" i="5"/>
  <c r="H144" i="5"/>
  <c r="H150" i="5"/>
  <c r="H151" i="5"/>
  <c r="H160" i="5"/>
  <c r="H166" i="5"/>
  <c r="H170" i="5"/>
  <c r="H156" i="5"/>
  <c r="H153" i="5"/>
  <c r="H165" i="5"/>
  <c r="H154" i="5"/>
  <c r="H532" i="5"/>
  <c r="H566" i="5"/>
  <c r="H600" i="5"/>
  <c r="H451" i="5"/>
  <c r="H453" i="5"/>
  <c r="H450" i="5"/>
  <c r="H455" i="5"/>
  <c r="H452" i="5"/>
  <c r="H454" i="5"/>
  <c r="H461" i="5"/>
  <c r="H458" i="5"/>
  <c r="H564" i="5"/>
  <c r="H447" i="5"/>
  <c r="H448" i="5"/>
  <c r="H491" i="5"/>
  <c r="H449" i="5"/>
  <c r="H456" i="5"/>
  <c r="H459" i="5"/>
  <c r="H462" i="5"/>
  <c r="H457" i="5"/>
  <c r="H460" i="5"/>
  <c r="H553" i="5"/>
  <c r="H609" i="5"/>
  <c r="H584" i="5"/>
  <c r="H531" i="5"/>
  <c r="H32" i="5"/>
  <c r="H20" i="5"/>
  <c r="H27" i="5"/>
  <c r="H21" i="5"/>
  <c r="H16" i="5"/>
  <c r="H25" i="5"/>
  <c r="H42" i="5"/>
  <c r="H36" i="5"/>
  <c r="H28" i="5"/>
  <c r="H41" i="5"/>
  <c r="H30" i="5"/>
  <c r="H26" i="5"/>
  <c r="H40" i="5"/>
  <c r="H29" i="5"/>
  <c r="H15" i="5"/>
  <c r="H22" i="5"/>
  <c r="H24" i="5"/>
  <c r="H13" i="5"/>
  <c r="H18" i="5"/>
  <c r="H34" i="5"/>
  <c r="H19" i="5"/>
  <c r="H37" i="5"/>
  <c r="H38" i="5"/>
  <c r="H23" i="5"/>
  <c r="H17" i="5"/>
  <c r="H11" i="5"/>
  <c r="H33" i="5"/>
  <c r="H31" i="5"/>
  <c r="H14" i="5"/>
  <c r="H35" i="5"/>
  <c r="H39" i="5"/>
  <c r="H526" i="5"/>
  <c r="H576" i="5"/>
  <c r="H596" i="5"/>
  <c r="H548" i="5"/>
  <c r="H489" i="5"/>
  <c r="H490" i="5"/>
  <c r="H556" i="5"/>
  <c r="H543" i="5"/>
  <c r="H571" i="5"/>
  <c r="H597" i="5"/>
  <c r="H414" i="5"/>
  <c r="H410" i="5"/>
  <c r="H400" i="5"/>
  <c r="H409" i="5"/>
  <c r="H413" i="5"/>
  <c r="H416" i="5"/>
  <c r="H401" i="5"/>
  <c r="H406" i="5"/>
  <c r="H415" i="5"/>
  <c r="H420" i="5"/>
  <c r="H399" i="5"/>
  <c r="H422" i="5"/>
  <c r="H615" i="5"/>
  <c r="H538" i="5"/>
  <c r="H554" i="5"/>
  <c r="H588" i="5"/>
  <c r="H465" i="5"/>
  <c r="H486" i="5"/>
  <c r="H468" i="5"/>
  <c r="H463" i="5"/>
  <c r="H473" i="5"/>
  <c r="H480" i="5"/>
  <c r="H467" i="5"/>
  <c r="H466" i="5"/>
  <c r="H471" i="5"/>
  <c r="H481" i="5"/>
  <c r="H488" i="5"/>
  <c r="H475" i="5"/>
  <c r="H470" i="5"/>
  <c r="H477" i="5"/>
  <c r="H474" i="5"/>
  <c r="H476" i="5"/>
  <c r="H483" i="5"/>
  <c r="H464" i="5"/>
  <c r="H478" i="5"/>
  <c r="H485" i="5"/>
  <c r="H482" i="5"/>
  <c r="H487" i="5"/>
  <c r="H469" i="5"/>
  <c r="H479" i="5"/>
  <c r="H472" i="5"/>
  <c r="H569" i="5"/>
  <c r="H502" i="5"/>
  <c r="H504" i="5"/>
  <c r="H503" i="5"/>
  <c r="H316" i="5"/>
  <c r="H256" i="5"/>
  <c r="H313" i="5"/>
  <c r="H260" i="5"/>
  <c r="H317" i="5"/>
  <c r="H273" i="5"/>
  <c r="H318" i="5"/>
  <c r="H257" i="5"/>
  <c r="H277" i="5"/>
  <c r="H314" i="5"/>
  <c r="H274" i="5"/>
  <c r="H311" i="5"/>
  <c r="H258" i="5"/>
  <c r="H315" i="5"/>
  <c r="H275" i="5"/>
  <c r="H312" i="5"/>
  <c r="H259" i="5"/>
  <c r="H350" i="5"/>
  <c r="H347" i="5"/>
  <c r="H348" i="5"/>
  <c r="H395" i="5"/>
  <c r="H365" i="5"/>
  <c r="H386" i="5"/>
  <c r="H367" i="5"/>
  <c r="H364" i="5"/>
  <c r="H369" i="5"/>
  <c r="H390" i="5"/>
  <c r="H373" i="5"/>
  <c r="H394" i="5"/>
  <c r="H375" i="5"/>
  <c r="H372" i="5"/>
  <c r="H377" i="5"/>
  <c r="H384" i="5"/>
  <c r="H362" i="5"/>
  <c r="H379" i="5"/>
  <c r="H387" i="5"/>
  <c r="H383" i="5"/>
  <c r="H380" i="5"/>
  <c r="H385" i="5"/>
  <c r="H392" i="5"/>
  <c r="H370" i="5"/>
  <c r="H360" i="5"/>
  <c r="H374" i="5"/>
  <c r="H389" i="5"/>
  <c r="H391" i="5"/>
  <c r="H368" i="5"/>
  <c r="H382" i="5"/>
  <c r="H396" i="5"/>
  <c r="H366" i="5"/>
  <c r="H381" i="5"/>
  <c r="H363" i="5"/>
  <c r="H371" i="5"/>
  <c r="H388" i="5"/>
  <c r="H393" i="5"/>
  <c r="H361" i="5"/>
  <c r="H378" i="5"/>
  <c r="H376" i="5"/>
  <c r="H602" i="5"/>
  <c r="H523" i="5"/>
  <c r="H574" i="5"/>
  <c r="H429" i="5"/>
  <c r="H439" i="5"/>
  <c r="H425" i="5"/>
  <c r="H431" i="5"/>
  <c r="H430" i="5"/>
  <c r="H426" i="5"/>
  <c r="H424" i="5"/>
  <c r="H427" i="5"/>
  <c r="H557" i="5"/>
  <c r="H524" i="5"/>
  <c r="H587" i="5"/>
  <c r="H605" i="5"/>
  <c r="H522" i="5"/>
  <c r="H617" i="5"/>
  <c r="H272" i="5"/>
  <c r="H264" i="5"/>
  <c r="H276" i="5"/>
  <c r="H268" i="5"/>
  <c r="H265" i="5"/>
  <c r="H269" i="5"/>
  <c r="H261" i="5"/>
  <c r="H270" i="5"/>
  <c r="H262" i="5"/>
  <c r="H319" i="5"/>
  <c r="H266" i="5"/>
  <c r="H271" i="5"/>
  <c r="H263" i="5"/>
  <c r="H267" i="5"/>
  <c r="H603" i="5"/>
  <c r="H594" i="5"/>
  <c r="H545" i="5"/>
  <c r="H322" i="5"/>
  <c r="H325" i="5"/>
  <c r="H324" i="5"/>
  <c r="H90" i="5"/>
  <c r="H103" i="5"/>
  <c r="H98" i="5"/>
  <c r="H96" i="5"/>
  <c r="H107" i="5"/>
  <c r="H101" i="5"/>
  <c r="H100" i="5"/>
  <c r="H110" i="5"/>
  <c r="H99" i="5"/>
  <c r="H97" i="5"/>
  <c r="H106" i="5"/>
  <c r="H104" i="5"/>
  <c r="H113" i="5"/>
  <c r="H94" i="5"/>
  <c r="H93" i="5"/>
  <c r="H95" i="5"/>
  <c r="H109" i="5"/>
  <c r="H111" i="5"/>
  <c r="H91" i="5"/>
  <c r="H114" i="5"/>
  <c r="H105" i="5"/>
  <c r="H102" i="5"/>
  <c r="H112" i="5"/>
  <c r="H92" i="5"/>
  <c r="H89" i="5"/>
  <c r="H115" i="5"/>
  <c r="H108" i="5"/>
  <c r="H219" i="5"/>
  <c r="H239" i="5"/>
  <c r="H231" i="5"/>
  <c r="H232" i="5"/>
  <c r="H215" i="5"/>
  <c r="H216" i="5"/>
  <c r="H228" i="5"/>
  <c r="H220" i="5"/>
  <c r="H233" i="5"/>
  <c r="H217" i="5"/>
  <c r="H229" i="5"/>
  <c r="H221" i="5"/>
  <c r="H213" i="5"/>
  <c r="H234" i="5"/>
  <c r="H218" i="5"/>
  <c r="H238" i="5"/>
  <c r="H230" i="5"/>
  <c r="H222" i="5"/>
  <c r="H214" i="5"/>
  <c r="H235" i="5"/>
  <c r="H227" i="5"/>
  <c r="H514" i="5"/>
  <c r="H511" i="5"/>
  <c r="H515" i="5"/>
  <c r="H561" i="5"/>
  <c r="H528" i="5"/>
  <c r="H249" i="5"/>
  <c r="H245" i="5"/>
  <c r="H254" i="5"/>
  <c r="H246" i="5"/>
  <c r="H250" i="5"/>
  <c r="H247" i="5"/>
  <c r="H251" i="5"/>
  <c r="H248" i="5"/>
  <c r="H492" i="5"/>
  <c r="H494" i="5"/>
  <c r="H611" i="5"/>
  <c r="H182" i="5"/>
  <c r="H183" i="5"/>
  <c r="H175" i="5"/>
  <c r="H179" i="5"/>
  <c r="H184" i="5"/>
  <c r="H176" i="5"/>
  <c r="H180" i="5"/>
  <c r="H177" i="5"/>
  <c r="H181" i="5"/>
  <c r="H178" i="5"/>
  <c r="H70" i="5"/>
  <c r="H500" i="5"/>
  <c r="H501" i="5"/>
  <c r="H346" i="5"/>
  <c r="H338" i="5"/>
  <c r="H342" i="5"/>
  <c r="H334" i="5"/>
  <c r="H345" i="5"/>
  <c r="H337" i="5"/>
  <c r="H339" i="5"/>
  <c r="H349" i="5"/>
  <c r="H341" i="5"/>
  <c r="H351" i="5"/>
  <c r="H333" i="5"/>
  <c r="H343" i="5"/>
  <c r="H352" i="5"/>
  <c r="H335" i="5"/>
  <c r="H344" i="5"/>
  <c r="H336" i="5"/>
  <c r="H340" i="5"/>
  <c r="H624" i="5"/>
  <c r="H601" i="5"/>
  <c r="H520" i="5"/>
  <c r="H484" i="5"/>
  <c r="H519" i="5"/>
  <c r="H559" i="5"/>
  <c r="H586" i="5"/>
  <c r="H604" i="5"/>
  <c r="H599" i="5"/>
  <c r="H517" i="5"/>
  <c r="H568" i="5"/>
  <c r="H552" i="5"/>
  <c r="H575" i="5"/>
  <c r="H558" i="5"/>
  <c r="H525" i="5"/>
  <c r="H579" i="5"/>
  <c r="H530" i="5"/>
  <c r="H356" i="5"/>
  <c r="H354" i="5"/>
  <c r="BC6" i="6"/>
  <c r="E123" i="1"/>
  <c r="E115" i="1"/>
  <c r="E129" i="1"/>
  <c r="E121" i="1"/>
  <c r="E113" i="1"/>
  <c r="E124" i="1"/>
  <c r="E116" i="1"/>
  <c r="E127" i="1"/>
  <c r="E119" i="1"/>
  <c r="E95" i="1"/>
  <c r="E118" i="1"/>
  <c r="E122" i="1"/>
  <c r="E114" i="1"/>
  <c r="E126" i="1"/>
  <c r="E125" i="1"/>
  <c r="E117" i="1"/>
  <c r="BC5" i="6"/>
  <c r="N75" i="1"/>
  <c r="N74" i="1"/>
  <c r="W74" i="1"/>
  <c r="O71" i="1"/>
  <c r="Q87" i="1"/>
  <c r="Q86" i="1"/>
  <c r="Q65" i="1"/>
  <c r="S71" i="1"/>
  <c r="L93" i="1"/>
  <c r="L85" i="1"/>
  <c r="L92" i="1"/>
  <c r="L91" i="1"/>
  <c r="BH5" i="6"/>
  <c r="M67" i="1"/>
  <c r="K66" i="1"/>
  <c r="I64" i="1"/>
  <c r="I67" i="1"/>
  <c r="U98" i="1"/>
  <c r="T99" i="1"/>
  <c r="P103" i="1"/>
  <c r="P101" i="1"/>
  <c r="P102" i="1"/>
  <c r="N104" i="1"/>
  <c r="N93" i="1"/>
  <c r="N81" i="1"/>
  <c r="N77" i="1"/>
  <c r="N84" i="1"/>
  <c r="N85" i="1"/>
  <c r="M106" i="1"/>
  <c r="M105" i="1"/>
  <c r="M99" i="1"/>
  <c r="M98" i="1"/>
  <c r="M77" i="1"/>
  <c r="M76" i="1"/>
  <c r="M82" i="1"/>
  <c r="L77" i="1"/>
  <c r="K102" i="1"/>
  <c r="K103" i="1"/>
  <c r="K101" i="1"/>
  <c r="K100" i="1"/>
  <c r="K78" i="1"/>
  <c r="K77" i="1"/>
  <c r="F84" i="1"/>
  <c r="F87" i="1"/>
  <c r="F79" i="1"/>
  <c r="F82" i="1"/>
  <c r="F80" i="1"/>
  <c r="F83" i="1"/>
  <c r="F86" i="1"/>
  <c r="E132" i="1"/>
  <c r="E131" i="1"/>
  <c r="E97" i="1"/>
  <c r="E92" i="1"/>
  <c r="E98" i="1"/>
  <c r="E90" i="1"/>
  <c r="E93" i="1"/>
  <c r="BB5" i="6" s="1"/>
  <c r="BB64" i="6" s="1"/>
  <c r="E96" i="1"/>
  <c r="E99" i="1"/>
  <c r="E91" i="1"/>
  <c r="D78" i="1"/>
  <c r="D70" i="1"/>
  <c r="D81" i="1"/>
  <c r="D73" i="1"/>
  <c r="D65" i="1"/>
  <c r="D79" i="1"/>
  <c r="D71" i="1"/>
  <c r="D74" i="1"/>
  <c r="D66" i="1"/>
  <c r="D77" i="1"/>
  <c r="D69" i="1"/>
  <c r="D80" i="1"/>
  <c r="D72" i="1"/>
  <c r="D64" i="1"/>
  <c r="D75" i="1"/>
  <c r="D67" i="1"/>
  <c r="C99" i="1"/>
  <c r="C102" i="1"/>
  <c r="C97" i="1"/>
  <c r="C100" i="1"/>
  <c r="C98" i="1"/>
  <c r="C101" i="1"/>
  <c r="C96" i="1"/>
  <c r="B115" i="1"/>
  <c r="B102" i="1"/>
  <c r="B105" i="1"/>
  <c r="B97" i="1"/>
  <c r="B100" i="1"/>
  <c r="B103" i="1"/>
  <c r="B98" i="1"/>
  <c r="B101" i="1"/>
  <c r="B83" i="1"/>
  <c r="B86" i="1"/>
  <c r="B84" i="1"/>
  <c r="B87" i="1"/>
  <c r="B82" i="1"/>
  <c r="B85" i="1"/>
  <c r="W96" i="1"/>
  <c r="W92" i="1"/>
  <c r="W80" i="1"/>
  <c r="W77" i="1"/>
  <c r="W73" i="1"/>
  <c r="W20" i="1" s="1"/>
  <c r="W71" i="1"/>
  <c r="V75" i="1"/>
  <c r="V71" i="1"/>
  <c r="U101" i="1"/>
  <c r="U100" i="1"/>
  <c r="U102" i="1"/>
  <c r="T91" i="1"/>
  <c r="T98" i="1"/>
  <c r="T71" i="1"/>
  <c r="T69" i="1"/>
  <c r="S109" i="1"/>
  <c r="S108" i="1"/>
  <c r="S107" i="1"/>
  <c r="S106" i="1"/>
  <c r="S104" i="1"/>
  <c r="S69" i="1"/>
  <c r="R87" i="1"/>
  <c r="R86" i="1"/>
  <c r="R85" i="1"/>
  <c r="R84" i="1"/>
  <c r="R89" i="1"/>
  <c r="R71" i="1"/>
  <c r="Q105" i="1"/>
  <c r="Q104" i="1"/>
  <c r="Q96" i="1"/>
  <c r="Q95" i="1"/>
  <c r="Q84" i="1"/>
  <c r="Q71" i="1"/>
  <c r="Q72" i="1"/>
  <c r="P73" i="1"/>
  <c r="P20" i="1" s="1"/>
  <c r="P72" i="1"/>
  <c r="P71" i="1"/>
  <c r="O81" i="1"/>
  <c r="O80" i="1"/>
  <c r="N71" i="1"/>
  <c r="N67" i="1"/>
  <c r="N66" i="1"/>
  <c r="M100" i="1"/>
  <c r="M102" i="1"/>
  <c r="M71" i="1"/>
  <c r="BJ7" i="6"/>
  <c r="L84" i="1"/>
  <c r="L89" i="1"/>
  <c r="L87" i="1"/>
  <c r="L76" i="1"/>
  <c r="L71" i="1"/>
  <c r="K106" i="1"/>
  <c r="BH7" i="6"/>
  <c r="K22" i="1"/>
  <c r="J105" i="1"/>
  <c r="J95" i="1"/>
  <c r="J94" i="1"/>
  <c r="J87" i="1"/>
  <c r="J91" i="1"/>
  <c r="J86" i="1"/>
  <c r="J89" i="1"/>
  <c r="J77" i="1"/>
  <c r="J71" i="1"/>
  <c r="J70" i="1"/>
  <c r="J67" i="1"/>
  <c r="I106" i="1"/>
  <c r="I71" i="1"/>
  <c r="H102" i="1"/>
  <c r="Z102" i="1" s="1"/>
  <c r="H101" i="1"/>
  <c r="H99" i="1"/>
  <c r="H73" i="1"/>
  <c r="H72" i="1"/>
  <c r="H77" i="1"/>
  <c r="G82" i="1"/>
  <c r="G81" i="1"/>
  <c r="G80" i="1"/>
  <c r="G74" i="1"/>
  <c r="BD7" i="6"/>
  <c r="F124" i="1"/>
  <c r="F116" i="1"/>
  <c r="F127" i="1"/>
  <c r="F119" i="1"/>
  <c r="F111" i="1"/>
  <c r="F122" i="1"/>
  <c r="F114" i="1"/>
  <c r="F125" i="1"/>
  <c r="F117" i="1"/>
  <c r="F123" i="1"/>
  <c r="F115" i="1"/>
  <c r="F126" i="1"/>
  <c r="F118" i="1"/>
  <c r="F110" i="1"/>
  <c r="F121" i="1"/>
  <c r="F113" i="1"/>
  <c r="E133" i="1"/>
  <c r="F71" i="1"/>
  <c r="F68" i="1"/>
  <c r="F74" i="1"/>
  <c r="F66" i="1"/>
  <c r="F77" i="1"/>
  <c r="F69" i="1"/>
  <c r="F72" i="1"/>
  <c r="F64" i="1"/>
  <c r="F76" i="1"/>
  <c r="F75" i="1"/>
  <c r="F67" i="1"/>
  <c r="F70" i="1"/>
  <c r="F73" i="1"/>
  <c r="F65" i="1"/>
  <c r="D97" i="1"/>
  <c r="D95" i="1"/>
  <c r="D93" i="1"/>
  <c r="C89" i="1"/>
  <c r="C92" i="1"/>
  <c r="C90" i="1"/>
  <c r="C93" i="1"/>
  <c r="C88" i="1"/>
  <c r="B107" i="1"/>
  <c r="B110" i="1"/>
  <c r="B113" i="1"/>
  <c r="B108" i="1"/>
  <c r="B111" i="1"/>
  <c r="B114" i="1"/>
  <c r="B109" i="1"/>
  <c r="BB110" i="6"/>
  <c r="BB71" i="6"/>
  <c r="BB92" i="6"/>
  <c r="BB101" i="6"/>
  <c r="BB109" i="6"/>
  <c r="BB104" i="6"/>
  <c r="BB98" i="6"/>
  <c r="BB96" i="6"/>
  <c r="R108" i="1"/>
  <c r="J108" i="1"/>
  <c r="W103" i="1"/>
  <c r="O103" i="1"/>
  <c r="G103" i="1"/>
  <c r="S99" i="1"/>
  <c r="K99" i="1"/>
  <c r="U97" i="1"/>
  <c r="M97" i="1"/>
  <c r="V96" i="1"/>
  <c r="N96" i="1"/>
  <c r="W95" i="1"/>
  <c r="O95" i="1"/>
  <c r="G95" i="1"/>
  <c r="P94" i="1"/>
  <c r="Q93" i="1"/>
  <c r="I93" i="1"/>
  <c r="R92" i="1"/>
  <c r="J92" i="1"/>
  <c r="T90" i="1"/>
  <c r="L90" i="1"/>
  <c r="U89" i="1"/>
  <c r="M89" i="1"/>
  <c r="V88" i="1"/>
  <c r="N88" i="1"/>
  <c r="W87" i="1"/>
  <c r="O87" i="1"/>
  <c r="G87" i="1"/>
  <c r="P86" i="1"/>
  <c r="I85" i="1"/>
  <c r="S83" i="1"/>
  <c r="K83" i="1"/>
  <c r="T82" i="1"/>
  <c r="L82" i="1"/>
  <c r="U81" i="1"/>
  <c r="M81" i="1"/>
  <c r="W79" i="1"/>
  <c r="O79" i="1"/>
  <c r="H78" i="1"/>
  <c r="T74" i="1"/>
  <c r="L74" i="1"/>
  <c r="V72" i="1"/>
  <c r="N72" i="1"/>
  <c r="Q69" i="1"/>
  <c r="I69" i="1"/>
  <c r="K67" i="1"/>
  <c r="F94" i="1"/>
  <c r="B90" i="1"/>
  <c r="C77" i="1"/>
  <c r="E75" i="1"/>
  <c r="E67" i="1"/>
  <c r="M111" i="1"/>
  <c r="W109" i="1"/>
  <c r="O109" i="1"/>
  <c r="G109" i="1"/>
  <c r="P108" i="1"/>
  <c r="H108" i="1"/>
  <c r="Q107" i="1"/>
  <c r="I107" i="1"/>
  <c r="S105" i="1"/>
  <c r="K105" i="1"/>
  <c r="Y105" i="1" s="1"/>
  <c r="T95" i="1"/>
  <c r="L95" i="1"/>
  <c r="Q90" i="1"/>
  <c r="I90" i="1"/>
  <c r="U86" i="1"/>
  <c r="M86" i="1"/>
  <c r="G84" i="1"/>
  <c r="P83" i="1"/>
  <c r="H83" i="1"/>
  <c r="Q82" i="1"/>
  <c r="I82" i="1"/>
  <c r="R81" i="1"/>
  <c r="J81" i="1"/>
  <c r="S80" i="1"/>
  <c r="K80" i="1"/>
  <c r="T79" i="1"/>
  <c r="L79" i="1"/>
  <c r="U78" i="1"/>
  <c r="M78" i="1"/>
  <c r="W76" i="1"/>
  <c r="O76" i="1"/>
  <c r="G76" i="1"/>
  <c r="P75" i="1"/>
  <c r="H75" i="1"/>
  <c r="Q74" i="1"/>
  <c r="I74" i="1"/>
  <c r="R73" i="1"/>
  <c r="BO5" i="6" s="1"/>
  <c r="J73" i="1"/>
  <c r="U70" i="1"/>
  <c r="V69" i="1"/>
  <c r="N69" i="1"/>
  <c r="W68" i="1"/>
  <c r="O68" i="1"/>
  <c r="G68" i="1"/>
  <c r="M101" i="1"/>
  <c r="V100" i="1"/>
  <c r="N100" i="1"/>
  <c r="W99" i="1"/>
  <c r="O99" i="1"/>
  <c r="H98" i="1"/>
  <c r="Q97" i="1"/>
  <c r="I97" i="1"/>
  <c r="R96" i="1"/>
  <c r="J96" i="1"/>
  <c r="S95" i="1"/>
  <c r="K95" i="1"/>
  <c r="T94" i="1"/>
  <c r="L94" i="1"/>
  <c r="U93" i="1"/>
  <c r="M93" i="1"/>
  <c r="V92" i="1"/>
  <c r="N92" i="1"/>
  <c r="G91" i="1"/>
  <c r="P90" i="1"/>
  <c r="H90" i="1"/>
  <c r="R88" i="1"/>
  <c r="J88" i="1"/>
  <c r="S87" i="1"/>
  <c r="K87" i="1"/>
  <c r="T86" i="1"/>
  <c r="L86" i="1"/>
  <c r="U85" i="1"/>
  <c r="M85" i="1"/>
  <c r="W83" i="1"/>
  <c r="BD5" i="6"/>
  <c r="Q85" i="1"/>
  <c r="V80" i="1"/>
  <c r="N80" i="1"/>
  <c r="G79" i="1"/>
  <c r="P78" i="1"/>
  <c r="I77" i="1"/>
  <c r="R76" i="1"/>
  <c r="J76" i="1"/>
  <c r="S75" i="1"/>
  <c r="K75" i="1"/>
  <c r="U73" i="1"/>
  <c r="U20" i="1" s="1"/>
  <c r="M73" i="1"/>
  <c r="R68" i="1"/>
  <c r="J68" i="1"/>
  <c r="S67" i="1"/>
  <c r="T66" i="1"/>
  <c r="L66" i="1"/>
  <c r="V64" i="1"/>
  <c r="N64" i="1"/>
  <c r="T97" i="1"/>
  <c r="L97" i="1"/>
  <c r="M96" i="1"/>
  <c r="V95" i="1"/>
  <c r="N95" i="1"/>
  <c r="W94" i="1"/>
  <c r="O94" i="1"/>
  <c r="G94" i="1"/>
  <c r="P93" i="1"/>
  <c r="Q92" i="1"/>
  <c r="I92" i="1"/>
  <c r="S90" i="1"/>
  <c r="K90" i="1"/>
  <c r="U88" i="1"/>
  <c r="M88" i="1"/>
  <c r="V87" i="1"/>
  <c r="N87" i="1"/>
  <c r="W86" i="1"/>
  <c r="O86" i="1"/>
  <c r="G86" i="1"/>
  <c r="P85" i="1"/>
  <c r="H85" i="1"/>
  <c r="I84" i="1"/>
  <c r="R83" i="1"/>
  <c r="J83" i="1"/>
  <c r="S82" i="1"/>
  <c r="K82" i="1"/>
  <c r="T81" i="1"/>
  <c r="L81" i="1"/>
  <c r="U80" i="1"/>
  <c r="M80" i="1"/>
  <c r="W78" i="1"/>
  <c r="O78" i="1"/>
  <c r="Q76" i="1"/>
  <c r="I76" i="1"/>
  <c r="R75" i="1"/>
  <c r="J75" i="1"/>
  <c r="T73" i="1"/>
  <c r="BQ5" i="6" s="1"/>
  <c r="L73" i="1"/>
  <c r="U72" i="1"/>
  <c r="M72" i="1"/>
  <c r="R106" i="1"/>
  <c r="J106" i="1"/>
  <c r="U103" i="1"/>
  <c r="M103" i="1"/>
  <c r="V102" i="1"/>
  <c r="N102" i="1"/>
  <c r="W101" i="1"/>
  <c r="O101" i="1"/>
  <c r="G101" i="1"/>
  <c r="P100" i="1"/>
  <c r="H100" i="1"/>
  <c r="Q99" i="1"/>
  <c r="I99" i="1"/>
  <c r="S97" i="1"/>
  <c r="K97" i="1"/>
  <c r="Y97" i="1" s="1"/>
  <c r="T96" i="1"/>
  <c r="L96" i="1"/>
  <c r="U95" i="1"/>
  <c r="M95" i="1"/>
  <c r="V94" i="1"/>
  <c r="N94" i="1"/>
  <c r="W93" i="1"/>
  <c r="O93" i="1"/>
  <c r="P92" i="1"/>
  <c r="H92" i="1"/>
  <c r="I91" i="1"/>
  <c r="R90" i="1"/>
  <c r="J90" i="1"/>
  <c r="S89" i="1"/>
  <c r="K89" i="1"/>
  <c r="T88" i="1"/>
  <c r="L88" i="1"/>
  <c r="U87" i="1"/>
  <c r="M87" i="1"/>
  <c r="V86" i="1"/>
  <c r="N86" i="1"/>
  <c r="W85" i="1"/>
  <c r="O85" i="1"/>
  <c r="H84" i="1"/>
  <c r="Q83" i="1"/>
  <c r="I83" i="1"/>
  <c r="R82" i="1"/>
  <c r="J82" i="1"/>
  <c r="S81" i="1"/>
  <c r="K81" i="1"/>
  <c r="T80" i="1"/>
  <c r="L80" i="1"/>
  <c r="U79" i="1"/>
  <c r="M79" i="1"/>
  <c r="G77" i="1"/>
  <c r="P76" i="1"/>
  <c r="H76" i="1"/>
  <c r="Q75" i="1"/>
  <c r="I75" i="1"/>
  <c r="R74" i="1"/>
  <c r="J74" i="1"/>
  <c r="T72" i="1"/>
  <c r="L72" i="1"/>
  <c r="V70" i="1"/>
  <c r="BS7" i="6"/>
  <c r="V22" i="1"/>
  <c r="BR7" i="6"/>
  <c r="U22" i="1"/>
  <c r="BQ7" i="6"/>
  <c r="T22" i="1"/>
  <c r="BP7" i="6"/>
  <c r="S22" i="1"/>
  <c r="AY5" i="6"/>
  <c r="H22" i="1"/>
  <c r="BO7" i="6"/>
  <c r="R22" i="1"/>
  <c r="BL7" i="6"/>
  <c r="O22" i="1"/>
  <c r="BN7" i="6"/>
  <c r="Q22" i="1"/>
  <c r="AY6" i="6"/>
  <c r="BM7" i="6"/>
  <c r="P22" i="1"/>
  <c r="BT7" i="6"/>
  <c r="W22" i="1"/>
  <c r="W27" i="1" s="1"/>
  <c r="F21" i="1"/>
  <c r="F20" i="1"/>
  <c r="E21" i="1"/>
  <c r="BM5" i="6"/>
  <c r="BE5" i="6"/>
  <c r="U67" i="1"/>
  <c r="S76" i="1"/>
  <c r="K76" i="1"/>
  <c r="T75" i="1"/>
  <c r="L75" i="1"/>
  <c r="U74" i="1"/>
  <c r="M74" i="1"/>
  <c r="V73" i="1"/>
  <c r="P70" i="1"/>
  <c r="H70" i="1"/>
  <c r="U65" i="1"/>
  <c r="M65" i="1"/>
  <c r="V79" i="1"/>
  <c r="N79" i="1"/>
  <c r="S74" i="1"/>
  <c r="K74" i="1"/>
  <c r="W70" i="1"/>
  <c r="O70" i="1"/>
  <c r="G70" i="1"/>
  <c r="P69" i="1"/>
  <c r="H69" i="1"/>
  <c r="Q68" i="1"/>
  <c r="I68" i="1"/>
  <c r="R67" i="1"/>
  <c r="S66" i="1"/>
  <c r="T65" i="1"/>
  <c r="L65" i="1"/>
  <c r="U64" i="1"/>
  <c r="M64" i="1"/>
  <c r="V78" i="1"/>
  <c r="N78" i="1"/>
  <c r="S73" i="1"/>
  <c r="K73" i="1"/>
  <c r="N70" i="1"/>
  <c r="W69" i="1"/>
  <c r="O69" i="1"/>
  <c r="G69" i="1"/>
  <c r="P68" i="1"/>
  <c r="H68" i="1"/>
  <c r="Q67" i="1"/>
  <c r="J66" i="1"/>
  <c r="S65" i="1"/>
  <c r="K65" i="1"/>
  <c r="T64" i="1"/>
  <c r="L64" i="1"/>
  <c r="S72" i="1"/>
  <c r="K72" i="1"/>
  <c r="M70" i="1"/>
  <c r="P67" i="1"/>
  <c r="Q66" i="1"/>
  <c r="I66" i="1"/>
  <c r="R65" i="1"/>
  <c r="J65" i="1"/>
  <c r="S64" i="1"/>
  <c r="K64" i="1"/>
  <c r="Q89" i="1"/>
  <c r="I89" i="1"/>
  <c r="O83" i="1"/>
  <c r="G83" i="1"/>
  <c r="P82" i="1"/>
  <c r="H82" i="1"/>
  <c r="Q81" i="1"/>
  <c r="I81" i="1"/>
  <c r="R80" i="1"/>
  <c r="J80" i="1"/>
  <c r="S79" i="1"/>
  <c r="K79" i="1"/>
  <c r="T78" i="1"/>
  <c r="L78" i="1"/>
  <c r="V76" i="1"/>
  <c r="N76" i="1"/>
  <c r="W75" i="1"/>
  <c r="O75" i="1"/>
  <c r="G75" i="1"/>
  <c r="P74" i="1"/>
  <c r="H74" i="1"/>
  <c r="Q73" i="1"/>
  <c r="I73" i="1"/>
  <c r="R72" i="1"/>
  <c r="J72" i="1"/>
  <c r="T70" i="1"/>
  <c r="L70" i="1"/>
  <c r="U69" i="1"/>
  <c r="M69" i="1"/>
  <c r="V68" i="1"/>
  <c r="W67" i="1"/>
  <c r="O67" i="1"/>
  <c r="G67" i="1"/>
  <c r="P66" i="1"/>
  <c r="H66" i="1"/>
  <c r="I65" i="1"/>
  <c r="R64" i="1"/>
  <c r="J64" i="1"/>
  <c r="R131" i="1"/>
  <c r="R123" i="1"/>
  <c r="R115" i="1"/>
  <c r="N73" i="1"/>
  <c r="W72" i="1"/>
  <c r="O72" i="1"/>
  <c r="G72" i="1"/>
  <c r="H71" i="1"/>
  <c r="Q70" i="1"/>
  <c r="I70" i="1"/>
  <c r="R69" i="1"/>
  <c r="J69" i="1"/>
  <c r="K68" i="1"/>
  <c r="T67" i="1"/>
  <c r="U66" i="1"/>
  <c r="M66" i="1"/>
  <c r="V65" i="1"/>
  <c r="N65" i="1"/>
  <c r="W64" i="1"/>
  <c r="O64" i="1"/>
  <c r="AA64" i="1" s="1"/>
  <c r="G64" i="1"/>
  <c r="W124" i="1"/>
  <c r="W130" i="1"/>
  <c r="R127" i="1"/>
  <c r="T125" i="1"/>
  <c r="R119" i="1"/>
  <c r="W133" i="1"/>
  <c r="O133" i="1"/>
  <c r="G133" i="1"/>
  <c r="P132" i="1"/>
  <c r="H132" i="1"/>
  <c r="Q131" i="1"/>
  <c r="I131" i="1"/>
  <c r="R130" i="1"/>
  <c r="J130" i="1"/>
  <c r="S129" i="1"/>
  <c r="K129" i="1"/>
  <c r="T128" i="1"/>
  <c r="L128" i="1"/>
  <c r="U127" i="1"/>
  <c r="M127" i="1"/>
  <c r="V126" i="1"/>
  <c r="N126" i="1"/>
  <c r="W125" i="1"/>
  <c r="O125" i="1"/>
  <c r="G125" i="1"/>
  <c r="P124" i="1"/>
  <c r="H124" i="1"/>
  <c r="Q123" i="1"/>
  <c r="I123" i="1"/>
  <c r="R122" i="1"/>
  <c r="J122" i="1"/>
  <c r="S121" i="1"/>
  <c r="K121" i="1"/>
  <c r="T120" i="1"/>
  <c r="L120" i="1"/>
  <c r="U119" i="1"/>
  <c r="M119" i="1"/>
  <c r="V118" i="1"/>
  <c r="N118" i="1"/>
  <c r="W117" i="1"/>
  <c r="O117" i="1"/>
  <c r="G117" i="1"/>
  <c r="P116" i="1"/>
  <c r="H116" i="1"/>
  <c r="Q115" i="1"/>
  <c r="I115" i="1"/>
  <c r="R114" i="1"/>
  <c r="J114" i="1"/>
  <c r="V133" i="1"/>
  <c r="N133" i="1"/>
  <c r="W132" i="1"/>
  <c r="O132" i="1"/>
  <c r="G132" i="1"/>
  <c r="P131" i="1"/>
  <c r="H131" i="1"/>
  <c r="Q130" i="1"/>
  <c r="I130" i="1"/>
  <c r="R129" i="1"/>
  <c r="J129" i="1"/>
  <c r="S128" i="1"/>
  <c r="K128" i="1"/>
  <c r="T127" i="1"/>
  <c r="L127" i="1"/>
  <c r="U126" i="1"/>
  <c r="M126" i="1"/>
  <c r="V125" i="1"/>
  <c r="N125" i="1"/>
  <c r="O124" i="1"/>
  <c r="G124" i="1"/>
  <c r="P123" i="1"/>
  <c r="H123" i="1"/>
  <c r="Q122" i="1"/>
  <c r="I122" i="1"/>
  <c r="R121" i="1"/>
  <c r="J121" i="1"/>
  <c r="S120" i="1"/>
  <c r="K120" i="1"/>
  <c r="T119" i="1"/>
  <c r="L119" i="1"/>
  <c r="U118" i="1"/>
  <c r="M118" i="1"/>
  <c r="V117" i="1"/>
  <c r="N117" i="1"/>
  <c r="W116" i="1"/>
  <c r="O116" i="1"/>
  <c r="G116" i="1"/>
  <c r="P115" i="1"/>
  <c r="H115" i="1"/>
  <c r="Q114" i="1"/>
  <c r="I114" i="1"/>
  <c r="U133" i="1"/>
  <c r="M133" i="1"/>
  <c r="V132" i="1"/>
  <c r="N132" i="1"/>
  <c r="W131" i="1"/>
  <c r="O131" i="1"/>
  <c r="G131" i="1"/>
  <c r="P130" i="1"/>
  <c r="H130" i="1"/>
  <c r="Q129" i="1"/>
  <c r="I129" i="1"/>
  <c r="R128" i="1"/>
  <c r="J128" i="1"/>
  <c r="S127" i="1"/>
  <c r="K127" i="1"/>
  <c r="T126" i="1"/>
  <c r="L126" i="1"/>
  <c r="U125" i="1"/>
  <c r="M125" i="1"/>
  <c r="V124" i="1"/>
  <c r="N124" i="1"/>
  <c r="W123" i="1"/>
  <c r="O123" i="1"/>
  <c r="G123" i="1"/>
  <c r="P122" i="1"/>
  <c r="H122" i="1"/>
  <c r="Q121" i="1"/>
  <c r="I121" i="1"/>
  <c r="R120" i="1"/>
  <c r="J120" i="1"/>
  <c r="S119" i="1"/>
  <c r="K119" i="1"/>
  <c r="T118" i="1"/>
  <c r="L118" i="1"/>
  <c r="U117" i="1"/>
  <c r="M117" i="1"/>
  <c r="V116" i="1"/>
  <c r="N116" i="1"/>
  <c r="W115" i="1"/>
  <c r="O115" i="1"/>
  <c r="G115" i="1"/>
  <c r="P114" i="1"/>
  <c r="H114" i="1"/>
  <c r="T133" i="1"/>
  <c r="L133" i="1"/>
  <c r="U132" i="1"/>
  <c r="M132" i="1"/>
  <c r="V131" i="1"/>
  <c r="N131" i="1"/>
  <c r="O130" i="1"/>
  <c r="G130" i="1"/>
  <c r="P129" i="1"/>
  <c r="H129" i="1"/>
  <c r="Q128" i="1"/>
  <c r="I128" i="1"/>
  <c r="J127" i="1"/>
  <c r="S126" i="1"/>
  <c r="K126" i="1"/>
  <c r="L125" i="1"/>
  <c r="U124" i="1"/>
  <c r="M124" i="1"/>
  <c r="V123" i="1"/>
  <c r="N123" i="1"/>
  <c r="W122" i="1"/>
  <c r="O122" i="1"/>
  <c r="G122" i="1"/>
  <c r="P121" i="1"/>
  <c r="H121" i="1"/>
  <c r="Q120" i="1"/>
  <c r="I120" i="1"/>
  <c r="J119" i="1"/>
  <c r="S118" i="1"/>
  <c r="K118" i="1"/>
  <c r="T117" i="1"/>
  <c r="L117" i="1"/>
  <c r="U116" i="1"/>
  <c r="M116" i="1"/>
  <c r="V115" i="1"/>
  <c r="N115" i="1"/>
  <c r="W114" i="1"/>
  <c r="O114" i="1"/>
  <c r="G114" i="1"/>
  <c r="S133" i="1"/>
  <c r="K133" i="1"/>
  <c r="T132" i="1"/>
  <c r="L132" i="1"/>
  <c r="U131" i="1"/>
  <c r="M131" i="1"/>
  <c r="V130" i="1"/>
  <c r="N130" i="1"/>
  <c r="W129" i="1"/>
  <c r="O129" i="1"/>
  <c r="G129" i="1"/>
  <c r="P128" i="1"/>
  <c r="H128" i="1"/>
  <c r="Q127" i="1"/>
  <c r="I127" i="1"/>
  <c r="R126" i="1"/>
  <c r="J126" i="1"/>
  <c r="S125" i="1"/>
  <c r="K125" i="1"/>
  <c r="T124" i="1"/>
  <c r="L124" i="1"/>
  <c r="U123" i="1"/>
  <c r="M123" i="1"/>
  <c r="V122" i="1"/>
  <c r="N122" i="1"/>
  <c r="W121" i="1"/>
  <c r="O121" i="1"/>
  <c r="G121" i="1"/>
  <c r="P120" i="1"/>
  <c r="H120" i="1"/>
  <c r="Q119" i="1"/>
  <c r="I119" i="1"/>
  <c r="R118" i="1"/>
  <c r="J118" i="1"/>
  <c r="S117" i="1"/>
  <c r="K117" i="1"/>
  <c r="T116" i="1"/>
  <c r="L116" i="1"/>
  <c r="U115" i="1"/>
  <c r="M115" i="1"/>
  <c r="V114" i="1"/>
  <c r="N114" i="1"/>
  <c r="V11" i="1"/>
  <c r="R133" i="1"/>
  <c r="J133" i="1"/>
  <c r="S132" i="1"/>
  <c r="K132" i="1"/>
  <c r="T131" i="1"/>
  <c r="L131" i="1"/>
  <c r="U130" i="1"/>
  <c r="M130" i="1"/>
  <c r="V129" i="1"/>
  <c r="N129" i="1"/>
  <c r="W128" i="1"/>
  <c r="O128" i="1"/>
  <c r="G128" i="1"/>
  <c r="P127" i="1"/>
  <c r="H127" i="1"/>
  <c r="Q126" i="1"/>
  <c r="I126" i="1"/>
  <c r="R125" i="1"/>
  <c r="J125" i="1"/>
  <c r="S124" i="1"/>
  <c r="K124" i="1"/>
  <c r="T123" i="1"/>
  <c r="L123" i="1"/>
  <c r="U122" i="1"/>
  <c r="M122" i="1"/>
  <c r="V121" i="1"/>
  <c r="N121" i="1"/>
  <c r="W120" i="1"/>
  <c r="O120" i="1"/>
  <c r="G120" i="1"/>
  <c r="P119" i="1"/>
  <c r="H119" i="1"/>
  <c r="Q118" i="1"/>
  <c r="I118" i="1"/>
  <c r="R117" i="1"/>
  <c r="J117" i="1"/>
  <c r="S116" i="1"/>
  <c r="K116" i="1"/>
  <c r="T115" i="1"/>
  <c r="L115" i="1"/>
  <c r="U114" i="1"/>
  <c r="M114" i="1"/>
  <c r="Q133" i="1"/>
  <c r="I133" i="1"/>
  <c r="R132" i="1"/>
  <c r="J132" i="1"/>
  <c r="S131" i="1"/>
  <c r="K131" i="1"/>
  <c r="T130" i="1"/>
  <c r="L130" i="1"/>
  <c r="U129" i="1"/>
  <c r="M129" i="1"/>
  <c r="V128" i="1"/>
  <c r="N128" i="1"/>
  <c r="W127" i="1"/>
  <c r="O127" i="1"/>
  <c r="G127" i="1"/>
  <c r="P126" i="1"/>
  <c r="H126" i="1"/>
  <c r="Q125" i="1"/>
  <c r="I125" i="1"/>
  <c r="R124" i="1"/>
  <c r="J124" i="1"/>
  <c r="S123" i="1"/>
  <c r="K123" i="1"/>
  <c r="T122" i="1"/>
  <c r="L122" i="1"/>
  <c r="U121" i="1"/>
  <c r="M121" i="1"/>
  <c r="V120" i="1"/>
  <c r="N120" i="1"/>
  <c r="W119" i="1"/>
  <c r="O119" i="1"/>
  <c r="G119" i="1"/>
  <c r="P118" i="1"/>
  <c r="H118" i="1"/>
  <c r="Q117" i="1"/>
  <c r="I117" i="1"/>
  <c r="R116" i="1"/>
  <c r="J116" i="1"/>
  <c r="S115" i="1"/>
  <c r="K115" i="1"/>
  <c r="T114" i="1"/>
  <c r="L114" i="1"/>
  <c r="P133" i="1"/>
  <c r="H133" i="1"/>
  <c r="Q132" i="1"/>
  <c r="I132" i="1"/>
  <c r="J131" i="1"/>
  <c r="S130" i="1"/>
  <c r="K130" i="1"/>
  <c r="T129" i="1"/>
  <c r="L129" i="1"/>
  <c r="U128" i="1"/>
  <c r="M128" i="1"/>
  <c r="V127" i="1"/>
  <c r="N127" i="1"/>
  <c r="W126" i="1"/>
  <c r="O126" i="1"/>
  <c r="G126" i="1"/>
  <c r="P125" i="1"/>
  <c r="H125" i="1"/>
  <c r="Q124" i="1"/>
  <c r="I124" i="1"/>
  <c r="J123" i="1"/>
  <c r="S122" i="1"/>
  <c r="K122" i="1"/>
  <c r="T121" i="1"/>
  <c r="L121" i="1"/>
  <c r="U120" i="1"/>
  <c r="M120" i="1"/>
  <c r="V119" i="1"/>
  <c r="N119" i="1"/>
  <c r="W118" i="1"/>
  <c r="O118" i="1"/>
  <c r="G118" i="1"/>
  <c r="P117" i="1"/>
  <c r="H117" i="1"/>
  <c r="Q116" i="1"/>
  <c r="I116" i="1"/>
  <c r="J115" i="1"/>
  <c r="S114" i="1"/>
  <c r="K114" i="1"/>
  <c r="W11" i="1"/>
  <c r="U11" i="1"/>
  <c r="T11" i="1"/>
  <c r="S11" i="1"/>
  <c r="R11" i="1"/>
  <c r="Q11" i="1"/>
  <c r="P11" i="1"/>
  <c r="X181" i="1" l="1"/>
  <c r="H27" i="1"/>
  <c r="U27" i="1"/>
  <c r="T27" i="1"/>
  <c r="S27" i="1"/>
  <c r="Q27" i="1"/>
  <c r="AA104" i="1"/>
  <c r="Y89" i="1"/>
  <c r="X164" i="1"/>
  <c r="AA179" i="1"/>
  <c r="AA157" i="1"/>
  <c r="AA109" i="1"/>
  <c r="Y67" i="1"/>
  <c r="X151" i="1"/>
  <c r="X159" i="1"/>
  <c r="AA138" i="1"/>
  <c r="AA143" i="1"/>
  <c r="X140" i="1"/>
  <c r="X156" i="1"/>
  <c r="AA172" i="1"/>
  <c r="Y109" i="1"/>
  <c r="AA113" i="1"/>
  <c r="AA83" i="1"/>
  <c r="Y178" i="1"/>
  <c r="X182" i="1"/>
  <c r="Y112" i="1"/>
  <c r="AA66" i="1"/>
  <c r="AA100" i="1"/>
  <c r="AA86" i="1"/>
  <c r="Y71" i="1"/>
  <c r="AA169" i="1"/>
  <c r="AA110" i="1"/>
  <c r="AA107" i="1"/>
  <c r="AA175" i="1"/>
  <c r="X157" i="1"/>
  <c r="AA72" i="1"/>
  <c r="X65" i="1"/>
  <c r="AA79" i="1"/>
  <c r="X66" i="1"/>
  <c r="Y94" i="1"/>
  <c r="AA102" i="1"/>
  <c r="AA65" i="1"/>
  <c r="AA159" i="1"/>
  <c r="AA185" i="1"/>
  <c r="AA75" i="1"/>
  <c r="AA101" i="1"/>
  <c r="X106" i="1"/>
  <c r="Y98" i="1"/>
  <c r="AA176" i="1"/>
  <c r="Y169" i="1"/>
  <c r="X110" i="1"/>
  <c r="AA183" i="1"/>
  <c r="Y74" i="1"/>
  <c r="Y156" i="1"/>
  <c r="X97" i="1"/>
  <c r="X78" i="1"/>
  <c r="X73" i="1"/>
  <c r="BG5" i="6"/>
  <c r="J20" i="1"/>
  <c r="Y90" i="1"/>
  <c r="AA67" i="1"/>
  <c r="AA70" i="1"/>
  <c r="AA78" i="1"/>
  <c r="Z79" i="1"/>
  <c r="X79" i="1"/>
  <c r="Z91" i="1"/>
  <c r="X91" i="1"/>
  <c r="AA76" i="1"/>
  <c r="X82" i="1"/>
  <c r="Z82" i="1"/>
  <c r="Y101" i="1"/>
  <c r="Y66" i="1"/>
  <c r="Z159" i="1"/>
  <c r="Y159" i="1"/>
  <c r="X163" i="1"/>
  <c r="AA168" i="1"/>
  <c r="Y161" i="1"/>
  <c r="Z161" i="1"/>
  <c r="X165" i="1"/>
  <c r="AA177" i="1"/>
  <c r="Y93" i="1"/>
  <c r="Z155" i="1"/>
  <c r="Y155" i="1"/>
  <c r="Y163" i="1"/>
  <c r="AA171" i="1"/>
  <c r="X144" i="1"/>
  <c r="Z148" i="1"/>
  <c r="Y148" i="1"/>
  <c r="X152" i="1"/>
  <c r="Z180" i="1"/>
  <c r="Y180" i="1"/>
  <c r="Y88" i="1"/>
  <c r="X145" i="1"/>
  <c r="AA149" i="1"/>
  <c r="X153" i="1"/>
  <c r="Z157" i="1"/>
  <c r="Y157" i="1"/>
  <c r="Z142" i="1"/>
  <c r="Y142" i="1"/>
  <c r="AA150" i="1"/>
  <c r="Z78" i="1"/>
  <c r="Y111" i="1"/>
  <c r="AA88" i="1"/>
  <c r="Z110" i="1"/>
  <c r="AA68" i="1"/>
  <c r="Y73" i="1"/>
  <c r="AA93" i="1"/>
  <c r="Z94" i="1"/>
  <c r="X94" i="1"/>
  <c r="Y103" i="1"/>
  <c r="Z143" i="1"/>
  <c r="Y143" i="1"/>
  <c r="Y144" i="1"/>
  <c r="Z144" i="1"/>
  <c r="AA161" i="1"/>
  <c r="X89" i="1"/>
  <c r="Z89" i="1"/>
  <c r="Z147" i="1"/>
  <c r="Y147" i="1"/>
  <c r="AA155" i="1"/>
  <c r="Z140" i="1"/>
  <c r="Y140" i="1"/>
  <c r="AA180" i="1"/>
  <c r="X184" i="1"/>
  <c r="Y96" i="1"/>
  <c r="X137" i="1"/>
  <c r="AA141" i="1"/>
  <c r="X161" i="1"/>
  <c r="Z165" i="1"/>
  <c r="Y165" i="1"/>
  <c r="X146" i="1"/>
  <c r="X105" i="1"/>
  <c r="Z105" i="1"/>
  <c r="X98" i="1"/>
  <c r="Z98" i="1"/>
  <c r="X177" i="1"/>
  <c r="Z104" i="1"/>
  <c r="X104" i="1"/>
  <c r="Y64" i="1"/>
  <c r="Y72" i="1"/>
  <c r="AA85" i="1"/>
  <c r="AA94" i="1"/>
  <c r="Y75" i="1"/>
  <c r="Y87" i="1"/>
  <c r="Y83" i="1"/>
  <c r="Y102" i="1"/>
  <c r="Y91" i="1"/>
  <c r="AA144" i="1"/>
  <c r="Y160" i="1"/>
  <c r="Z160" i="1"/>
  <c r="Y153" i="1"/>
  <c r="Z153" i="1"/>
  <c r="AA89" i="1"/>
  <c r="Z170" i="1"/>
  <c r="Y170" i="1"/>
  <c r="X174" i="1"/>
  <c r="X90" i="1"/>
  <c r="Z90" i="1"/>
  <c r="AA147" i="1"/>
  <c r="AA163" i="1"/>
  <c r="AA91" i="1"/>
  <c r="X136" i="1"/>
  <c r="AA140" i="1"/>
  <c r="AA156" i="1"/>
  <c r="X160" i="1"/>
  <c r="Z164" i="1"/>
  <c r="Y164" i="1"/>
  <c r="Z172" i="1"/>
  <c r="Y172" i="1"/>
  <c r="AA165" i="1"/>
  <c r="X138" i="1"/>
  <c r="AA105" i="1"/>
  <c r="AA98" i="1"/>
  <c r="Y104" i="1"/>
  <c r="Z173" i="1"/>
  <c r="Y173" i="1"/>
  <c r="Z111" i="1"/>
  <c r="X111" i="1"/>
  <c r="Y84" i="1"/>
  <c r="Z96" i="1"/>
  <c r="X96" i="1"/>
  <c r="Z72" i="1"/>
  <c r="X72" i="1"/>
  <c r="Y81" i="1"/>
  <c r="Z68" i="1"/>
  <c r="X68" i="1"/>
  <c r="Z109" i="1"/>
  <c r="X109" i="1"/>
  <c r="Y99" i="1"/>
  <c r="AA80" i="1"/>
  <c r="AA71" i="1"/>
  <c r="AA151" i="1"/>
  <c r="AA160" i="1"/>
  <c r="Y184" i="1"/>
  <c r="Z184" i="1"/>
  <c r="Y137" i="1"/>
  <c r="Z137" i="1"/>
  <c r="AA145" i="1"/>
  <c r="AA153" i="1"/>
  <c r="Y69" i="1"/>
  <c r="Z154" i="1"/>
  <c r="Y154" i="1"/>
  <c r="Z162" i="1"/>
  <c r="Y162" i="1"/>
  <c r="AA170" i="1"/>
  <c r="AA90" i="1"/>
  <c r="Z139" i="1"/>
  <c r="Y139" i="1"/>
  <c r="AA164" i="1"/>
  <c r="X168" i="1"/>
  <c r="Z97" i="1"/>
  <c r="Z106" i="1"/>
  <c r="Y110" i="1"/>
  <c r="AA77" i="1"/>
  <c r="AA173" i="1"/>
  <c r="Z182" i="1"/>
  <c r="Y182" i="1"/>
  <c r="AA111" i="1"/>
  <c r="X102" i="1"/>
  <c r="AA96" i="1"/>
  <c r="Z95" i="1"/>
  <c r="X95" i="1"/>
  <c r="AA81" i="1"/>
  <c r="Z135" i="1"/>
  <c r="Y135" i="1"/>
  <c r="Y136" i="1"/>
  <c r="Z136" i="1"/>
  <c r="Y176" i="1"/>
  <c r="Z176" i="1"/>
  <c r="AA184" i="1"/>
  <c r="Z65" i="1"/>
  <c r="Z73" i="1"/>
  <c r="Z146" i="1"/>
  <c r="Y146" i="1"/>
  <c r="Y70" i="1"/>
  <c r="Y86" i="1"/>
  <c r="AA139" i="1"/>
  <c r="Z179" i="1"/>
  <c r="Y179" i="1"/>
  <c r="J21" i="1"/>
  <c r="BG6" i="6"/>
  <c r="J11" i="1"/>
  <c r="AA84" i="1"/>
  <c r="Z92" i="1"/>
  <c r="X92" i="1"/>
  <c r="Z85" i="1"/>
  <c r="X85" i="1"/>
  <c r="X169" i="1"/>
  <c r="X178" i="1"/>
  <c r="AA182" i="1"/>
  <c r="Y92" i="1"/>
  <c r="Z64" i="1"/>
  <c r="X64" i="1"/>
  <c r="Y68" i="1"/>
  <c r="Y79" i="1"/>
  <c r="Z83" i="1"/>
  <c r="X83" i="1"/>
  <c r="Z69" i="1"/>
  <c r="X69" i="1"/>
  <c r="Z86" i="1"/>
  <c r="X86" i="1"/>
  <c r="AA95" i="1"/>
  <c r="Z103" i="1"/>
  <c r="X103" i="1"/>
  <c r="X74" i="1"/>
  <c r="Z74" i="1"/>
  <c r="BA5" i="6"/>
  <c r="Y77" i="1"/>
  <c r="AA135" i="1"/>
  <c r="Z183" i="1"/>
  <c r="Y183" i="1"/>
  <c r="AA136" i="1"/>
  <c r="Y152" i="1"/>
  <c r="Z152" i="1"/>
  <c r="Y185" i="1"/>
  <c r="Z185" i="1"/>
  <c r="Y85" i="1"/>
  <c r="AA146" i="1"/>
  <c r="Z66" i="1"/>
  <c r="Z99" i="1"/>
  <c r="X99" i="1"/>
  <c r="AA92" i="1"/>
  <c r="AA97" i="1"/>
  <c r="AA106" i="1"/>
  <c r="Z93" i="1"/>
  <c r="X93" i="1"/>
  <c r="Z158" i="1"/>
  <c r="Y158" i="1"/>
  <c r="Y174" i="1"/>
  <c r="Z75" i="1"/>
  <c r="X75" i="1"/>
  <c r="AA69" i="1"/>
  <c r="Z77" i="1"/>
  <c r="X77" i="1"/>
  <c r="Y82" i="1"/>
  <c r="AA99" i="1"/>
  <c r="Y80" i="1"/>
  <c r="Z84" i="1"/>
  <c r="X84" i="1"/>
  <c r="Z87" i="1"/>
  <c r="X87" i="1"/>
  <c r="AA103" i="1"/>
  <c r="Z80" i="1"/>
  <c r="X80" i="1"/>
  <c r="Y106" i="1"/>
  <c r="Y78" i="1"/>
  <c r="Z175" i="1"/>
  <c r="Y175" i="1"/>
  <c r="Z71" i="1"/>
  <c r="X71" i="1"/>
  <c r="AA152" i="1"/>
  <c r="AA73" i="1"/>
  <c r="AA74" i="1"/>
  <c r="AA82" i="1"/>
  <c r="X113" i="1"/>
  <c r="Z113" i="1"/>
  <c r="Z108" i="1"/>
  <c r="X108" i="1"/>
  <c r="Z181" i="1"/>
  <c r="Y181" i="1"/>
  <c r="AA158" i="1"/>
  <c r="X162" i="1"/>
  <c r="Z166" i="1"/>
  <c r="Y166" i="1"/>
  <c r="X170" i="1"/>
  <c r="Z112" i="1"/>
  <c r="X112" i="1"/>
  <c r="Z67" i="1"/>
  <c r="X67" i="1"/>
  <c r="Y65" i="1"/>
  <c r="Z70" i="1"/>
  <c r="X70" i="1"/>
  <c r="Y76" i="1"/>
  <c r="Z101" i="1"/>
  <c r="X101" i="1"/>
  <c r="Y95" i="1"/>
  <c r="Z76" i="1"/>
  <c r="X76" i="1"/>
  <c r="AA87" i="1"/>
  <c r="X81" i="1"/>
  <c r="Z81" i="1"/>
  <c r="Y100" i="1"/>
  <c r="Z167" i="1"/>
  <c r="Y167" i="1"/>
  <c r="X148" i="1"/>
  <c r="Y168" i="1"/>
  <c r="Z168" i="1"/>
  <c r="Y177" i="1"/>
  <c r="Z177" i="1"/>
  <c r="Z138" i="1"/>
  <c r="Y138" i="1"/>
  <c r="Z171" i="1"/>
  <c r="Y171" i="1"/>
  <c r="Z100" i="1"/>
  <c r="X100" i="1"/>
  <c r="Y141" i="1"/>
  <c r="Z149" i="1"/>
  <c r="Y149" i="1"/>
  <c r="Z150" i="1"/>
  <c r="Y150" i="1"/>
  <c r="X154" i="1"/>
  <c r="Z107" i="1"/>
  <c r="X107" i="1"/>
  <c r="AA108" i="1"/>
  <c r="AA181" i="1"/>
  <c r="X185" i="1"/>
  <c r="AA166" i="1"/>
  <c r="AA174" i="1"/>
  <c r="Z88" i="1"/>
  <c r="X88" i="1"/>
  <c r="Y108" i="1"/>
  <c r="AA112" i="1"/>
  <c r="BT5" i="6"/>
  <c r="K20" i="1"/>
  <c r="P27" i="1"/>
  <c r="M22" i="1"/>
  <c r="L27" i="1" s="1"/>
  <c r="BR5" i="6"/>
  <c r="BH6" i="6"/>
  <c r="E20" i="1"/>
  <c r="BB63" i="6"/>
  <c r="BB58" i="6"/>
  <c r="V23" i="1"/>
  <c r="BS8" i="6"/>
  <c r="U23" i="1"/>
  <c r="BR8" i="6"/>
  <c r="T20" i="1"/>
  <c r="S23" i="1"/>
  <c r="BP8" i="6"/>
  <c r="BL5" i="6"/>
  <c r="O11" i="1"/>
  <c r="AG10" i="1"/>
  <c r="I10" i="6" s="1"/>
  <c r="AJ7" i="6" s="1"/>
  <c r="DO7" i="6" s="1"/>
  <c r="G22" i="1"/>
  <c r="K27" i="1" s="1"/>
  <c r="G21" i="1"/>
  <c r="D20" i="1"/>
  <c r="F25" i="1" s="1"/>
  <c r="R23" i="1"/>
  <c r="BO8" i="6"/>
  <c r="BN8" i="6"/>
  <c r="Q23" i="1"/>
  <c r="N27" i="1"/>
  <c r="BJ5" i="6"/>
  <c r="BE88" i="6" s="1"/>
  <c r="AG8" i="1"/>
  <c r="P23" i="1"/>
  <c r="BM8" i="6"/>
  <c r="O27" i="1"/>
  <c r="T23" i="1"/>
  <c r="BQ8" i="6"/>
  <c r="W23" i="1"/>
  <c r="BT8" i="6"/>
  <c r="V27" i="1"/>
  <c r="R27" i="1"/>
  <c r="R20" i="1"/>
  <c r="G20" i="1"/>
  <c r="B20" i="1"/>
  <c r="B25" i="1" s="1"/>
  <c r="B21" i="1"/>
  <c r="B26" i="1" s="1"/>
  <c r="M20" i="1"/>
  <c r="C26" i="1"/>
  <c r="H20" i="1"/>
  <c r="BM6" i="6"/>
  <c r="P21" i="1"/>
  <c r="BS5" i="6"/>
  <c r="V20" i="1"/>
  <c r="BS6" i="6"/>
  <c r="V21" i="1"/>
  <c r="BN5" i="6"/>
  <c r="Q20" i="1"/>
  <c r="BP6" i="6"/>
  <c r="S21" i="1"/>
  <c r="BQ6" i="6"/>
  <c r="T21" i="1"/>
  <c r="BR6" i="6"/>
  <c r="U21" i="1"/>
  <c r="BN6" i="6"/>
  <c r="Q21" i="1"/>
  <c r="BT6" i="6"/>
  <c r="W21" i="1"/>
  <c r="BO6" i="6"/>
  <c r="R21" i="1"/>
  <c r="BP5" i="6"/>
  <c r="S20" i="1"/>
  <c r="BA6" i="6"/>
  <c r="I8" i="6" l="1"/>
  <c r="AJ5" i="6" s="1"/>
  <c r="O23" i="1"/>
  <c r="O28" i="1" s="1"/>
  <c r="I27" i="1"/>
  <c r="C25" i="1"/>
  <c r="W28" i="1"/>
  <c r="E25" i="1"/>
  <c r="I25" i="1"/>
  <c r="T28" i="1"/>
  <c r="V28" i="1"/>
  <c r="R28" i="1"/>
  <c r="U28" i="1"/>
  <c r="S28" i="1"/>
  <c r="Q28" i="1"/>
  <c r="L25" i="1"/>
  <c r="J27" i="1"/>
  <c r="BA64" i="6"/>
  <c r="EH64" i="6" s="1"/>
  <c r="BA63" i="6"/>
  <c r="EH63" i="6" s="1"/>
  <c r="BA58" i="6"/>
  <c r="K21" i="1"/>
  <c r="AG9" i="1"/>
  <c r="BG8" i="6"/>
  <c r="J23" i="1"/>
  <c r="K11" i="1"/>
  <c r="D25" i="1"/>
  <c r="BA123" i="6"/>
  <c r="BB123" i="6"/>
  <c r="BL8" i="6"/>
  <c r="M27" i="1"/>
  <c r="G27" i="1"/>
  <c r="O21" i="1"/>
  <c r="O26" i="1" s="1"/>
  <c r="BL6" i="6"/>
  <c r="O20" i="1"/>
  <c r="M21" i="1"/>
  <c r="BJ6" i="6"/>
  <c r="M11" i="1"/>
  <c r="K25" i="1"/>
  <c r="H11" i="1"/>
  <c r="BE6" i="6"/>
  <c r="G11" i="1"/>
  <c r="BD6" i="6"/>
  <c r="F12" i="6"/>
  <c r="AG9" i="6" s="1"/>
  <c r="W29" i="6" s="1"/>
  <c r="R29" i="6" s="1"/>
  <c r="BA110" i="6"/>
  <c r="EH110" i="6" s="1"/>
  <c r="BA92" i="6"/>
  <c r="EH92" i="6" s="1"/>
  <c r="BA98" i="6"/>
  <c r="BA71" i="6"/>
  <c r="BA101" i="6"/>
  <c r="BA109" i="6"/>
  <c r="EH109" i="6" s="1"/>
  <c r="BA104" i="6"/>
  <c r="BA96" i="6"/>
  <c r="EI51" i="6"/>
  <c r="EI43" i="6"/>
  <c r="EI48" i="6"/>
  <c r="EI54" i="6"/>
  <c r="EI35" i="6"/>
  <c r="EI40" i="6"/>
  <c r="EI32" i="6"/>
  <c r="EI37" i="6"/>
  <c r="EI39" i="6"/>
  <c r="EI31" i="6"/>
  <c r="EI28" i="6"/>
  <c r="EI34" i="6"/>
  <c r="EI47" i="6"/>
  <c r="EI57" i="6"/>
  <c r="EI53" i="6"/>
  <c r="EI33" i="6"/>
  <c r="EI30" i="6"/>
  <c r="EI44" i="6"/>
  <c r="EI38" i="6"/>
  <c r="EI36" i="6"/>
  <c r="EI46" i="6"/>
  <c r="EI42" i="6"/>
  <c r="EI50" i="6"/>
  <c r="EI49" i="6"/>
  <c r="EI55" i="6"/>
  <c r="EI52" i="6"/>
  <c r="EI41" i="6"/>
  <c r="EI45" i="6"/>
  <c r="EI56" i="6"/>
  <c r="DT88" i="6"/>
  <c r="EH88" i="6"/>
  <c r="P28" i="1"/>
  <c r="N25" i="1"/>
  <c r="J25" i="1"/>
  <c r="DO5" i="6"/>
  <c r="AC8" i="1"/>
  <c r="AC9" i="1"/>
  <c r="AH10" i="1"/>
  <c r="J10" i="6" s="1"/>
  <c r="AK7" i="6" s="1"/>
  <c r="DI7" i="6" s="1"/>
  <c r="AI10" i="1"/>
  <c r="K10" i="6" s="1"/>
  <c r="AL7" i="6" s="1"/>
  <c r="DJ7" i="6" s="1"/>
  <c r="H7" i="6"/>
  <c r="AI4" i="6" s="1"/>
  <c r="DH4" i="6" s="1"/>
  <c r="DS4" i="6" s="1"/>
  <c r="D21" i="1"/>
  <c r="M25" i="1"/>
  <c r="I12" i="6" s="1"/>
  <c r="AJ9" i="6" s="1"/>
  <c r="H25" i="1"/>
  <c r="G25" i="1"/>
  <c r="H21" i="1"/>
  <c r="AE10" i="1" l="1"/>
  <c r="G10" i="6" s="1"/>
  <c r="AH7" i="6" s="1"/>
  <c r="DG7" i="6" s="1"/>
  <c r="BH8" i="6"/>
  <c r="BE27" i="6" s="1"/>
  <c r="EH27" i="6" s="1"/>
  <c r="E8" i="6"/>
  <c r="AF5" i="6" s="1"/>
  <c r="DE5" i="6" s="1"/>
  <c r="DE115" i="6" s="1"/>
  <c r="DP115" i="6" s="1"/>
  <c r="E9" i="6"/>
  <c r="AF6" i="6" s="1"/>
  <c r="DE6" i="6" s="1"/>
  <c r="I9" i="6"/>
  <c r="AJ6" i="6" s="1"/>
  <c r="BJ8" i="6"/>
  <c r="AD8" i="1"/>
  <c r="Z229" i="5"/>
  <c r="Z230" i="5"/>
  <c r="Z231" i="5"/>
  <c r="K23" i="1"/>
  <c r="AI11" i="1"/>
  <c r="J26" i="1"/>
  <c r="P26" i="1"/>
  <c r="Q26" i="1"/>
  <c r="V26" i="1"/>
  <c r="I26" i="1"/>
  <c r="T26" i="1"/>
  <c r="U26" i="1"/>
  <c r="R26" i="1"/>
  <c r="S26" i="1"/>
  <c r="W26" i="1"/>
  <c r="O25" i="1"/>
  <c r="W25" i="1"/>
  <c r="T25" i="1"/>
  <c r="P25" i="1"/>
  <c r="R25" i="1"/>
  <c r="U25" i="1"/>
  <c r="S25" i="1"/>
  <c r="V25" i="1"/>
  <c r="N26" i="1"/>
  <c r="Q25" i="1"/>
  <c r="L26" i="1"/>
  <c r="AF10" i="1"/>
  <c r="H10" i="6" s="1"/>
  <c r="AI7" i="6" s="1"/>
  <c r="DH7" i="6" s="1"/>
  <c r="W28" i="6"/>
  <c r="R28" i="6" s="1"/>
  <c r="W27" i="6"/>
  <c r="R27" i="6" s="1"/>
  <c r="K26" i="1"/>
  <c r="AG11" i="1"/>
  <c r="M23" i="1"/>
  <c r="BE8" i="6"/>
  <c r="H23" i="1"/>
  <c r="H28" i="1" s="1"/>
  <c r="BD8" i="6"/>
  <c r="G23" i="1"/>
  <c r="W120" i="6"/>
  <c r="R120" i="6" s="1"/>
  <c r="W43" i="6"/>
  <c r="R43" i="6" s="1"/>
  <c r="W42" i="6"/>
  <c r="R42" i="6" s="1"/>
  <c r="W37" i="6"/>
  <c r="R37" i="6" s="1"/>
  <c r="W38" i="6"/>
  <c r="R38" i="6" s="1"/>
  <c r="W39" i="6"/>
  <c r="R39" i="6" s="1"/>
  <c r="W40" i="6"/>
  <c r="R40" i="6" s="1"/>
  <c r="W41" i="6"/>
  <c r="R41" i="6" s="1"/>
  <c r="W119" i="6"/>
  <c r="R119" i="6" s="1"/>
  <c r="W127" i="6"/>
  <c r="R127" i="6" s="1"/>
  <c r="W60" i="6"/>
  <c r="W81" i="6"/>
  <c r="R81" i="6" s="1"/>
  <c r="W106" i="6"/>
  <c r="W121" i="6"/>
  <c r="R121" i="6" s="1"/>
  <c r="W58" i="6"/>
  <c r="W105" i="6"/>
  <c r="W59" i="6"/>
  <c r="R59" i="6" s="1"/>
  <c r="W102" i="6"/>
  <c r="W65" i="6"/>
  <c r="R65" i="6" s="1"/>
  <c r="W118" i="6"/>
  <c r="R118" i="6" s="1"/>
  <c r="W75" i="6"/>
  <c r="R75" i="6" s="1"/>
  <c r="W66" i="6"/>
  <c r="R66" i="6" s="1"/>
  <c r="W129" i="6"/>
  <c r="W128" i="6"/>
  <c r="W125" i="6"/>
  <c r="W57" i="6"/>
  <c r="R57" i="6" s="1"/>
  <c r="W78" i="6"/>
  <c r="W111" i="6"/>
  <c r="AS75" i="6"/>
  <c r="BB75" i="6" s="1"/>
  <c r="AE13" i="1"/>
  <c r="AF13" i="1"/>
  <c r="AF12" i="1"/>
  <c r="DE104" i="6"/>
  <c r="DP104" i="6" s="1"/>
  <c r="DE114" i="6"/>
  <c r="DP114" i="6" s="1"/>
  <c r="DE123" i="6"/>
  <c r="DP123" i="6" s="1"/>
  <c r="DE110" i="6"/>
  <c r="DP110" i="6" s="1"/>
  <c r="DE108" i="6"/>
  <c r="DP108" i="6" s="1"/>
  <c r="DE124" i="6"/>
  <c r="DP124" i="6" s="1"/>
  <c r="DE109" i="6"/>
  <c r="DP109" i="6" s="1"/>
  <c r="AH11" i="1"/>
  <c r="DE97" i="6"/>
  <c r="DP97" i="6" s="1"/>
  <c r="DE94" i="6"/>
  <c r="DP94" i="6" s="1"/>
  <c r="DE77" i="6"/>
  <c r="DP77" i="6" s="1"/>
  <c r="DE82" i="6"/>
  <c r="DP82" i="6" s="1"/>
  <c r="DE98" i="6"/>
  <c r="DP98" i="6" s="1"/>
  <c r="DE85" i="6"/>
  <c r="DP85" i="6" s="1"/>
  <c r="DE86" i="6"/>
  <c r="DP86" i="6" s="1"/>
  <c r="DE91" i="6"/>
  <c r="DP91" i="6" s="1"/>
  <c r="DE99" i="6"/>
  <c r="DP99" i="6" s="1"/>
  <c r="DE92" i="6"/>
  <c r="DP92" i="6" s="1"/>
  <c r="DE100" i="6"/>
  <c r="DP100" i="6" s="1"/>
  <c r="DE101" i="6"/>
  <c r="DP101" i="6" s="1"/>
  <c r="DE87" i="6"/>
  <c r="DP87" i="6" s="1"/>
  <c r="DE103" i="6"/>
  <c r="DP103" i="6" s="1"/>
  <c r="DE80" i="6"/>
  <c r="DP80" i="6" s="1"/>
  <c r="DE96" i="6"/>
  <c r="DP96" i="6" s="1"/>
  <c r="DE8" i="6"/>
  <c r="DE28" i="6" s="1"/>
  <c r="DP28" i="6" s="1"/>
  <c r="DE48" i="6"/>
  <c r="DP48" i="6" s="1"/>
  <c r="AE12" i="1"/>
  <c r="AE8" i="1"/>
  <c r="AF8" i="1"/>
  <c r="DE72" i="6"/>
  <c r="DP72" i="6" s="1"/>
  <c r="DE73" i="6"/>
  <c r="DP73" i="6" s="1"/>
  <c r="DE67" i="6"/>
  <c r="DP67" i="6" s="1"/>
  <c r="DE68" i="6"/>
  <c r="DP68" i="6" s="1"/>
  <c r="DE70" i="6"/>
  <c r="DP70" i="6" s="1"/>
  <c r="DE71" i="6"/>
  <c r="DP71" i="6" s="1"/>
  <c r="DE54" i="6"/>
  <c r="DP54" i="6" s="1"/>
  <c r="DE23" i="6"/>
  <c r="DP23" i="6" s="1"/>
  <c r="DE56" i="6"/>
  <c r="DP56" i="6" s="1"/>
  <c r="DE34" i="6"/>
  <c r="DP34" i="6" s="1"/>
  <c r="DE47" i="6"/>
  <c r="DP47" i="6" s="1"/>
  <c r="DE55" i="6"/>
  <c r="DP55" i="6" s="1"/>
  <c r="DE25" i="6"/>
  <c r="DP25" i="6" s="1"/>
  <c r="DE31" i="6"/>
  <c r="DP31" i="6" s="1"/>
  <c r="DE20" i="6"/>
  <c r="DP20" i="6" s="1"/>
  <c r="E26" i="1"/>
  <c r="F26" i="1"/>
  <c r="D26" i="1"/>
  <c r="M26" i="1"/>
  <c r="I13" i="6" s="1"/>
  <c r="AJ11" i="6" s="1"/>
  <c r="H26" i="1"/>
  <c r="G26" i="1"/>
  <c r="AH9" i="1" l="1"/>
  <c r="DS7" i="6"/>
  <c r="DE26" i="6"/>
  <c r="DP26" i="6" s="1"/>
  <c r="DE24" i="6"/>
  <c r="DP24" i="6" s="1"/>
  <c r="DE50" i="6"/>
  <c r="DP50" i="6" s="1"/>
  <c r="DE69" i="6"/>
  <c r="DP69" i="6" s="1"/>
  <c r="DE117" i="6"/>
  <c r="DP117" i="6" s="1"/>
  <c r="DE62" i="6"/>
  <c r="DP62" i="6" s="1"/>
  <c r="DE35" i="6"/>
  <c r="DP35" i="6" s="1"/>
  <c r="DE16" i="6"/>
  <c r="DP16" i="6" s="1"/>
  <c r="DE90" i="6"/>
  <c r="DP90" i="6" s="1"/>
  <c r="DE107" i="6"/>
  <c r="DP107" i="6" s="1"/>
  <c r="DE122" i="6"/>
  <c r="DP122" i="6" s="1"/>
  <c r="BE81" i="6"/>
  <c r="DO6" i="6"/>
  <c r="DE61" i="6"/>
  <c r="DP61" i="6" s="1"/>
  <c r="DE46" i="6"/>
  <c r="DP46" i="6" s="1"/>
  <c r="DE52" i="6"/>
  <c r="DP52" i="6" s="1"/>
  <c r="DE30" i="6"/>
  <c r="DP30" i="6" s="1"/>
  <c r="DE88" i="6"/>
  <c r="DP88" i="6" s="1"/>
  <c r="DE89" i="6"/>
  <c r="DP89" i="6" s="1"/>
  <c r="DE113" i="6"/>
  <c r="DP113" i="6" s="1"/>
  <c r="DE74" i="6"/>
  <c r="DP74" i="6" s="1"/>
  <c r="DE17" i="6"/>
  <c r="DP17" i="6" s="1"/>
  <c r="DE76" i="6"/>
  <c r="DP76" i="6" s="1"/>
  <c r="DE49" i="6"/>
  <c r="DP49" i="6" s="1"/>
  <c r="DE95" i="6"/>
  <c r="DP95" i="6" s="1"/>
  <c r="DE19" i="6"/>
  <c r="DP19" i="6" s="1"/>
  <c r="DE112" i="6"/>
  <c r="DP112" i="6" s="1"/>
  <c r="DE45" i="6"/>
  <c r="DP45" i="6" s="1"/>
  <c r="DE64" i="6"/>
  <c r="DP64" i="6" s="1"/>
  <c r="DE21" i="6"/>
  <c r="DP21" i="6" s="1"/>
  <c r="DE22" i="6"/>
  <c r="DP22" i="6" s="1"/>
  <c r="DE79" i="6"/>
  <c r="DP79" i="6" s="1"/>
  <c r="DE84" i="6"/>
  <c r="DP84" i="6" s="1"/>
  <c r="DE126" i="6"/>
  <c r="DP126" i="6" s="1"/>
  <c r="DE18" i="6"/>
  <c r="DP18" i="6" s="1"/>
  <c r="DE63" i="6"/>
  <c r="DP63" i="6" s="1"/>
  <c r="DE33" i="6"/>
  <c r="DP33" i="6" s="1"/>
  <c r="DE51" i="6"/>
  <c r="DP51" i="6" s="1"/>
  <c r="DE93" i="6"/>
  <c r="DP93" i="6" s="1"/>
  <c r="DE116" i="6"/>
  <c r="DP116" i="6" s="1"/>
  <c r="I11" i="6"/>
  <c r="AJ8" i="6" s="1"/>
  <c r="DE53" i="6"/>
  <c r="DP53" i="6" s="1"/>
  <c r="DE44" i="6"/>
  <c r="DP44" i="6" s="1"/>
  <c r="DE32" i="6"/>
  <c r="DP32" i="6" s="1"/>
  <c r="DE36" i="6"/>
  <c r="DP36" i="6" s="1"/>
  <c r="DE83" i="6"/>
  <c r="DP83" i="6" s="1"/>
  <c r="J9" i="6"/>
  <c r="AK6" i="6" s="1"/>
  <c r="DI6" i="6" s="1"/>
  <c r="K11" i="6"/>
  <c r="AL8" i="6" s="1"/>
  <c r="J11" i="6"/>
  <c r="AK8" i="6" s="1"/>
  <c r="H12" i="6"/>
  <c r="AI9" i="6" s="1"/>
  <c r="Y128" i="6" s="1"/>
  <c r="G12" i="6"/>
  <c r="AH9" i="6" s="1"/>
  <c r="G13" i="6"/>
  <c r="H13" i="6"/>
  <c r="G8" i="6"/>
  <c r="AH5" i="6" s="1"/>
  <c r="H8" i="6"/>
  <c r="AI5" i="6" s="1"/>
  <c r="F8" i="6"/>
  <c r="AG5" i="6" s="1"/>
  <c r="DF5" i="6" s="1"/>
  <c r="DF126" i="6" s="1"/>
  <c r="DQ126" i="6" s="1"/>
  <c r="AI12" i="1"/>
  <c r="AI9" i="1"/>
  <c r="Z354" i="5"/>
  <c r="Z356" i="5"/>
  <c r="Z528" i="5"/>
  <c r="Z580" i="5"/>
  <c r="Z333" i="5"/>
  <c r="Z337" i="5"/>
  <c r="Z341" i="5"/>
  <c r="Z345" i="5"/>
  <c r="Z349" i="5"/>
  <c r="Z334" i="5"/>
  <c r="Z338" i="5"/>
  <c r="Z342" i="5"/>
  <c r="Z346" i="5"/>
  <c r="Z336" i="5"/>
  <c r="Z340" i="5"/>
  <c r="Z344" i="5"/>
  <c r="Z352" i="5"/>
  <c r="Z343" i="5"/>
  <c r="Z335" i="5"/>
  <c r="Z351" i="5"/>
  <c r="Z339" i="5"/>
  <c r="Z496" i="5"/>
  <c r="Z495" i="5"/>
  <c r="Z530" i="5"/>
  <c r="Z566" i="5"/>
  <c r="Z619" i="5"/>
  <c r="Z350" i="5"/>
  <c r="Z348" i="5"/>
  <c r="Z347" i="5"/>
  <c r="Z498" i="5"/>
  <c r="Z499" i="5"/>
  <c r="Z325" i="5"/>
  <c r="Z322" i="5"/>
  <c r="Z324" i="5"/>
  <c r="Z197" i="5"/>
  <c r="Z201" i="5"/>
  <c r="Z205" i="5"/>
  <c r="Z209" i="5"/>
  <c r="Z225" i="5"/>
  <c r="Z237" i="5"/>
  <c r="Z194" i="5"/>
  <c r="Z198" i="5"/>
  <c r="Z202" i="5"/>
  <c r="Z206" i="5"/>
  <c r="Z210" i="5"/>
  <c r="Z226" i="5"/>
  <c r="Z196" i="5"/>
  <c r="Z200" i="5"/>
  <c r="Z204" i="5"/>
  <c r="Z208" i="5"/>
  <c r="Z212" i="5"/>
  <c r="Z224" i="5"/>
  <c r="Z236" i="5"/>
  <c r="Z199" i="5"/>
  <c r="Z203" i="5"/>
  <c r="Z207" i="5"/>
  <c r="Z223" i="5"/>
  <c r="Z195" i="5"/>
  <c r="Z211" i="5"/>
  <c r="Z511" i="5"/>
  <c r="Z321" i="5"/>
  <c r="Z329" i="5"/>
  <c r="Z353" i="5"/>
  <c r="Z326" i="5"/>
  <c r="Z330" i="5"/>
  <c r="Z320" i="5"/>
  <c r="Z328" i="5"/>
  <c r="Z332" i="5"/>
  <c r="Z327" i="5"/>
  <c r="Z331" i="5"/>
  <c r="Z323" i="5"/>
  <c r="Z213" i="5"/>
  <c r="Z217" i="5"/>
  <c r="Z221" i="5"/>
  <c r="Z233" i="5"/>
  <c r="Z214" i="5"/>
  <c r="Z218" i="5"/>
  <c r="Z222" i="5"/>
  <c r="Z234" i="5"/>
  <c r="Z238" i="5"/>
  <c r="Z216" i="5"/>
  <c r="Z220" i="5"/>
  <c r="Z228" i="5"/>
  <c r="Z232" i="5"/>
  <c r="Z215" i="5"/>
  <c r="Z219" i="5"/>
  <c r="Z235" i="5"/>
  <c r="Z239" i="5"/>
  <c r="Z227" i="5"/>
  <c r="Z357" i="5"/>
  <c r="Z358" i="5"/>
  <c r="Z359" i="5"/>
  <c r="Z532" i="5"/>
  <c r="Z584" i="5"/>
  <c r="Z355" i="5"/>
  <c r="Z517" i="5"/>
  <c r="Z557" i="5"/>
  <c r="Z587" i="5"/>
  <c r="Z623" i="5"/>
  <c r="AC231" i="5"/>
  <c r="Z77" i="22" s="1"/>
  <c r="AD231" i="5"/>
  <c r="AA77" i="22" s="1"/>
  <c r="AB231" i="5"/>
  <c r="Y77" i="22" s="1"/>
  <c r="Z521" i="5"/>
  <c r="Z621" i="5"/>
  <c r="Z574" i="5"/>
  <c r="AC230" i="5"/>
  <c r="Z158" i="17" s="1"/>
  <c r="AD230" i="5"/>
  <c r="AA158" i="17" s="1"/>
  <c r="AB230" i="5"/>
  <c r="Y158" i="17" s="1"/>
  <c r="Z504" i="5"/>
  <c r="Z505" i="5"/>
  <c r="Z538" i="5"/>
  <c r="Z503" i="5"/>
  <c r="Z541" i="5"/>
  <c r="Z554" i="5"/>
  <c r="Z571" i="5"/>
  <c r="Z361" i="5"/>
  <c r="Z365" i="5"/>
  <c r="Z369" i="5"/>
  <c r="Z373" i="5"/>
  <c r="Z377" i="5"/>
  <c r="Z381" i="5"/>
  <c r="Z385" i="5"/>
  <c r="Z389" i="5"/>
  <c r="Z393" i="5"/>
  <c r="Z362" i="5"/>
  <c r="Z366" i="5"/>
  <c r="Z370" i="5"/>
  <c r="Z374" i="5"/>
  <c r="Z378" i="5"/>
  <c r="Z382" i="5"/>
  <c r="Z386" i="5"/>
  <c r="Z390" i="5"/>
  <c r="Z394" i="5"/>
  <c r="Z360" i="5"/>
  <c r="Z364" i="5"/>
  <c r="Z368" i="5"/>
  <c r="Z372" i="5"/>
  <c r="Z376" i="5"/>
  <c r="Z380" i="5"/>
  <c r="Z384" i="5"/>
  <c r="Z388" i="5"/>
  <c r="Z392" i="5"/>
  <c r="Z396" i="5"/>
  <c r="Z387" i="5"/>
  <c r="Z363" i="5"/>
  <c r="Z375" i="5"/>
  <c r="Z395" i="5"/>
  <c r="Z367" i="5"/>
  <c r="Z383" i="5"/>
  <c r="Z391" i="5"/>
  <c r="Z371" i="5"/>
  <c r="Z379" i="5"/>
  <c r="AC229" i="5"/>
  <c r="AD229" i="5"/>
  <c r="AB229" i="5"/>
  <c r="CX8" i="6"/>
  <c r="DC29" i="6" s="1"/>
  <c r="AI8" i="1"/>
  <c r="N28" i="1"/>
  <c r="I28" i="1"/>
  <c r="AH8" i="1"/>
  <c r="AH12" i="1"/>
  <c r="L28" i="1"/>
  <c r="J28" i="1"/>
  <c r="X128" i="6"/>
  <c r="X127" i="6"/>
  <c r="Y75" i="6"/>
  <c r="AU75" i="6" s="1"/>
  <c r="EI27" i="6"/>
  <c r="R105" i="6"/>
  <c r="Z513" i="5" s="1"/>
  <c r="R106" i="6"/>
  <c r="Z592" i="5" s="1"/>
  <c r="R111" i="6"/>
  <c r="Z509" i="5" s="1"/>
  <c r="R128" i="6"/>
  <c r="Z527" i="5" s="1"/>
  <c r="R78" i="6"/>
  <c r="Z582" i="5" s="1"/>
  <c r="R60" i="6"/>
  <c r="Z497" i="5" s="1"/>
  <c r="R102" i="6"/>
  <c r="Z567" i="5" s="1"/>
  <c r="R125" i="6"/>
  <c r="Z579" i="5" s="1"/>
  <c r="R129" i="6"/>
  <c r="Z578" i="5" s="1"/>
  <c r="R58" i="6"/>
  <c r="Z494" i="5" s="1"/>
  <c r="DJ82" i="6"/>
  <c r="DU82" i="6" s="1"/>
  <c r="DJ98" i="6"/>
  <c r="DU98" i="6" s="1"/>
  <c r="DJ99" i="6"/>
  <c r="DU99" i="6" s="1"/>
  <c r="J83" i="13"/>
  <c r="DJ56" i="6"/>
  <c r="DU56" i="6" s="1"/>
  <c r="DJ68" i="6"/>
  <c r="DJ92" i="6"/>
  <c r="DU92" i="6" s="1"/>
  <c r="DJ100" i="6"/>
  <c r="DU100" i="6" s="1"/>
  <c r="DJ96" i="6"/>
  <c r="DU96" i="6" s="1"/>
  <c r="DJ101" i="6"/>
  <c r="DU101" i="6" s="1"/>
  <c r="DJ80" i="6"/>
  <c r="DU80" i="6" s="1"/>
  <c r="DJ86" i="6"/>
  <c r="DU86" i="6" s="1"/>
  <c r="DJ110" i="6"/>
  <c r="DU110" i="6" s="1"/>
  <c r="DJ104" i="6"/>
  <c r="DU104" i="6" s="1"/>
  <c r="DE58" i="6"/>
  <c r="DP58" i="6" s="1"/>
  <c r="DE29" i="6"/>
  <c r="DP29" i="6" s="1"/>
  <c r="DK99" i="6"/>
  <c r="DV99" i="6" s="1"/>
  <c r="X84" i="6"/>
  <c r="X83" i="6"/>
  <c r="X75" i="6"/>
  <c r="DE27" i="6"/>
  <c r="DP27" i="6" s="1"/>
  <c r="M28" i="1"/>
  <c r="G28" i="1"/>
  <c r="AR75" i="6"/>
  <c r="BA75" i="6" s="1"/>
  <c r="DT27" i="6"/>
  <c r="K28" i="1"/>
  <c r="DE39" i="6"/>
  <c r="DP39" i="6" s="1"/>
  <c r="DE37" i="6"/>
  <c r="DP37" i="6" s="1"/>
  <c r="DE57" i="6"/>
  <c r="DP57" i="6" s="1"/>
  <c r="DE120" i="6"/>
  <c r="DP120" i="6" s="1"/>
  <c r="DE128" i="6"/>
  <c r="DP128" i="6" s="1"/>
  <c r="DE125" i="6"/>
  <c r="DP125" i="6" s="1"/>
  <c r="DE105" i="6"/>
  <c r="DP105" i="6" s="1"/>
  <c r="DE121" i="6"/>
  <c r="DP121" i="6" s="1"/>
  <c r="DE129" i="6"/>
  <c r="DP129" i="6" s="1"/>
  <c r="DE106" i="6"/>
  <c r="DP106" i="6" s="1"/>
  <c r="DE127" i="6"/>
  <c r="DP127" i="6" s="1"/>
  <c r="DE119" i="6"/>
  <c r="DP119" i="6" s="1"/>
  <c r="DE111" i="6"/>
  <c r="DP111" i="6" s="1"/>
  <c r="DE118" i="6"/>
  <c r="DP118" i="6" s="1"/>
  <c r="DE78" i="6"/>
  <c r="DP78" i="6" s="1"/>
  <c r="DE81" i="6"/>
  <c r="DP81" i="6" s="1"/>
  <c r="DE102" i="6"/>
  <c r="DP102" i="6" s="1"/>
  <c r="DE38" i="6"/>
  <c r="DP38" i="6" s="1"/>
  <c r="DE65" i="6"/>
  <c r="DP65" i="6" s="1"/>
  <c r="DE60" i="6"/>
  <c r="DP60" i="6" s="1"/>
  <c r="DE42" i="6"/>
  <c r="DP42" i="6" s="1"/>
  <c r="DE75" i="6"/>
  <c r="DP75" i="6" s="1"/>
  <c r="DE41" i="6"/>
  <c r="DP41" i="6" s="1"/>
  <c r="DE59" i="6"/>
  <c r="DP59" i="6" s="1"/>
  <c r="DE43" i="6"/>
  <c r="DP43" i="6" s="1"/>
  <c r="DE40" i="6"/>
  <c r="DP40" i="6" s="1"/>
  <c r="DE66" i="6"/>
  <c r="DP66" i="6" s="1"/>
  <c r="Z75" i="6"/>
  <c r="DU68" i="6"/>
  <c r="DG5" i="6"/>
  <c r="AE9" i="1"/>
  <c r="AF9" i="1"/>
  <c r="AD9" i="1"/>
  <c r="DH5" i="6"/>
  <c r="Y127" i="6" l="1"/>
  <c r="DF83" i="6"/>
  <c r="DQ83" i="6" s="1"/>
  <c r="DF112" i="6"/>
  <c r="DQ112" i="6" s="1"/>
  <c r="DT81" i="6"/>
  <c r="EH81" i="6"/>
  <c r="K9" i="6"/>
  <c r="AL6" i="6" s="1"/>
  <c r="DJ6" i="6" s="1"/>
  <c r="K8" i="6"/>
  <c r="AL5" i="6" s="1"/>
  <c r="DJ5" i="6" s="1"/>
  <c r="J12" i="6"/>
  <c r="AK9" i="6" s="1"/>
  <c r="AA75" i="6" s="1"/>
  <c r="J8" i="6"/>
  <c r="AK5" i="6" s="1"/>
  <c r="DI5" i="6" s="1"/>
  <c r="DJ20" i="6" s="1"/>
  <c r="DU20" i="6" s="1"/>
  <c r="K12" i="6"/>
  <c r="AL9" i="6" s="1"/>
  <c r="AB75" i="6" s="1"/>
  <c r="DF90" i="6"/>
  <c r="DQ90" i="6" s="1"/>
  <c r="DF117" i="6"/>
  <c r="DQ117" i="6" s="1"/>
  <c r="DF116" i="6"/>
  <c r="DQ116" i="6" s="1"/>
  <c r="DF107" i="6"/>
  <c r="DQ107" i="6" s="1"/>
  <c r="DF95" i="6"/>
  <c r="DQ95" i="6" s="1"/>
  <c r="F9" i="6"/>
  <c r="AG6" i="6" s="1"/>
  <c r="DF6" i="6" s="1"/>
  <c r="DF18" i="6"/>
  <c r="DQ18" i="6" s="1"/>
  <c r="DF74" i="6"/>
  <c r="DQ74" i="6" s="1"/>
  <c r="DF32" i="6"/>
  <c r="DQ32" i="6" s="1"/>
  <c r="DF16" i="6"/>
  <c r="DQ16" i="6" s="1"/>
  <c r="DF44" i="6"/>
  <c r="DQ44" i="6" s="1"/>
  <c r="DF51" i="6"/>
  <c r="DQ51" i="6" s="1"/>
  <c r="DF122" i="6"/>
  <c r="DQ122" i="6" s="1"/>
  <c r="DF19" i="6"/>
  <c r="DQ19" i="6" s="1"/>
  <c r="DF113" i="6"/>
  <c r="DQ113" i="6" s="1"/>
  <c r="DF84" i="6"/>
  <c r="DQ84" i="6" s="1"/>
  <c r="DF53" i="6"/>
  <c r="DQ53" i="6" s="1"/>
  <c r="DF25" i="6"/>
  <c r="DQ25" i="6" s="1"/>
  <c r="DF50" i="6"/>
  <c r="DQ50" i="6" s="1"/>
  <c r="DF26" i="6"/>
  <c r="DQ26" i="6" s="1"/>
  <c r="DF23" i="6"/>
  <c r="DQ23" i="6" s="1"/>
  <c r="DF36" i="6"/>
  <c r="DQ36" i="6" s="1"/>
  <c r="DF69" i="6"/>
  <c r="DQ69" i="6" s="1"/>
  <c r="DF21" i="6"/>
  <c r="DQ21" i="6" s="1"/>
  <c r="DF46" i="6"/>
  <c r="DQ46" i="6" s="1"/>
  <c r="DF31" i="6"/>
  <c r="DQ31" i="6" s="1"/>
  <c r="DF93" i="6"/>
  <c r="DQ93" i="6" s="1"/>
  <c r="DF20" i="6"/>
  <c r="DQ20" i="6" s="1"/>
  <c r="DF88" i="6"/>
  <c r="DQ88" i="6" s="1"/>
  <c r="DF79" i="6"/>
  <c r="DQ79" i="6" s="1"/>
  <c r="DF54" i="6"/>
  <c r="DQ54" i="6" s="1"/>
  <c r="DF48" i="6"/>
  <c r="DQ48" i="6" s="1"/>
  <c r="DF24" i="6"/>
  <c r="DQ24" i="6" s="1"/>
  <c r="DF49" i="6"/>
  <c r="DQ49" i="6" s="1"/>
  <c r="DF89" i="6"/>
  <c r="DQ89" i="6" s="1"/>
  <c r="DF76" i="6"/>
  <c r="DQ76" i="6" s="1"/>
  <c r="DF62" i="6"/>
  <c r="DQ62" i="6" s="1"/>
  <c r="DF34" i="6"/>
  <c r="DQ34" i="6" s="1"/>
  <c r="DF17" i="6"/>
  <c r="DQ17" i="6" s="1"/>
  <c r="DF35" i="6"/>
  <c r="DQ35" i="6" s="1"/>
  <c r="DF63" i="6"/>
  <c r="DQ63" i="6" s="1"/>
  <c r="DF22" i="6"/>
  <c r="DQ22" i="6" s="1"/>
  <c r="DF52" i="6"/>
  <c r="DQ52" i="6" s="1"/>
  <c r="DF8" i="6"/>
  <c r="DF94" i="6"/>
  <c r="DQ94" i="6" s="1"/>
  <c r="DF64" i="6"/>
  <c r="DQ64" i="6" s="1"/>
  <c r="DF45" i="6"/>
  <c r="DQ45" i="6" s="1"/>
  <c r="DF30" i="6"/>
  <c r="DQ30" i="6" s="1"/>
  <c r="DF33" i="6"/>
  <c r="DQ33" i="6" s="1"/>
  <c r="DF47" i="6"/>
  <c r="DQ47" i="6" s="1"/>
  <c r="DF61" i="6"/>
  <c r="DQ61" i="6" s="1"/>
  <c r="DF115" i="6"/>
  <c r="DQ115" i="6" s="1"/>
  <c r="DF97" i="6"/>
  <c r="DQ97" i="6" s="1"/>
  <c r="H9" i="6"/>
  <c r="AI6" i="6" s="1"/>
  <c r="DH6" i="6" s="1"/>
  <c r="G9" i="6"/>
  <c r="AH6" i="6" s="1"/>
  <c r="BC123" i="6" s="1"/>
  <c r="AC497" i="5"/>
  <c r="Z11" i="20" s="1"/>
  <c r="AB497" i="5"/>
  <c r="Y11" i="20" s="1"/>
  <c r="AD497" i="5"/>
  <c r="AA11" i="20" s="1"/>
  <c r="AC379" i="5"/>
  <c r="Z215" i="17" s="1"/>
  <c r="AD379" i="5"/>
  <c r="AA215" i="17" s="1"/>
  <c r="AB379" i="5"/>
  <c r="Y215" i="17" s="1"/>
  <c r="AC387" i="5"/>
  <c r="Z219" i="17" s="1"/>
  <c r="AB387" i="5"/>
  <c r="Y219" i="17" s="1"/>
  <c r="AD387" i="5"/>
  <c r="AA219" i="17" s="1"/>
  <c r="AC368" i="5"/>
  <c r="Z157" i="22" s="1"/>
  <c r="AD368" i="5"/>
  <c r="AA157" i="22" s="1"/>
  <c r="AB368" i="5"/>
  <c r="Y157" i="22" s="1"/>
  <c r="AC374" i="5"/>
  <c r="Z160" i="22" s="1"/>
  <c r="AB374" i="5"/>
  <c r="Y160" i="22" s="1"/>
  <c r="AD374" i="5"/>
  <c r="AA160" i="22" s="1"/>
  <c r="AC377" i="5"/>
  <c r="Z161" i="22" s="1"/>
  <c r="AB377" i="5"/>
  <c r="Y161" i="22" s="1"/>
  <c r="AD377" i="5"/>
  <c r="AA161" i="22" s="1"/>
  <c r="AC503" i="5"/>
  <c r="Z17" i="20" s="1"/>
  <c r="AD503" i="5"/>
  <c r="AA17" i="20" s="1"/>
  <c r="AB503" i="5"/>
  <c r="Y17" i="20" s="1"/>
  <c r="AC621" i="5"/>
  <c r="Z317" i="17" s="1"/>
  <c r="AB621" i="5"/>
  <c r="Y317" i="17" s="1"/>
  <c r="AD621" i="5"/>
  <c r="AA317" i="17" s="1"/>
  <c r="AC517" i="5"/>
  <c r="AD517" i="5"/>
  <c r="AB517" i="5"/>
  <c r="AC239" i="5"/>
  <c r="Z165" i="17" s="1"/>
  <c r="AD239" i="5"/>
  <c r="AA165" i="17" s="1"/>
  <c r="AB239" i="5"/>
  <c r="Y165" i="17" s="1"/>
  <c r="AC238" i="5"/>
  <c r="Z78" i="22" s="1"/>
  <c r="AB238" i="5"/>
  <c r="Y78" i="22" s="1"/>
  <c r="AD238" i="5"/>
  <c r="AA78" i="22" s="1"/>
  <c r="AC213" i="5"/>
  <c r="AD213" i="5"/>
  <c r="AB213" i="5"/>
  <c r="AC326" i="5"/>
  <c r="Z122" i="22" s="1"/>
  <c r="AD326" i="5"/>
  <c r="AA122" i="22" s="1"/>
  <c r="AB326" i="5"/>
  <c r="Y122" i="22" s="1"/>
  <c r="AC207" i="5"/>
  <c r="Z69" i="22" s="1"/>
  <c r="AB207" i="5"/>
  <c r="Y69" i="22" s="1"/>
  <c r="AD207" i="5"/>
  <c r="AA69" i="22" s="1"/>
  <c r="AC200" i="5"/>
  <c r="Z139" i="17" s="1"/>
  <c r="AB200" i="5"/>
  <c r="Y139" i="17" s="1"/>
  <c r="AD200" i="5"/>
  <c r="AA139" i="17" s="1"/>
  <c r="AC237" i="5"/>
  <c r="Z164" i="17" s="1"/>
  <c r="AB237" i="5"/>
  <c r="Y164" i="17" s="1"/>
  <c r="AD237" i="5"/>
  <c r="AA164" i="17" s="1"/>
  <c r="AC325" i="5"/>
  <c r="Z121" i="22" s="1"/>
  <c r="AB325" i="5"/>
  <c r="Y121" i="22" s="1"/>
  <c r="AD325" i="5"/>
  <c r="AA121" i="22" s="1"/>
  <c r="AC530" i="5"/>
  <c r="Z220" i="22" s="1"/>
  <c r="AD530" i="5"/>
  <c r="AA220" i="22" s="1"/>
  <c r="AB530" i="5"/>
  <c r="Y220" i="22" s="1"/>
  <c r="AC344" i="5"/>
  <c r="Z138" i="22" s="1"/>
  <c r="AD344" i="5"/>
  <c r="AA138" i="22" s="1"/>
  <c r="AB344" i="5"/>
  <c r="Y138" i="22" s="1"/>
  <c r="AC345" i="5"/>
  <c r="Z139" i="22" s="1"/>
  <c r="AB345" i="5"/>
  <c r="Y139" i="22" s="1"/>
  <c r="AD345" i="5"/>
  <c r="AA139" i="22" s="1"/>
  <c r="AC582" i="5"/>
  <c r="Z238" i="22" s="1"/>
  <c r="AB582" i="5"/>
  <c r="Y238" i="22" s="1"/>
  <c r="AD582" i="5"/>
  <c r="AA238" i="22" s="1"/>
  <c r="AC371" i="5"/>
  <c r="Z159" i="22" s="1"/>
  <c r="AB371" i="5"/>
  <c r="Y159" i="22" s="1"/>
  <c r="AD371" i="5"/>
  <c r="AA159" i="22" s="1"/>
  <c r="AC396" i="5"/>
  <c r="Z170" i="22" s="1"/>
  <c r="AD396" i="5"/>
  <c r="AA170" i="22" s="1"/>
  <c r="AB396" i="5"/>
  <c r="Y170" i="22" s="1"/>
  <c r="AC364" i="5"/>
  <c r="Z13" i="21" s="1"/>
  <c r="AB364" i="5"/>
  <c r="Y13" i="21" s="1"/>
  <c r="AD364" i="5"/>
  <c r="AA13" i="21" s="1"/>
  <c r="AC370" i="5"/>
  <c r="Z158" i="22" s="1"/>
  <c r="AD370" i="5"/>
  <c r="AA158" i="22" s="1"/>
  <c r="AB370" i="5"/>
  <c r="Y158" i="22" s="1"/>
  <c r="AC373" i="5"/>
  <c r="Z212" i="17" s="1"/>
  <c r="AB373" i="5"/>
  <c r="Y212" i="17" s="1"/>
  <c r="AD373" i="5"/>
  <c r="AA212" i="17" s="1"/>
  <c r="AC538" i="5"/>
  <c r="Z27" i="21" s="1"/>
  <c r="AB538" i="5"/>
  <c r="Y27" i="21" s="1"/>
  <c r="AD538" i="5"/>
  <c r="AA27" i="21" s="1"/>
  <c r="AC521" i="5"/>
  <c r="Z281" i="17" s="1"/>
  <c r="AB521" i="5"/>
  <c r="Y281" i="17" s="1"/>
  <c r="AD521" i="5"/>
  <c r="AA281" i="17" s="1"/>
  <c r="AC355" i="5"/>
  <c r="Z148" i="22" s="1"/>
  <c r="AB355" i="5"/>
  <c r="Y148" i="22" s="1"/>
  <c r="AD355" i="5"/>
  <c r="AA148" i="22" s="1"/>
  <c r="AC235" i="5"/>
  <c r="Z162" i="17" s="1"/>
  <c r="AB235" i="5"/>
  <c r="Y162" i="17" s="1"/>
  <c r="AD235" i="5"/>
  <c r="AA162" i="17" s="1"/>
  <c r="AC234" i="5"/>
  <c r="Z161" i="17" s="1"/>
  <c r="AB234" i="5"/>
  <c r="Y161" i="17" s="1"/>
  <c r="AD234" i="5"/>
  <c r="AA161" i="17" s="1"/>
  <c r="AC323" i="5"/>
  <c r="Z119" i="22" s="1"/>
  <c r="AD323" i="5"/>
  <c r="AA119" i="22" s="1"/>
  <c r="AB323" i="5"/>
  <c r="Y119" i="22" s="1"/>
  <c r="AC353" i="5"/>
  <c r="Z206" i="17" s="1"/>
  <c r="AD353" i="5"/>
  <c r="AA206" i="17" s="1"/>
  <c r="AB353" i="5"/>
  <c r="Y206" i="17" s="1"/>
  <c r="AC203" i="5"/>
  <c r="Z66" i="22" s="1"/>
  <c r="AB203" i="5"/>
  <c r="Y66" i="22" s="1"/>
  <c r="AD203" i="5"/>
  <c r="AA66" i="22" s="1"/>
  <c r="AC196" i="5"/>
  <c r="Z135" i="17" s="1"/>
  <c r="AD196" i="5"/>
  <c r="AA135" i="17" s="1"/>
  <c r="AB196" i="5"/>
  <c r="Y135" i="17" s="1"/>
  <c r="AC225" i="5"/>
  <c r="Z155" i="17" s="1"/>
  <c r="AB225" i="5"/>
  <c r="Y155" i="17" s="1"/>
  <c r="AD225" i="5"/>
  <c r="AA155" i="17" s="1"/>
  <c r="AC499" i="5"/>
  <c r="Z13" i="20" s="1"/>
  <c r="AD499" i="5"/>
  <c r="AA13" i="20" s="1"/>
  <c r="AB499" i="5"/>
  <c r="Y13" i="20" s="1"/>
  <c r="AC495" i="5"/>
  <c r="Z9" i="20" s="1"/>
  <c r="AB495" i="5"/>
  <c r="Y9" i="20" s="1"/>
  <c r="AD495" i="5"/>
  <c r="AA9" i="20" s="1"/>
  <c r="AC340" i="5"/>
  <c r="Z134" i="22" s="1"/>
  <c r="AB340" i="5"/>
  <c r="Y134" i="22" s="1"/>
  <c r="AD340" i="5"/>
  <c r="AA134" i="22" s="1"/>
  <c r="AC341" i="5"/>
  <c r="Z135" i="22" s="1"/>
  <c r="AD341" i="5"/>
  <c r="AA135" i="22" s="1"/>
  <c r="AB341" i="5"/>
  <c r="Y135" i="22" s="1"/>
  <c r="AC527" i="5"/>
  <c r="Z217" i="22" s="1"/>
  <c r="AB527" i="5"/>
  <c r="Y217" i="22" s="1"/>
  <c r="AD527" i="5"/>
  <c r="AA217" i="22" s="1"/>
  <c r="AC391" i="5"/>
  <c r="Z222" i="17" s="1"/>
  <c r="AB391" i="5"/>
  <c r="Y222" i="17" s="1"/>
  <c r="AD391" i="5"/>
  <c r="AA222" i="17" s="1"/>
  <c r="AC392" i="5"/>
  <c r="Z223" i="17" s="1"/>
  <c r="AB392" i="5"/>
  <c r="Y223" i="17" s="1"/>
  <c r="AD392" i="5"/>
  <c r="AA223" i="17" s="1"/>
  <c r="AC360" i="5"/>
  <c r="Z153" i="22" s="1"/>
  <c r="AB360" i="5"/>
  <c r="Y153" i="22" s="1"/>
  <c r="AD360" i="5"/>
  <c r="AA153" i="22" s="1"/>
  <c r="AC366" i="5"/>
  <c r="Z209" i="17" s="1"/>
  <c r="AB366" i="5"/>
  <c r="Y209" i="17" s="1"/>
  <c r="AD366" i="5"/>
  <c r="AA209" i="17" s="1"/>
  <c r="AC369" i="5"/>
  <c r="Z210" i="17" s="1"/>
  <c r="AB369" i="5"/>
  <c r="Y210" i="17" s="1"/>
  <c r="AD369" i="5"/>
  <c r="AA210" i="17" s="1"/>
  <c r="AC505" i="5"/>
  <c r="Z19" i="20" s="1"/>
  <c r="AD505" i="5"/>
  <c r="AA19" i="20" s="1"/>
  <c r="AB505" i="5"/>
  <c r="Y19" i="20" s="1"/>
  <c r="AC584" i="5"/>
  <c r="Z240" i="22" s="1"/>
  <c r="AD584" i="5"/>
  <c r="AA240" i="22" s="1"/>
  <c r="AB584" i="5"/>
  <c r="Y240" i="22" s="1"/>
  <c r="AC219" i="5"/>
  <c r="Z152" i="17" s="1"/>
  <c r="AB219" i="5"/>
  <c r="Y152" i="17" s="1"/>
  <c r="AD219" i="5"/>
  <c r="AA152" i="17" s="1"/>
  <c r="AC222" i="5"/>
  <c r="Z73" i="22" s="1"/>
  <c r="AD222" i="5"/>
  <c r="AA73" i="22" s="1"/>
  <c r="AB222" i="5"/>
  <c r="Y73" i="22" s="1"/>
  <c r="AC331" i="5"/>
  <c r="Z204" i="17" s="1"/>
  <c r="AB331" i="5"/>
  <c r="Y204" i="17" s="1"/>
  <c r="AD331" i="5"/>
  <c r="AA204" i="17" s="1"/>
  <c r="AC329" i="5"/>
  <c r="Z125" i="22" s="1"/>
  <c r="AB329" i="5"/>
  <c r="Y125" i="22" s="1"/>
  <c r="AD329" i="5"/>
  <c r="AA125" i="22" s="1"/>
  <c r="AC199" i="5"/>
  <c r="Z138" i="17" s="1"/>
  <c r="AB199" i="5"/>
  <c r="Y138" i="17" s="1"/>
  <c r="AD199" i="5"/>
  <c r="AA138" i="17" s="1"/>
  <c r="AC226" i="5"/>
  <c r="Z75" i="22" s="1"/>
  <c r="AD226" i="5"/>
  <c r="AA75" i="22" s="1"/>
  <c r="AB226" i="5"/>
  <c r="Y75" i="22" s="1"/>
  <c r="AC209" i="5"/>
  <c r="Z144" i="17" s="1"/>
  <c r="AD209" i="5"/>
  <c r="AA144" i="17" s="1"/>
  <c r="AB209" i="5"/>
  <c r="Y144" i="17" s="1"/>
  <c r="AC498" i="5"/>
  <c r="Z12" i="20" s="1"/>
  <c r="AB498" i="5"/>
  <c r="Y12" i="20" s="1"/>
  <c r="AD498" i="5"/>
  <c r="AA12" i="20" s="1"/>
  <c r="AC496" i="5"/>
  <c r="Z10" i="20" s="1"/>
  <c r="AD496" i="5"/>
  <c r="AA10" i="20" s="1"/>
  <c r="AB496" i="5"/>
  <c r="Y10" i="20" s="1"/>
  <c r="AC336" i="5"/>
  <c r="Z131" i="22" s="1"/>
  <c r="AB336" i="5"/>
  <c r="Y131" i="22" s="1"/>
  <c r="AD336" i="5"/>
  <c r="AA131" i="22" s="1"/>
  <c r="AC337" i="5"/>
  <c r="Z132" i="22" s="1"/>
  <c r="AD337" i="5"/>
  <c r="AA132" i="22" s="1"/>
  <c r="AB337" i="5"/>
  <c r="Y132" i="22" s="1"/>
  <c r="AC509" i="5"/>
  <c r="Z269" i="17" s="1"/>
  <c r="AB509" i="5"/>
  <c r="Y269" i="17" s="1"/>
  <c r="AD509" i="5"/>
  <c r="AA269" i="17" s="1"/>
  <c r="AC383" i="5"/>
  <c r="Z165" i="22" s="1"/>
  <c r="AD383" i="5"/>
  <c r="AA165" i="22" s="1"/>
  <c r="AB383" i="5"/>
  <c r="Y165" i="22" s="1"/>
  <c r="AC388" i="5"/>
  <c r="Z220" i="17" s="1"/>
  <c r="AB388" i="5"/>
  <c r="Y220" i="17" s="1"/>
  <c r="AD388" i="5"/>
  <c r="AA220" i="17" s="1"/>
  <c r="AC394" i="5"/>
  <c r="Z169" i="22" s="1"/>
  <c r="AB394" i="5"/>
  <c r="Y169" i="22" s="1"/>
  <c r="AD394" i="5"/>
  <c r="AA169" i="22" s="1"/>
  <c r="AC362" i="5"/>
  <c r="Z154" i="22" s="1"/>
  <c r="AB362" i="5"/>
  <c r="Y154" i="22" s="1"/>
  <c r="AD362" i="5"/>
  <c r="AA154" i="22" s="1"/>
  <c r="AC365" i="5"/>
  <c r="Z155" i="22" s="1"/>
  <c r="AB365" i="5"/>
  <c r="Y155" i="22" s="1"/>
  <c r="AD365" i="5"/>
  <c r="AA155" i="22" s="1"/>
  <c r="AC504" i="5"/>
  <c r="Z18" i="20" s="1"/>
  <c r="AB504" i="5"/>
  <c r="Y18" i="20" s="1"/>
  <c r="AD504" i="5"/>
  <c r="AA18" i="20" s="1"/>
  <c r="AC532" i="5"/>
  <c r="Z222" i="22" s="1"/>
  <c r="AB532" i="5"/>
  <c r="Y222" i="22" s="1"/>
  <c r="AD532" i="5"/>
  <c r="AA222" i="22" s="1"/>
  <c r="AC215" i="5"/>
  <c r="Z148" i="17" s="1"/>
  <c r="AD215" i="5"/>
  <c r="AA148" i="17" s="1"/>
  <c r="AB215" i="5"/>
  <c r="Y148" i="17" s="1"/>
  <c r="AC218" i="5"/>
  <c r="Z151" i="17" s="1"/>
  <c r="AD218" i="5"/>
  <c r="AA151" i="17" s="1"/>
  <c r="AB218" i="5"/>
  <c r="Y151" i="17" s="1"/>
  <c r="AC327" i="5"/>
  <c r="Z123" i="22" s="1"/>
  <c r="AD327" i="5"/>
  <c r="AA123" i="22" s="1"/>
  <c r="AB327" i="5"/>
  <c r="Y123" i="22" s="1"/>
  <c r="AC321" i="5"/>
  <c r="Z117" i="22" s="1"/>
  <c r="AB321" i="5"/>
  <c r="Y117" i="22" s="1"/>
  <c r="AD321" i="5"/>
  <c r="AA117" i="22" s="1"/>
  <c r="AC236" i="5"/>
  <c r="Z163" i="17" s="1"/>
  <c r="AB236" i="5"/>
  <c r="Y163" i="17" s="1"/>
  <c r="AD236" i="5"/>
  <c r="AA163" i="17" s="1"/>
  <c r="AC210" i="5"/>
  <c r="Z145" i="17" s="1"/>
  <c r="AB210" i="5"/>
  <c r="Y145" i="17" s="1"/>
  <c r="AD210" i="5"/>
  <c r="AA145" i="17" s="1"/>
  <c r="AC205" i="5"/>
  <c r="Z68" i="22" s="1"/>
  <c r="AB205" i="5"/>
  <c r="Y68" i="22" s="1"/>
  <c r="AD205" i="5"/>
  <c r="AA68" i="22" s="1"/>
  <c r="AC347" i="5"/>
  <c r="Z141" i="22" s="1"/>
  <c r="AB347" i="5"/>
  <c r="Y141" i="22" s="1"/>
  <c r="AD347" i="5"/>
  <c r="AA141" i="22" s="1"/>
  <c r="AC339" i="5"/>
  <c r="Z205" i="17" s="1"/>
  <c r="AB339" i="5"/>
  <c r="Y205" i="17" s="1"/>
  <c r="AD339" i="5"/>
  <c r="AA205" i="17" s="1"/>
  <c r="AC346" i="5"/>
  <c r="Z140" i="22" s="1"/>
  <c r="AD346" i="5"/>
  <c r="AA140" i="22" s="1"/>
  <c r="AB346" i="5"/>
  <c r="Y140" i="22" s="1"/>
  <c r="AC333" i="5"/>
  <c r="Z128" i="22" s="1"/>
  <c r="AB333" i="5"/>
  <c r="Y128" i="22" s="1"/>
  <c r="AD333" i="5"/>
  <c r="AA128" i="22" s="1"/>
  <c r="AC494" i="5"/>
  <c r="Z8" i="20" s="1"/>
  <c r="AD494" i="5"/>
  <c r="AA8" i="20" s="1"/>
  <c r="AB494" i="5"/>
  <c r="Y8" i="20" s="1"/>
  <c r="AC592" i="5"/>
  <c r="Z36" i="21" s="1"/>
  <c r="AD592" i="5"/>
  <c r="AA36" i="21" s="1"/>
  <c r="AB592" i="5"/>
  <c r="Y36" i="21" s="1"/>
  <c r="AC367" i="5"/>
  <c r="Z156" i="22" s="1"/>
  <c r="AB367" i="5"/>
  <c r="Y156" i="22" s="1"/>
  <c r="AD367" i="5"/>
  <c r="AA156" i="22" s="1"/>
  <c r="AC384" i="5"/>
  <c r="Z217" i="17" s="1"/>
  <c r="AD384" i="5"/>
  <c r="AA217" i="17" s="1"/>
  <c r="AB384" i="5"/>
  <c r="Y217" i="17" s="1"/>
  <c r="AC390" i="5"/>
  <c r="Z221" i="17" s="1"/>
  <c r="AB390" i="5"/>
  <c r="Y221" i="17" s="1"/>
  <c r="AD390" i="5"/>
  <c r="AA221" i="17" s="1"/>
  <c r="AC393" i="5"/>
  <c r="Z168" i="22" s="1"/>
  <c r="AB393" i="5"/>
  <c r="Y168" i="22" s="1"/>
  <c r="AD393" i="5"/>
  <c r="AA168" i="22" s="1"/>
  <c r="AC361" i="5"/>
  <c r="Z207" i="17" s="1"/>
  <c r="AB361" i="5"/>
  <c r="Y207" i="17" s="1"/>
  <c r="AD361" i="5"/>
  <c r="AA207" i="17" s="1"/>
  <c r="AC359" i="5"/>
  <c r="Z152" i="22" s="1"/>
  <c r="AD359" i="5"/>
  <c r="AA152" i="22" s="1"/>
  <c r="AB359" i="5"/>
  <c r="Y152" i="22" s="1"/>
  <c r="AC232" i="5"/>
  <c r="Z159" i="17" s="1"/>
  <c r="AD232" i="5"/>
  <c r="AA159" i="17" s="1"/>
  <c r="AB232" i="5"/>
  <c r="Y159" i="17" s="1"/>
  <c r="AC214" i="5"/>
  <c r="Z147" i="17" s="1"/>
  <c r="AB214" i="5"/>
  <c r="Y147" i="17" s="1"/>
  <c r="AD214" i="5"/>
  <c r="AA147" i="17" s="1"/>
  <c r="AC332" i="5"/>
  <c r="Z127" i="22" s="1"/>
  <c r="AD332" i="5"/>
  <c r="AA127" i="22" s="1"/>
  <c r="AB332" i="5"/>
  <c r="Y127" i="22" s="1"/>
  <c r="AC511" i="5"/>
  <c r="Z271" i="17" s="1"/>
  <c r="AB511" i="5"/>
  <c r="Y271" i="17" s="1"/>
  <c r="AD511" i="5"/>
  <c r="AA271" i="17" s="1"/>
  <c r="AC224" i="5"/>
  <c r="Z154" i="17" s="1"/>
  <c r="AB224" i="5"/>
  <c r="Y154" i="17" s="1"/>
  <c r="AD224" i="5"/>
  <c r="AA154" i="17" s="1"/>
  <c r="AC206" i="5"/>
  <c r="Z142" i="17" s="1"/>
  <c r="AB206" i="5"/>
  <c r="Y142" i="17" s="1"/>
  <c r="AD206" i="5"/>
  <c r="AA142" i="17" s="1"/>
  <c r="AC201" i="5"/>
  <c r="Z140" i="17" s="1"/>
  <c r="AB201" i="5"/>
  <c r="Y140" i="17" s="1"/>
  <c r="AD201" i="5"/>
  <c r="AA140" i="17" s="1"/>
  <c r="AC348" i="5"/>
  <c r="Z142" i="22" s="1"/>
  <c r="AB348" i="5"/>
  <c r="Y142" i="22" s="1"/>
  <c r="AD348" i="5"/>
  <c r="AA142" i="22" s="1"/>
  <c r="AC351" i="5"/>
  <c r="Z145" i="22" s="1"/>
  <c r="AD351" i="5"/>
  <c r="AA145" i="22" s="1"/>
  <c r="AB351" i="5"/>
  <c r="Y145" i="22" s="1"/>
  <c r="AC342" i="5"/>
  <c r="Z136" i="22" s="1"/>
  <c r="AD342" i="5"/>
  <c r="AA136" i="22" s="1"/>
  <c r="AB342" i="5"/>
  <c r="Y136" i="22" s="1"/>
  <c r="AC580" i="5"/>
  <c r="Z236" i="22" s="1"/>
  <c r="AD580" i="5"/>
  <c r="AA236" i="22" s="1"/>
  <c r="AB580" i="5"/>
  <c r="Y236" i="22" s="1"/>
  <c r="AC578" i="5"/>
  <c r="Z234" i="22" s="1"/>
  <c r="AB578" i="5"/>
  <c r="Y234" i="22" s="1"/>
  <c r="AD578" i="5"/>
  <c r="AA234" i="22" s="1"/>
  <c r="AC513" i="5"/>
  <c r="Z273" i="17" s="1"/>
  <c r="AB513" i="5"/>
  <c r="Y273" i="17" s="1"/>
  <c r="AD513" i="5"/>
  <c r="AA273" i="17" s="1"/>
  <c r="Y157" i="17"/>
  <c r="AC395" i="5"/>
  <c r="Z224" i="17" s="1"/>
  <c r="AB395" i="5"/>
  <c r="Y224" i="17" s="1"/>
  <c r="AD395" i="5"/>
  <c r="AA224" i="17" s="1"/>
  <c r="AC380" i="5"/>
  <c r="Z163" i="22" s="1"/>
  <c r="AD380" i="5"/>
  <c r="AA163" i="22" s="1"/>
  <c r="AB380" i="5"/>
  <c r="Y163" i="22" s="1"/>
  <c r="AC386" i="5"/>
  <c r="Z166" i="22" s="1"/>
  <c r="AB386" i="5"/>
  <c r="Y166" i="22" s="1"/>
  <c r="AD386" i="5"/>
  <c r="AA166" i="22" s="1"/>
  <c r="AC389" i="5"/>
  <c r="Z167" i="22" s="1"/>
  <c r="AB389" i="5"/>
  <c r="Y167" i="22" s="1"/>
  <c r="AD389" i="5"/>
  <c r="AA167" i="22" s="1"/>
  <c r="AC571" i="5"/>
  <c r="Z303" i="17" s="1"/>
  <c r="AB571" i="5"/>
  <c r="Y303" i="17" s="1"/>
  <c r="AD571" i="5"/>
  <c r="AA303" i="17" s="1"/>
  <c r="AC623" i="5"/>
  <c r="Z260" i="22" s="1"/>
  <c r="AB623" i="5"/>
  <c r="Y260" i="22" s="1"/>
  <c r="AD623" i="5"/>
  <c r="AA260" i="22" s="1"/>
  <c r="AC358" i="5"/>
  <c r="Z151" i="22" s="1"/>
  <c r="AB358" i="5"/>
  <c r="Y151" i="22" s="1"/>
  <c r="AD358" i="5"/>
  <c r="AA151" i="22" s="1"/>
  <c r="AC228" i="5"/>
  <c r="Z76" i="22" s="1"/>
  <c r="AB228" i="5"/>
  <c r="Y76" i="22" s="1"/>
  <c r="AD228" i="5"/>
  <c r="AA76" i="22" s="1"/>
  <c r="AC233" i="5"/>
  <c r="Z160" i="17" s="1"/>
  <c r="AB233" i="5"/>
  <c r="Y160" i="17" s="1"/>
  <c r="AD233" i="5"/>
  <c r="AA160" i="17" s="1"/>
  <c r="AC328" i="5"/>
  <c r="Z124" i="22" s="1"/>
  <c r="AB328" i="5"/>
  <c r="Y124" i="22" s="1"/>
  <c r="AD328" i="5"/>
  <c r="AA124" i="22" s="1"/>
  <c r="AC211" i="5"/>
  <c r="Z70" i="22" s="1"/>
  <c r="AD211" i="5"/>
  <c r="AA70" i="22" s="1"/>
  <c r="AB211" i="5"/>
  <c r="Y70" i="22" s="1"/>
  <c r="AC212" i="5"/>
  <c r="Z71" i="22" s="1"/>
  <c r="AB212" i="5"/>
  <c r="Y71" i="22" s="1"/>
  <c r="AD212" i="5"/>
  <c r="AA71" i="22" s="1"/>
  <c r="AC202" i="5"/>
  <c r="Z141" i="17" s="1"/>
  <c r="AB202" i="5"/>
  <c r="Y141" i="17" s="1"/>
  <c r="AD202" i="5"/>
  <c r="AA141" i="17" s="1"/>
  <c r="AC197" i="5"/>
  <c r="Z136" i="17" s="1"/>
  <c r="AD197" i="5"/>
  <c r="AA136" i="17" s="1"/>
  <c r="AB197" i="5"/>
  <c r="Y136" i="17" s="1"/>
  <c r="AC350" i="5"/>
  <c r="Z144" i="22" s="1"/>
  <c r="AD350" i="5"/>
  <c r="AA144" i="22" s="1"/>
  <c r="AB350" i="5"/>
  <c r="Y144" i="22" s="1"/>
  <c r="AC335" i="5"/>
  <c r="Z130" i="22" s="1"/>
  <c r="AB335" i="5"/>
  <c r="Y130" i="22" s="1"/>
  <c r="AD335" i="5"/>
  <c r="AA130" i="22" s="1"/>
  <c r="AC338" i="5"/>
  <c r="Z133" i="22" s="1"/>
  <c r="AD338" i="5"/>
  <c r="AA133" i="22" s="1"/>
  <c r="AB338" i="5"/>
  <c r="Y133" i="22" s="1"/>
  <c r="AC528" i="5"/>
  <c r="Z218" i="22" s="1"/>
  <c r="AB528" i="5"/>
  <c r="Y218" i="22" s="1"/>
  <c r="AD528" i="5"/>
  <c r="AA218" i="22" s="1"/>
  <c r="AC579" i="5"/>
  <c r="Z235" i="22" s="1"/>
  <c r="AB579" i="5"/>
  <c r="Y235" i="22" s="1"/>
  <c r="AD579" i="5"/>
  <c r="AA235" i="22" s="1"/>
  <c r="AA157" i="17"/>
  <c r="AC375" i="5"/>
  <c r="Z213" i="17" s="1"/>
  <c r="AD375" i="5"/>
  <c r="AA213" i="17" s="1"/>
  <c r="AB375" i="5"/>
  <c r="Y213" i="17" s="1"/>
  <c r="AC376" i="5"/>
  <c r="Z214" i="17" s="1"/>
  <c r="AD376" i="5"/>
  <c r="AA214" i="17" s="1"/>
  <c r="AB376" i="5"/>
  <c r="Y214" i="17" s="1"/>
  <c r="AC382" i="5"/>
  <c r="Z164" i="22" s="1"/>
  <c r="AD382" i="5"/>
  <c r="AA164" i="22" s="1"/>
  <c r="AB382" i="5"/>
  <c r="Y164" i="22" s="1"/>
  <c r="AC385" i="5"/>
  <c r="Z218" i="17" s="1"/>
  <c r="AB385" i="5"/>
  <c r="Y218" i="17" s="1"/>
  <c r="AD385" i="5"/>
  <c r="AA218" i="17" s="1"/>
  <c r="AC554" i="5"/>
  <c r="Z232" i="22" s="1"/>
  <c r="AB554" i="5"/>
  <c r="Y232" i="22" s="1"/>
  <c r="AD554" i="5"/>
  <c r="AA232" i="22" s="1"/>
  <c r="AC587" i="5"/>
  <c r="Z243" i="22" s="1"/>
  <c r="AB587" i="5"/>
  <c r="Y243" i="22" s="1"/>
  <c r="AD587" i="5"/>
  <c r="AA243" i="22" s="1"/>
  <c r="AC357" i="5"/>
  <c r="Z150" i="22" s="1"/>
  <c r="AB357" i="5"/>
  <c r="Y150" i="22" s="1"/>
  <c r="AD357" i="5"/>
  <c r="AA150" i="22" s="1"/>
  <c r="AC220" i="5"/>
  <c r="Z153" i="17" s="1"/>
  <c r="AB220" i="5"/>
  <c r="Y153" i="17" s="1"/>
  <c r="AD220" i="5"/>
  <c r="AA153" i="17" s="1"/>
  <c r="AC221" i="5"/>
  <c r="Z72" i="22" s="1"/>
  <c r="AD221" i="5"/>
  <c r="AA72" i="22" s="1"/>
  <c r="AB221" i="5"/>
  <c r="Y72" i="22" s="1"/>
  <c r="AC320" i="5"/>
  <c r="Z116" i="22" s="1"/>
  <c r="AD320" i="5"/>
  <c r="AA116" i="22" s="1"/>
  <c r="AB320" i="5"/>
  <c r="Y116" i="22" s="1"/>
  <c r="AC195" i="5"/>
  <c r="Z134" i="17" s="1"/>
  <c r="AB195" i="5"/>
  <c r="Y134" i="17" s="1"/>
  <c r="AD195" i="5"/>
  <c r="AA134" i="17" s="1"/>
  <c r="AC208" i="5"/>
  <c r="Z143" i="17" s="1"/>
  <c r="AB208" i="5"/>
  <c r="Y143" i="17" s="1"/>
  <c r="AD208" i="5"/>
  <c r="AA143" i="17" s="1"/>
  <c r="AC198" i="5"/>
  <c r="Z137" i="17" s="1"/>
  <c r="AB198" i="5"/>
  <c r="Y137" i="17" s="1"/>
  <c r="AD198" i="5"/>
  <c r="AA137" i="17" s="1"/>
  <c r="AC324" i="5"/>
  <c r="Z120" i="22" s="1"/>
  <c r="AB324" i="5"/>
  <c r="Y120" i="22" s="1"/>
  <c r="AD324" i="5"/>
  <c r="AA120" i="22" s="1"/>
  <c r="AC619" i="5"/>
  <c r="Z315" i="17" s="1"/>
  <c r="AD619" i="5"/>
  <c r="AA315" i="17" s="1"/>
  <c r="AB619" i="5"/>
  <c r="Y315" i="17" s="1"/>
  <c r="AC343" i="5"/>
  <c r="Z137" i="22" s="1"/>
  <c r="AD343" i="5"/>
  <c r="AA137" i="22" s="1"/>
  <c r="AB343" i="5"/>
  <c r="Y137" i="22" s="1"/>
  <c r="AC334" i="5"/>
  <c r="Z129" i="22" s="1"/>
  <c r="AB334" i="5"/>
  <c r="Y129" i="22" s="1"/>
  <c r="AD334" i="5"/>
  <c r="AA129" i="22" s="1"/>
  <c r="AC356" i="5"/>
  <c r="Z149" i="22" s="1"/>
  <c r="AB356" i="5"/>
  <c r="Y149" i="22" s="1"/>
  <c r="AD356" i="5"/>
  <c r="AA149" i="22" s="1"/>
  <c r="AC567" i="5"/>
  <c r="Z299" i="17" s="1"/>
  <c r="AB567" i="5"/>
  <c r="Y299" i="17" s="1"/>
  <c r="AD567" i="5"/>
  <c r="AA299" i="17" s="1"/>
  <c r="Z157" i="17"/>
  <c r="AC363" i="5"/>
  <c r="Z208" i="17" s="1"/>
  <c r="AD363" i="5"/>
  <c r="AA208" i="17" s="1"/>
  <c r="AB363" i="5"/>
  <c r="Y208" i="17" s="1"/>
  <c r="AC372" i="5"/>
  <c r="Z211" i="17" s="1"/>
  <c r="AD372" i="5"/>
  <c r="AA211" i="17" s="1"/>
  <c r="AB372" i="5"/>
  <c r="Y211" i="17" s="1"/>
  <c r="AC378" i="5"/>
  <c r="Z162" i="22" s="1"/>
  <c r="AD378" i="5"/>
  <c r="AA162" i="22" s="1"/>
  <c r="AB378" i="5"/>
  <c r="Y162" i="22" s="1"/>
  <c r="AC381" i="5"/>
  <c r="Z216" i="17" s="1"/>
  <c r="AD381" i="5"/>
  <c r="AA216" i="17" s="1"/>
  <c r="AB381" i="5"/>
  <c r="Y216" i="17" s="1"/>
  <c r="AC541" i="5"/>
  <c r="Z30" i="21" s="1"/>
  <c r="AB541" i="5"/>
  <c r="Y30" i="21" s="1"/>
  <c r="AD541" i="5"/>
  <c r="AA30" i="21" s="1"/>
  <c r="AC574" i="5"/>
  <c r="Z306" i="17" s="1"/>
  <c r="AB574" i="5"/>
  <c r="Y306" i="17" s="1"/>
  <c r="AD574" i="5"/>
  <c r="AA306" i="17" s="1"/>
  <c r="AC557" i="5"/>
  <c r="Z289" i="17" s="1"/>
  <c r="AD557" i="5"/>
  <c r="AA289" i="17" s="1"/>
  <c r="AB557" i="5"/>
  <c r="Y289" i="17" s="1"/>
  <c r="AC227" i="5"/>
  <c r="Z156" i="17" s="1"/>
  <c r="AB227" i="5"/>
  <c r="Y156" i="17" s="1"/>
  <c r="AD227" i="5"/>
  <c r="AA156" i="17" s="1"/>
  <c r="AC216" i="5"/>
  <c r="Z149" i="17" s="1"/>
  <c r="AB216" i="5"/>
  <c r="Y149" i="17" s="1"/>
  <c r="AD216" i="5"/>
  <c r="AA149" i="17" s="1"/>
  <c r="AC217" i="5"/>
  <c r="Z150" i="17" s="1"/>
  <c r="AB217" i="5"/>
  <c r="Y150" i="17" s="1"/>
  <c r="AD217" i="5"/>
  <c r="AA150" i="17" s="1"/>
  <c r="AC330" i="5"/>
  <c r="Z126" i="22" s="1"/>
  <c r="AB330" i="5"/>
  <c r="Y126" i="22" s="1"/>
  <c r="AD330" i="5"/>
  <c r="AA126" i="22" s="1"/>
  <c r="AC223" i="5"/>
  <c r="Z74" i="22" s="1"/>
  <c r="AD223" i="5"/>
  <c r="AA74" i="22" s="1"/>
  <c r="AB223" i="5"/>
  <c r="Y74" i="22" s="1"/>
  <c r="AC204" i="5"/>
  <c r="Z67" i="22" s="1"/>
  <c r="AB204" i="5"/>
  <c r="Y67" i="22" s="1"/>
  <c r="AD204" i="5"/>
  <c r="AA67" i="22" s="1"/>
  <c r="AC194" i="5"/>
  <c r="AB194" i="5"/>
  <c r="AD194" i="5"/>
  <c r="AC322" i="5"/>
  <c r="Z118" i="22" s="1"/>
  <c r="AD322" i="5"/>
  <c r="AA118" i="22" s="1"/>
  <c r="AB322" i="5"/>
  <c r="Y118" i="22" s="1"/>
  <c r="AC566" i="5"/>
  <c r="Z298" i="17" s="1"/>
  <c r="AB566" i="5"/>
  <c r="Y298" i="17" s="1"/>
  <c r="AD566" i="5"/>
  <c r="AA298" i="17" s="1"/>
  <c r="AC352" i="5"/>
  <c r="Z146" i="22" s="1"/>
  <c r="AB352" i="5"/>
  <c r="Y146" i="22" s="1"/>
  <c r="AD352" i="5"/>
  <c r="AA146" i="22" s="1"/>
  <c r="AC349" i="5"/>
  <c r="Z143" i="22" s="1"/>
  <c r="AB349" i="5"/>
  <c r="Y143" i="22" s="1"/>
  <c r="AD349" i="5"/>
  <c r="AA143" i="22" s="1"/>
  <c r="AC354" i="5"/>
  <c r="Z147" i="22" s="1"/>
  <c r="AD354" i="5"/>
  <c r="AA147" i="22" s="1"/>
  <c r="AB354" i="5"/>
  <c r="Y147" i="22" s="1"/>
  <c r="U157" i="17"/>
  <c r="J157" i="17" s="1"/>
  <c r="U158" i="17"/>
  <c r="J158" i="17" s="1"/>
  <c r="DJ19" i="6"/>
  <c r="DU19" i="6" s="1"/>
  <c r="DJ90" i="6"/>
  <c r="DU90" i="6" s="1"/>
  <c r="DJ16" i="6"/>
  <c r="DU16" i="6" s="1"/>
  <c r="DJ18" i="6"/>
  <c r="DU18" i="6" s="1"/>
  <c r="DJ54" i="6"/>
  <c r="DU54" i="6" s="1"/>
  <c r="DJ113" i="6"/>
  <c r="DU113" i="6" s="1"/>
  <c r="DJ22" i="6"/>
  <c r="DU22" i="6" s="1"/>
  <c r="DJ17" i="6"/>
  <c r="DU17" i="6" s="1"/>
  <c r="DJ117" i="6"/>
  <c r="DU117" i="6" s="1"/>
  <c r="DI8" i="6"/>
  <c r="DJ21" i="6"/>
  <c r="DU21" i="6" s="1"/>
  <c r="BD80" i="6"/>
  <c r="BD123" i="6"/>
  <c r="EH123" i="6" s="1"/>
  <c r="J88" i="13"/>
  <c r="J155" i="13"/>
  <c r="J139" i="13"/>
  <c r="J123" i="13"/>
  <c r="J107" i="13"/>
  <c r="J91" i="13"/>
  <c r="J150" i="13"/>
  <c r="J134" i="13"/>
  <c r="J118" i="13"/>
  <c r="J102" i="13"/>
  <c r="J129" i="13"/>
  <c r="J156" i="13"/>
  <c r="J143" i="13"/>
  <c r="J138" i="13"/>
  <c r="J109" i="13"/>
  <c r="J153" i="13"/>
  <c r="J137" i="13"/>
  <c r="J121" i="13"/>
  <c r="J105" i="13"/>
  <c r="J89" i="13"/>
  <c r="J164" i="13"/>
  <c r="J148" i="13"/>
  <c r="J132" i="13"/>
  <c r="J116" i="13"/>
  <c r="J100" i="13"/>
  <c r="J161" i="13"/>
  <c r="J97" i="13"/>
  <c r="J92" i="13"/>
  <c r="J111" i="13"/>
  <c r="J122" i="13"/>
  <c r="J125" i="13"/>
  <c r="J120" i="13"/>
  <c r="J86" i="13"/>
  <c r="J151" i="13"/>
  <c r="J135" i="13"/>
  <c r="J119" i="13"/>
  <c r="J103" i="13"/>
  <c r="J87" i="13"/>
  <c r="J162" i="13"/>
  <c r="J146" i="13"/>
  <c r="J130" i="13"/>
  <c r="J114" i="13"/>
  <c r="J98" i="13"/>
  <c r="J113" i="13"/>
  <c r="J140" i="13"/>
  <c r="J159" i="13"/>
  <c r="J154" i="13"/>
  <c r="J157" i="13"/>
  <c r="J152" i="13"/>
  <c r="J165" i="13"/>
  <c r="J149" i="13"/>
  <c r="J133" i="13"/>
  <c r="J117" i="13"/>
  <c r="J101" i="13"/>
  <c r="J160" i="13"/>
  <c r="J144" i="13"/>
  <c r="J128" i="13"/>
  <c r="J112" i="13"/>
  <c r="J96" i="13"/>
  <c r="J108" i="13"/>
  <c r="J95" i="13"/>
  <c r="J90" i="13"/>
  <c r="J93" i="13"/>
  <c r="J104" i="13"/>
  <c r="J163" i="13"/>
  <c r="J147" i="13"/>
  <c r="J131" i="13"/>
  <c r="J115" i="13"/>
  <c r="J99" i="13"/>
  <c r="J158" i="13"/>
  <c r="J142" i="13"/>
  <c r="J126" i="13"/>
  <c r="J110" i="13"/>
  <c r="J94" i="13"/>
  <c r="J145" i="13"/>
  <c r="J124" i="13"/>
  <c r="J127" i="13"/>
  <c r="J106" i="13"/>
  <c r="J141" i="13"/>
  <c r="J136" i="13"/>
  <c r="DJ75" i="6"/>
  <c r="DU75" i="6" s="1"/>
  <c r="BC80" i="6"/>
  <c r="DG17" i="6"/>
  <c r="DR17" i="6" s="1"/>
  <c r="DG89" i="6"/>
  <c r="DR89" i="6" s="1"/>
  <c r="DG113" i="6"/>
  <c r="DR113" i="6" s="1"/>
  <c r="DG16" i="6"/>
  <c r="DR16" i="6" s="1"/>
  <c r="DG18" i="6"/>
  <c r="DR18" i="6" s="1"/>
  <c r="DG90" i="6"/>
  <c r="DR90" i="6" s="1"/>
  <c r="DG19" i="6"/>
  <c r="DR19" i="6" s="1"/>
  <c r="DG115" i="6"/>
  <c r="DR115" i="6" s="1"/>
  <c r="DG20" i="6"/>
  <c r="DR20" i="6" s="1"/>
  <c r="DG116" i="6"/>
  <c r="DR116" i="6" s="1"/>
  <c r="DG21" i="6"/>
  <c r="DR21" i="6" s="1"/>
  <c r="DG53" i="6"/>
  <c r="DR53" i="6" s="1"/>
  <c r="DG93" i="6"/>
  <c r="DR93" i="6" s="1"/>
  <c r="DG22" i="6"/>
  <c r="DR22" i="6" s="1"/>
  <c r="DG54" i="6"/>
  <c r="DR54" i="6" s="1"/>
  <c r="DG112" i="6"/>
  <c r="DR112" i="6" s="1"/>
  <c r="DG79" i="6"/>
  <c r="DR79" i="6" s="1"/>
  <c r="DG88" i="6"/>
  <c r="DR88" i="6" s="1"/>
  <c r="DH22" i="6"/>
  <c r="DS22" i="6" s="1"/>
  <c r="DH54" i="6"/>
  <c r="DS54" i="6" s="1"/>
  <c r="DH79" i="6"/>
  <c r="DS79" i="6" s="1"/>
  <c r="DH53" i="6"/>
  <c r="DS53" i="6" s="1"/>
  <c r="DH93" i="6"/>
  <c r="DS93" i="6" s="1"/>
  <c r="DH88" i="6"/>
  <c r="DS88" i="6" s="1"/>
  <c r="DH112" i="6"/>
  <c r="DS112" i="6" s="1"/>
  <c r="DH16" i="6"/>
  <c r="DS16" i="6" s="1"/>
  <c r="DH17" i="6"/>
  <c r="DS17" i="6" s="1"/>
  <c r="DH89" i="6"/>
  <c r="DS89" i="6" s="1"/>
  <c r="DH113" i="6"/>
  <c r="DS113" i="6" s="1"/>
  <c r="DH18" i="6"/>
  <c r="DS18" i="6" s="1"/>
  <c r="DH90" i="6"/>
  <c r="DS90" i="6" s="1"/>
  <c r="DH19" i="6"/>
  <c r="DS19" i="6" s="1"/>
  <c r="DH115" i="6"/>
  <c r="DS115" i="6" s="1"/>
  <c r="DH21" i="6"/>
  <c r="DS21" i="6" s="1"/>
  <c r="DH20" i="6"/>
  <c r="DS20" i="6" s="1"/>
  <c r="DH116" i="6"/>
  <c r="DS116" i="6" s="1"/>
  <c r="AF11" i="1"/>
  <c r="AT75" i="6"/>
  <c r="AE11" i="1"/>
  <c r="BE80" i="6"/>
  <c r="BC71" i="6"/>
  <c r="BC98" i="6"/>
  <c r="EH98" i="6" s="1"/>
  <c r="BC101" i="6"/>
  <c r="BC104" i="6"/>
  <c r="BC96" i="6"/>
  <c r="EH96" i="6" s="1"/>
  <c r="BC58" i="6"/>
  <c r="AV75" i="6"/>
  <c r="DS5" i="6"/>
  <c r="DC17" i="6"/>
  <c r="DC82" i="6"/>
  <c r="DC107" i="6"/>
  <c r="DC59" i="6"/>
  <c r="DC27" i="6"/>
  <c r="DC92" i="6"/>
  <c r="DC20" i="6"/>
  <c r="DC85" i="6"/>
  <c r="DC119" i="6"/>
  <c r="DC46" i="6"/>
  <c r="DC110" i="6"/>
  <c r="DC22" i="6"/>
  <c r="DC23" i="6"/>
  <c r="DC88" i="6"/>
  <c r="DC49" i="6"/>
  <c r="DC61" i="6"/>
  <c r="DC25" i="6"/>
  <c r="DC90" i="6"/>
  <c r="DC131" i="6"/>
  <c r="DC67" i="6"/>
  <c r="DC36" i="6"/>
  <c r="DC100" i="6"/>
  <c r="DC28" i="6"/>
  <c r="DC93" i="6"/>
  <c r="DC41" i="6"/>
  <c r="DC54" i="6"/>
  <c r="DC118" i="6"/>
  <c r="DC31" i="6"/>
  <c r="DC32" i="6"/>
  <c r="DC96" i="6"/>
  <c r="DC65" i="6"/>
  <c r="DC86" i="6"/>
  <c r="DC34" i="6"/>
  <c r="DC98" i="6"/>
  <c r="DC121" i="6"/>
  <c r="DC83" i="6"/>
  <c r="DC44" i="6"/>
  <c r="DC108" i="6"/>
  <c r="DC37" i="6"/>
  <c r="DC101" i="6"/>
  <c r="DC81" i="6"/>
  <c r="DC62" i="6"/>
  <c r="DC126" i="6"/>
  <c r="DC39" i="6"/>
  <c r="DC40" i="6"/>
  <c r="DC104" i="6"/>
  <c r="DC73" i="6"/>
  <c r="DC68" i="6"/>
  <c r="DC42" i="6"/>
  <c r="DC106" i="6"/>
  <c r="DC18" i="6"/>
  <c r="DC91" i="6"/>
  <c r="DC52" i="6"/>
  <c r="DC116" i="6"/>
  <c r="DC45" i="6"/>
  <c r="DC109" i="6"/>
  <c r="DC97" i="6"/>
  <c r="DC70" i="6"/>
  <c r="DC16" i="6"/>
  <c r="DC47" i="6"/>
  <c r="DC48" i="6"/>
  <c r="DC112" i="6"/>
  <c r="DC89" i="6"/>
  <c r="DC79" i="6"/>
  <c r="DC50" i="6"/>
  <c r="DC114" i="6"/>
  <c r="DC26" i="6"/>
  <c r="DC99" i="6"/>
  <c r="DC60" i="6"/>
  <c r="DC124" i="6"/>
  <c r="DC53" i="6"/>
  <c r="DC117" i="6"/>
  <c r="DC129" i="6"/>
  <c r="DC78" i="6"/>
  <c r="DC71" i="6"/>
  <c r="DC55" i="6"/>
  <c r="DC56" i="6"/>
  <c r="DC120" i="6"/>
  <c r="DC105" i="6"/>
  <c r="DC58" i="6"/>
  <c r="DC122" i="6"/>
  <c r="DC35" i="6"/>
  <c r="DC115" i="6"/>
  <c r="DC21" i="6"/>
  <c r="DC87" i="6"/>
  <c r="DC66" i="6"/>
  <c r="DC130" i="6"/>
  <c r="DC43" i="6"/>
  <c r="DC123" i="6"/>
  <c r="DC76" i="6"/>
  <c r="DC57" i="6"/>
  <c r="DC69" i="6"/>
  <c r="DC133" i="6"/>
  <c r="DC30" i="6"/>
  <c r="DC94" i="6"/>
  <c r="DC103" i="6"/>
  <c r="DC95" i="6"/>
  <c r="DC72" i="6"/>
  <c r="DC24" i="6"/>
  <c r="DC132" i="6"/>
  <c r="DC128" i="6"/>
  <c r="DC74" i="6"/>
  <c r="DC75" i="6"/>
  <c r="DC51" i="6"/>
  <c r="DC19" i="6"/>
  <c r="DC84" i="6"/>
  <c r="DC113" i="6"/>
  <c r="DC77" i="6"/>
  <c r="DC63" i="6"/>
  <c r="DC38" i="6"/>
  <c r="DC102" i="6"/>
  <c r="DC127" i="6"/>
  <c r="DC111" i="6"/>
  <c r="DC80" i="6"/>
  <c r="DC33" i="6"/>
  <c r="DC125" i="6"/>
  <c r="DC64" i="6"/>
  <c r="DF104" i="6"/>
  <c r="DQ104" i="6" s="1"/>
  <c r="DF109" i="6"/>
  <c r="DQ109" i="6" s="1"/>
  <c r="DF124" i="6"/>
  <c r="DQ124" i="6" s="1"/>
  <c r="DF110" i="6"/>
  <c r="DQ110" i="6" s="1"/>
  <c r="DF108" i="6"/>
  <c r="DQ108" i="6" s="1"/>
  <c r="DF123" i="6"/>
  <c r="DQ123" i="6" s="1"/>
  <c r="DF114" i="6"/>
  <c r="DQ114" i="6" s="1"/>
  <c r="DF87" i="6"/>
  <c r="DQ87" i="6" s="1"/>
  <c r="DF103" i="6"/>
  <c r="DQ103" i="6" s="1"/>
  <c r="DF96" i="6"/>
  <c r="DQ96" i="6" s="1"/>
  <c r="DF91" i="6"/>
  <c r="DQ91" i="6" s="1"/>
  <c r="DF92" i="6"/>
  <c r="DQ92" i="6" s="1"/>
  <c r="DF99" i="6"/>
  <c r="DQ99" i="6" s="1"/>
  <c r="DF98" i="6"/>
  <c r="DQ98" i="6" s="1"/>
  <c r="DF100" i="6"/>
  <c r="DQ100" i="6" s="1"/>
  <c r="DF101" i="6"/>
  <c r="DQ101" i="6" s="1"/>
  <c r="DF82" i="6"/>
  <c r="DQ82" i="6" s="1"/>
  <c r="DF77" i="6"/>
  <c r="DQ77" i="6" s="1"/>
  <c r="DF85" i="6"/>
  <c r="DQ85" i="6" s="1"/>
  <c r="DF86" i="6"/>
  <c r="DQ86" i="6" s="1"/>
  <c r="DF80" i="6"/>
  <c r="DQ80" i="6" s="1"/>
  <c r="DG8" i="6"/>
  <c r="DH8" i="6"/>
  <c r="DF55" i="6"/>
  <c r="DQ55" i="6" s="1"/>
  <c r="DF71" i="6"/>
  <c r="DQ71" i="6" s="1"/>
  <c r="DF56" i="6"/>
  <c r="DQ56" i="6" s="1"/>
  <c r="DF72" i="6"/>
  <c r="DQ72" i="6" s="1"/>
  <c r="DF73" i="6"/>
  <c r="DQ73" i="6" s="1"/>
  <c r="DF67" i="6"/>
  <c r="DQ67" i="6" s="1"/>
  <c r="DF68" i="6"/>
  <c r="DF70" i="6"/>
  <c r="DQ70" i="6" s="1"/>
  <c r="DG6" i="6"/>
  <c r="BD101" i="6" l="1"/>
  <c r="BD71" i="6"/>
  <c r="BD58" i="6"/>
  <c r="BD104" i="6"/>
  <c r="BA68" i="6"/>
  <c r="BC68" i="6"/>
  <c r="BD68" i="6"/>
  <c r="BB68" i="6"/>
  <c r="DJ97" i="6"/>
  <c r="DU97" i="6" s="1"/>
  <c r="DK80" i="6"/>
  <c r="DV80" i="6" s="1"/>
  <c r="DK104" i="6"/>
  <c r="DV104" i="6" s="1"/>
  <c r="DK56" i="6"/>
  <c r="DV56" i="6" s="1"/>
  <c r="DK82" i="6"/>
  <c r="DV82" i="6" s="1"/>
  <c r="DK86" i="6"/>
  <c r="DV86" i="6" s="1"/>
  <c r="DK110" i="6"/>
  <c r="DV110" i="6" s="1"/>
  <c r="DK68" i="6"/>
  <c r="DV68" i="6" s="1"/>
  <c r="K83" i="13"/>
  <c r="DK92" i="6"/>
  <c r="DK101" i="6"/>
  <c r="DV101" i="6" s="1"/>
  <c r="DK100" i="6"/>
  <c r="DV100" i="6" s="1"/>
  <c r="DK90" i="6"/>
  <c r="DV90" i="6" s="1"/>
  <c r="DJ8" i="6"/>
  <c r="DK75" i="6" s="1"/>
  <c r="DV75" i="6" s="1"/>
  <c r="DK19" i="6"/>
  <c r="DV19" i="6" s="1"/>
  <c r="DK20" i="6"/>
  <c r="DV20" i="6" s="1"/>
  <c r="DK22" i="6"/>
  <c r="DV22" i="6" s="1"/>
  <c r="DK16" i="6"/>
  <c r="DV16" i="6" s="1"/>
  <c r="DK54" i="6"/>
  <c r="DV54" i="6" s="1"/>
  <c r="DK21" i="6"/>
  <c r="DV21" i="6" s="1"/>
  <c r="DK117" i="6"/>
  <c r="DV117" i="6" s="1"/>
  <c r="DX117" i="6" s="1"/>
  <c r="DK17" i="6"/>
  <c r="DV17" i="6" s="1"/>
  <c r="DK18" i="6"/>
  <c r="DV18" i="6" s="1"/>
  <c r="DK113" i="6"/>
  <c r="DV113" i="6" s="1"/>
  <c r="H11" i="6"/>
  <c r="AI8" i="6" s="1"/>
  <c r="DF29" i="6"/>
  <c r="DQ29" i="6" s="1"/>
  <c r="DF27" i="6"/>
  <c r="DQ27" i="6" s="1"/>
  <c r="DF111" i="6"/>
  <c r="DQ111" i="6" s="1"/>
  <c r="DF106" i="6"/>
  <c r="DQ106" i="6" s="1"/>
  <c r="DF39" i="6"/>
  <c r="DQ39" i="6" s="1"/>
  <c r="DF58" i="6"/>
  <c r="DQ58" i="6" s="1"/>
  <c r="DF43" i="6"/>
  <c r="DQ43" i="6" s="1"/>
  <c r="DF120" i="6"/>
  <c r="DQ120" i="6" s="1"/>
  <c r="DF119" i="6"/>
  <c r="DQ119" i="6" s="1"/>
  <c r="DF37" i="6"/>
  <c r="DQ37" i="6" s="1"/>
  <c r="DF66" i="6"/>
  <c r="DQ66" i="6" s="1"/>
  <c r="DF75" i="6"/>
  <c r="DQ75" i="6" s="1"/>
  <c r="DF121" i="6"/>
  <c r="DQ121" i="6" s="1"/>
  <c r="DF127" i="6"/>
  <c r="DQ127" i="6" s="1"/>
  <c r="DF59" i="6"/>
  <c r="DQ59" i="6" s="1"/>
  <c r="DF78" i="6"/>
  <c r="DQ78" i="6" s="1"/>
  <c r="DF40" i="6"/>
  <c r="DQ40" i="6" s="1"/>
  <c r="DF57" i="6"/>
  <c r="DQ57" i="6" s="1"/>
  <c r="DF42" i="6"/>
  <c r="DQ42" i="6" s="1"/>
  <c r="DF28" i="6"/>
  <c r="DQ28" i="6" s="1"/>
  <c r="DF128" i="6"/>
  <c r="DQ128" i="6" s="1"/>
  <c r="DF81" i="6"/>
  <c r="DQ81" i="6" s="1"/>
  <c r="DF41" i="6"/>
  <c r="DQ41" i="6" s="1"/>
  <c r="DF60" i="6"/>
  <c r="DQ60" i="6" s="1"/>
  <c r="DF102" i="6"/>
  <c r="DQ102" i="6" s="1"/>
  <c r="DF125" i="6"/>
  <c r="DQ125" i="6" s="1"/>
  <c r="DF118" i="6"/>
  <c r="DQ118" i="6" s="1"/>
  <c r="DF129" i="6"/>
  <c r="DQ129" i="6" s="1"/>
  <c r="DF38" i="6"/>
  <c r="DQ38" i="6" s="1"/>
  <c r="DF65" i="6"/>
  <c r="DQ65" i="6" s="1"/>
  <c r="DF105" i="6"/>
  <c r="DQ105" i="6" s="1"/>
  <c r="G11" i="6"/>
  <c r="AH8" i="6" s="1"/>
  <c r="U309" i="17"/>
  <c r="J309" i="17" s="1"/>
  <c r="U280" i="17"/>
  <c r="J280" i="17" s="1"/>
  <c r="U158" i="22"/>
  <c r="J158" i="22" s="1"/>
  <c r="U302" i="17"/>
  <c r="J302" i="17" s="1"/>
  <c r="U279" i="17"/>
  <c r="J279" i="17" s="1"/>
  <c r="U305" i="17"/>
  <c r="J305" i="17" s="1"/>
  <c r="U301" i="17"/>
  <c r="J301" i="17" s="1"/>
  <c r="U270" i="17"/>
  <c r="J270" i="17" s="1"/>
  <c r="U157" i="22"/>
  <c r="J157" i="22" s="1"/>
  <c r="U273" i="17"/>
  <c r="J273" i="17" s="1"/>
  <c r="U8" i="21"/>
  <c r="U308" i="17"/>
  <c r="J308" i="17" s="1"/>
  <c r="U310" i="17"/>
  <c r="J310" i="17" s="1"/>
  <c r="U274" i="17"/>
  <c r="J274" i="17" s="1"/>
  <c r="U299" i="17"/>
  <c r="J299" i="17" s="1"/>
  <c r="U228" i="22"/>
  <c r="J228" i="22" s="1"/>
  <c r="U304" i="17"/>
  <c r="J304" i="17" s="1"/>
  <c r="U311" i="17"/>
  <c r="J311" i="17" s="1"/>
  <c r="U269" i="17"/>
  <c r="J269" i="17" s="1"/>
  <c r="U205" i="22"/>
  <c r="J205" i="22" s="1"/>
  <c r="U117" i="22"/>
  <c r="J117" i="22" s="1"/>
  <c r="U111" i="22"/>
  <c r="J111" i="22" s="1"/>
  <c r="U106" i="22"/>
  <c r="J106" i="22" s="1"/>
  <c r="U104" i="22"/>
  <c r="J104" i="22" s="1"/>
  <c r="U103" i="22"/>
  <c r="J103" i="22" s="1"/>
  <c r="U100" i="22"/>
  <c r="J100" i="22" s="1"/>
  <c r="U113" i="22"/>
  <c r="J113" i="22" s="1"/>
  <c r="U105" i="22"/>
  <c r="J105" i="22" s="1"/>
  <c r="U118" i="22"/>
  <c r="J118" i="22" s="1"/>
  <c r="U95" i="22"/>
  <c r="J95" i="22" s="1"/>
  <c r="U94" i="22"/>
  <c r="J94" i="22" s="1"/>
  <c r="U116" i="22"/>
  <c r="J116" i="22" s="1"/>
  <c r="U112" i="22"/>
  <c r="J112" i="22" s="1"/>
  <c r="U99" i="22"/>
  <c r="J99" i="22" s="1"/>
  <c r="U93" i="22"/>
  <c r="J93" i="22" s="1"/>
  <c r="U98" i="22"/>
  <c r="J98" i="22" s="1"/>
  <c r="U114" i="22"/>
  <c r="J114" i="22" s="1"/>
  <c r="U107" i="22"/>
  <c r="J107" i="22" s="1"/>
  <c r="U97" i="22"/>
  <c r="J97" i="22" s="1"/>
  <c r="U96" i="22"/>
  <c r="J96" i="22" s="1"/>
  <c r="U87" i="22"/>
  <c r="J87" i="22" s="1"/>
  <c r="U102" i="22"/>
  <c r="J102" i="22" s="1"/>
  <c r="U88" i="22"/>
  <c r="J88" i="22" s="1"/>
  <c r="U110" i="22"/>
  <c r="J110" i="22" s="1"/>
  <c r="U101" i="22"/>
  <c r="J101" i="22" s="1"/>
  <c r="U108" i="22"/>
  <c r="J108" i="22" s="1"/>
  <c r="U91" i="22"/>
  <c r="J91" i="22" s="1"/>
  <c r="U89" i="22"/>
  <c r="J89" i="22" s="1"/>
  <c r="U115" i="22"/>
  <c r="J115" i="22" s="1"/>
  <c r="U109" i="22"/>
  <c r="J109" i="22" s="1"/>
  <c r="U92" i="22"/>
  <c r="J92" i="22" s="1"/>
  <c r="U90" i="22"/>
  <c r="J90" i="22" s="1"/>
  <c r="U124" i="22"/>
  <c r="J124" i="22" s="1"/>
  <c r="U125" i="22"/>
  <c r="J125" i="22" s="1"/>
  <c r="U120" i="22"/>
  <c r="J120" i="22" s="1"/>
  <c r="U123" i="22"/>
  <c r="J123" i="22" s="1"/>
  <c r="U122" i="22"/>
  <c r="J122" i="22" s="1"/>
  <c r="U119" i="22"/>
  <c r="J119" i="22" s="1"/>
  <c r="U121" i="22"/>
  <c r="J121" i="22" s="1"/>
  <c r="U174" i="22"/>
  <c r="J174" i="22" s="1"/>
  <c r="U172" i="22"/>
  <c r="J172" i="22" s="1"/>
  <c r="U203" i="22"/>
  <c r="J203" i="22" s="1"/>
  <c r="U189" i="22"/>
  <c r="J189" i="22" s="1"/>
  <c r="U188" i="22"/>
  <c r="J188" i="22" s="1"/>
  <c r="U173" i="22"/>
  <c r="J173" i="22" s="1"/>
  <c r="U192" i="22"/>
  <c r="J192" i="22" s="1"/>
  <c r="U175" i="22"/>
  <c r="J175" i="22" s="1"/>
  <c r="U190" i="22"/>
  <c r="J190" i="22" s="1"/>
  <c r="U171" i="22"/>
  <c r="J171" i="22" s="1"/>
  <c r="U233" i="22"/>
  <c r="J233" i="22" s="1"/>
  <c r="U237" i="22"/>
  <c r="J237" i="22" s="1"/>
  <c r="U236" i="22"/>
  <c r="J236" i="22" s="1"/>
  <c r="U18" i="22"/>
  <c r="J18" i="22" s="1"/>
  <c r="U17" i="22"/>
  <c r="J17" i="22" s="1"/>
  <c r="U10" i="22"/>
  <c r="J10" i="22" s="1"/>
  <c r="U24" i="22"/>
  <c r="J24" i="22" s="1"/>
  <c r="U9" i="22"/>
  <c r="J9" i="22" s="1"/>
  <c r="U8" i="22"/>
  <c r="J8" i="22" s="1"/>
  <c r="U27" i="21"/>
  <c r="J27" i="21" s="1"/>
  <c r="U20" i="21"/>
  <c r="J20" i="21" s="1"/>
  <c r="U19" i="21"/>
  <c r="J19" i="21" s="1"/>
  <c r="U11" i="21"/>
  <c r="J11" i="21" s="1"/>
  <c r="U17" i="20"/>
  <c r="J17" i="20" s="1"/>
  <c r="U26" i="22"/>
  <c r="J26" i="22" s="1"/>
  <c r="U25" i="22"/>
  <c r="J25" i="22" s="1"/>
  <c r="U19" i="22"/>
  <c r="J19" i="22" s="1"/>
  <c r="U16" i="20"/>
  <c r="J16" i="20" s="1"/>
  <c r="U15" i="20"/>
  <c r="J15" i="20" s="1"/>
  <c r="U29" i="22"/>
  <c r="J29" i="22" s="1"/>
  <c r="U15" i="22"/>
  <c r="J15" i="22" s="1"/>
  <c r="U28" i="21"/>
  <c r="J28" i="21" s="1"/>
  <c r="U24" i="21"/>
  <c r="J24" i="21" s="1"/>
  <c r="U23" i="21"/>
  <c r="J23" i="21" s="1"/>
  <c r="U16" i="21"/>
  <c r="J16" i="21" s="1"/>
  <c r="U13" i="21"/>
  <c r="J13" i="21" s="1"/>
  <c r="U12" i="21"/>
  <c r="J12" i="21" s="1"/>
  <c r="U18" i="20"/>
  <c r="J18" i="20" s="1"/>
  <c r="U9" i="20"/>
  <c r="J9" i="20" s="1"/>
  <c r="U32" i="21"/>
  <c r="J32" i="21" s="1"/>
  <c r="U28" i="22"/>
  <c r="J28" i="22" s="1"/>
  <c r="U30" i="21"/>
  <c r="J30" i="21" s="1"/>
  <c r="U15" i="21"/>
  <c r="J15" i="21" s="1"/>
  <c r="U31" i="22"/>
  <c r="J31" i="22" s="1"/>
  <c r="U30" i="22"/>
  <c r="J30" i="22" s="1"/>
  <c r="U27" i="22"/>
  <c r="J27" i="22" s="1"/>
  <c r="U16" i="22"/>
  <c r="J16" i="22" s="1"/>
  <c r="U31" i="21"/>
  <c r="J31" i="21" s="1"/>
  <c r="U29" i="21"/>
  <c r="J29" i="21" s="1"/>
  <c r="U17" i="21"/>
  <c r="J17" i="21" s="1"/>
  <c r="J8" i="21"/>
  <c r="U19" i="20"/>
  <c r="J19" i="20" s="1"/>
  <c r="U10" i="20"/>
  <c r="J10" i="20" s="1"/>
  <c r="U8" i="20"/>
  <c r="J8" i="20" s="1"/>
  <c r="U32" i="22"/>
  <c r="J32" i="22" s="1"/>
  <c r="U21" i="22"/>
  <c r="J21" i="22" s="1"/>
  <c r="U11" i="22"/>
  <c r="J11" i="22" s="1"/>
  <c r="U25" i="21"/>
  <c r="J25" i="21" s="1"/>
  <c r="U23" i="22"/>
  <c r="J23" i="22" s="1"/>
  <c r="U20" i="22"/>
  <c r="J20" i="22" s="1"/>
  <c r="U13" i="22"/>
  <c r="J13" i="22" s="1"/>
  <c r="U22" i="21"/>
  <c r="J22" i="21" s="1"/>
  <c r="U18" i="21"/>
  <c r="J18" i="21" s="1"/>
  <c r="U9" i="21"/>
  <c r="J9" i="21" s="1"/>
  <c r="U13" i="20"/>
  <c r="J13" i="20" s="1"/>
  <c r="U12" i="20"/>
  <c r="J12" i="20" s="1"/>
  <c r="U11" i="20"/>
  <c r="J11" i="20" s="1"/>
  <c r="U22" i="22"/>
  <c r="J22" i="22" s="1"/>
  <c r="U10" i="21"/>
  <c r="J10" i="21" s="1"/>
  <c r="U21" i="21"/>
  <c r="J21" i="21" s="1"/>
  <c r="U12" i="22"/>
  <c r="J12" i="22" s="1"/>
  <c r="U26" i="21"/>
  <c r="J26" i="21" s="1"/>
  <c r="U261" i="22"/>
  <c r="J261" i="22" s="1"/>
  <c r="U255" i="22"/>
  <c r="J255" i="22" s="1"/>
  <c r="U250" i="22"/>
  <c r="J250" i="22" s="1"/>
  <c r="U254" i="22"/>
  <c r="J254" i="22" s="1"/>
  <c r="U258" i="22"/>
  <c r="J258" i="22" s="1"/>
  <c r="U256" i="22"/>
  <c r="J256" i="22" s="1"/>
  <c r="U251" i="22"/>
  <c r="J251" i="22" s="1"/>
  <c r="U257" i="22"/>
  <c r="J257" i="22" s="1"/>
  <c r="U253" i="22"/>
  <c r="J253" i="22" s="1"/>
  <c r="U252" i="22"/>
  <c r="J252" i="22" s="1"/>
  <c r="U249" i="22"/>
  <c r="J249" i="22" s="1"/>
  <c r="U248" i="22"/>
  <c r="J248" i="22" s="1"/>
  <c r="U247" i="22"/>
  <c r="J247" i="22" s="1"/>
  <c r="U260" i="22"/>
  <c r="J260" i="22" s="1"/>
  <c r="U196" i="22"/>
  <c r="J196" i="22" s="1"/>
  <c r="U197" i="22"/>
  <c r="J197" i="22" s="1"/>
  <c r="U195" i="22"/>
  <c r="J195" i="22" s="1"/>
  <c r="U194" i="22"/>
  <c r="J194" i="22" s="1"/>
  <c r="U202" i="22"/>
  <c r="J202" i="22" s="1"/>
  <c r="U199" i="22"/>
  <c r="J199" i="22" s="1"/>
  <c r="U193" i="22"/>
  <c r="J193" i="22" s="1"/>
  <c r="U200" i="22"/>
  <c r="J200" i="22" s="1"/>
  <c r="U198" i="22"/>
  <c r="J198" i="22" s="1"/>
  <c r="U201" i="22"/>
  <c r="J201" i="22" s="1"/>
  <c r="U132" i="22"/>
  <c r="J132" i="22" s="1"/>
  <c r="U126" i="22"/>
  <c r="J126" i="22" s="1"/>
  <c r="U129" i="22"/>
  <c r="J129" i="22" s="1"/>
  <c r="U130" i="22"/>
  <c r="J130" i="22" s="1"/>
  <c r="U131" i="22"/>
  <c r="J131" i="22" s="1"/>
  <c r="U128" i="22"/>
  <c r="J128" i="22" s="1"/>
  <c r="U127" i="22"/>
  <c r="J127" i="22" s="1"/>
  <c r="U223" i="22"/>
  <c r="J223" i="22" s="1"/>
  <c r="U220" i="22"/>
  <c r="J220" i="22" s="1"/>
  <c r="U213" i="22"/>
  <c r="J213" i="22" s="1"/>
  <c r="U215" i="22"/>
  <c r="J215" i="22" s="1"/>
  <c r="U224" i="22"/>
  <c r="J224" i="22" s="1"/>
  <c r="U222" i="22"/>
  <c r="J222" i="22" s="1"/>
  <c r="U217" i="22"/>
  <c r="J217" i="22" s="1"/>
  <c r="U211" i="22"/>
  <c r="J211" i="22" s="1"/>
  <c r="U210" i="22"/>
  <c r="J210" i="22" s="1"/>
  <c r="U218" i="22"/>
  <c r="J218" i="22" s="1"/>
  <c r="U216" i="22"/>
  <c r="J216" i="22" s="1"/>
  <c r="U212" i="22"/>
  <c r="J212" i="22" s="1"/>
  <c r="U209" i="22"/>
  <c r="J209" i="22" s="1"/>
  <c r="U208" i="22"/>
  <c r="J208" i="22" s="1"/>
  <c r="U207" i="22"/>
  <c r="J207" i="22" s="1"/>
  <c r="U219" i="22"/>
  <c r="J219" i="22" s="1"/>
  <c r="U221" i="22"/>
  <c r="J221" i="22" s="1"/>
  <c r="U214" i="22"/>
  <c r="J214" i="22" s="1"/>
  <c r="U150" i="22"/>
  <c r="J150" i="22" s="1"/>
  <c r="U165" i="22"/>
  <c r="J165" i="22" s="1"/>
  <c r="U162" i="22"/>
  <c r="J162" i="22" s="1"/>
  <c r="U159" i="22"/>
  <c r="J159" i="22" s="1"/>
  <c r="U147" i="22"/>
  <c r="J147" i="22" s="1"/>
  <c r="U160" i="22"/>
  <c r="J160" i="22" s="1"/>
  <c r="U151" i="22"/>
  <c r="J151" i="22" s="1"/>
  <c r="U146" i="22"/>
  <c r="J146" i="22" s="1"/>
  <c r="U161" i="22"/>
  <c r="J161" i="22" s="1"/>
  <c r="U153" i="22"/>
  <c r="J153" i="22" s="1"/>
  <c r="U149" i="22"/>
  <c r="J149" i="22" s="1"/>
  <c r="U148" i="22"/>
  <c r="J148" i="22" s="1"/>
  <c r="U156" i="22"/>
  <c r="J156" i="22" s="1"/>
  <c r="U152" i="22"/>
  <c r="J152" i="22" s="1"/>
  <c r="U242" i="22"/>
  <c r="J242" i="22" s="1"/>
  <c r="U246" i="22"/>
  <c r="J246" i="22" s="1"/>
  <c r="U245" i="22"/>
  <c r="J245" i="22" s="1"/>
  <c r="U244" i="22"/>
  <c r="J244" i="22" s="1"/>
  <c r="U239" i="22"/>
  <c r="J239" i="22" s="1"/>
  <c r="U243" i="22"/>
  <c r="J243" i="22" s="1"/>
  <c r="U238" i="22"/>
  <c r="J238" i="22" s="1"/>
  <c r="U240" i="22"/>
  <c r="J240" i="22" s="1"/>
  <c r="U241" i="22"/>
  <c r="J241" i="22" s="1"/>
  <c r="U53" i="22"/>
  <c r="J53" i="22" s="1"/>
  <c r="U48" i="22"/>
  <c r="J48" i="22" s="1"/>
  <c r="U35" i="22"/>
  <c r="J35" i="22" s="1"/>
  <c r="U34" i="22"/>
  <c r="J34" i="22" s="1"/>
  <c r="U42" i="21"/>
  <c r="J42" i="21" s="1"/>
  <c r="U35" i="21"/>
  <c r="J35" i="21" s="1"/>
  <c r="U56" i="22"/>
  <c r="J56" i="22" s="1"/>
  <c r="U40" i="22"/>
  <c r="J40" i="22" s="1"/>
  <c r="U39" i="22"/>
  <c r="J39" i="22" s="1"/>
  <c r="U38" i="22"/>
  <c r="J38" i="22" s="1"/>
  <c r="U45" i="21"/>
  <c r="J45" i="21" s="1"/>
  <c r="U44" i="21"/>
  <c r="J44" i="21" s="1"/>
  <c r="U43" i="21"/>
  <c r="J43" i="21" s="1"/>
  <c r="U41" i="21"/>
  <c r="J41" i="21" s="1"/>
  <c r="U52" i="22"/>
  <c r="J52" i="22" s="1"/>
  <c r="U49" i="22"/>
  <c r="J49" i="22" s="1"/>
  <c r="U45" i="22"/>
  <c r="J45" i="22" s="1"/>
  <c r="U55" i="22"/>
  <c r="J55" i="22" s="1"/>
  <c r="U41" i="22"/>
  <c r="J41" i="22" s="1"/>
  <c r="U46" i="22"/>
  <c r="J46" i="22" s="1"/>
  <c r="U37" i="21"/>
  <c r="J37" i="21" s="1"/>
  <c r="U57" i="22"/>
  <c r="J57" i="22" s="1"/>
  <c r="U54" i="22"/>
  <c r="J54" i="22" s="1"/>
  <c r="U34" i="21"/>
  <c r="J34" i="21" s="1"/>
  <c r="U50" i="22"/>
  <c r="J50" i="22" s="1"/>
  <c r="U37" i="22"/>
  <c r="J37" i="22" s="1"/>
  <c r="U36" i="22"/>
  <c r="J36" i="22" s="1"/>
  <c r="U39" i="21"/>
  <c r="J39" i="21" s="1"/>
  <c r="U38" i="21"/>
  <c r="J38" i="21" s="1"/>
  <c r="U40" i="21"/>
  <c r="J40" i="21" s="1"/>
  <c r="U59" i="22"/>
  <c r="J59" i="22" s="1"/>
  <c r="U43" i="22"/>
  <c r="J43" i="22" s="1"/>
  <c r="U44" i="22"/>
  <c r="J44" i="22" s="1"/>
  <c r="U58" i="22"/>
  <c r="J58" i="22" s="1"/>
  <c r="U51" i="22"/>
  <c r="J51" i="22" s="1"/>
  <c r="U47" i="22"/>
  <c r="J47" i="22" s="1"/>
  <c r="U42" i="22"/>
  <c r="J42" i="22" s="1"/>
  <c r="U33" i="22"/>
  <c r="J33" i="22" s="1"/>
  <c r="U36" i="21"/>
  <c r="J36" i="21" s="1"/>
  <c r="U33" i="21"/>
  <c r="J33" i="21" s="1"/>
  <c r="U168" i="22"/>
  <c r="J168" i="22" s="1"/>
  <c r="U169" i="22"/>
  <c r="J169" i="22" s="1"/>
  <c r="U170" i="22"/>
  <c r="J170" i="22" s="1"/>
  <c r="U259" i="17"/>
  <c r="J259" i="17" s="1"/>
  <c r="U259" i="22"/>
  <c r="J259" i="22" s="1"/>
  <c r="U206" i="22"/>
  <c r="J206" i="22" s="1"/>
  <c r="U204" i="22"/>
  <c r="J204" i="22" s="1"/>
  <c r="U227" i="22"/>
  <c r="J227" i="22" s="1"/>
  <c r="U230" i="22"/>
  <c r="J230" i="22" s="1"/>
  <c r="U229" i="22"/>
  <c r="J229" i="22" s="1"/>
  <c r="U225" i="22"/>
  <c r="J225" i="22" s="1"/>
  <c r="U231" i="22"/>
  <c r="J231" i="22" s="1"/>
  <c r="U232" i="22"/>
  <c r="J232" i="22" s="1"/>
  <c r="U226" i="22"/>
  <c r="J226" i="22" s="1"/>
  <c r="U181" i="22"/>
  <c r="J181" i="22" s="1"/>
  <c r="U177" i="22"/>
  <c r="J177" i="22" s="1"/>
  <c r="U191" i="22"/>
  <c r="J191" i="22" s="1"/>
  <c r="U184" i="22"/>
  <c r="J184" i="22" s="1"/>
  <c r="U179" i="22"/>
  <c r="J179" i="22" s="1"/>
  <c r="U187" i="22"/>
  <c r="J187" i="22" s="1"/>
  <c r="U186" i="22"/>
  <c r="J186" i="22" s="1"/>
  <c r="U185" i="22"/>
  <c r="J185" i="22" s="1"/>
  <c r="U182" i="22"/>
  <c r="J182" i="22" s="1"/>
  <c r="U180" i="22"/>
  <c r="J180" i="22" s="1"/>
  <c r="U183" i="22"/>
  <c r="J183" i="22" s="1"/>
  <c r="U178" i="22"/>
  <c r="J178" i="22" s="1"/>
  <c r="U176" i="22"/>
  <c r="J176" i="22" s="1"/>
  <c r="U86" i="22"/>
  <c r="J86" i="22" s="1"/>
  <c r="U85" i="22"/>
  <c r="J85" i="22" s="1"/>
  <c r="U83" i="22"/>
  <c r="J83" i="22" s="1"/>
  <c r="U80" i="22"/>
  <c r="J80" i="22" s="1"/>
  <c r="U66" i="22"/>
  <c r="J66" i="22" s="1"/>
  <c r="U63" i="22"/>
  <c r="J63" i="22" s="1"/>
  <c r="U62" i="22"/>
  <c r="J62" i="22" s="1"/>
  <c r="U60" i="22"/>
  <c r="J60" i="22" s="1"/>
  <c r="U77" i="22"/>
  <c r="J77" i="22" s="1"/>
  <c r="U76" i="22"/>
  <c r="J76" i="22" s="1"/>
  <c r="U75" i="22"/>
  <c r="J75" i="22" s="1"/>
  <c r="U73" i="22"/>
  <c r="J73" i="22" s="1"/>
  <c r="U72" i="22"/>
  <c r="J72" i="22" s="1"/>
  <c r="U70" i="22"/>
  <c r="J70" i="22" s="1"/>
  <c r="U64" i="22"/>
  <c r="J64" i="22" s="1"/>
  <c r="U82" i="22"/>
  <c r="J82" i="22" s="1"/>
  <c r="U81" i="22"/>
  <c r="J81" i="22" s="1"/>
  <c r="U78" i="22"/>
  <c r="J78" i="22" s="1"/>
  <c r="U74" i="22"/>
  <c r="J74" i="22" s="1"/>
  <c r="U71" i="22"/>
  <c r="J71" i="22" s="1"/>
  <c r="U65" i="22"/>
  <c r="J65" i="22" s="1"/>
  <c r="U69" i="22"/>
  <c r="J69" i="22" s="1"/>
  <c r="U79" i="22"/>
  <c r="J79" i="22" s="1"/>
  <c r="U84" i="22"/>
  <c r="J84" i="22" s="1"/>
  <c r="U68" i="22"/>
  <c r="J68" i="22" s="1"/>
  <c r="U67" i="22"/>
  <c r="J67" i="22" s="1"/>
  <c r="U61" i="22"/>
  <c r="J61" i="22" s="1"/>
  <c r="U154" i="22"/>
  <c r="J154" i="22" s="1"/>
  <c r="U164" i="22"/>
  <c r="J164" i="22" s="1"/>
  <c r="U163" i="22"/>
  <c r="J163" i="22" s="1"/>
  <c r="U139" i="22"/>
  <c r="J139" i="22" s="1"/>
  <c r="U137" i="22"/>
  <c r="J137" i="22" s="1"/>
  <c r="U136" i="22"/>
  <c r="J136" i="22" s="1"/>
  <c r="U135" i="22"/>
  <c r="J135" i="22" s="1"/>
  <c r="U134" i="22"/>
  <c r="J134" i="22" s="1"/>
  <c r="U144" i="22"/>
  <c r="J144" i="22" s="1"/>
  <c r="U142" i="22"/>
  <c r="J142" i="22" s="1"/>
  <c r="U155" i="22"/>
  <c r="J155" i="22" s="1"/>
  <c r="U140" i="22"/>
  <c r="J140" i="22" s="1"/>
  <c r="U141" i="22"/>
  <c r="J141" i="22" s="1"/>
  <c r="U133" i="22"/>
  <c r="J133" i="22" s="1"/>
  <c r="U143" i="22"/>
  <c r="J143" i="22" s="1"/>
  <c r="U138" i="22"/>
  <c r="J138" i="22" s="1"/>
  <c r="U145" i="22"/>
  <c r="J145" i="22" s="1"/>
  <c r="U234" i="22"/>
  <c r="J234" i="22" s="1"/>
  <c r="U235" i="22"/>
  <c r="J235" i="22" s="1"/>
  <c r="U167" i="22"/>
  <c r="J167" i="22" s="1"/>
  <c r="U166" i="22"/>
  <c r="J166" i="22" s="1"/>
  <c r="U14" i="17"/>
  <c r="J14" i="17" s="1"/>
  <c r="U14" i="21"/>
  <c r="J14" i="21" s="1"/>
  <c r="U14" i="22"/>
  <c r="J14" i="22" s="1"/>
  <c r="U14" i="20"/>
  <c r="J14" i="20" s="1"/>
  <c r="DW117" i="6"/>
  <c r="Y146" i="17"/>
  <c r="AA133" i="17"/>
  <c r="AA146" i="17"/>
  <c r="Y277" i="17"/>
  <c r="Y133" i="17"/>
  <c r="Z146" i="17"/>
  <c r="AA277" i="17"/>
  <c r="Z133" i="17"/>
  <c r="Z277" i="17"/>
  <c r="U11" i="17"/>
  <c r="J11" i="17" s="1"/>
  <c r="U27" i="17"/>
  <c r="J27" i="17" s="1"/>
  <c r="U23" i="17"/>
  <c r="J23" i="17" s="1"/>
  <c r="U21" i="17"/>
  <c r="J21" i="17" s="1"/>
  <c r="U20" i="17"/>
  <c r="J20" i="17" s="1"/>
  <c r="U32" i="17"/>
  <c r="J32" i="17" s="1"/>
  <c r="U8" i="17"/>
  <c r="J8" i="17" s="1"/>
  <c r="U24" i="17"/>
  <c r="J24" i="17" s="1"/>
  <c r="U19" i="17"/>
  <c r="J19" i="17" s="1"/>
  <c r="U28" i="17"/>
  <c r="J28" i="17" s="1"/>
  <c r="U12" i="17"/>
  <c r="J12" i="17" s="1"/>
  <c r="U29" i="17"/>
  <c r="J29" i="17" s="1"/>
  <c r="U15" i="17"/>
  <c r="J15" i="17" s="1"/>
  <c r="U31" i="17"/>
  <c r="J31" i="17" s="1"/>
  <c r="U16" i="17"/>
  <c r="J16" i="17" s="1"/>
  <c r="U13" i="17"/>
  <c r="J13" i="17" s="1"/>
  <c r="U26" i="17"/>
  <c r="J26" i="17" s="1"/>
  <c r="U25" i="17"/>
  <c r="J25" i="17" s="1"/>
  <c r="U18" i="17"/>
  <c r="J18" i="17" s="1"/>
  <c r="U10" i="17"/>
  <c r="J10" i="17" s="1"/>
  <c r="U22" i="17"/>
  <c r="J22" i="17" s="1"/>
  <c r="U9" i="17"/>
  <c r="J9" i="17" s="1"/>
  <c r="U30" i="17"/>
  <c r="J30" i="17" s="1"/>
  <c r="U290" i="17"/>
  <c r="J290" i="17" s="1"/>
  <c r="U284" i="17"/>
  <c r="J284" i="17" s="1"/>
  <c r="U17" i="17"/>
  <c r="J17" i="17" s="1"/>
  <c r="U282" i="17"/>
  <c r="J282" i="17" s="1"/>
  <c r="U287" i="17"/>
  <c r="J287" i="17" s="1"/>
  <c r="U247" i="17"/>
  <c r="J247" i="17" s="1"/>
  <c r="U251" i="17"/>
  <c r="J251" i="17" s="1"/>
  <c r="U252" i="17"/>
  <c r="J252" i="17" s="1"/>
  <c r="U255" i="17"/>
  <c r="J255" i="17" s="1"/>
  <c r="U260" i="17"/>
  <c r="J260" i="17" s="1"/>
  <c r="U248" i="17"/>
  <c r="J248" i="17" s="1"/>
  <c r="U256" i="17"/>
  <c r="J256" i="17" s="1"/>
  <c r="U263" i="17"/>
  <c r="J263" i="17" s="1"/>
  <c r="U257" i="17"/>
  <c r="J257" i="17" s="1"/>
  <c r="U261" i="17"/>
  <c r="J261" i="17" s="1"/>
  <c r="U253" i="17"/>
  <c r="J253" i="17" s="1"/>
  <c r="U250" i="17"/>
  <c r="J250" i="17" s="1"/>
  <c r="U258" i="17"/>
  <c r="J258" i="17" s="1"/>
  <c r="U254" i="17"/>
  <c r="J254" i="17" s="1"/>
  <c r="U249" i="17"/>
  <c r="J249" i="17" s="1"/>
  <c r="U262" i="17"/>
  <c r="J262" i="17" s="1"/>
  <c r="U286" i="17"/>
  <c r="J286" i="17" s="1"/>
  <c r="U205" i="17"/>
  <c r="J205" i="17" s="1"/>
  <c r="U303" i="17"/>
  <c r="J303" i="17" s="1"/>
  <c r="U195" i="17"/>
  <c r="J195" i="17" s="1"/>
  <c r="U194" i="17"/>
  <c r="J194" i="17" s="1"/>
  <c r="U199" i="17"/>
  <c r="J199" i="17" s="1"/>
  <c r="U202" i="17"/>
  <c r="J202" i="17" s="1"/>
  <c r="U193" i="17"/>
  <c r="J193" i="17" s="1"/>
  <c r="U198" i="17"/>
  <c r="J198" i="17" s="1"/>
  <c r="U293" i="17"/>
  <c r="J293" i="17" s="1"/>
  <c r="U200" i="17"/>
  <c r="J200" i="17" s="1"/>
  <c r="U201" i="17"/>
  <c r="J201" i="17" s="1"/>
  <c r="U197" i="17"/>
  <c r="J197" i="17" s="1"/>
  <c r="U196" i="17"/>
  <c r="J196" i="17" s="1"/>
  <c r="U130" i="17"/>
  <c r="J130" i="17" s="1"/>
  <c r="U129" i="17"/>
  <c r="J129" i="17" s="1"/>
  <c r="U292" i="17"/>
  <c r="J292" i="17" s="1"/>
  <c r="U267" i="17"/>
  <c r="J267" i="17" s="1"/>
  <c r="U126" i="17"/>
  <c r="J126" i="17" s="1"/>
  <c r="U132" i="17"/>
  <c r="J132" i="17" s="1"/>
  <c r="U131" i="17"/>
  <c r="J131" i="17" s="1"/>
  <c r="U128" i="17"/>
  <c r="J128" i="17" s="1"/>
  <c r="U127" i="17"/>
  <c r="J127" i="17" s="1"/>
  <c r="U281" i="17"/>
  <c r="J281" i="17" s="1"/>
  <c r="U306" i="17"/>
  <c r="J306" i="17" s="1"/>
  <c r="U317" i="17"/>
  <c r="J317" i="17" s="1"/>
  <c r="U228" i="17"/>
  <c r="J228" i="17" s="1"/>
  <c r="U312" i="17"/>
  <c r="J312" i="17" s="1"/>
  <c r="U211" i="17"/>
  <c r="J211" i="17" s="1"/>
  <c r="U219" i="17"/>
  <c r="J219" i="17" s="1"/>
  <c r="U224" i="17"/>
  <c r="J224" i="17" s="1"/>
  <c r="U215" i="17"/>
  <c r="J215" i="17" s="1"/>
  <c r="U207" i="17"/>
  <c r="J207" i="17" s="1"/>
  <c r="U218" i="17"/>
  <c r="J218" i="17" s="1"/>
  <c r="U210" i="17"/>
  <c r="J210" i="17" s="1"/>
  <c r="U223" i="17"/>
  <c r="J223" i="17" s="1"/>
  <c r="U222" i="17"/>
  <c r="J222" i="17" s="1"/>
  <c r="U221" i="17"/>
  <c r="J221" i="17" s="1"/>
  <c r="U216" i="17"/>
  <c r="J216" i="17" s="1"/>
  <c r="U212" i="17"/>
  <c r="J212" i="17" s="1"/>
  <c r="U209" i="17"/>
  <c r="J209" i="17" s="1"/>
  <c r="U220" i="17"/>
  <c r="J220" i="17" s="1"/>
  <c r="U217" i="17"/>
  <c r="J217" i="17" s="1"/>
  <c r="U213" i="17"/>
  <c r="J213" i="17" s="1"/>
  <c r="U214" i="17"/>
  <c r="J214" i="17" s="1"/>
  <c r="U208" i="17"/>
  <c r="J208" i="17" s="1"/>
  <c r="U150" i="17"/>
  <c r="J150" i="17" s="1"/>
  <c r="U149" i="17"/>
  <c r="J149" i="17" s="1"/>
  <c r="U146" i="17"/>
  <c r="J146" i="17" s="1"/>
  <c r="U162" i="17"/>
  <c r="J162" i="17" s="1"/>
  <c r="U147" i="17"/>
  <c r="J147" i="17" s="1"/>
  <c r="U160" i="17"/>
  <c r="J160" i="17" s="1"/>
  <c r="U151" i="17"/>
  <c r="J151" i="17" s="1"/>
  <c r="U159" i="17"/>
  <c r="J159" i="17" s="1"/>
  <c r="U153" i="17"/>
  <c r="J153" i="17" s="1"/>
  <c r="U156" i="17"/>
  <c r="J156" i="17" s="1"/>
  <c r="U161" i="17"/>
  <c r="J161" i="17" s="1"/>
  <c r="U148" i="17"/>
  <c r="J148" i="17" s="1"/>
  <c r="U165" i="17"/>
  <c r="J165" i="17" s="1"/>
  <c r="U152" i="17"/>
  <c r="J152" i="17" s="1"/>
  <c r="U240" i="17"/>
  <c r="J240" i="17" s="1"/>
  <c r="U244" i="17"/>
  <c r="J244" i="17" s="1"/>
  <c r="U246" i="17"/>
  <c r="J246" i="17" s="1"/>
  <c r="U242" i="17"/>
  <c r="J242" i="17" s="1"/>
  <c r="U239" i="17"/>
  <c r="J239" i="17" s="1"/>
  <c r="U241" i="17"/>
  <c r="J241" i="17" s="1"/>
  <c r="U294" i="17"/>
  <c r="J294" i="17" s="1"/>
  <c r="U245" i="17"/>
  <c r="J245" i="17" s="1"/>
  <c r="U243" i="17"/>
  <c r="J243" i="17" s="1"/>
  <c r="U238" i="17"/>
  <c r="J238" i="17" s="1"/>
  <c r="U53" i="17"/>
  <c r="J53" i="17" s="1"/>
  <c r="U36" i="17"/>
  <c r="J36" i="17" s="1"/>
  <c r="U58" i="17"/>
  <c r="J58" i="17" s="1"/>
  <c r="U45" i="17"/>
  <c r="J45" i="17" s="1"/>
  <c r="U43" i="17"/>
  <c r="J43" i="17" s="1"/>
  <c r="U39" i="17"/>
  <c r="J39" i="17" s="1"/>
  <c r="U56" i="17"/>
  <c r="J56" i="17" s="1"/>
  <c r="U44" i="17"/>
  <c r="J44" i="17" s="1"/>
  <c r="U47" i="17"/>
  <c r="J47" i="17" s="1"/>
  <c r="U55" i="17"/>
  <c r="J55" i="17" s="1"/>
  <c r="U50" i="17"/>
  <c r="J50" i="17" s="1"/>
  <c r="U37" i="17"/>
  <c r="J37" i="17" s="1"/>
  <c r="U40" i="17"/>
  <c r="J40" i="17" s="1"/>
  <c r="U35" i="17"/>
  <c r="J35" i="17" s="1"/>
  <c r="U48" i="17"/>
  <c r="J48" i="17" s="1"/>
  <c r="U51" i="17"/>
  <c r="J51" i="17" s="1"/>
  <c r="U59" i="17"/>
  <c r="J59" i="17" s="1"/>
  <c r="U33" i="17"/>
  <c r="J33" i="17" s="1"/>
  <c r="U41" i="17"/>
  <c r="J41" i="17" s="1"/>
  <c r="U38" i="17"/>
  <c r="J38" i="17" s="1"/>
  <c r="U46" i="17"/>
  <c r="J46" i="17" s="1"/>
  <c r="U34" i="17"/>
  <c r="J34" i="17" s="1"/>
  <c r="U57" i="17"/>
  <c r="J57" i="17" s="1"/>
  <c r="U54" i="17"/>
  <c r="J54" i="17" s="1"/>
  <c r="U49" i="17"/>
  <c r="J49" i="17" s="1"/>
  <c r="U42" i="17"/>
  <c r="J42" i="17" s="1"/>
  <c r="U52" i="17"/>
  <c r="J52" i="17" s="1"/>
  <c r="U264" i="17"/>
  <c r="J264" i="17" s="1"/>
  <c r="U265" i="17"/>
  <c r="J265" i="17" s="1"/>
  <c r="U275" i="17"/>
  <c r="J275" i="17" s="1"/>
  <c r="U300" i="17"/>
  <c r="J300" i="17" s="1"/>
  <c r="U285" i="17"/>
  <c r="J285" i="17" s="1"/>
  <c r="U314" i="17"/>
  <c r="J314" i="17" s="1"/>
  <c r="U283" i="17"/>
  <c r="J283" i="17" s="1"/>
  <c r="U307" i="17"/>
  <c r="J307" i="17" s="1"/>
  <c r="U288" i="17"/>
  <c r="J288" i="17" s="1"/>
  <c r="U315" i="17"/>
  <c r="J315" i="17" s="1"/>
  <c r="U298" i="17"/>
  <c r="J298" i="17" s="1"/>
  <c r="U291" i="17"/>
  <c r="J291" i="17" s="1"/>
  <c r="U169" i="17"/>
  <c r="J169" i="17" s="1"/>
  <c r="U170" i="17"/>
  <c r="J170" i="17" s="1"/>
  <c r="U168" i="17"/>
  <c r="J168" i="17" s="1"/>
  <c r="U206" i="17"/>
  <c r="J206" i="17" s="1"/>
  <c r="U204" i="17"/>
  <c r="J204" i="17" s="1"/>
  <c r="U231" i="17"/>
  <c r="J231" i="17" s="1"/>
  <c r="U230" i="17"/>
  <c r="J230" i="17" s="1"/>
  <c r="U232" i="17"/>
  <c r="J232" i="17" s="1"/>
  <c r="U227" i="17"/>
  <c r="J227" i="17" s="1"/>
  <c r="U226" i="17"/>
  <c r="J226" i="17" s="1"/>
  <c r="U229" i="17"/>
  <c r="J229" i="17" s="1"/>
  <c r="U225" i="17"/>
  <c r="J225" i="17" s="1"/>
  <c r="U191" i="17"/>
  <c r="J191" i="17" s="1"/>
  <c r="U185" i="17"/>
  <c r="J185" i="17" s="1"/>
  <c r="U179" i="17"/>
  <c r="J179" i="17" s="1"/>
  <c r="U181" i="17"/>
  <c r="J181" i="17" s="1"/>
  <c r="U177" i="17"/>
  <c r="J177" i="17" s="1"/>
  <c r="U183" i="17"/>
  <c r="J183" i="17" s="1"/>
  <c r="U187" i="17"/>
  <c r="J187" i="17" s="1"/>
  <c r="U178" i="17"/>
  <c r="J178" i="17" s="1"/>
  <c r="U176" i="17"/>
  <c r="J176" i="17" s="1"/>
  <c r="U180" i="17"/>
  <c r="J180" i="17" s="1"/>
  <c r="U186" i="17"/>
  <c r="J186" i="17" s="1"/>
  <c r="U184" i="17"/>
  <c r="J184" i="17" s="1"/>
  <c r="U182" i="17"/>
  <c r="J182" i="17" s="1"/>
  <c r="U84" i="17"/>
  <c r="J84" i="17" s="1"/>
  <c r="U73" i="17"/>
  <c r="J73" i="17" s="1"/>
  <c r="U68" i="17"/>
  <c r="J68" i="17" s="1"/>
  <c r="U65" i="17"/>
  <c r="J65" i="17" s="1"/>
  <c r="U85" i="17"/>
  <c r="J85" i="17" s="1"/>
  <c r="U67" i="17"/>
  <c r="J67" i="17" s="1"/>
  <c r="U66" i="17"/>
  <c r="J66" i="17" s="1"/>
  <c r="U81" i="17"/>
  <c r="J81" i="17" s="1"/>
  <c r="U63" i="17"/>
  <c r="J63" i="17" s="1"/>
  <c r="U70" i="17"/>
  <c r="J70" i="17" s="1"/>
  <c r="U77" i="17"/>
  <c r="J77" i="17" s="1"/>
  <c r="U74" i="17"/>
  <c r="J74" i="17" s="1"/>
  <c r="U61" i="17"/>
  <c r="J61" i="17" s="1"/>
  <c r="U76" i="17"/>
  <c r="J76" i="17" s="1"/>
  <c r="U64" i="17"/>
  <c r="J64" i="17" s="1"/>
  <c r="U62" i="17"/>
  <c r="J62" i="17" s="1"/>
  <c r="U71" i="17"/>
  <c r="J71" i="17" s="1"/>
  <c r="U83" i="17"/>
  <c r="J83" i="17" s="1"/>
  <c r="U75" i="17"/>
  <c r="J75" i="17" s="1"/>
  <c r="U86" i="17"/>
  <c r="J86" i="17" s="1"/>
  <c r="U78" i="17"/>
  <c r="J78" i="17" s="1"/>
  <c r="U60" i="17"/>
  <c r="J60" i="17" s="1"/>
  <c r="U268" i="17"/>
  <c r="J268" i="17" s="1"/>
  <c r="U82" i="17"/>
  <c r="J82" i="17" s="1"/>
  <c r="U72" i="17"/>
  <c r="J72" i="17" s="1"/>
  <c r="U79" i="17"/>
  <c r="J79" i="17" s="1"/>
  <c r="U69" i="17"/>
  <c r="J69" i="17" s="1"/>
  <c r="U80" i="17"/>
  <c r="J80" i="17" s="1"/>
  <c r="U141" i="17"/>
  <c r="J141" i="17" s="1"/>
  <c r="U271" i="17"/>
  <c r="J271" i="17" s="1"/>
  <c r="U134" i="17"/>
  <c r="J134" i="17" s="1"/>
  <c r="U154" i="17"/>
  <c r="J154" i="17" s="1"/>
  <c r="U133" i="17"/>
  <c r="J133" i="17" s="1"/>
  <c r="U143" i="17"/>
  <c r="J143" i="17" s="1"/>
  <c r="U138" i="17"/>
  <c r="J138" i="17" s="1"/>
  <c r="U155" i="17"/>
  <c r="J155" i="17" s="1"/>
  <c r="U136" i="17"/>
  <c r="J136" i="17" s="1"/>
  <c r="U164" i="17"/>
  <c r="J164" i="17" s="1"/>
  <c r="U135" i="17"/>
  <c r="J135" i="17" s="1"/>
  <c r="U137" i="17"/>
  <c r="J137" i="17" s="1"/>
  <c r="U144" i="17"/>
  <c r="J144" i="17" s="1"/>
  <c r="U139" i="17"/>
  <c r="J139" i="17" s="1"/>
  <c r="U145" i="17"/>
  <c r="J145" i="17" s="1"/>
  <c r="U140" i="17"/>
  <c r="J140" i="17" s="1"/>
  <c r="U142" i="17"/>
  <c r="J142" i="17" s="1"/>
  <c r="U163" i="17"/>
  <c r="J163" i="17" s="1"/>
  <c r="U266" i="17"/>
  <c r="J266" i="17" s="1"/>
  <c r="U295" i="17"/>
  <c r="J295" i="17" s="1"/>
  <c r="U235" i="17"/>
  <c r="J235" i="17" s="1"/>
  <c r="U234" i="17"/>
  <c r="J234" i="17" s="1"/>
  <c r="U167" i="17"/>
  <c r="J167" i="17" s="1"/>
  <c r="U166" i="17"/>
  <c r="J166" i="17" s="1"/>
  <c r="U296" i="17"/>
  <c r="J296" i="17" s="1"/>
  <c r="U272" i="17"/>
  <c r="J272" i="17" s="1"/>
  <c r="U93" i="17"/>
  <c r="J93" i="17" s="1"/>
  <c r="U104" i="17"/>
  <c r="J104" i="17" s="1"/>
  <c r="U113" i="17"/>
  <c r="J113" i="17" s="1"/>
  <c r="U101" i="17"/>
  <c r="J101" i="17" s="1"/>
  <c r="U97" i="17"/>
  <c r="J97" i="17" s="1"/>
  <c r="U94" i="17"/>
  <c r="J94" i="17" s="1"/>
  <c r="U89" i="17"/>
  <c r="J89" i="17" s="1"/>
  <c r="U105" i="17"/>
  <c r="J105" i="17" s="1"/>
  <c r="U109" i="17"/>
  <c r="J109" i="17" s="1"/>
  <c r="U100" i="17"/>
  <c r="J100" i="17" s="1"/>
  <c r="U99" i="17"/>
  <c r="J99" i="17" s="1"/>
  <c r="U118" i="17"/>
  <c r="J118" i="17" s="1"/>
  <c r="U106" i="17"/>
  <c r="J106" i="17" s="1"/>
  <c r="U114" i="17"/>
  <c r="J114" i="17" s="1"/>
  <c r="U117" i="17"/>
  <c r="J117" i="17" s="1"/>
  <c r="U112" i="17"/>
  <c r="J112" i="17" s="1"/>
  <c r="U111" i="17"/>
  <c r="J111" i="17" s="1"/>
  <c r="U95" i="17"/>
  <c r="J95" i="17" s="1"/>
  <c r="U103" i="17"/>
  <c r="J103" i="17" s="1"/>
  <c r="U108" i="17"/>
  <c r="J108" i="17" s="1"/>
  <c r="U116" i="17"/>
  <c r="J116" i="17" s="1"/>
  <c r="U87" i="17"/>
  <c r="J87" i="17" s="1"/>
  <c r="U98" i="17"/>
  <c r="J98" i="17" s="1"/>
  <c r="U88" i="17"/>
  <c r="J88" i="17" s="1"/>
  <c r="U110" i="17"/>
  <c r="J110" i="17" s="1"/>
  <c r="U107" i="17"/>
  <c r="J107" i="17" s="1"/>
  <c r="U92" i="17"/>
  <c r="J92" i="17" s="1"/>
  <c r="U91" i="17"/>
  <c r="J91" i="17" s="1"/>
  <c r="U96" i="17"/>
  <c r="J96" i="17" s="1"/>
  <c r="U102" i="17"/>
  <c r="J102" i="17" s="1"/>
  <c r="U90" i="17"/>
  <c r="J90" i="17" s="1"/>
  <c r="U115" i="17"/>
  <c r="J115" i="17" s="1"/>
  <c r="U297" i="17"/>
  <c r="J297" i="17" s="1"/>
  <c r="U316" i="17"/>
  <c r="J316" i="17" s="1"/>
  <c r="U278" i="17"/>
  <c r="J278" i="17" s="1"/>
  <c r="U125" i="17"/>
  <c r="J125" i="17" s="1"/>
  <c r="U120" i="17"/>
  <c r="J120" i="17" s="1"/>
  <c r="U122" i="17"/>
  <c r="J122" i="17" s="1"/>
  <c r="U123" i="17"/>
  <c r="J123" i="17" s="1"/>
  <c r="U121" i="17"/>
  <c r="J121" i="17" s="1"/>
  <c r="U119" i="17"/>
  <c r="J119" i="17" s="1"/>
  <c r="U124" i="17"/>
  <c r="J124" i="17" s="1"/>
  <c r="U276" i="17"/>
  <c r="J276" i="17" s="1"/>
  <c r="U313" i="17"/>
  <c r="J313" i="17" s="1"/>
  <c r="U289" i="17"/>
  <c r="J289" i="17" s="1"/>
  <c r="U277" i="17"/>
  <c r="J277" i="17" s="1"/>
  <c r="U203" i="17"/>
  <c r="J203" i="17" s="1"/>
  <c r="U175" i="17"/>
  <c r="J175" i="17" s="1"/>
  <c r="U171" i="17"/>
  <c r="J171" i="17" s="1"/>
  <c r="U189" i="17"/>
  <c r="J189" i="17" s="1"/>
  <c r="U173" i="17"/>
  <c r="J173" i="17" s="1"/>
  <c r="U172" i="17"/>
  <c r="J172" i="17" s="1"/>
  <c r="U190" i="17"/>
  <c r="J190" i="17" s="1"/>
  <c r="U188" i="17"/>
  <c r="J188" i="17" s="1"/>
  <c r="U174" i="17"/>
  <c r="J174" i="17" s="1"/>
  <c r="U192" i="17"/>
  <c r="J192" i="17" s="1"/>
  <c r="U236" i="17"/>
  <c r="J236" i="17" s="1"/>
  <c r="U237" i="17"/>
  <c r="J237" i="17" s="1"/>
  <c r="U233" i="17"/>
  <c r="J233" i="17" s="1"/>
  <c r="G499" i="5"/>
  <c r="G496" i="5"/>
  <c r="DX21" i="6"/>
  <c r="DW21" i="6"/>
  <c r="DX113" i="6"/>
  <c r="DW113" i="6"/>
  <c r="DX22" i="6"/>
  <c r="DW22" i="6"/>
  <c r="DX90" i="6"/>
  <c r="DW90" i="6"/>
  <c r="DW88" i="6"/>
  <c r="DX88" i="6"/>
  <c r="DX116" i="6"/>
  <c r="DW116" i="6"/>
  <c r="DX93" i="6"/>
  <c r="DW93" i="6"/>
  <c r="DX53" i="6"/>
  <c r="DW53" i="6"/>
  <c r="DW89" i="6"/>
  <c r="DX89" i="6"/>
  <c r="DW112" i="6"/>
  <c r="DX112" i="6"/>
  <c r="DX115" i="6"/>
  <c r="DW115" i="6"/>
  <c r="DW17" i="6"/>
  <c r="DX17" i="6"/>
  <c r="DX18" i="6"/>
  <c r="DW18" i="6"/>
  <c r="DX19" i="6"/>
  <c r="DW19" i="6"/>
  <c r="DX16" i="6"/>
  <c r="DW16" i="6"/>
  <c r="DX20" i="6"/>
  <c r="DW20" i="6"/>
  <c r="DX54" i="6"/>
  <c r="DW54" i="6"/>
  <c r="DX79" i="6"/>
  <c r="DW79" i="6"/>
  <c r="BD75" i="6"/>
  <c r="BC75" i="6"/>
  <c r="DK127" i="6"/>
  <c r="DV127" i="6" s="1"/>
  <c r="DK128" i="6"/>
  <c r="DV128" i="6" s="1"/>
  <c r="DJ25" i="6"/>
  <c r="DU25" i="6" s="1"/>
  <c r="DJ33" i="6"/>
  <c r="DU33" i="6" s="1"/>
  <c r="DJ41" i="6"/>
  <c r="DU41" i="6" s="1"/>
  <c r="DJ49" i="6"/>
  <c r="DU49" i="6" s="1"/>
  <c r="DJ57" i="6"/>
  <c r="DU57" i="6" s="1"/>
  <c r="DJ65" i="6"/>
  <c r="DU65" i="6" s="1"/>
  <c r="DJ105" i="6"/>
  <c r="DU105" i="6" s="1"/>
  <c r="DJ121" i="6"/>
  <c r="DU121" i="6" s="1"/>
  <c r="DJ129" i="6"/>
  <c r="DU129" i="6" s="1"/>
  <c r="DJ26" i="6"/>
  <c r="DU26" i="6" s="1"/>
  <c r="DJ34" i="6"/>
  <c r="DU34" i="6" s="1"/>
  <c r="DJ42" i="6"/>
  <c r="DU42" i="6" s="1"/>
  <c r="DJ50" i="6"/>
  <c r="DU50" i="6" s="1"/>
  <c r="DJ58" i="6"/>
  <c r="DU58" i="6" s="1"/>
  <c r="DJ66" i="6"/>
  <c r="DU66" i="6" s="1"/>
  <c r="DJ74" i="6"/>
  <c r="DU74" i="6" s="1"/>
  <c r="DJ106" i="6"/>
  <c r="DU106" i="6" s="1"/>
  <c r="DJ122" i="6"/>
  <c r="DU122" i="6" s="1"/>
  <c r="DJ27" i="6"/>
  <c r="DU27" i="6" s="1"/>
  <c r="DJ35" i="6"/>
  <c r="DU35" i="6" s="1"/>
  <c r="DJ43" i="6"/>
  <c r="DU43" i="6" s="1"/>
  <c r="DJ51" i="6"/>
  <c r="DU51" i="6" s="1"/>
  <c r="DJ59" i="6"/>
  <c r="DU59" i="6" s="1"/>
  <c r="DJ107" i="6"/>
  <c r="DU107" i="6" s="1"/>
  <c r="DJ28" i="6"/>
  <c r="DU28" i="6" s="1"/>
  <c r="DJ36" i="6"/>
  <c r="DU36" i="6" s="1"/>
  <c r="DJ44" i="6"/>
  <c r="DU44" i="6" s="1"/>
  <c r="DJ52" i="6"/>
  <c r="DU52" i="6" s="1"/>
  <c r="DJ60" i="6"/>
  <c r="DU60" i="6" s="1"/>
  <c r="DJ76" i="6"/>
  <c r="DU76" i="6" s="1"/>
  <c r="DJ32" i="6"/>
  <c r="DU32" i="6" s="1"/>
  <c r="DJ64" i="6"/>
  <c r="DU64" i="6" s="1"/>
  <c r="DJ29" i="6"/>
  <c r="DU29" i="6" s="1"/>
  <c r="DJ37" i="6"/>
  <c r="DU37" i="6" s="1"/>
  <c r="DJ45" i="6"/>
  <c r="DU45" i="6" s="1"/>
  <c r="DJ61" i="6"/>
  <c r="DU61" i="6" s="1"/>
  <c r="DJ69" i="6"/>
  <c r="DU69" i="6" s="1"/>
  <c r="DJ125" i="6"/>
  <c r="DU125" i="6" s="1"/>
  <c r="DJ40" i="6"/>
  <c r="DU40" i="6" s="1"/>
  <c r="DJ120" i="6"/>
  <c r="DU120" i="6" s="1"/>
  <c r="DJ30" i="6"/>
  <c r="DU30" i="6" s="1"/>
  <c r="DJ38" i="6"/>
  <c r="DU38" i="6" s="1"/>
  <c r="DJ46" i="6"/>
  <c r="DU46" i="6" s="1"/>
  <c r="DJ62" i="6"/>
  <c r="DU62" i="6" s="1"/>
  <c r="DJ78" i="6"/>
  <c r="DU78" i="6" s="1"/>
  <c r="DJ94" i="6"/>
  <c r="DU94" i="6" s="1"/>
  <c r="DJ102" i="6"/>
  <c r="DU102" i="6" s="1"/>
  <c r="DJ118" i="6"/>
  <c r="DU118" i="6" s="1"/>
  <c r="DJ126" i="6"/>
  <c r="DU126" i="6" s="1"/>
  <c r="DJ24" i="6"/>
  <c r="DU24" i="6" s="1"/>
  <c r="DJ23" i="6"/>
  <c r="DU23" i="6" s="1"/>
  <c r="DJ31" i="6"/>
  <c r="DU31" i="6" s="1"/>
  <c r="DJ39" i="6"/>
  <c r="DU39" i="6" s="1"/>
  <c r="DJ47" i="6"/>
  <c r="DU47" i="6" s="1"/>
  <c r="DJ63" i="6"/>
  <c r="DU63" i="6" s="1"/>
  <c r="DJ95" i="6"/>
  <c r="DU95" i="6" s="1"/>
  <c r="DJ111" i="6"/>
  <c r="DU111" i="6" s="1"/>
  <c r="DJ119" i="6"/>
  <c r="DU119" i="6" s="1"/>
  <c r="DJ127" i="6"/>
  <c r="DU127" i="6" s="1"/>
  <c r="DJ48" i="6"/>
  <c r="DU48" i="6" s="1"/>
  <c r="DJ128" i="6"/>
  <c r="DU128" i="6" s="1"/>
  <c r="DT75" i="6"/>
  <c r="DH75" i="6"/>
  <c r="DG75" i="6"/>
  <c r="DG83" i="6"/>
  <c r="DR83" i="6" s="1"/>
  <c r="DW83" i="6" s="1"/>
  <c r="EF83" i="6" s="1"/>
  <c r="DG84" i="6"/>
  <c r="DR84" i="6" s="1"/>
  <c r="DW84" i="6" s="1"/>
  <c r="EF84" i="6" s="1"/>
  <c r="DG73" i="6"/>
  <c r="DR73" i="6" s="1"/>
  <c r="DG81" i="6"/>
  <c r="DR81" i="6" s="1"/>
  <c r="DG96" i="6"/>
  <c r="DR96" i="6" s="1"/>
  <c r="DG82" i="6"/>
  <c r="DG98" i="6"/>
  <c r="DG114" i="6"/>
  <c r="DR114" i="6" s="1"/>
  <c r="DG67" i="6"/>
  <c r="DR67" i="6" s="1"/>
  <c r="DG91" i="6"/>
  <c r="DR91" i="6" s="1"/>
  <c r="DG99" i="6"/>
  <c r="DR99" i="6" s="1"/>
  <c r="DG123" i="6"/>
  <c r="DR123" i="6" s="1"/>
  <c r="H83" i="13"/>
  <c r="DG56" i="6"/>
  <c r="DR56" i="6" s="1"/>
  <c r="DG68" i="6"/>
  <c r="DR68" i="6" s="1"/>
  <c r="DG92" i="6"/>
  <c r="DR92" i="6" s="1"/>
  <c r="DW92" i="6" s="1"/>
  <c r="EF92" i="6" s="1"/>
  <c r="DG100" i="6"/>
  <c r="DR100" i="6" s="1"/>
  <c r="DG108" i="6"/>
  <c r="DR108" i="6" s="1"/>
  <c r="DG124" i="6"/>
  <c r="DR124" i="6" s="1"/>
  <c r="DW124" i="6" s="1"/>
  <c r="EF124" i="6" s="1"/>
  <c r="DG80" i="6"/>
  <c r="DR80" i="6" s="1"/>
  <c r="DG77" i="6"/>
  <c r="DR77" i="6" s="1"/>
  <c r="DG85" i="6"/>
  <c r="DR85" i="6" s="1"/>
  <c r="DG101" i="6"/>
  <c r="DR101" i="6" s="1"/>
  <c r="DG109" i="6"/>
  <c r="DR109" i="6" s="1"/>
  <c r="DG104" i="6"/>
  <c r="DR104" i="6" s="1"/>
  <c r="DG70" i="6"/>
  <c r="DR70" i="6" s="1"/>
  <c r="DG110" i="6"/>
  <c r="DR110" i="6" s="1"/>
  <c r="DG72" i="6"/>
  <c r="DR72" i="6" s="1"/>
  <c r="DG55" i="6"/>
  <c r="DR55" i="6" s="1"/>
  <c r="DG71" i="6"/>
  <c r="DR71" i="6" s="1"/>
  <c r="DG87" i="6"/>
  <c r="DR87" i="6" s="1"/>
  <c r="DG103" i="6"/>
  <c r="DR103" i="6" s="1"/>
  <c r="DH70" i="6"/>
  <c r="DS70" i="6" s="1"/>
  <c r="DH110" i="6"/>
  <c r="DS110" i="6" s="1"/>
  <c r="DH109" i="6"/>
  <c r="DS109" i="6" s="1"/>
  <c r="DH55" i="6"/>
  <c r="DS55" i="6" s="1"/>
  <c r="DH71" i="6"/>
  <c r="DS71" i="6" s="1"/>
  <c r="DH87" i="6"/>
  <c r="DS87" i="6" s="1"/>
  <c r="DH103" i="6"/>
  <c r="DS103" i="6" s="1"/>
  <c r="I83" i="13"/>
  <c r="DH56" i="6"/>
  <c r="DS56" i="6" s="1"/>
  <c r="DH72" i="6"/>
  <c r="DS72" i="6" s="1"/>
  <c r="DH80" i="6"/>
  <c r="DS80" i="6" s="1"/>
  <c r="DH104" i="6"/>
  <c r="DS104" i="6" s="1"/>
  <c r="DH73" i="6"/>
  <c r="DS73" i="6" s="1"/>
  <c r="DH81" i="6"/>
  <c r="DS81" i="6" s="1"/>
  <c r="DH85" i="6"/>
  <c r="DS85" i="6" s="1"/>
  <c r="DH82" i="6"/>
  <c r="DS82" i="6" s="1"/>
  <c r="DH114" i="6"/>
  <c r="DS114" i="6" s="1"/>
  <c r="DH67" i="6"/>
  <c r="DS67" i="6" s="1"/>
  <c r="DH91" i="6"/>
  <c r="DS91" i="6" s="1"/>
  <c r="DH99" i="6"/>
  <c r="DS99" i="6" s="1"/>
  <c r="DH123" i="6"/>
  <c r="DS123" i="6" s="1"/>
  <c r="DH101" i="6"/>
  <c r="DS101" i="6" s="1"/>
  <c r="DH68" i="6"/>
  <c r="DS68" i="6" s="1"/>
  <c r="DH92" i="6"/>
  <c r="DH100" i="6"/>
  <c r="DS100" i="6" s="1"/>
  <c r="DH108" i="6"/>
  <c r="DS108" i="6" s="1"/>
  <c r="DH77" i="6"/>
  <c r="DS77" i="6" s="1"/>
  <c r="G539" i="5"/>
  <c r="G590" i="5"/>
  <c r="G536" i="5"/>
  <c r="G572" i="5"/>
  <c r="G581" i="5"/>
  <c r="G533" i="5"/>
  <c r="G555" i="5"/>
  <c r="G591" i="5"/>
  <c r="G592" i="5"/>
  <c r="G618" i="5"/>
  <c r="G620" i="5"/>
  <c r="G511" i="5"/>
  <c r="G622" i="5"/>
  <c r="G577" i="5"/>
  <c r="G595" i="5"/>
  <c r="G570" i="5"/>
  <c r="G546" i="5"/>
  <c r="G589" i="5"/>
  <c r="G607" i="5"/>
  <c r="G610" i="5"/>
  <c r="G623" i="5"/>
  <c r="G521" i="5"/>
  <c r="G612" i="5"/>
  <c r="G567" i="5"/>
  <c r="G616" i="5"/>
  <c r="G515" i="5"/>
  <c r="G608" i="5"/>
  <c r="G522" i="5"/>
  <c r="G573" i="5"/>
  <c r="G541" i="5"/>
  <c r="G619" i="5"/>
  <c r="G542" i="5"/>
  <c r="G611" i="5"/>
  <c r="G529" i="5"/>
  <c r="G569" i="5"/>
  <c r="G484" i="5"/>
  <c r="G578" i="5"/>
  <c r="G512" i="5"/>
  <c r="G613" i="5"/>
  <c r="G582" i="5"/>
  <c r="G547" i="5"/>
  <c r="G514" i="5"/>
  <c r="G70" i="5"/>
  <c r="G516" i="5"/>
  <c r="G43" i="5"/>
  <c r="G614" i="5"/>
  <c r="G535" i="5"/>
  <c r="G311" i="5"/>
  <c r="G256" i="5"/>
  <c r="G258" i="5"/>
  <c r="G260" i="5"/>
  <c r="G312" i="5"/>
  <c r="G273" i="5"/>
  <c r="G274" i="5"/>
  <c r="G314" i="5"/>
  <c r="G317" i="5"/>
  <c r="G259" i="5"/>
  <c r="G275" i="5"/>
  <c r="G277" i="5"/>
  <c r="G315" i="5"/>
  <c r="G318" i="5"/>
  <c r="G257" i="5"/>
  <c r="G313" i="5"/>
  <c r="G316" i="5"/>
  <c r="G495" i="5"/>
  <c r="G493" i="5"/>
  <c r="G433" i="5"/>
  <c r="G444" i="5"/>
  <c r="G445" i="5"/>
  <c r="G428" i="5"/>
  <c r="G438" i="5"/>
  <c r="G440" i="5"/>
  <c r="G441" i="5"/>
  <c r="G443" i="5"/>
  <c r="G432" i="5"/>
  <c r="G435" i="5"/>
  <c r="G436" i="5"/>
  <c r="G437" i="5"/>
  <c r="G434" i="5"/>
  <c r="G446" i="5"/>
  <c r="G442" i="5"/>
  <c r="G423" i="5"/>
  <c r="G64" i="5"/>
  <c r="G78" i="5"/>
  <c r="G81" i="5"/>
  <c r="G69" i="5"/>
  <c r="G82" i="5"/>
  <c r="G73" i="5"/>
  <c r="G79" i="5"/>
  <c r="G66" i="5"/>
  <c r="G72" i="5"/>
  <c r="G75" i="5"/>
  <c r="G76" i="5"/>
  <c r="G88" i="5"/>
  <c r="G84" i="5"/>
  <c r="G87" i="5"/>
  <c r="G65" i="5"/>
  <c r="G83" i="5"/>
  <c r="G85" i="5"/>
  <c r="G67" i="5"/>
  <c r="G68" i="5"/>
  <c r="G77" i="5"/>
  <c r="G71" i="5"/>
  <c r="G74" i="5"/>
  <c r="G80" i="5"/>
  <c r="G86" i="5"/>
  <c r="G549" i="5"/>
  <c r="G560" i="5"/>
  <c r="G594" i="5"/>
  <c r="G603" i="5"/>
  <c r="G545" i="5"/>
  <c r="G524" i="5"/>
  <c r="G557" i="5"/>
  <c r="G605" i="5"/>
  <c r="G587" i="5"/>
  <c r="G463" i="5"/>
  <c r="G469" i="5"/>
  <c r="G472" i="5"/>
  <c r="G478" i="5"/>
  <c r="G479" i="5"/>
  <c r="G482" i="5"/>
  <c r="G466" i="5"/>
  <c r="G487" i="5"/>
  <c r="G481" i="5"/>
  <c r="G488" i="5"/>
  <c r="G467" i="5"/>
  <c r="G468" i="5"/>
  <c r="G477" i="5"/>
  <c r="G464" i="5"/>
  <c r="G475" i="5"/>
  <c r="G476" i="5"/>
  <c r="G480" i="5"/>
  <c r="G483" i="5"/>
  <c r="G485" i="5"/>
  <c r="G486" i="5"/>
  <c r="G471" i="5"/>
  <c r="G465" i="5"/>
  <c r="G470" i="5"/>
  <c r="G473" i="5"/>
  <c r="G474" i="5"/>
  <c r="G553" i="5"/>
  <c r="G584" i="5"/>
  <c r="G531" i="5"/>
  <c r="G609" i="5"/>
  <c r="G336" i="5"/>
  <c r="G337" i="5"/>
  <c r="G343" i="5"/>
  <c r="G351" i="5"/>
  <c r="G352" i="5"/>
  <c r="G342" i="5"/>
  <c r="G344" i="5"/>
  <c r="G333" i="5"/>
  <c r="G345" i="5"/>
  <c r="G349" i="5"/>
  <c r="G339" i="5"/>
  <c r="G340" i="5"/>
  <c r="G334" i="5"/>
  <c r="G338" i="5"/>
  <c r="G335" i="5"/>
  <c r="G346" i="5"/>
  <c r="G341" i="5"/>
  <c r="G556" i="5"/>
  <c r="G543" i="5"/>
  <c r="G571" i="5"/>
  <c r="G283" i="5"/>
  <c r="G288" i="5"/>
  <c r="G295" i="5"/>
  <c r="G301" i="5"/>
  <c r="G309" i="5"/>
  <c r="G287" i="5"/>
  <c r="G297" i="5"/>
  <c r="G306" i="5"/>
  <c r="G308" i="5"/>
  <c r="G279" i="5"/>
  <c r="G281" i="5"/>
  <c r="G289" i="5"/>
  <c r="G298" i="5"/>
  <c r="G303" i="5"/>
  <c r="G304" i="5"/>
  <c r="G310" i="5"/>
  <c r="G278" i="5"/>
  <c r="G290" i="5"/>
  <c r="G280" i="5"/>
  <c r="G285" i="5"/>
  <c r="G299" i="5"/>
  <c r="G302" i="5"/>
  <c r="G305" i="5"/>
  <c r="G286" i="5"/>
  <c r="G296" i="5"/>
  <c r="G300" i="5"/>
  <c r="G284" i="5"/>
  <c r="G291" i="5"/>
  <c r="G292" i="5"/>
  <c r="G293" i="5"/>
  <c r="G294" i="5"/>
  <c r="G307" i="5"/>
  <c r="G282" i="5"/>
  <c r="G527" i="5"/>
  <c r="G563" i="5"/>
  <c r="G550" i="5"/>
  <c r="G606" i="5"/>
  <c r="G324" i="5"/>
  <c r="G325" i="5"/>
  <c r="G322" i="5"/>
  <c r="G189" i="5"/>
  <c r="G190" i="5"/>
  <c r="G187" i="5"/>
  <c r="G193" i="5"/>
  <c r="G191" i="5"/>
  <c r="G185" i="5"/>
  <c r="G186" i="5"/>
  <c r="G188" i="5"/>
  <c r="G509" i="5"/>
  <c r="G192" i="5"/>
  <c r="G562" i="5"/>
  <c r="G45" i="5"/>
  <c r="G62" i="5"/>
  <c r="G55" i="5"/>
  <c r="G59" i="5"/>
  <c r="G63" i="5"/>
  <c r="G48" i="5"/>
  <c r="G53" i="5"/>
  <c r="G57" i="5"/>
  <c r="G61" i="5"/>
  <c r="G46" i="5"/>
  <c r="G58" i="5"/>
  <c r="G54" i="5"/>
  <c r="G60" i="5"/>
  <c r="G44" i="5"/>
  <c r="G49" i="5"/>
  <c r="G50" i="5"/>
  <c r="G52" i="5"/>
  <c r="G47" i="5"/>
  <c r="G51" i="5"/>
  <c r="G56" i="5"/>
  <c r="G532" i="5"/>
  <c r="G600" i="5"/>
  <c r="G566" i="5"/>
  <c r="G348" i="5"/>
  <c r="G347" i="5"/>
  <c r="G350" i="5"/>
  <c r="G523" i="5"/>
  <c r="G602" i="5"/>
  <c r="G574" i="5"/>
  <c r="G494" i="5"/>
  <c r="G492" i="5"/>
  <c r="G400" i="5"/>
  <c r="G409" i="5"/>
  <c r="G410" i="5"/>
  <c r="G413" i="5"/>
  <c r="G415" i="5"/>
  <c r="G420" i="5"/>
  <c r="G399" i="5"/>
  <c r="G401" i="5"/>
  <c r="G406" i="5"/>
  <c r="G416" i="5"/>
  <c r="G414" i="5"/>
  <c r="G422" i="5"/>
  <c r="G597" i="5"/>
  <c r="G386" i="5"/>
  <c r="G392" i="5"/>
  <c r="G380" i="5"/>
  <c r="G388" i="5"/>
  <c r="G395" i="5"/>
  <c r="G374" i="5"/>
  <c r="G385" i="5"/>
  <c r="G391" i="5"/>
  <c r="G366" i="5"/>
  <c r="G367" i="5"/>
  <c r="G369" i="5"/>
  <c r="G377" i="5"/>
  <c r="G379" i="5"/>
  <c r="G382" i="5"/>
  <c r="G387" i="5"/>
  <c r="G362" i="5"/>
  <c r="G364" i="5"/>
  <c r="G365" i="5"/>
  <c r="G373" i="5"/>
  <c r="G394" i="5"/>
  <c r="G360" i="5"/>
  <c r="G368" i="5"/>
  <c r="G370" i="5"/>
  <c r="G371" i="5"/>
  <c r="G384" i="5"/>
  <c r="G393" i="5"/>
  <c r="G361" i="5"/>
  <c r="G376" i="5"/>
  <c r="G381" i="5"/>
  <c r="G389" i="5"/>
  <c r="G390" i="5"/>
  <c r="G396" i="5"/>
  <c r="G363" i="5"/>
  <c r="G372" i="5"/>
  <c r="G375" i="5"/>
  <c r="G378" i="5"/>
  <c r="G383" i="5"/>
  <c r="G356" i="5"/>
  <c r="G354" i="5"/>
  <c r="G579" i="5"/>
  <c r="G530" i="5"/>
  <c r="G215" i="5"/>
  <c r="G219" i="5"/>
  <c r="G221" i="5"/>
  <c r="G235" i="5"/>
  <c r="G239" i="5"/>
  <c r="G214" i="5"/>
  <c r="G227" i="5"/>
  <c r="G228" i="5"/>
  <c r="G230" i="5"/>
  <c r="G220" i="5"/>
  <c r="G213" i="5"/>
  <c r="G217" i="5"/>
  <c r="G222" i="5"/>
  <c r="G232" i="5"/>
  <c r="G229" i="5"/>
  <c r="G234" i="5"/>
  <c r="G216" i="5"/>
  <c r="G231" i="5"/>
  <c r="G238" i="5"/>
  <c r="G218" i="5"/>
  <c r="G233" i="5"/>
  <c r="G454" i="5"/>
  <c r="G459" i="5"/>
  <c r="G491" i="5"/>
  <c r="G447" i="5"/>
  <c r="G452" i="5"/>
  <c r="G456" i="5"/>
  <c r="G450" i="5"/>
  <c r="G453" i="5"/>
  <c r="G460" i="5"/>
  <c r="G451" i="5"/>
  <c r="G455" i="5"/>
  <c r="G457" i="5"/>
  <c r="G448" i="5"/>
  <c r="G458" i="5"/>
  <c r="G449" i="5"/>
  <c r="G461" i="5"/>
  <c r="G462" i="5"/>
  <c r="G564" i="5"/>
  <c r="G100" i="5"/>
  <c r="G105" i="5"/>
  <c r="G108" i="5"/>
  <c r="G110" i="5"/>
  <c r="G90" i="5"/>
  <c r="G93" i="5"/>
  <c r="G109" i="5"/>
  <c r="G112" i="5"/>
  <c r="G114" i="5"/>
  <c r="G98" i="5"/>
  <c r="G104" i="5"/>
  <c r="G106" i="5"/>
  <c r="G111" i="5"/>
  <c r="G113" i="5"/>
  <c r="G97" i="5"/>
  <c r="G99" i="5"/>
  <c r="G101" i="5"/>
  <c r="G89" i="5"/>
  <c r="G91" i="5"/>
  <c r="G95" i="5"/>
  <c r="G102" i="5"/>
  <c r="G103" i="5"/>
  <c r="G92" i="5"/>
  <c r="G94" i="5"/>
  <c r="G96" i="5"/>
  <c r="G107" i="5"/>
  <c r="G115" i="5"/>
  <c r="G517" i="5"/>
  <c r="G552" i="5"/>
  <c r="G568" i="5"/>
  <c r="G599" i="5"/>
  <c r="G249" i="5"/>
  <c r="G246" i="5"/>
  <c r="G247" i="5"/>
  <c r="G250" i="5"/>
  <c r="G248" i="5"/>
  <c r="G251" i="5"/>
  <c r="G254" i="5"/>
  <c r="G245" i="5"/>
  <c r="G528" i="5"/>
  <c r="G561" i="5"/>
  <c r="G357" i="5"/>
  <c r="G359" i="5"/>
  <c r="G355" i="5"/>
  <c r="G358" i="5"/>
  <c r="G583" i="5"/>
  <c r="G534" i="5"/>
  <c r="G558" i="5"/>
  <c r="G525" i="5"/>
  <c r="G575" i="5"/>
  <c r="G538" i="5"/>
  <c r="G615" i="5"/>
  <c r="G554" i="5"/>
  <c r="G588" i="5"/>
  <c r="G537" i="5"/>
  <c r="G585" i="5"/>
  <c r="G489" i="5"/>
  <c r="G490" i="5"/>
  <c r="G502" i="5"/>
  <c r="G503" i="5"/>
  <c r="G504" i="5"/>
  <c r="G320" i="5"/>
  <c r="G329" i="5"/>
  <c r="G327" i="5"/>
  <c r="G323" i="5"/>
  <c r="G353" i="5"/>
  <c r="G326" i="5"/>
  <c r="G331" i="5"/>
  <c r="G332" i="5"/>
  <c r="G321" i="5"/>
  <c r="G328" i="5"/>
  <c r="G330" i="5"/>
  <c r="G398" i="5"/>
  <c r="G403" i="5"/>
  <c r="G407" i="5"/>
  <c r="G418" i="5"/>
  <c r="G402" i="5"/>
  <c r="G412" i="5"/>
  <c r="G417" i="5"/>
  <c r="G419" i="5"/>
  <c r="G397" i="5"/>
  <c r="G405" i="5"/>
  <c r="G408" i="5"/>
  <c r="G411" i="5"/>
  <c r="G421" i="5"/>
  <c r="G404" i="5"/>
  <c r="G262" i="5"/>
  <c r="G272" i="5"/>
  <c r="G263" i="5"/>
  <c r="G266" i="5"/>
  <c r="G276" i="5"/>
  <c r="G265" i="5"/>
  <c r="G268" i="5"/>
  <c r="G261" i="5"/>
  <c r="G264" i="5"/>
  <c r="G267" i="5"/>
  <c r="G269" i="5"/>
  <c r="G319" i="5"/>
  <c r="G270" i="5"/>
  <c r="G271" i="5"/>
  <c r="G617" i="5"/>
  <c r="G123" i="5"/>
  <c r="G130" i="5"/>
  <c r="G138" i="5"/>
  <c r="G129" i="5"/>
  <c r="G136" i="5"/>
  <c r="G140" i="5"/>
  <c r="G118" i="5"/>
  <c r="G120" i="5"/>
  <c r="G121" i="5"/>
  <c r="G131" i="5"/>
  <c r="G132" i="5"/>
  <c r="G133" i="5"/>
  <c r="G137" i="5"/>
  <c r="G124" i="5"/>
  <c r="G125" i="5"/>
  <c r="G126" i="5"/>
  <c r="G142" i="5"/>
  <c r="G510" i="5"/>
  <c r="G116" i="5"/>
  <c r="G119" i="5"/>
  <c r="G127" i="5"/>
  <c r="G128" i="5"/>
  <c r="G139" i="5"/>
  <c r="G117" i="5"/>
  <c r="G122" i="5"/>
  <c r="G134" i="5"/>
  <c r="G135" i="5"/>
  <c r="G141" i="5"/>
  <c r="G197" i="5"/>
  <c r="G202" i="5"/>
  <c r="G211" i="5"/>
  <c r="G224" i="5"/>
  <c r="G513" i="5"/>
  <c r="G205" i="5"/>
  <c r="G206" i="5"/>
  <c r="G207" i="5"/>
  <c r="G208" i="5"/>
  <c r="G236" i="5"/>
  <c r="G196" i="5"/>
  <c r="G210" i="5"/>
  <c r="G212" i="5"/>
  <c r="G194" i="5"/>
  <c r="G198" i="5"/>
  <c r="G203" i="5"/>
  <c r="G225" i="5"/>
  <c r="G200" i="5"/>
  <c r="G223" i="5"/>
  <c r="G195" i="5"/>
  <c r="G199" i="5"/>
  <c r="G201" i="5"/>
  <c r="G226" i="5"/>
  <c r="G237" i="5"/>
  <c r="G204" i="5"/>
  <c r="G209" i="5"/>
  <c r="G544" i="5"/>
  <c r="G593" i="5"/>
  <c r="G508" i="5"/>
  <c r="G565" i="5"/>
  <c r="G426" i="5"/>
  <c r="G431" i="5"/>
  <c r="G424" i="5"/>
  <c r="G430" i="5"/>
  <c r="G425" i="5"/>
  <c r="G429" i="5"/>
  <c r="G439" i="5"/>
  <c r="G427" i="5"/>
  <c r="G255" i="5"/>
  <c r="G240" i="5"/>
  <c r="G241" i="5"/>
  <c r="G244" i="5"/>
  <c r="G242" i="5"/>
  <c r="G243" i="5"/>
  <c r="G500" i="5"/>
  <c r="G501" i="5"/>
  <c r="G252" i="5"/>
  <c r="G253" i="5"/>
  <c r="G551" i="5"/>
  <c r="G621" i="5"/>
  <c r="G152" i="5"/>
  <c r="G156" i="5"/>
  <c r="G166" i="5"/>
  <c r="G169" i="5"/>
  <c r="G172" i="5"/>
  <c r="G143" i="5"/>
  <c r="G155" i="5"/>
  <c r="G150" i="5"/>
  <c r="G153" i="5"/>
  <c r="G157" i="5"/>
  <c r="G159" i="5"/>
  <c r="G161" i="5"/>
  <c r="G163" i="5"/>
  <c r="G170" i="5"/>
  <c r="G154" i="5"/>
  <c r="G160" i="5"/>
  <c r="G164" i="5"/>
  <c r="G171" i="5"/>
  <c r="G144" i="5"/>
  <c r="G148" i="5"/>
  <c r="G151" i="5"/>
  <c r="G158" i="5"/>
  <c r="G162" i="5"/>
  <c r="G173" i="5"/>
  <c r="G174" i="5"/>
  <c r="G145" i="5"/>
  <c r="G147" i="5"/>
  <c r="G149" i="5"/>
  <c r="G165" i="5"/>
  <c r="G146" i="5"/>
  <c r="G167" i="5"/>
  <c r="G168" i="5"/>
  <c r="G497" i="5"/>
  <c r="G498" i="5"/>
  <c r="G520" i="5"/>
  <c r="G601" i="5"/>
  <c r="G624" i="5"/>
  <c r="G176" i="5"/>
  <c r="G179" i="5"/>
  <c r="G183" i="5"/>
  <c r="G177" i="5"/>
  <c r="G181" i="5"/>
  <c r="G178" i="5"/>
  <c r="G180" i="5"/>
  <c r="G182" i="5"/>
  <c r="G175" i="5"/>
  <c r="G184" i="5"/>
  <c r="G11" i="5"/>
  <c r="G13" i="5"/>
  <c r="G25" i="5"/>
  <c r="G26" i="5"/>
  <c r="G30" i="5"/>
  <c r="G35" i="5"/>
  <c r="G15" i="5"/>
  <c r="G18" i="5"/>
  <c r="G29" i="5"/>
  <c r="G36" i="5"/>
  <c r="G38" i="5"/>
  <c r="G32" i="5"/>
  <c r="G39" i="5"/>
  <c r="G40" i="5"/>
  <c r="G526" i="5"/>
  <c r="G16" i="5"/>
  <c r="G21" i="5"/>
  <c r="G17" i="5"/>
  <c r="G20" i="5"/>
  <c r="G24" i="5"/>
  <c r="G42" i="5"/>
  <c r="G14" i="5"/>
  <c r="G19" i="5"/>
  <c r="G41" i="5"/>
  <c r="G27" i="5"/>
  <c r="G31" i="5"/>
  <c r="G22" i="5"/>
  <c r="G23" i="5"/>
  <c r="G28" i="5"/>
  <c r="G33" i="5"/>
  <c r="G34" i="5"/>
  <c r="G37" i="5"/>
  <c r="G548" i="5"/>
  <c r="G576" i="5"/>
  <c r="G596" i="5"/>
  <c r="G518" i="5"/>
  <c r="G598" i="5"/>
  <c r="G580" i="5"/>
  <c r="G519" i="5"/>
  <c r="G604" i="5"/>
  <c r="G586" i="5"/>
  <c r="G559" i="5"/>
  <c r="G506" i="5"/>
  <c r="G507" i="5"/>
  <c r="G505" i="5"/>
  <c r="G540" i="5"/>
  <c r="EH58" i="6"/>
  <c r="EH104" i="6"/>
  <c r="DS6" i="6"/>
  <c r="EI65" i="6"/>
  <c r="EI67" i="6"/>
  <c r="EI59" i="6"/>
  <c r="EI60" i="6"/>
  <c r="EI61" i="6"/>
  <c r="EI66" i="6"/>
  <c r="EI62" i="6"/>
  <c r="EH68" i="6"/>
  <c r="EH101" i="6"/>
  <c r="EH71" i="6"/>
  <c r="DT80" i="6"/>
  <c r="EH80" i="6"/>
  <c r="DR82" i="6"/>
  <c r="DR98" i="6"/>
  <c r="DW98" i="6" s="1"/>
  <c r="EF98" i="6" s="1"/>
  <c r="DQ68" i="6" l="1"/>
  <c r="DX86" i="6"/>
  <c r="DW86" i="6"/>
  <c r="EF117" i="6"/>
  <c r="K570" i="5" s="1"/>
  <c r="K139" i="13"/>
  <c r="K90" i="13"/>
  <c r="K137" i="13"/>
  <c r="K113" i="13"/>
  <c r="K119" i="13"/>
  <c r="K112" i="13"/>
  <c r="K117" i="13"/>
  <c r="K160" i="13"/>
  <c r="K115" i="13"/>
  <c r="K128" i="13"/>
  <c r="K107" i="13"/>
  <c r="K144" i="13"/>
  <c r="K105" i="13"/>
  <c r="K95" i="13"/>
  <c r="K87" i="13"/>
  <c r="K158" i="13"/>
  <c r="K164" i="13"/>
  <c r="K162" i="13"/>
  <c r="K126" i="13"/>
  <c r="K91" i="13"/>
  <c r="K150" i="13"/>
  <c r="K157" i="13"/>
  <c r="K109" i="13"/>
  <c r="K123" i="13"/>
  <c r="K97" i="13"/>
  <c r="K121" i="13"/>
  <c r="K96" i="13"/>
  <c r="K103" i="13"/>
  <c r="K143" i="13"/>
  <c r="K101" i="13"/>
  <c r="K111" i="13"/>
  <c r="K99" i="13"/>
  <c r="K127" i="13"/>
  <c r="K110" i="13"/>
  <c r="K93" i="13"/>
  <c r="K154" i="13"/>
  <c r="K142" i="13"/>
  <c r="K152" i="13"/>
  <c r="K125" i="13"/>
  <c r="K134" i="13"/>
  <c r="K156" i="13"/>
  <c r="K132" i="13"/>
  <c r="K108" i="13"/>
  <c r="K130" i="13"/>
  <c r="K140" i="13"/>
  <c r="K138" i="13"/>
  <c r="K116" i="13"/>
  <c r="K114" i="13"/>
  <c r="K88" i="13"/>
  <c r="K141" i="13"/>
  <c r="K136" i="13"/>
  <c r="K124" i="13"/>
  <c r="K118" i="13"/>
  <c r="K165" i="13"/>
  <c r="K163" i="13"/>
  <c r="K86" i="13"/>
  <c r="K122" i="13"/>
  <c r="K92" i="13"/>
  <c r="K120" i="13"/>
  <c r="K151" i="13"/>
  <c r="K102" i="13"/>
  <c r="K149" i="13"/>
  <c r="K100" i="13"/>
  <c r="K147" i="13"/>
  <c r="K98" i="13"/>
  <c r="K94" i="13"/>
  <c r="K89" i="13"/>
  <c r="K148" i="13"/>
  <c r="K155" i="13"/>
  <c r="K106" i="13"/>
  <c r="K153" i="13"/>
  <c r="K104" i="13"/>
  <c r="K135" i="13"/>
  <c r="K129" i="13"/>
  <c r="K133" i="13"/>
  <c r="K161" i="13"/>
  <c r="K131" i="13"/>
  <c r="K145" i="13"/>
  <c r="K159" i="13"/>
  <c r="K146" i="13"/>
  <c r="CJ83" i="6"/>
  <c r="CJ92" i="6"/>
  <c r="CJ98" i="6"/>
  <c r="CJ124" i="6"/>
  <c r="CJ84" i="6"/>
  <c r="EF79" i="6"/>
  <c r="EF19" i="6"/>
  <c r="K65" i="5" s="1"/>
  <c r="EF116" i="6"/>
  <c r="EH75" i="6"/>
  <c r="EI123" i="6" s="1"/>
  <c r="EF113" i="6"/>
  <c r="K549" i="5" s="1"/>
  <c r="DS75" i="6"/>
  <c r="EF16" i="6"/>
  <c r="K17" i="5" s="1"/>
  <c r="EF54" i="6"/>
  <c r="EF115" i="6"/>
  <c r="EF93" i="6"/>
  <c r="EF22" i="6"/>
  <c r="EF18" i="6"/>
  <c r="EF21" i="6"/>
  <c r="EF20" i="6"/>
  <c r="EF53" i="6"/>
  <c r="EF90" i="6"/>
  <c r="EF17" i="6"/>
  <c r="EF112" i="6"/>
  <c r="EF89" i="6"/>
  <c r="EF88" i="6"/>
  <c r="DX67" i="6"/>
  <c r="DW67" i="6"/>
  <c r="DX87" i="6"/>
  <c r="DW87" i="6"/>
  <c r="DX114" i="6"/>
  <c r="DW114" i="6"/>
  <c r="DX91" i="6"/>
  <c r="DW91" i="6"/>
  <c r="DW56" i="6"/>
  <c r="DX56" i="6"/>
  <c r="DW80" i="6"/>
  <c r="DX80" i="6"/>
  <c r="DW81" i="6"/>
  <c r="DX81" i="6"/>
  <c r="DW101" i="6"/>
  <c r="DX101" i="6"/>
  <c r="DX68" i="6"/>
  <c r="DW68" i="6"/>
  <c r="DX110" i="6"/>
  <c r="DW110" i="6"/>
  <c r="EI58" i="6"/>
  <c r="DX55" i="6"/>
  <c r="DW55" i="6"/>
  <c r="DX77" i="6"/>
  <c r="DW77" i="6"/>
  <c r="DW96" i="6"/>
  <c r="EE96" i="6" s="1"/>
  <c r="EF96" i="6" s="1"/>
  <c r="DW100" i="6"/>
  <c r="DX100" i="6"/>
  <c r="DX109" i="6"/>
  <c r="DW109" i="6"/>
  <c r="DX70" i="6"/>
  <c r="DW70" i="6"/>
  <c r="DX82" i="6"/>
  <c r="DW82" i="6"/>
  <c r="DX108" i="6"/>
  <c r="DW108" i="6"/>
  <c r="DW72" i="6"/>
  <c r="DX72" i="6"/>
  <c r="DX85" i="6"/>
  <c r="DW85" i="6"/>
  <c r="DX71" i="6"/>
  <c r="DW71" i="6"/>
  <c r="DW73" i="6"/>
  <c r="DX73" i="6"/>
  <c r="DX123" i="6"/>
  <c r="DW123" i="6"/>
  <c r="DX104" i="6"/>
  <c r="DW104" i="6"/>
  <c r="DX103" i="6"/>
  <c r="DW103" i="6"/>
  <c r="DX99" i="6"/>
  <c r="DW99" i="6"/>
  <c r="DR75" i="6"/>
  <c r="I86" i="13"/>
  <c r="I90" i="13"/>
  <c r="I106" i="13"/>
  <c r="I122" i="13"/>
  <c r="I138" i="13"/>
  <c r="I154" i="13"/>
  <c r="I152" i="13"/>
  <c r="I92" i="13"/>
  <c r="I108" i="13"/>
  <c r="I124" i="13"/>
  <c r="I140" i="13"/>
  <c r="I156" i="13"/>
  <c r="I136" i="13"/>
  <c r="I94" i="13"/>
  <c r="I110" i="13"/>
  <c r="I126" i="13"/>
  <c r="I142" i="13"/>
  <c r="I158" i="13"/>
  <c r="I96" i="13"/>
  <c r="I112" i="13"/>
  <c r="I128" i="13"/>
  <c r="I144" i="13"/>
  <c r="I160" i="13"/>
  <c r="I104" i="13"/>
  <c r="I98" i="13"/>
  <c r="I114" i="13"/>
  <c r="I130" i="13"/>
  <c r="I146" i="13"/>
  <c r="I162" i="13"/>
  <c r="I120" i="13"/>
  <c r="I100" i="13"/>
  <c r="I116" i="13"/>
  <c r="I132" i="13"/>
  <c r="I148" i="13"/>
  <c r="I164" i="13"/>
  <c r="I102" i="13"/>
  <c r="I118" i="13"/>
  <c r="I134" i="13"/>
  <c r="I150" i="13"/>
  <c r="I88" i="13"/>
  <c r="I153" i="13"/>
  <c r="I137" i="13"/>
  <c r="I121" i="13"/>
  <c r="I105" i="13"/>
  <c r="I89" i="13"/>
  <c r="I125" i="13"/>
  <c r="I91" i="13"/>
  <c r="I151" i="13"/>
  <c r="I135" i="13"/>
  <c r="I119" i="13"/>
  <c r="I103" i="13"/>
  <c r="I87" i="13"/>
  <c r="I157" i="13"/>
  <c r="I139" i="13"/>
  <c r="I165" i="13"/>
  <c r="I149" i="13"/>
  <c r="I133" i="13"/>
  <c r="I117" i="13"/>
  <c r="I101" i="13"/>
  <c r="I155" i="13"/>
  <c r="I163" i="13"/>
  <c r="I147" i="13"/>
  <c r="I131" i="13"/>
  <c r="I115" i="13"/>
  <c r="I99" i="13"/>
  <c r="I141" i="13"/>
  <c r="I123" i="13"/>
  <c r="I161" i="13"/>
  <c r="I145" i="13"/>
  <c r="I129" i="13"/>
  <c r="I113" i="13"/>
  <c r="I97" i="13"/>
  <c r="I109" i="13"/>
  <c r="I159" i="13"/>
  <c r="I143" i="13"/>
  <c r="I127" i="13"/>
  <c r="I111" i="13"/>
  <c r="I95" i="13"/>
  <c r="I93" i="13"/>
  <c r="I107" i="13"/>
  <c r="H86" i="13"/>
  <c r="H154" i="13"/>
  <c r="H138" i="13"/>
  <c r="H122" i="13"/>
  <c r="H106" i="13"/>
  <c r="H90" i="13"/>
  <c r="H153" i="13"/>
  <c r="H137" i="13"/>
  <c r="H121" i="13"/>
  <c r="H105" i="13"/>
  <c r="H89" i="13"/>
  <c r="H94" i="13"/>
  <c r="H92" i="13"/>
  <c r="H123" i="13"/>
  <c r="H152" i="13"/>
  <c r="H136" i="13"/>
  <c r="H120" i="13"/>
  <c r="H104" i="13"/>
  <c r="H88" i="13"/>
  <c r="H151" i="13"/>
  <c r="H135" i="13"/>
  <c r="H119" i="13"/>
  <c r="H103" i="13"/>
  <c r="H87" i="13"/>
  <c r="H141" i="13"/>
  <c r="H93" i="13"/>
  <c r="H156" i="13"/>
  <c r="H107" i="13"/>
  <c r="H150" i="13"/>
  <c r="H134" i="13"/>
  <c r="H118" i="13"/>
  <c r="H102" i="13"/>
  <c r="H165" i="13"/>
  <c r="H149" i="13"/>
  <c r="H133" i="13"/>
  <c r="H117" i="13"/>
  <c r="H101" i="13"/>
  <c r="H110" i="13"/>
  <c r="H157" i="13"/>
  <c r="H109" i="13"/>
  <c r="H140" i="13"/>
  <c r="H164" i="13"/>
  <c r="H148" i="13"/>
  <c r="H132" i="13"/>
  <c r="H116" i="13"/>
  <c r="H100" i="13"/>
  <c r="H163" i="13"/>
  <c r="H147" i="13"/>
  <c r="H131" i="13"/>
  <c r="H115" i="13"/>
  <c r="H99" i="13"/>
  <c r="H126" i="13"/>
  <c r="H125" i="13"/>
  <c r="H139" i="13"/>
  <c r="H162" i="13"/>
  <c r="H146" i="13"/>
  <c r="H130" i="13"/>
  <c r="H114" i="13"/>
  <c r="H98" i="13"/>
  <c r="H161" i="13"/>
  <c r="H145" i="13"/>
  <c r="H129" i="13"/>
  <c r="H113" i="13"/>
  <c r="H97" i="13"/>
  <c r="H142" i="13"/>
  <c r="H124" i="13"/>
  <c r="H155" i="13"/>
  <c r="H160" i="13"/>
  <c r="H144" i="13"/>
  <c r="H128" i="13"/>
  <c r="H112" i="13"/>
  <c r="H96" i="13"/>
  <c r="H159" i="13"/>
  <c r="H143" i="13"/>
  <c r="H127" i="13"/>
  <c r="H111" i="13"/>
  <c r="H95" i="13"/>
  <c r="H158" i="13"/>
  <c r="H108" i="13"/>
  <c r="H91" i="13"/>
  <c r="EI68" i="6"/>
  <c r="EI64" i="6"/>
  <c r="EI63" i="6"/>
  <c r="K69" i="5"/>
  <c r="K77" i="5"/>
  <c r="K66" i="5"/>
  <c r="K74" i="5"/>
  <c r="K78" i="5"/>
  <c r="K67" i="5"/>
  <c r="K71" i="5"/>
  <c r="K75" i="5"/>
  <c r="K83" i="5"/>
  <c r="K87" i="5"/>
  <c r="K64" i="5"/>
  <c r="K72" i="5"/>
  <c r="K76" i="5"/>
  <c r="K80" i="5"/>
  <c r="K84" i="5"/>
  <c r="K42" i="5"/>
  <c r="K558" i="5"/>
  <c r="K575" i="5"/>
  <c r="EI71" i="6"/>
  <c r="K81" i="5" l="1"/>
  <c r="CJ117" i="6"/>
  <c r="I570" i="5" s="1"/>
  <c r="K82" i="5"/>
  <c r="K37" i="5"/>
  <c r="K16" i="5"/>
  <c r="K88" i="5"/>
  <c r="K79" i="5"/>
  <c r="K85" i="5"/>
  <c r="K547" i="5"/>
  <c r="DK97" i="6"/>
  <c r="DV97" i="6" s="1"/>
  <c r="DK78" i="6"/>
  <c r="DV78" i="6" s="1"/>
  <c r="DK47" i="6"/>
  <c r="DV47" i="6" s="1"/>
  <c r="DK32" i="6"/>
  <c r="DV32" i="6" s="1"/>
  <c r="DK33" i="6"/>
  <c r="DV33" i="6" s="1"/>
  <c r="DK29" i="6"/>
  <c r="DV29" i="6" s="1"/>
  <c r="DK106" i="6"/>
  <c r="DV106" i="6" s="1"/>
  <c r="DK107" i="6"/>
  <c r="DV107" i="6" s="1"/>
  <c r="DK69" i="6"/>
  <c r="DV69" i="6" s="1"/>
  <c r="DK94" i="6"/>
  <c r="DV94" i="6" s="1"/>
  <c r="DK63" i="6"/>
  <c r="DV63" i="6" s="1"/>
  <c r="DK40" i="6"/>
  <c r="DV40" i="6" s="1"/>
  <c r="DK41" i="6"/>
  <c r="DV41" i="6" s="1"/>
  <c r="DK26" i="6"/>
  <c r="DV26" i="6" s="1"/>
  <c r="DK122" i="6"/>
  <c r="DV122" i="6" s="1"/>
  <c r="DK37" i="6"/>
  <c r="DV37" i="6" s="1"/>
  <c r="DK102" i="6"/>
  <c r="DV102" i="6" s="1"/>
  <c r="DK95" i="6"/>
  <c r="DV95" i="6" s="1"/>
  <c r="DK48" i="6"/>
  <c r="DV48" i="6" s="1"/>
  <c r="DK49" i="6"/>
  <c r="DV49" i="6" s="1"/>
  <c r="DK34" i="6"/>
  <c r="DV34" i="6" s="1"/>
  <c r="DK61" i="6"/>
  <c r="DV61" i="6" s="1"/>
  <c r="DK28" i="6"/>
  <c r="DV28" i="6" s="1"/>
  <c r="DK118" i="6"/>
  <c r="DV118" i="6" s="1"/>
  <c r="DK111" i="6"/>
  <c r="DV111" i="6" s="1"/>
  <c r="DK64" i="6"/>
  <c r="DV64" i="6" s="1"/>
  <c r="DK57" i="6"/>
  <c r="DV57" i="6" s="1"/>
  <c r="DK42" i="6"/>
  <c r="DV42" i="6" s="1"/>
  <c r="DK27" i="6"/>
  <c r="DV27" i="6" s="1"/>
  <c r="DK36" i="6"/>
  <c r="DV36" i="6" s="1"/>
  <c r="DK30" i="6"/>
  <c r="DV30" i="6" s="1"/>
  <c r="DK126" i="6"/>
  <c r="DV126" i="6" s="1"/>
  <c r="DK119" i="6"/>
  <c r="DV119" i="6" s="1"/>
  <c r="DK120" i="6"/>
  <c r="DV120" i="6" s="1"/>
  <c r="DK65" i="6"/>
  <c r="DV65" i="6" s="1"/>
  <c r="DK50" i="6"/>
  <c r="DV50" i="6" s="1"/>
  <c r="DK35" i="6"/>
  <c r="DV35" i="6" s="1"/>
  <c r="DK44" i="6"/>
  <c r="DV44" i="6" s="1"/>
  <c r="DK38" i="6"/>
  <c r="DV38" i="6" s="1"/>
  <c r="DK23" i="6"/>
  <c r="DV23" i="6" s="1"/>
  <c r="DK105" i="6"/>
  <c r="DV105" i="6" s="1"/>
  <c r="DK58" i="6"/>
  <c r="DV58" i="6" s="1"/>
  <c r="DK43" i="6"/>
  <c r="DV43" i="6" s="1"/>
  <c r="DK52" i="6"/>
  <c r="DV52" i="6" s="1"/>
  <c r="DK46" i="6"/>
  <c r="DV46" i="6" s="1"/>
  <c r="DK31" i="6"/>
  <c r="DV31" i="6" s="1"/>
  <c r="DK45" i="6"/>
  <c r="DV45" i="6" s="1"/>
  <c r="DK125" i="6"/>
  <c r="DV125" i="6" s="1"/>
  <c r="DK121" i="6"/>
  <c r="DV121" i="6" s="1"/>
  <c r="DK66" i="6"/>
  <c r="DV66" i="6" s="1"/>
  <c r="DK51" i="6"/>
  <c r="DV51" i="6" s="1"/>
  <c r="DK60" i="6"/>
  <c r="DV60" i="6" s="1"/>
  <c r="DK62" i="6"/>
  <c r="DV62" i="6" s="1"/>
  <c r="DK39" i="6"/>
  <c r="DV39" i="6" s="1"/>
  <c r="DK24" i="6"/>
  <c r="DV24" i="6" s="1"/>
  <c r="DK25" i="6"/>
  <c r="DV25" i="6" s="1"/>
  <c r="DK129" i="6"/>
  <c r="DV129" i="6" s="1"/>
  <c r="DK74" i="6"/>
  <c r="DV74" i="6" s="1"/>
  <c r="DK59" i="6"/>
  <c r="DV59" i="6" s="1"/>
  <c r="DK76" i="6"/>
  <c r="DV76" i="6" s="1"/>
  <c r="EF86" i="6"/>
  <c r="CJ86" i="6" s="1"/>
  <c r="K39" i="5"/>
  <c r="K68" i="5"/>
  <c r="K86" i="5"/>
  <c r="K73" i="5"/>
  <c r="K38" i="5"/>
  <c r="K41" i="5"/>
  <c r="K11" i="5"/>
  <c r="DG97" i="6"/>
  <c r="DR97" i="6" s="1"/>
  <c r="DH97" i="6"/>
  <c r="DS97" i="6" s="1"/>
  <c r="K24" i="5"/>
  <c r="K18" i="5"/>
  <c r="K20" i="5"/>
  <c r="K15" i="5"/>
  <c r="K14" i="5"/>
  <c r="K13" i="5"/>
  <c r="K36" i="5"/>
  <c r="K31" i="5"/>
  <c r="K30" i="5"/>
  <c r="K29" i="5"/>
  <c r="K40" i="5"/>
  <c r="K33" i="5"/>
  <c r="K32" i="5"/>
  <c r="K27" i="5"/>
  <c r="K26" i="5"/>
  <c r="K25" i="5"/>
  <c r="K546" i="5"/>
  <c r="K28" i="5"/>
  <c r="K22" i="5"/>
  <c r="K21" i="5"/>
  <c r="K35" i="5"/>
  <c r="K34" i="5"/>
  <c r="K23" i="5"/>
  <c r="K19" i="5"/>
  <c r="O14" i="22"/>
  <c r="O31" i="22"/>
  <c r="O27" i="22"/>
  <c r="O25" i="22"/>
  <c r="O16" i="22"/>
  <c r="O25" i="21"/>
  <c r="O22" i="22"/>
  <c r="O17" i="22"/>
  <c r="O12" i="22"/>
  <c r="O26" i="21"/>
  <c r="O24" i="22"/>
  <c r="O23" i="22"/>
  <c r="O18" i="22"/>
  <c r="O8" i="22"/>
  <c r="O20" i="22"/>
  <c r="O13" i="22"/>
  <c r="O26" i="22"/>
  <c r="O19" i="22"/>
  <c r="O15" i="22"/>
  <c r="O10" i="22"/>
  <c r="O9" i="22"/>
  <c r="O24" i="21"/>
  <c r="O29" i="22"/>
  <c r="O23" i="21"/>
  <c r="O30" i="22"/>
  <c r="O32" i="22"/>
  <c r="O28" i="22"/>
  <c r="O11" i="22"/>
  <c r="O29" i="21"/>
  <c r="O21" i="22"/>
  <c r="K89" i="5"/>
  <c r="O57" i="22"/>
  <c r="O56" i="22"/>
  <c r="O47" i="22"/>
  <c r="O41" i="22"/>
  <c r="O41" i="21"/>
  <c r="O34" i="21"/>
  <c r="O55" i="22"/>
  <c r="O44" i="22"/>
  <c r="O43" i="22"/>
  <c r="O37" i="22"/>
  <c r="O34" i="22"/>
  <c r="O33" i="22"/>
  <c r="O33" i="21"/>
  <c r="O58" i="22"/>
  <c r="O59" i="22"/>
  <c r="O53" i="22"/>
  <c r="O52" i="22"/>
  <c r="O48" i="22"/>
  <c r="O42" i="22"/>
  <c r="O37" i="21"/>
  <c r="O51" i="22"/>
  <c r="O50" i="22"/>
  <c r="O39" i="22"/>
  <c r="O38" i="22"/>
  <c r="O35" i="22"/>
  <c r="O49" i="22"/>
  <c r="O46" i="22"/>
  <c r="O40" i="22"/>
  <c r="O45" i="22"/>
  <c r="O43" i="21"/>
  <c r="O54" i="22"/>
  <c r="O36" i="22"/>
  <c r="CJ90" i="6"/>
  <c r="CJ54" i="6"/>
  <c r="I493" i="5" s="1"/>
  <c r="CJ53" i="6"/>
  <c r="CJ16" i="6"/>
  <c r="I19" i="5" s="1"/>
  <c r="CJ96" i="6"/>
  <c r="I576" i="5" s="1"/>
  <c r="CJ20" i="6"/>
  <c r="I93" i="5" s="1"/>
  <c r="CJ21" i="6"/>
  <c r="CJ113" i="6"/>
  <c r="I549" i="5" s="1"/>
  <c r="CJ88" i="6"/>
  <c r="CJ18" i="6"/>
  <c r="I43" i="5" s="1"/>
  <c r="CJ89" i="6"/>
  <c r="CJ22" i="6"/>
  <c r="I70" i="5" s="1"/>
  <c r="CJ116" i="6"/>
  <c r="I573" i="5" s="1"/>
  <c r="CJ112" i="6"/>
  <c r="CJ93" i="6"/>
  <c r="CJ19" i="6"/>
  <c r="I74" i="5" s="1"/>
  <c r="CJ17" i="6"/>
  <c r="I46" i="5" s="1"/>
  <c r="CJ115" i="6"/>
  <c r="CJ79" i="6"/>
  <c r="K104" i="5"/>
  <c r="K99" i="5"/>
  <c r="K94" i="5"/>
  <c r="K100" i="5"/>
  <c r="K95" i="5"/>
  <c r="K90" i="5"/>
  <c r="K96" i="5"/>
  <c r="K91" i="5"/>
  <c r="K113" i="5"/>
  <c r="K92" i="5"/>
  <c r="K114" i="5"/>
  <c r="K109" i="5"/>
  <c r="K115" i="5"/>
  <c r="K110" i="5"/>
  <c r="K105" i="5"/>
  <c r="K111" i="5"/>
  <c r="K106" i="5"/>
  <c r="K101" i="5"/>
  <c r="K112" i="5"/>
  <c r="K107" i="5"/>
  <c r="K102" i="5"/>
  <c r="K97" i="5"/>
  <c r="K108" i="5"/>
  <c r="K103" i="5"/>
  <c r="K98" i="5"/>
  <c r="K93" i="5"/>
  <c r="K573" i="5"/>
  <c r="K576" i="5"/>
  <c r="K493" i="5"/>
  <c r="EI80" i="6"/>
  <c r="EI110" i="6"/>
  <c r="K70" i="5"/>
  <c r="EI96" i="6"/>
  <c r="EI88" i="6"/>
  <c r="EI104" i="6"/>
  <c r="EI101" i="6"/>
  <c r="EI109" i="6"/>
  <c r="EI98" i="6"/>
  <c r="EI75" i="6"/>
  <c r="EI103" i="6"/>
  <c r="EI81" i="6"/>
  <c r="EI92" i="6"/>
  <c r="EF85" i="6"/>
  <c r="EF70" i="6"/>
  <c r="O35" i="21" s="1"/>
  <c r="EF68" i="6"/>
  <c r="O10" i="17" s="1"/>
  <c r="EF67" i="6"/>
  <c r="O9" i="17" s="1"/>
  <c r="K52" i="5"/>
  <c r="K49" i="5"/>
  <c r="K62" i="5"/>
  <c r="EF72" i="6"/>
  <c r="K43" i="5"/>
  <c r="K58" i="5"/>
  <c r="K55" i="5"/>
  <c r="K60" i="5"/>
  <c r="K51" i="5"/>
  <c r="K57" i="5"/>
  <c r="K56" i="5"/>
  <c r="K47" i="5"/>
  <c r="K53" i="5"/>
  <c r="EF71" i="6"/>
  <c r="O14" i="17" s="1"/>
  <c r="EF82" i="6"/>
  <c r="EF110" i="6"/>
  <c r="K48" i="5"/>
  <c r="K44" i="5"/>
  <c r="K50" i="5"/>
  <c r="K45" i="5"/>
  <c r="K54" i="5"/>
  <c r="K63" i="5"/>
  <c r="K59" i="5"/>
  <c r="K46" i="5"/>
  <c r="K61" i="5"/>
  <c r="EF99" i="6"/>
  <c r="O42" i="21" s="1"/>
  <c r="EF108" i="6"/>
  <c r="EF114" i="6"/>
  <c r="EF87" i="6"/>
  <c r="EF91" i="6"/>
  <c r="EF80" i="6"/>
  <c r="EF55" i="6"/>
  <c r="CJ55" i="6" s="1"/>
  <c r="EF56" i="6"/>
  <c r="O14" i="20" s="1"/>
  <c r="EF123" i="6"/>
  <c r="O32" i="21" s="1"/>
  <c r="EF109" i="6"/>
  <c r="EF101" i="6"/>
  <c r="EF73" i="6"/>
  <c r="O30" i="17" s="1"/>
  <c r="EF100" i="6"/>
  <c r="O44" i="21" s="1"/>
  <c r="EF81" i="6"/>
  <c r="O30" i="21" s="1"/>
  <c r="EF77" i="6"/>
  <c r="O31" i="21" s="1"/>
  <c r="EE103" i="6"/>
  <c r="EF103" i="6" s="1"/>
  <c r="O40" i="21" s="1"/>
  <c r="K492" i="5"/>
  <c r="EE104" i="6"/>
  <c r="EF104" i="6" s="1"/>
  <c r="O28" i="21" s="1"/>
  <c r="DX75" i="6"/>
  <c r="DW75" i="6"/>
  <c r="G113" i="13"/>
  <c r="F113" i="13"/>
  <c r="G118" i="13"/>
  <c r="F118" i="13"/>
  <c r="F103" i="13"/>
  <c r="G103" i="13"/>
  <c r="F158" i="13"/>
  <c r="G158" i="13"/>
  <c r="F128" i="13"/>
  <c r="G128" i="13"/>
  <c r="F129" i="13"/>
  <c r="G129" i="13"/>
  <c r="G139" i="13"/>
  <c r="F139" i="13"/>
  <c r="F100" i="13"/>
  <c r="G100" i="13"/>
  <c r="F110" i="13"/>
  <c r="G110" i="13"/>
  <c r="G134" i="13"/>
  <c r="F134" i="13"/>
  <c r="G119" i="13"/>
  <c r="F119" i="13"/>
  <c r="G123" i="13"/>
  <c r="F123" i="13"/>
  <c r="G90" i="13"/>
  <c r="F90" i="13"/>
  <c r="F145" i="13"/>
  <c r="G145" i="13"/>
  <c r="G125" i="13"/>
  <c r="F125" i="13"/>
  <c r="G116" i="13"/>
  <c r="F116" i="13"/>
  <c r="G101" i="13"/>
  <c r="F101" i="13"/>
  <c r="G150" i="13"/>
  <c r="F150" i="13"/>
  <c r="F135" i="13"/>
  <c r="G135" i="13"/>
  <c r="F92" i="13"/>
  <c r="G92" i="13"/>
  <c r="F106" i="13"/>
  <c r="G106" i="13"/>
  <c r="F162" i="13"/>
  <c r="G162" i="13"/>
  <c r="G111" i="13"/>
  <c r="F111" i="13"/>
  <c r="F160" i="13"/>
  <c r="G160" i="13"/>
  <c r="G161" i="13"/>
  <c r="F161" i="13"/>
  <c r="F126" i="13"/>
  <c r="G126" i="13"/>
  <c r="F132" i="13"/>
  <c r="G132" i="13"/>
  <c r="G117" i="13"/>
  <c r="F117" i="13"/>
  <c r="G107" i="13"/>
  <c r="F107" i="13"/>
  <c r="G151" i="13"/>
  <c r="F151" i="13"/>
  <c r="G94" i="13"/>
  <c r="F94" i="13"/>
  <c r="F122" i="13"/>
  <c r="G122" i="13"/>
  <c r="G163" i="13"/>
  <c r="F163" i="13"/>
  <c r="F144" i="13"/>
  <c r="G144" i="13"/>
  <c r="F127" i="13"/>
  <c r="G127" i="13"/>
  <c r="G155" i="13"/>
  <c r="F155" i="13"/>
  <c r="F98" i="13"/>
  <c r="G98" i="13"/>
  <c r="F99" i="13"/>
  <c r="G99" i="13"/>
  <c r="G148" i="13"/>
  <c r="F148" i="13"/>
  <c r="F133" i="13"/>
  <c r="G133" i="13"/>
  <c r="F156" i="13"/>
  <c r="G156" i="13"/>
  <c r="F88" i="13"/>
  <c r="G88" i="13"/>
  <c r="G89" i="13"/>
  <c r="F89" i="13"/>
  <c r="G138" i="13"/>
  <c r="F138" i="13"/>
  <c r="F112" i="13"/>
  <c r="G112" i="13"/>
  <c r="F153" i="13"/>
  <c r="G153" i="13"/>
  <c r="F143" i="13"/>
  <c r="G143" i="13"/>
  <c r="F124" i="13"/>
  <c r="G124" i="13"/>
  <c r="G114" i="13"/>
  <c r="F114" i="13"/>
  <c r="G115" i="13"/>
  <c r="F115" i="13"/>
  <c r="G164" i="13"/>
  <c r="F164" i="13"/>
  <c r="F149" i="13"/>
  <c r="G149" i="13"/>
  <c r="G93" i="13"/>
  <c r="F93" i="13"/>
  <c r="G104" i="13"/>
  <c r="F104" i="13"/>
  <c r="F105" i="13"/>
  <c r="G105" i="13"/>
  <c r="G154" i="13"/>
  <c r="F154" i="13"/>
  <c r="F157" i="13"/>
  <c r="G157" i="13"/>
  <c r="F159" i="13"/>
  <c r="G159" i="13"/>
  <c r="F142" i="13"/>
  <c r="G142" i="13"/>
  <c r="G130" i="13"/>
  <c r="F130" i="13"/>
  <c r="G131" i="13"/>
  <c r="F131" i="13"/>
  <c r="F140" i="13"/>
  <c r="G140" i="13"/>
  <c r="F165" i="13"/>
  <c r="G165" i="13"/>
  <c r="G141" i="13"/>
  <c r="F141" i="13"/>
  <c r="G120" i="13"/>
  <c r="F120" i="13"/>
  <c r="F121" i="13"/>
  <c r="G121" i="13"/>
  <c r="DG25" i="6"/>
  <c r="DR25" i="6" s="1"/>
  <c r="DG33" i="6"/>
  <c r="DR33" i="6" s="1"/>
  <c r="DG41" i="6"/>
  <c r="DR41" i="6" s="1"/>
  <c r="DG49" i="6"/>
  <c r="DR49" i="6" s="1"/>
  <c r="DG57" i="6"/>
  <c r="DR57" i="6" s="1"/>
  <c r="DG65" i="6"/>
  <c r="DR65" i="6" s="1"/>
  <c r="DG105" i="6"/>
  <c r="DR105" i="6" s="1"/>
  <c r="DG121" i="6"/>
  <c r="DR121" i="6" s="1"/>
  <c r="DG129" i="6"/>
  <c r="DR129" i="6" s="1"/>
  <c r="DG40" i="6"/>
  <c r="DR40" i="6" s="1"/>
  <c r="DG26" i="6"/>
  <c r="DR26" i="6" s="1"/>
  <c r="DG34" i="6"/>
  <c r="DR34" i="6" s="1"/>
  <c r="DG42" i="6"/>
  <c r="DR42" i="6" s="1"/>
  <c r="DG50" i="6"/>
  <c r="DR50" i="6" s="1"/>
  <c r="DG58" i="6"/>
  <c r="DR58" i="6" s="1"/>
  <c r="DG66" i="6"/>
  <c r="DR66" i="6" s="1"/>
  <c r="DG74" i="6"/>
  <c r="DR74" i="6" s="1"/>
  <c r="DG106" i="6"/>
  <c r="DR106" i="6" s="1"/>
  <c r="DG122" i="6"/>
  <c r="DR122" i="6" s="1"/>
  <c r="DG64" i="6"/>
  <c r="DR64" i="6" s="1"/>
  <c r="DG120" i="6"/>
  <c r="DR120" i="6" s="1"/>
  <c r="DG27" i="6"/>
  <c r="DR27" i="6" s="1"/>
  <c r="DG35" i="6"/>
  <c r="DR35" i="6" s="1"/>
  <c r="DG43" i="6"/>
  <c r="DR43" i="6" s="1"/>
  <c r="DG51" i="6"/>
  <c r="DR51" i="6" s="1"/>
  <c r="DG59" i="6"/>
  <c r="DR59" i="6" s="1"/>
  <c r="DG107" i="6"/>
  <c r="DR107" i="6" s="1"/>
  <c r="DG28" i="6"/>
  <c r="DR28" i="6" s="1"/>
  <c r="DG36" i="6"/>
  <c r="DR36" i="6" s="1"/>
  <c r="DG44" i="6"/>
  <c r="DR44" i="6" s="1"/>
  <c r="DG52" i="6"/>
  <c r="DR52" i="6" s="1"/>
  <c r="DG60" i="6"/>
  <c r="DR60" i="6" s="1"/>
  <c r="DG76" i="6"/>
  <c r="DR76" i="6" s="1"/>
  <c r="DG24" i="6"/>
  <c r="DR24" i="6" s="1"/>
  <c r="DG128" i="6"/>
  <c r="DR128" i="6" s="1"/>
  <c r="DG29" i="6"/>
  <c r="DR29" i="6" s="1"/>
  <c r="DG37" i="6"/>
  <c r="DR37" i="6" s="1"/>
  <c r="DG45" i="6"/>
  <c r="DR45" i="6" s="1"/>
  <c r="DG61" i="6"/>
  <c r="DR61" i="6" s="1"/>
  <c r="DG69" i="6"/>
  <c r="DR69" i="6" s="1"/>
  <c r="DG125" i="6"/>
  <c r="DR125" i="6" s="1"/>
  <c r="DG48" i="6"/>
  <c r="DR48" i="6" s="1"/>
  <c r="DG30" i="6"/>
  <c r="DR30" i="6" s="1"/>
  <c r="DG38" i="6"/>
  <c r="DR38" i="6" s="1"/>
  <c r="DG46" i="6"/>
  <c r="DR46" i="6" s="1"/>
  <c r="DG62" i="6"/>
  <c r="DR62" i="6" s="1"/>
  <c r="DG78" i="6"/>
  <c r="DR78" i="6" s="1"/>
  <c r="DG94" i="6"/>
  <c r="DR94" i="6" s="1"/>
  <c r="DG102" i="6"/>
  <c r="DR102" i="6" s="1"/>
  <c r="DG118" i="6"/>
  <c r="DR118" i="6" s="1"/>
  <c r="DG126" i="6"/>
  <c r="DR126" i="6" s="1"/>
  <c r="DG32" i="6"/>
  <c r="DR32" i="6" s="1"/>
  <c r="DG23" i="6"/>
  <c r="DR23" i="6" s="1"/>
  <c r="DG31" i="6"/>
  <c r="DR31" i="6" s="1"/>
  <c r="DG39" i="6"/>
  <c r="DR39" i="6" s="1"/>
  <c r="DG47" i="6"/>
  <c r="DR47" i="6" s="1"/>
  <c r="DG63" i="6"/>
  <c r="DR63" i="6" s="1"/>
  <c r="DG95" i="6"/>
  <c r="DR95" i="6" s="1"/>
  <c r="DG111" i="6"/>
  <c r="DR111" i="6" s="1"/>
  <c r="DG119" i="6"/>
  <c r="DR119" i="6" s="1"/>
  <c r="DG127" i="6"/>
  <c r="DR127" i="6" s="1"/>
  <c r="F86" i="13"/>
  <c r="G86" i="13"/>
  <c r="DH30" i="6"/>
  <c r="DS30" i="6" s="1"/>
  <c r="DH38" i="6"/>
  <c r="DS38" i="6" s="1"/>
  <c r="DH46" i="6"/>
  <c r="DS46" i="6" s="1"/>
  <c r="DH62" i="6"/>
  <c r="DH78" i="6"/>
  <c r="DS78" i="6" s="1"/>
  <c r="DH94" i="6"/>
  <c r="DS94" i="6" s="1"/>
  <c r="DH102" i="6"/>
  <c r="DS102" i="6" s="1"/>
  <c r="DH118" i="6"/>
  <c r="DS118" i="6" s="1"/>
  <c r="DH126" i="6"/>
  <c r="DS126" i="6" s="1"/>
  <c r="DH61" i="6"/>
  <c r="DH23" i="6"/>
  <c r="DS23" i="6" s="1"/>
  <c r="DH31" i="6"/>
  <c r="DH39" i="6"/>
  <c r="DS39" i="6" s="1"/>
  <c r="DH47" i="6"/>
  <c r="DS47" i="6" s="1"/>
  <c r="DH63" i="6"/>
  <c r="DS63" i="6" s="1"/>
  <c r="DH95" i="6"/>
  <c r="DS95" i="6" s="1"/>
  <c r="DH111" i="6"/>
  <c r="DS111" i="6" s="1"/>
  <c r="DH119" i="6"/>
  <c r="DS119" i="6" s="1"/>
  <c r="DH127" i="6"/>
  <c r="DS127" i="6" s="1"/>
  <c r="DH125" i="6"/>
  <c r="DS125" i="6" s="1"/>
  <c r="DH24" i="6"/>
  <c r="DS24" i="6" s="1"/>
  <c r="DH32" i="6"/>
  <c r="DS32" i="6" s="1"/>
  <c r="DH40" i="6"/>
  <c r="DS40" i="6" s="1"/>
  <c r="DH48" i="6"/>
  <c r="DS48" i="6" s="1"/>
  <c r="DH64" i="6"/>
  <c r="DS64" i="6" s="1"/>
  <c r="DH120" i="6"/>
  <c r="DS120" i="6" s="1"/>
  <c r="DH128" i="6"/>
  <c r="DS128" i="6" s="1"/>
  <c r="DH69" i="6"/>
  <c r="DS69" i="6" s="1"/>
  <c r="DH25" i="6"/>
  <c r="DS25" i="6" s="1"/>
  <c r="DH33" i="6"/>
  <c r="DS33" i="6" s="1"/>
  <c r="DH41" i="6"/>
  <c r="DS41" i="6" s="1"/>
  <c r="DH49" i="6"/>
  <c r="DS49" i="6" s="1"/>
  <c r="DH57" i="6"/>
  <c r="DS57" i="6" s="1"/>
  <c r="DH65" i="6"/>
  <c r="DH105" i="6"/>
  <c r="DS105" i="6" s="1"/>
  <c r="DH121" i="6"/>
  <c r="DH129" i="6"/>
  <c r="DS129" i="6" s="1"/>
  <c r="DH29" i="6"/>
  <c r="DS29" i="6" s="1"/>
  <c r="DH26" i="6"/>
  <c r="DS26" i="6" s="1"/>
  <c r="DH34" i="6"/>
  <c r="DS34" i="6" s="1"/>
  <c r="DH42" i="6"/>
  <c r="DS42" i="6" s="1"/>
  <c r="DH50" i="6"/>
  <c r="DH58" i="6"/>
  <c r="DS58" i="6" s="1"/>
  <c r="DH66" i="6"/>
  <c r="DH74" i="6"/>
  <c r="DS74" i="6" s="1"/>
  <c r="DH106" i="6"/>
  <c r="DS106" i="6" s="1"/>
  <c r="DH122" i="6"/>
  <c r="DS122" i="6" s="1"/>
  <c r="DH45" i="6"/>
  <c r="DS45" i="6" s="1"/>
  <c r="DH27" i="6"/>
  <c r="DS27" i="6" s="1"/>
  <c r="DH35" i="6"/>
  <c r="DH43" i="6"/>
  <c r="DS43" i="6" s="1"/>
  <c r="DH51" i="6"/>
  <c r="DS51" i="6" s="1"/>
  <c r="DH59" i="6"/>
  <c r="DS59" i="6" s="1"/>
  <c r="DH107" i="6"/>
  <c r="DS107" i="6" s="1"/>
  <c r="DH28" i="6"/>
  <c r="DS28" i="6" s="1"/>
  <c r="DH36" i="6"/>
  <c r="DS36" i="6" s="1"/>
  <c r="DH44" i="6"/>
  <c r="DS44" i="6" s="1"/>
  <c r="DH52" i="6"/>
  <c r="DH60" i="6"/>
  <c r="DS60" i="6" s="1"/>
  <c r="DH76" i="6"/>
  <c r="DS76" i="6" s="1"/>
  <c r="DH37" i="6"/>
  <c r="F108" i="13"/>
  <c r="G108" i="13"/>
  <c r="F152" i="13"/>
  <c r="G152" i="13"/>
  <c r="G95" i="13"/>
  <c r="F95" i="13"/>
  <c r="F91" i="13"/>
  <c r="G91" i="13"/>
  <c r="G96" i="13"/>
  <c r="F96" i="13"/>
  <c r="F97" i="13"/>
  <c r="G97" i="13"/>
  <c r="F146" i="13"/>
  <c r="G146" i="13"/>
  <c r="F147" i="13"/>
  <c r="G147" i="13"/>
  <c r="G109" i="13"/>
  <c r="F109" i="13"/>
  <c r="F102" i="13"/>
  <c r="G102" i="13"/>
  <c r="G87" i="13"/>
  <c r="F87" i="13"/>
  <c r="G136" i="13"/>
  <c r="F136" i="13"/>
  <c r="F137" i="13"/>
  <c r="G137" i="13"/>
  <c r="I96" i="5"/>
  <c r="I18" i="5"/>
  <c r="I38" i="5"/>
  <c r="I13" i="5"/>
  <c r="I42" i="5"/>
  <c r="I575" i="5"/>
  <c r="I68" i="5"/>
  <c r="I86" i="5"/>
  <c r="I47" i="5"/>
  <c r="I48" i="5"/>
  <c r="I44" i="5"/>
  <c r="I57" i="5"/>
  <c r="I55" i="5"/>
  <c r="I54" i="5"/>
  <c r="I56" i="5"/>
  <c r="I52" i="5"/>
  <c r="I58" i="5"/>
  <c r="I492" i="5"/>
  <c r="K612" i="5"/>
  <c r="K514" i="5"/>
  <c r="I83" i="5" l="1"/>
  <c r="I88" i="5"/>
  <c r="I77" i="5"/>
  <c r="I85" i="5"/>
  <c r="I76" i="5"/>
  <c r="I73" i="5"/>
  <c r="I69" i="5"/>
  <c r="K502" i="5"/>
  <c r="DX97" i="6"/>
  <c r="I22" i="5"/>
  <c r="I36" i="5"/>
  <c r="I11" i="5"/>
  <c r="I29" i="5"/>
  <c r="I37" i="5"/>
  <c r="I41" i="5"/>
  <c r="I546" i="5"/>
  <c r="I20" i="5"/>
  <c r="I32" i="5"/>
  <c r="I16" i="5"/>
  <c r="I24" i="5"/>
  <c r="I28" i="5"/>
  <c r="I25" i="5"/>
  <c r="I26" i="5"/>
  <c r="I17" i="5"/>
  <c r="I35" i="5"/>
  <c r="I23" i="5"/>
  <c r="I14" i="5"/>
  <c r="I39" i="5"/>
  <c r="I40" i="5"/>
  <c r="I27" i="5"/>
  <c r="I21" i="5"/>
  <c r="DW97" i="6"/>
  <c r="I15" i="5"/>
  <c r="I34" i="5"/>
  <c r="I31" i="5"/>
  <c r="I33" i="5"/>
  <c r="I30" i="5"/>
  <c r="I92" i="5"/>
  <c r="I95" i="5"/>
  <c r="I100" i="5"/>
  <c r="I105" i="5"/>
  <c r="I90" i="5"/>
  <c r="I114" i="5"/>
  <c r="I110" i="5"/>
  <c r="I107" i="5"/>
  <c r="I60" i="5"/>
  <c r="I59" i="5"/>
  <c r="I45" i="5"/>
  <c r="I82" i="5"/>
  <c r="I81" i="5"/>
  <c r="I84" i="5"/>
  <c r="I558" i="5"/>
  <c r="I91" i="5"/>
  <c r="I111" i="5"/>
  <c r="I108" i="5"/>
  <c r="I49" i="5"/>
  <c r="I50" i="5"/>
  <c r="I79" i="5"/>
  <c r="I78" i="5"/>
  <c r="I71" i="5"/>
  <c r="I101" i="5"/>
  <c r="I112" i="5"/>
  <c r="I98" i="5"/>
  <c r="I104" i="5"/>
  <c r="I94" i="5"/>
  <c r="I97" i="5"/>
  <c r="I99" i="5"/>
  <c r="I89" i="5"/>
  <c r="I61" i="5"/>
  <c r="I66" i="5"/>
  <c r="I80" i="5"/>
  <c r="I51" i="5"/>
  <c r="I62" i="5"/>
  <c r="I67" i="5"/>
  <c r="I72" i="5"/>
  <c r="I65" i="5"/>
  <c r="I547" i="5"/>
  <c r="I115" i="5"/>
  <c r="I109" i="5"/>
  <c r="I103" i="5"/>
  <c r="I106" i="5"/>
  <c r="I53" i="5"/>
  <c r="I64" i="5"/>
  <c r="I63" i="5"/>
  <c r="I87" i="5"/>
  <c r="I75" i="5"/>
  <c r="I113" i="5"/>
  <c r="I102" i="5"/>
  <c r="O8" i="17"/>
  <c r="O13" i="17"/>
  <c r="V13" i="17" s="1"/>
  <c r="O15" i="17"/>
  <c r="N15" i="17" s="1"/>
  <c r="O39" i="21"/>
  <c r="V39" i="21" s="1"/>
  <c r="O45" i="21"/>
  <c r="N45" i="21" s="1"/>
  <c r="O38" i="21"/>
  <c r="N38" i="21" s="1"/>
  <c r="O16" i="20"/>
  <c r="N16" i="20" s="1"/>
  <c r="O15" i="20"/>
  <c r="N15" i="20" s="1"/>
  <c r="L14" i="22"/>
  <c r="N42" i="21"/>
  <c r="V42" i="21"/>
  <c r="N50" i="22"/>
  <c r="V50" i="22"/>
  <c r="N53" i="22"/>
  <c r="V53" i="22"/>
  <c r="N43" i="22"/>
  <c r="V43" i="22"/>
  <c r="V57" i="22"/>
  <c r="N57" i="22"/>
  <c r="N32" i="22"/>
  <c r="V32" i="22"/>
  <c r="N15" i="22"/>
  <c r="V15" i="22"/>
  <c r="V23" i="22"/>
  <c r="N23" i="22"/>
  <c r="N25" i="21"/>
  <c r="V25" i="21"/>
  <c r="N39" i="21"/>
  <c r="N51" i="22"/>
  <c r="V51" i="22"/>
  <c r="N59" i="22"/>
  <c r="V59" i="22"/>
  <c r="N44" i="22"/>
  <c r="V44" i="22"/>
  <c r="V19" i="22"/>
  <c r="N19" i="22"/>
  <c r="V24" i="22"/>
  <c r="N24" i="22"/>
  <c r="N16" i="22"/>
  <c r="V16" i="22"/>
  <c r="L55" i="22"/>
  <c r="L45" i="22"/>
  <c r="L42" i="22"/>
  <c r="L47" i="22"/>
  <c r="L58" i="22"/>
  <c r="L51" i="22"/>
  <c r="L44" i="22"/>
  <c r="L43" i="22"/>
  <c r="L37" i="22"/>
  <c r="L34" i="22"/>
  <c r="L33" i="22"/>
  <c r="L41" i="21"/>
  <c r="L33" i="21"/>
  <c r="L59" i="22"/>
  <c r="L53" i="22"/>
  <c r="L52" i="22"/>
  <c r="L48" i="22"/>
  <c r="L41" i="22"/>
  <c r="L37" i="21"/>
  <c r="L56" i="22"/>
  <c r="L50" i="22"/>
  <c r="L39" i="22"/>
  <c r="L38" i="22"/>
  <c r="L35" i="22"/>
  <c r="L34" i="21"/>
  <c r="L54" i="22"/>
  <c r="L36" i="22"/>
  <c r="L57" i="22"/>
  <c r="L49" i="22"/>
  <c r="L46" i="22"/>
  <c r="L40" i="22"/>
  <c r="L43" i="21"/>
  <c r="N40" i="21"/>
  <c r="V40" i="21"/>
  <c r="N40" i="22"/>
  <c r="V40" i="22"/>
  <c r="V35" i="21"/>
  <c r="N35" i="21"/>
  <c r="N58" i="22"/>
  <c r="V58" i="22"/>
  <c r="V55" i="22"/>
  <c r="N55" i="22"/>
  <c r="V30" i="22"/>
  <c r="N30" i="22"/>
  <c r="V26" i="22"/>
  <c r="N26" i="22"/>
  <c r="V25" i="22"/>
  <c r="N25" i="22"/>
  <c r="N46" i="22"/>
  <c r="V46" i="22"/>
  <c r="N37" i="21"/>
  <c r="V37" i="21"/>
  <c r="V33" i="21"/>
  <c r="N33" i="21"/>
  <c r="N34" i="21"/>
  <c r="V34" i="21"/>
  <c r="V21" i="22"/>
  <c r="N21" i="22"/>
  <c r="N28" i="22"/>
  <c r="V28" i="22"/>
  <c r="N23" i="21"/>
  <c r="V23" i="21"/>
  <c r="V16" i="20"/>
  <c r="V15" i="20"/>
  <c r="N27" i="22"/>
  <c r="V27" i="22"/>
  <c r="N36" i="22"/>
  <c r="V36" i="22"/>
  <c r="N49" i="22"/>
  <c r="V49" i="22"/>
  <c r="V44" i="21"/>
  <c r="N44" i="21"/>
  <c r="V41" i="21"/>
  <c r="N41" i="21"/>
  <c r="V29" i="21"/>
  <c r="N29" i="21"/>
  <c r="N24" i="21"/>
  <c r="V24" i="21"/>
  <c r="V26" i="21"/>
  <c r="N26" i="21"/>
  <c r="V31" i="22"/>
  <c r="N31" i="22"/>
  <c r="N54" i="22"/>
  <c r="V54" i="22"/>
  <c r="V35" i="22"/>
  <c r="N35" i="22"/>
  <c r="N42" i="22"/>
  <c r="V42" i="22"/>
  <c r="N33" i="22"/>
  <c r="V33" i="22"/>
  <c r="N41" i="22"/>
  <c r="V41" i="22"/>
  <c r="V28" i="21"/>
  <c r="N28" i="21"/>
  <c r="N12" i="22"/>
  <c r="V12" i="22"/>
  <c r="N14" i="22"/>
  <c r="V14" i="22"/>
  <c r="L29" i="22"/>
  <c r="L24" i="22"/>
  <c r="L22" i="22"/>
  <c r="L21" i="22"/>
  <c r="L15" i="22"/>
  <c r="L29" i="21"/>
  <c r="L24" i="21"/>
  <c r="L32" i="22"/>
  <c r="L31" i="22"/>
  <c r="L28" i="22"/>
  <c r="L11" i="22"/>
  <c r="L17" i="22"/>
  <c r="L12" i="22"/>
  <c r="L26" i="21"/>
  <c r="L23" i="22"/>
  <c r="L18" i="22"/>
  <c r="L8" i="22"/>
  <c r="L20" i="22"/>
  <c r="L13" i="22"/>
  <c r="L10" i="22"/>
  <c r="L26" i="22"/>
  <c r="L25" i="22"/>
  <c r="L19" i="22"/>
  <c r="L9" i="22"/>
  <c r="L27" i="22"/>
  <c r="L16" i="22"/>
  <c r="L25" i="21"/>
  <c r="L30" i="22"/>
  <c r="L23" i="21"/>
  <c r="V43" i="21"/>
  <c r="N43" i="21"/>
  <c r="N38" i="22"/>
  <c r="V38" i="22"/>
  <c r="N48" i="22"/>
  <c r="V48" i="22"/>
  <c r="V34" i="22"/>
  <c r="N34" i="22"/>
  <c r="N47" i="22"/>
  <c r="V47" i="22"/>
  <c r="N11" i="22"/>
  <c r="V11" i="22"/>
  <c r="N31" i="21"/>
  <c r="V31" i="21"/>
  <c r="V30" i="21"/>
  <c r="N30" i="21"/>
  <c r="V9" i="22"/>
  <c r="N9" i="22"/>
  <c r="N13" i="22"/>
  <c r="V13" i="22"/>
  <c r="N8" i="22"/>
  <c r="V8" i="22"/>
  <c r="N17" i="22"/>
  <c r="V17" i="22"/>
  <c r="N45" i="22"/>
  <c r="V45" i="22"/>
  <c r="N39" i="22"/>
  <c r="V39" i="22"/>
  <c r="V52" i="22"/>
  <c r="N52" i="22"/>
  <c r="N37" i="22"/>
  <c r="V37" i="22"/>
  <c r="N56" i="22"/>
  <c r="V56" i="22"/>
  <c r="N32" i="21"/>
  <c r="V32" i="21"/>
  <c r="V29" i="22"/>
  <c r="N29" i="22"/>
  <c r="N10" i="22"/>
  <c r="V10" i="22"/>
  <c r="V20" i="22"/>
  <c r="N20" i="22"/>
  <c r="N18" i="22"/>
  <c r="V18" i="22"/>
  <c r="N22" i="22"/>
  <c r="V22" i="22"/>
  <c r="V14" i="20"/>
  <c r="N14" i="20"/>
  <c r="CJ104" i="6"/>
  <c r="L28" i="21" s="1"/>
  <c r="CJ114" i="6"/>
  <c r="V30" i="17"/>
  <c r="N30" i="17"/>
  <c r="CJ108" i="6"/>
  <c r="CJ72" i="6"/>
  <c r="CJ68" i="6"/>
  <c r="CJ123" i="6"/>
  <c r="L45" i="21" s="1"/>
  <c r="CJ99" i="6"/>
  <c r="L42" i="21" s="1"/>
  <c r="CJ70" i="6"/>
  <c r="L35" i="21" s="1"/>
  <c r="V9" i="17"/>
  <c r="N9" i="17"/>
  <c r="V14" i="17"/>
  <c r="N14" i="17"/>
  <c r="CJ56" i="6"/>
  <c r="L16" i="20" s="1"/>
  <c r="CJ85" i="6"/>
  <c r="V10" i="17"/>
  <c r="N10" i="17"/>
  <c r="CJ80" i="6"/>
  <c r="I537" i="5" s="1"/>
  <c r="L10" i="17"/>
  <c r="CJ100" i="6"/>
  <c r="L44" i="21" s="1"/>
  <c r="CJ91" i="6"/>
  <c r="N8" i="17"/>
  <c r="V8" i="17"/>
  <c r="N13" i="17"/>
  <c r="CJ73" i="6"/>
  <c r="I520" i="5" s="1"/>
  <c r="CJ87" i="6"/>
  <c r="I569" i="5" s="1"/>
  <c r="CJ71" i="6"/>
  <c r="L14" i="17" s="1"/>
  <c r="CJ101" i="6"/>
  <c r="K611" i="5"/>
  <c r="CJ109" i="6"/>
  <c r="K590" i="5"/>
  <c r="CJ77" i="6"/>
  <c r="I594" i="5" s="1"/>
  <c r="K542" i="5"/>
  <c r="CJ67" i="6"/>
  <c r="L9" i="17" s="1"/>
  <c r="K512" i="5"/>
  <c r="CJ103" i="6"/>
  <c r="L40" i="21" s="1"/>
  <c r="K596" i="5"/>
  <c r="CJ81" i="6"/>
  <c r="L30" i="21" s="1"/>
  <c r="K554" i="5"/>
  <c r="CJ110" i="6"/>
  <c r="K615" i="5"/>
  <c r="CJ82" i="6"/>
  <c r="K543" i="5"/>
  <c r="K620" i="5"/>
  <c r="K539" i="5"/>
  <c r="K536" i="5"/>
  <c r="K569" i="5"/>
  <c r="K614" i="5"/>
  <c r="K544" i="5"/>
  <c r="K593" i="5"/>
  <c r="K520" i="5"/>
  <c r="K537" i="5"/>
  <c r="K556" i="5"/>
  <c r="K571" i="5"/>
  <c r="K545" i="5"/>
  <c r="EF97" i="6"/>
  <c r="K594" i="5"/>
  <c r="K589" i="5"/>
  <c r="K610" i="5"/>
  <c r="K595" i="5"/>
  <c r="EF75" i="6"/>
  <c r="K541" i="5"/>
  <c r="DW48" i="6"/>
  <c r="DX48" i="6"/>
  <c r="DX63" i="6"/>
  <c r="DW63" i="6"/>
  <c r="DX102" i="6"/>
  <c r="DW102" i="6"/>
  <c r="DX125" i="6"/>
  <c r="DW125" i="6"/>
  <c r="DX76" i="6"/>
  <c r="DW76" i="6"/>
  <c r="DX51" i="6"/>
  <c r="DW51" i="6"/>
  <c r="DX74" i="6"/>
  <c r="DW74" i="6"/>
  <c r="DX129" i="6"/>
  <c r="DW129" i="6"/>
  <c r="DW25" i="6"/>
  <c r="DX25" i="6"/>
  <c r="DW33" i="6"/>
  <c r="DX33" i="6"/>
  <c r="DX47" i="6"/>
  <c r="DW47" i="6"/>
  <c r="DX69" i="6"/>
  <c r="DW69" i="6"/>
  <c r="DX60" i="6"/>
  <c r="DW60" i="6"/>
  <c r="DX43" i="6"/>
  <c r="DW43" i="6"/>
  <c r="DX118" i="6"/>
  <c r="DW118" i="6"/>
  <c r="DX39" i="6"/>
  <c r="DW39" i="6"/>
  <c r="DX78" i="6"/>
  <c r="DW78" i="6"/>
  <c r="DX58" i="6"/>
  <c r="DW58" i="6"/>
  <c r="DX105" i="6"/>
  <c r="DW105" i="6"/>
  <c r="DX59" i="6"/>
  <c r="DW59" i="6"/>
  <c r="DX45" i="6"/>
  <c r="DW45" i="6"/>
  <c r="DX44" i="6"/>
  <c r="DW44" i="6"/>
  <c r="DX27" i="6"/>
  <c r="DW27" i="6"/>
  <c r="DW24" i="6"/>
  <c r="DX24" i="6"/>
  <c r="DX23" i="6"/>
  <c r="DW23" i="6"/>
  <c r="DX46" i="6"/>
  <c r="DW46" i="6"/>
  <c r="DX36" i="6"/>
  <c r="DW36" i="6"/>
  <c r="DW120" i="6"/>
  <c r="DX120" i="6"/>
  <c r="DX42" i="6"/>
  <c r="DW42" i="6"/>
  <c r="DW57" i="6"/>
  <c r="DX57" i="6"/>
  <c r="DX106" i="6"/>
  <c r="DW106" i="6"/>
  <c r="DX119" i="6"/>
  <c r="DW119" i="6"/>
  <c r="DW32" i="6"/>
  <c r="DX32" i="6"/>
  <c r="DX38" i="6"/>
  <c r="DW38" i="6"/>
  <c r="DX29" i="6"/>
  <c r="DW29" i="6"/>
  <c r="DX28" i="6"/>
  <c r="DW28" i="6"/>
  <c r="DW64" i="6"/>
  <c r="DX64" i="6"/>
  <c r="DX34" i="6"/>
  <c r="DW34" i="6"/>
  <c r="DW49" i="6"/>
  <c r="DX49" i="6"/>
  <c r="DW40" i="6"/>
  <c r="DX40" i="6"/>
  <c r="DW111" i="6"/>
  <c r="DX111" i="6"/>
  <c r="DX126" i="6"/>
  <c r="DW126" i="6"/>
  <c r="DX30" i="6"/>
  <c r="DW30" i="6"/>
  <c r="DX122" i="6"/>
  <c r="DW122" i="6"/>
  <c r="DX26" i="6"/>
  <c r="DW26" i="6"/>
  <c r="DW41" i="6"/>
  <c r="DX41" i="6"/>
  <c r="DW128" i="6"/>
  <c r="DX128" i="6"/>
  <c r="DX127" i="6"/>
  <c r="DW127" i="6"/>
  <c r="DW107" i="6"/>
  <c r="DX107" i="6"/>
  <c r="DX95" i="6"/>
  <c r="DW95" i="6"/>
  <c r="DW94" i="6"/>
  <c r="DX94" i="6"/>
  <c r="DS37" i="6"/>
  <c r="DX37" i="6" s="1"/>
  <c r="DS66" i="6"/>
  <c r="DW66" i="6" s="1"/>
  <c r="DS121" i="6"/>
  <c r="DW121" i="6" s="1"/>
  <c r="DS31" i="6"/>
  <c r="DX31" i="6" s="1"/>
  <c r="DS62" i="6"/>
  <c r="DX62" i="6" s="1"/>
  <c r="DS52" i="6"/>
  <c r="DX52" i="6" s="1"/>
  <c r="DS35" i="6"/>
  <c r="DX35" i="6" s="1"/>
  <c r="DS50" i="6"/>
  <c r="DW50" i="6" s="1"/>
  <c r="DS65" i="6"/>
  <c r="DW65" i="6" s="1"/>
  <c r="DS61" i="6"/>
  <c r="I589" i="5"/>
  <c r="I593" i="5"/>
  <c r="I544" i="5"/>
  <c r="I514" i="5"/>
  <c r="I612" i="5"/>
  <c r="I545" i="5"/>
  <c r="I536" i="5"/>
  <c r="I539" i="5"/>
  <c r="I614" i="5"/>
  <c r="I556" i="5"/>
  <c r="I620" i="5" l="1"/>
  <c r="V15" i="17"/>
  <c r="I571" i="5"/>
  <c r="I541" i="5"/>
  <c r="V45" i="21"/>
  <c r="I543" i="5"/>
  <c r="I595" i="5"/>
  <c r="V38" i="21"/>
  <c r="O36" i="17"/>
  <c r="O35" i="17"/>
  <c r="O37" i="17"/>
  <c r="L8" i="17"/>
  <c r="L15" i="17"/>
  <c r="L30" i="17"/>
  <c r="L13" i="17"/>
  <c r="L39" i="21"/>
  <c r="L14" i="20"/>
  <c r="L38" i="21"/>
  <c r="L15" i="20"/>
  <c r="L31" i="21"/>
  <c r="L32" i="21"/>
  <c r="I615" i="5"/>
  <c r="I542" i="5"/>
  <c r="K603" i="5"/>
  <c r="I554" i="5"/>
  <c r="I590" i="5"/>
  <c r="I596" i="5"/>
  <c r="I502" i="5"/>
  <c r="I512" i="5"/>
  <c r="K621" i="5"/>
  <c r="I611" i="5"/>
  <c r="CJ75" i="6"/>
  <c r="K521" i="5"/>
  <c r="CJ97" i="6"/>
  <c r="K551" i="5"/>
  <c r="K585" i="5"/>
  <c r="EF46" i="6"/>
  <c r="EF44" i="6"/>
  <c r="EF58" i="6"/>
  <c r="O8" i="20" s="1"/>
  <c r="EF43" i="6"/>
  <c r="EF51" i="6"/>
  <c r="EF63" i="6"/>
  <c r="CJ63" i="6" s="1"/>
  <c r="EF30" i="6"/>
  <c r="EF95" i="6"/>
  <c r="EF126" i="6"/>
  <c r="EF34" i="6"/>
  <c r="EF38" i="6"/>
  <c r="CJ38" i="6" s="1"/>
  <c r="EF36" i="6"/>
  <c r="EF27" i="6"/>
  <c r="EF105" i="6"/>
  <c r="EF118" i="6"/>
  <c r="EF47" i="6"/>
  <c r="EF29" i="6"/>
  <c r="EF106" i="6"/>
  <c r="O36" i="21" s="1"/>
  <c r="EF59" i="6"/>
  <c r="EF39" i="6"/>
  <c r="CJ39" i="6" s="1"/>
  <c r="EF69" i="6"/>
  <c r="EF129" i="6"/>
  <c r="EF125" i="6"/>
  <c r="EF25" i="6"/>
  <c r="EF48" i="6"/>
  <c r="CJ48" i="6" s="1"/>
  <c r="EF74" i="6"/>
  <c r="EF102" i="6"/>
  <c r="EF122" i="6"/>
  <c r="EF28" i="6"/>
  <c r="EF119" i="6"/>
  <c r="CJ119" i="6" s="1"/>
  <c r="EF42" i="6"/>
  <c r="EF23" i="6"/>
  <c r="EF45" i="6"/>
  <c r="EF78" i="6"/>
  <c r="EF60" i="6"/>
  <c r="O11" i="20" s="1"/>
  <c r="EF76" i="6"/>
  <c r="O38" i="17" s="1"/>
  <c r="EF40" i="6"/>
  <c r="EF94" i="6"/>
  <c r="EF128" i="6"/>
  <c r="EF49" i="6"/>
  <c r="O22" i="21" s="1"/>
  <c r="EF120" i="6"/>
  <c r="CJ120" i="6" s="1"/>
  <c r="EF24" i="6"/>
  <c r="EF41" i="6"/>
  <c r="EF26" i="6"/>
  <c r="EF107" i="6"/>
  <c r="EF111" i="6"/>
  <c r="EF64" i="6"/>
  <c r="CJ64" i="6" s="1"/>
  <c r="EF32" i="6"/>
  <c r="CJ32" i="6" s="1"/>
  <c r="EF57" i="6"/>
  <c r="EF33" i="6"/>
  <c r="O10" i="21" s="1"/>
  <c r="DX50" i="6"/>
  <c r="EF50" i="6" s="1"/>
  <c r="DX66" i="6"/>
  <c r="EF66" i="6" s="1"/>
  <c r="K602" i="5"/>
  <c r="K574" i="5"/>
  <c r="K523" i="5"/>
  <c r="DW31" i="6"/>
  <c r="EF31" i="6" s="1"/>
  <c r="O12" i="21" s="1"/>
  <c r="DW35" i="6"/>
  <c r="K553" i="5"/>
  <c r="K531" i="5"/>
  <c r="K609" i="5"/>
  <c r="DW52" i="6"/>
  <c r="EF52" i="6" s="1"/>
  <c r="O259" i="22" s="1"/>
  <c r="EE127" i="6"/>
  <c r="EF127" i="6" s="1"/>
  <c r="DW37" i="6"/>
  <c r="DX65" i="6"/>
  <c r="EF65" i="6" s="1"/>
  <c r="DW61" i="6"/>
  <c r="DX121" i="6"/>
  <c r="EF121" i="6" s="1"/>
  <c r="DX61" i="6"/>
  <c r="DW62" i="6"/>
  <c r="EF62" i="6" s="1"/>
  <c r="CJ62" i="6" s="1"/>
  <c r="K490" i="5"/>
  <c r="K578" i="5"/>
  <c r="K501" i="5"/>
  <c r="O307" i="17" l="1"/>
  <c r="O310" i="17"/>
  <c r="O302" i="17"/>
  <c r="O301" i="17"/>
  <c r="O303" i="17"/>
  <c r="O297" i="17"/>
  <c r="O311" i="17"/>
  <c r="O316" i="17"/>
  <c r="O12" i="17"/>
  <c r="O11" i="17"/>
  <c r="O288" i="17"/>
  <c r="O290" i="17"/>
  <c r="O305" i="17"/>
  <c r="O284" i="17"/>
  <c r="O296" i="17"/>
  <c r="V38" i="17"/>
  <c r="N38" i="17"/>
  <c r="O52" i="17"/>
  <c r="O44" i="17"/>
  <c r="O46" i="17"/>
  <c r="O53" i="17"/>
  <c r="O45" i="17"/>
  <c r="O55" i="17"/>
  <c r="O54" i="17"/>
  <c r="O59" i="17"/>
  <c r="O49" i="17"/>
  <c r="O50" i="17"/>
  <c r="O47" i="17"/>
  <c r="O51" i="17"/>
  <c r="O48" i="17"/>
  <c r="O306" i="17"/>
  <c r="O286" i="17"/>
  <c r="V286" i="17" s="1"/>
  <c r="O317" i="17"/>
  <c r="O23" i="17"/>
  <c r="O21" i="17"/>
  <c r="O16" i="17"/>
  <c r="O22" i="17"/>
  <c r="O17" i="17"/>
  <c r="O20" i="17"/>
  <c r="O18" i="17"/>
  <c r="O34" i="17"/>
  <c r="O31" i="17"/>
  <c r="O33" i="17"/>
  <c r="O32" i="17"/>
  <c r="O29" i="17"/>
  <c r="O19" i="17"/>
  <c r="O308" i="17"/>
  <c r="O309" i="17"/>
  <c r="O21" i="21"/>
  <c r="V21" i="21" s="1"/>
  <c r="O24" i="17"/>
  <c r="O27" i="17"/>
  <c r="O28" i="17"/>
  <c r="V37" i="17"/>
  <c r="N37" i="17"/>
  <c r="O26" i="17"/>
  <c r="O25" i="17"/>
  <c r="N35" i="17"/>
  <c r="V35" i="17"/>
  <c r="N36" i="17"/>
  <c r="V36" i="17"/>
  <c r="L36" i="17"/>
  <c r="L35" i="17"/>
  <c r="L37" i="17"/>
  <c r="O205" i="22"/>
  <c r="N205" i="22" s="1"/>
  <c r="O27" i="21"/>
  <c r="O19" i="20"/>
  <c r="O17" i="20"/>
  <c r="O18" i="20"/>
  <c r="O11" i="21"/>
  <c r="O8" i="21"/>
  <c r="O9" i="21"/>
  <c r="N11" i="20"/>
  <c r="V11" i="20"/>
  <c r="O12" i="20"/>
  <c r="O13" i="20"/>
  <c r="N8" i="20"/>
  <c r="V8" i="20"/>
  <c r="N10" i="21"/>
  <c r="V10" i="21"/>
  <c r="N36" i="21"/>
  <c r="V36" i="21"/>
  <c r="O14" i="21"/>
  <c r="O15" i="21"/>
  <c r="O19" i="21"/>
  <c r="O9" i="20"/>
  <c r="O10" i="20"/>
  <c r="O228" i="22"/>
  <c r="O18" i="21"/>
  <c r="O20" i="21"/>
  <c r="O16" i="21"/>
  <c r="O17" i="21"/>
  <c r="V12" i="21"/>
  <c r="N12" i="21"/>
  <c r="N22" i="21"/>
  <c r="V22" i="21"/>
  <c r="N259" i="22"/>
  <c r="V259" i="22"/>
  <c r="O206" i="22"/>
  <c r="O204" i="22"/>
  <c r="O149" i="22"/>
  <c r="O150" i="22"/>
  <c r="O146" i="22"/>
  <c r="O151" i="22"/>
  <c r="O152" i="22"/>
  <c r="O147" i="22"/>
  <c r="O148" i="22"/>
  <c r="O144" i="22"/>
  <c r="O145" i="22"/>
  <c r="O143" i="22"/>
  <c r="O139" i="22"/>
  <c r="O138" i="22"/>
  <c r="O140" i="22"/>
  <c r="O135" i="22"/>
  <c r="O142" i="22"/>
  <c r="O137" i="22"/>
  <c r="O141" i="22"/>
  <c r="O134" i="22"/>
  <c r="O136" i="22"/>
  <c r="O133" i="22"/>
  <c r="O125" i="22"/>
  <c r="O120" i="22"/>
  <c r="O122" i="22"/>
  <c r="O124" i="22"/>
  <c r="O123" i="22"/>
  <c r="O121" i="22"/>
  <c r="O119" i="22"/>
  <c r="O185" i="22"/>
  <c r="O180" i="22"/>
  <c r="O176" i="22"/>
  <c r="O186" i="22"/>
  <c r="O183" i="22"/>
  <c r="O191" i="22"/>
  <c r="O181" i="22"/>
  <c r="O184" i="22"/>
  <c r="O179" i="22"/>
  <c r="O182" i="22"/>
  <c r="O177" i="22"/>
  <c r="O178" i="22"/>
  <c r="O187" i="22"/>
  <c r="O249" i="22"/>
  <c r="O260" i="22"/>
  <c r="O261" i="22"/>
  <c r="O255" i="22"/>
  <c r="O250" i="22"/>
  <c r="O256" i="22"/>
  <c r="O247" i="22"/>
  <c r="O258" i="22"/>
  <c r="O257" i="22"/>
  <c r="O251" i="22"/>
  <c r="O254" i="22"/>
  <c r="O253" i="22"/>
  <c r="O252" i="22"/>
  <c r="O248" i="22"/>
  <c r="O116" i="22"/>
  <c r="O115" i="22"/>
  <c r="O105" i="22"/>
  <c r="O103" i="22"/>
  <c r="O101" i="22"/>
  <c r="O98" i="22"/>
  <c r="O92" i="22"/>
  <c r="O117" i="22"/>
  <c r="O100" i="22"/>
  <c r="O90" i="22"/>
  <c r="O118" i="22"/>
  <c r="O91" i="22"/>
  <c r="O106" i="22"/>
  <c r="O99" i="22"/>
  <c r="O93" i="22"/>
  <c r="O107" i="22"/>
  <c r="O102" i="22"/>
  <c r="O95" i="22"/>
  <c r="O94" i="22"/>
  <c r="O87" i="22"/>
  <c r="O104" i="22"/>
  <c r="O97" i="22"/>
  <c r="O96" i="22"/>
  <c r="O88" i="22"/>
  <c r="O89" i="22"/>
  <c r="O202" i="22"/>
  <c r="O193" i="22"/>
  <c r="O201" i="22"/>
  <c r="O198" i="22"/>
  <c r="O200" i="22"/>
  <c r="O199" i="22"/>
  <c r="O195" i="22"/>
  <c r="O196" i="22"/>
  <c r="O197" i="22"/>
  <c r="O194" i="22"/>
  <c r="O232" i="22"/>
  <c r="O226" i="22"/>
  <c r="O231" i="22"/>
  <c r="O227" i="22"/>
  <c r="O225" i="22"/>
  <c r="O230" i="22"/>
  <c r="O229" i="22"/>
  <c r="V228" i="22"/>
  <c r="N228" i="22"/>
  <c r="O233" i="22"/>
  <c r="O237" i="22"/>
  <c r="O236" i="22"/>
  <c r="O243" i="22"/>
  <c r="O242" i="22"/>
  <c r="O246" i="22"/>
  <c r="O244" i="22"/>
  <c r="O239" i="22"/>
  <c r="O245" i="22"/>
  <c r="O240" i="22"/>
  <c r="O241" i="22"/>
  <c r="O238" i="22"/>
  <c r="O84" i="22"/>
  <c r="O83" i="22"/>
  <c r="O81" i="22"/>
  <c r="O70" i="22"/>
  <c r="O67" i="22"/>
  <c r="O85" i="22"/>
  <c r="O69" i="22"/>
  <c r="O68" i="22"/>
  <c r="O61" i="22"/>
  <c r="O62" i="22"/>
  <c r="O86" i="22"/>
  <c r="O76" i="22"/>
  <c r="O73" i="22"/>
  <c r="O64" i="22"/>
  <c r="O63" i="22"/>
  <c r="O77" i="22"/>
  <c r="O79" i="22"/>
  <c r="O78" i="22"/>
  <c r="O75" i="22"/>
  <c r="O74" i="22"/>
  <c r="O71" i="22"/>
  <c r="O66" i="22"/>
  <c r="O65" i="22"/>
  <c r="O82" i="22"/>
  <c r="O72" i="22"/>
  <c r="O60" i="22"/>
  <c r="O80" i="22"/>
  <c r="O131" i="22"/>
  <c r="O132" i="22"/>
  <c r="O127" i="22"/>
  <c r="O130" i="22"/>
  <c r="O128" i="22"/>
  <c r="O129" i="22"/>
  <c r="O126" i="22"/>
  <c r="O234" i="22"/>
  <c r="O235" i="22"/>
  <c r="CJ128" i="6"/>
  <c r="CJ42" i="6"/>
  <c r="O205" i="17"/>
  <c r="CJ125" i="6"/>
  <c r="K254" i="5"/>
  <c r="O169" i="17"/>
  <c r="O291" i="17"/>
  <c r="O170" i="17"/>
  <c r="O168" i="17"/>
  <c r="CJ121" i="6"/>
  <c r="O289" i="17"/>
  <c r="CJ111" i="6"/>
  <c r="CJ94" i="6"/>
  <c r="CJ129" i="6"/>
  <c r="CJ105" i="6"/>
  <c r="CJ40" i="6"/>
  <c r="O206" i="17"/>
  <c r="O204" i="17"/>
  <c r="CJ28" i="6"/>
  <c r="O151" i="17"/>
  <c r="O147" i="17"/>
  <c r="O146" i="17"/>
  <c r="O149" i="17"/>
  <c r="O160" i="17"/>
  <c r="O159" i="17"/>
  <c r="O150" i="17"/>
  <c r="O162" i="17"/>
  <c r="O148" i="17"/>
  <c r="O161" i="17"/>
  <c r="O153" i="17"/>
  <c r="O156" i="17"/>
  <c r="O165" i="17"/>
  <c r="O152" i="17"/>
  <c r="CJ69" i="6"/>
  <c r="O295" i="17"/>
  <c r="CJ27" i="6"/>
  <c r="L286" i="17" s="1"/>
  <c r="O134" i="17"/>
  <c r="O155" i="17"/>
  <c r="O136" i="17"/>
  <c r="O133" i="17"/>
  <c r="O138" i="17"/>
  <c r="O143" i="17"/>
  <c r="O154" i="17"/>
  <c r="O141" i="17"/>
  <c r="O137" i="17"/>
  <c r="O135" i="17"/>
  <c r="O164" i="17"/>
  <c r="O140" i="17"/>
  <c r="O163" i="17"/>
  <c r="O142" i="17"/>
  <c r="O139" i="17"/>
  <c r="O145" i="17"/>
  <c r="O144" i="17"/>
  <c r="CJ51" i="6"/>
  <c r="O264" i="17"/>
  <c r="O265" i="17"/>
  <c r="CJ65" i="6"/>
  <c r="I356" i="5" s="1"/>
  <c r="CJ66" i="6"/>
  <c r="K176" i="5"/>
  <c r="O121" i="17"/>
  <c r="O119" i="17"/>
  <c r="O123" i="17"/>
  <c r="O120" i="17"/>
  <c r="O124" i="17"/>
  <c r="O122" i="17"/>
  <c r="O125" i="17"/>
  <c r="CJ76" i="6"/>
  <c r="O304" i="17"/>
  <c r="K624" i="5"/>
  <c r="O287" i="17"/>
  <c r="K608" i="5"/>
  <c r="O185" i="17"/>
  <c r="O177" i="17"/>
  <c r="O183" i="17"/>
  <c r="O181" i="17"/>
  <c r="O191" i="17"/>
  <c r="O179" i="17"/>
  <c r="O187" i="17"/>
  <c r="O176" i="17"/>
  <c r="O180" i="17"/>
  <c r="O178" i="17"/>
  <c r="O182" i="17"/>
  <c r="O184" i="17"/>
  <c r="O186" i="17"/>
  <c r="CJ43" i="6"/>
  <c r="I621" i="5"/>
  <c r="V306" i="17"/>
  <c r="N306" i="17"/>
  <c r="CJ31" i="6"/>
  <c r="L12" i="21" s="1"/>
  <c r="O167" i="17"/>
  <c r="O166" i="17"/>
  <c r="O255" i="17"/>
  <c r="O251" i="17"/>
  <c r="O256" i="17"/>
  <c r="O260" i="17"/>
  <c r="O247" i="17"/>
  <c r="O252" i="17"/>
  <c r="O248" i="17"/>
  <c r="O254" i="17"/>
  <c r="O261" i="17"/>
  <c r="O250" i="17"/>
  <c r="O253" i="17"/>
  <c r="O263" i="17"/>
  <c r="O258" i="17"/>
  <c r="O249" i="17"/>
  <c r="O257" i="17"/>
  <c r="O262" i="17"/>
  <c r="CJ41" i="6"/>
  <c r="I324" i="5" s="1"/>
  <c r="CJ60" i="6"/>
  <c r="L11" i="20" s="1"/>
  <c r="CJ102" i="6"/>
  <c r="L299" i="17" s="1"/>
  <c r="O299" i="17"/>
  <c r="CJ59" i="6"/>
  <c r="I498" i="5" s="1"/>
  <c r="N317" i="17"/>
  <c r="V317" i="17"/>
  <c r="K619" i="5"/>
  <c r="O315" i="17"/>
  <c r="O298" i="17"/>
  <c r="CJ33" i="6"/>
  <c r="L10" i="21" s="1"/>
  <c r="CJ24" i="6"/>
  <c r="I152" i="5" s="1"/>
  <c r="O89" i="17"/>
  <c r="O93" i="17"/>
  <c r="O94" i="17"/>
  <c r="O101" i="17"/>
  <c r="O109" i="17"/>
  <c r="O100" i="17"/>
  <c r="O104" i="17"/>
  <c r="O105" i="17"/>
  <c r="O113" i="17"/>
  <c r="O97" i="17"/>
  <c r="O108" i="17"/>
  <c r="O112" i="17"/>
  <c r="O103" i="17"/>
  <c r="O95" i="17"/>
  <c r="O99" i="17"/>
  <c r="O117" i="17"/>
  <c r="O118" i="17"/>
  <c r="O116" i="17"/>
  <c r="O87" i="17"/>
  <c r="O106" i="17"/>
  <c r="O114" i="17"/>
  <c r="O111" i="17"/>
  <c r="O96" i="17"/>
  <c r="O115" i="17"/>
  <c r="O110" i="17"/>
  <c r="O90" i="17"/>
  <c r="O88" i="17"/>
  <c r="O92" i="17"/>
  <c r="O107" i="17"/>
  <c r="O98" i="17"/>
  <c r="O102" i="17"/>
  <c r="O91" i="17"/>
  <c r="CJ74" i="6"/>
  <c r="I515" i="5" s="1"/>
  <c r="O300" i="17"/>
  <c r="O285" i="17"/>
  <c r="O314" i="17"/>
  <c r="K561" i="5"/>
  <c r="O199" i="17"/>
  <c r="O194" i="17"/>
  <c r="O202" i="17"/>
  <c r="O195" i="17"/>
  <c r="O293" i="17"/>
  <c r="O198" i="17"/>
  <c r="O193" i="17"/>
  <c r="O201" i="17"/>
  <c r="O197" i="17"/>
  <c r="O196" i="17"/>
  <c r="O200" i="17"/>
  <c r="CJ44" i="6"/>
  <c r="O230" i="17"/>
  <c r="O232" i="17"/>
  <c r="O231" i="17"/>
  <c r="O226" i="17"/>
  <c r="O227" i="17"/>
  <c r="O229" i="17"/>
  <c r="O225" i="17"/>
  <c r="CJ52" i="6"/>
  <c r="O259" i="17"/>
  <c r="CJ45" i="6"/>
  <c r="I616" i="5" s="1"/>
  <c r="O312" i="17"/>
  <c r="O228" i="17"/>
  <c r="CJ29" i="6"/>
  <c r="I231" i="5" s="1"/>
  <c r="O157" i="17"/>
  <c r="O158" i="17"/>
  <c r="O313" i="17"/>
  <c r="CJ46" i="6"/>
  <c r="O237" i="17"/>
  <c r="O236" i="17"/>
  <c r="O233" i="17"/>
  <c r="CJ49" i="6"/>
  <c r="L22" i="21" s="1"/>
  <c r="O244" i="17"/>
  <c r="O240" i="17"/>
  <c r="O241" i="17"/>
  <c r="O242" i="17"/>
  <c r="O245" i="17"/>
  <c r="O239" i="17"/>
  <c r="O294" i="17"/>
  <c r="O246" i="17"/>
  <c r="O243" i="17"/>
  <c r="O238" i="17"/>
  <c r="CJ23" i="6"/>
  <c r="I508" i="5" s="1"/>
  <c r="O70" i="17"/>
  <c r="O84" i="17"/>
  <c r="O73" i="17"/>
  <c r="O67" i="17"/>
  <c r="O68" i="17"/>
  <c r="O77" i="17"/>
  <c r="O63" i="17"/>
  <c r="O74" i="17"/>
  <c r="O81" i="17"/>
  <c r="O66" i="17"/>
  <c r="O65" i="17"/>
  <c r="O85" i="17"/>
  <c r="O61" i="17"/>
  <c r="O62" i="17"/>
  <c r="O75" i="17"/>
  <c r="O83" i="17"/>
  <c r="O64" i="17"/>
  <c r="O86" i="17"/>
  <c r="O76" i="17"/>
  <c r="O78" i="17"/>
  <c r="O69" i="17"/>
  <c r="O72" i="17"/>
  <c r="O79" i="17"/>
  <c r="O80" i="17"/>
  <c r="O82" i="17"/>
  <c r="O292" i="17"/>
  <c r="O129" i="17"/>
  <c r="O130" i="17"/>
  <c r="O132" i="17"/>
  <c r="O131" i="17"/>
  <c r="O126" i="17"/>
  <c r="O128" i="17"/>
  <c r="O127" i="17"/>
  <c r="CJ47" i="6"/>
  <c r="O235" i="17"/>
  <c r="O234" i="17"/>
  <c r="K613" i="5"/>
  <c r="K251" i="5"/>
  <c r="K247" i="5"/>
  <c r="K250" i="5"/>
  <c r="K248" i="5"/>
  <c r="K584" i="5"/>
  <c r="K245" i="5"/>
  <c r="K249" i="5"/>
  <c r="CJ122" i="6"/>
  <c r="K555" i="5"/>
  <c r="K588" i="5"/>
  <c r="K522" i="5"/>
  <c r="CJ106" i="6"/>
  <c r="L36" i="21" s="1"/>
  <c r="K592" i="5"/>
  <c r="CJ34" i="6"/>
  <c r="K548" i="5"/>
  <c r="K525" i="5"/>
  <c r="K607" i="5"/>
  <c r="CJ30" i="6"/>
  <c r="K526" i="5"/>
  <c r="K528" i="5"/>
  <c r="CJ78" i="6"/>
  <c r="K582" i="5"/>
  <c r="CJ126" i="6"/>
  <c r="K516" i="5"/>
  <c r="CJ57" i="6"/>
  <c r="K495" i="5"/>
  <c r="CJ95" i="6"/>
  <c r="K623" i="5"/>
  <c r="CJ58" i="6"/>
  <c r="L8" i="20" s="1"/>
  <c r="K494" i="5"/>
  <c r="CJ127" i="6"/>
  <c r="K601" i="5"/>
  <c r="CJ25" i="6"/>
  <c r="K560" i="5"/>
  <c r="CJ118" i="6"/>
  <c r="K538" i="5"/>
  <c r="K503" i="5"/>
  <c r="K504" i="5"/>
  <c r="I551" i="5"/>
  <c r="I610" i="5"/>
  <c r="I585" i="5"/>
  <c r="CJ107" i="6"/>
  <c r="K533" i="5"/>
  <c r="CJ36" i="6"/>
  <c r="K618" i="5"/>
  <c r="I521" i="5"/>
  <c r="I603" i="5"/>
  <c r="K565" i="5"/>
  <c r="K508" i="5"/>
  <c r="K166" i="5"/>
  <c r="K160" i="5"/>
  <c r="K581" i="5"/>
  <c r="K174" i="5"/>
  <c r="K159" i="5"/>
  <c r="K170" i="5"/>
  <c r="K509" i="5"/>
  <c r="K496" i="5"/>
  <c r="K505" i="5"/>
  <c r="K186" i="5"/>
  <c r="K188" i="5"/>
  <c r="K192" i="5"/>
  <c r="K189" i="5"/>
  <c r="K187" i="5"/>
  <c r="K562" i="5"/>
  <c r="K184" i="5"/>
  <c r="I509" i="5"/>
  <c r="K185" i="5"/>
  <c r="K191" i="5"/>
  <c r="K506" i="5"/>
  <c r="K540" i="5"/>
  <c r="K190" i="5"/>
  <c r="K507" i="5"/>
  <c r="K193" i="5"/>
  <c r="K591" i="5"/>
  <c r="K143" i="5"/>
  <c r="K162" i="5"/>
  <c r="K165" i="5"/>
  <c r="K157" i="5"/>
  <c r="K158" i="5"/>
  <c r="K169" i="5"/>
  <c r="K156" i="5"/>
  <c r="K144" i="5"/>
  <c r="K161" i="5"/>
  <c r="K163" i="5"/>
  <c r="K152" i="5"/>
  <c r="K154" i="5"/>
  <c r="K151" i="5"/>
  <c r="K153" i="5"/>
  <c r="K171" i="5"/>
  <c r="K155" i="5"/>
  <c r="K172" i="5"/>
  <c r="K150" i="5"/>
  <c r="K146" i="5"/>
  <c r="K173" i="5"/>
  <c r="K147" i="5"/>
  <c r="K148" i="5"/>
  <c r="K168" i="5"/>
  <c r="K149" i="5"/>
  <c r="K167" i="5"/>
  <c r="K145" i="5"/>
  <c r="K164" i="5"/>
  <c r="K242" i="5"/>
  <c r="K497" i="5"/>
  <c r="K498" i="5"/>
  <c r="K241" i="5"/>
  <c r="K255" i="5"/>
  <c r="K240" i="5"/>
  <c r="K244" i="5"/>
  <c r="K243" i="5"/>
  <c r="K515" i="5"/>
  <c r="K181" i="5"/>
  <c r="K182" i="5"/>
  <c r="K221" i="5"/>
  <c r="K180" i="5"/>
  <c r="K178" i="5"/>
  <c r="K175" i="5"/>
  <c r="K179" i="5"/>
  <c r="K177" i="5"/>
  <c r="K229" i="5"/>
  <c r="K511" i="5"/>
  <c r="K230" i="5"/>
  <c r="I230" i="5"/>
  <c r="K231" i="5"/>
  <c r="K500" i="5"/>
  <c r="K567" i="5"/>
  <c r="K616" i="5"/>
  <c r="K499" i="5"/>
  <c r="K324" i="5"/>
  <c r="K322" i="5"/>
  <c r="K325" i="5"/>
  <c r="CJ50" i="6"/>
  <c r="K482" i="5"/>
  <c r="K488" i="5"/>
  <c r="K486" i="5"/>
  <c r="K468" i="5"/>
  <c r="K474" i="5"/>
  <c r="K477" i="5"/>
  <c r="K479" i="5"/>
  <c r="K480" i="5"/>
  <c r="K465" i="5"/>
  <c r="K463" i="5"/>
  <c r="K485" i="5"/>
  <c r="K483" i="5"/>
  <c r="K467" i="5"/>
  <c r="K469" i="5"/>
  <c r="K476" i="5"/>
  <c r="K466" i="5"/>
  <c r="K478" i="5"/>
  <c r="K475" i="5"/>
  <c r="K471" i="5"/>
  <c r="K464" i="5"/>
  <c r="K470" i="5"/>
  <c r="K487" i="5"/>
  <c r="K472" i="5"/>
  <c r="K481" i="5"/>
  <c r="K473" i="5"/>
  <c r="EF61" i="6"/>
  <c r="CJ61" i="6" s="1"/>
  <c r="EF37" i="6"/>
  <c r="O282" i="17" s="1"/>
  <c r="CJ26" i="6"/>
  <c r="K183" i="5"/>
  <c r="EF35" i="6"/>
  <c r="O60" i="17" s="1"/>
  <c r="K357" i="5"/>
  <c r="K583" i="5"/>
  <c r="K359" i="5"/>
  <c r="K358" i="5"/>
  <c r="K355" i="5"/>
  <c r="K534" i="5"/>
  <c r="K246" i="5"/>
  <c r="K598" i="5"/>
  <c r="K518" i="5"/>
  <c r="K580" i="5"/>
  <c r="K253" i="5"/>
  <c r="K252" i="5"/>
  <c r="K214" i="5"/>
  <c r="K232" i="5"/>
  <c r="K227" i="5"/>
  <c r="K222" i="5"/>
  <c r="K239" i="5"/>
  <c r="K220" i="5"/>
  <c r="K234" i="5"/>
  <c r="K217" i="5"/>
  <c r="K228" i="5"/>
  <c r="K215" i="5"/>
  <c r="K218" i="5"/>
  <c r="K219" i="5"/>
  <c r="K213" i="5"/>
  <c r="K216" i="5"/>
  <c r="K233" i="5"/>
  <c r="K238" i="5"/>
  <c r="K235" i="5"/>
  <c r="K294" i="5"/>
  <c r="K310" i="5"/>
  <c r="K298" i="5"/>
  <c r="K308" i="5"/>
  <c r="K563" i="5"/>
  <c r="K283" i="5"/>
  <c r="K299" i="5"/>
  <c r="K281" i="5"/>
  <c r="K292" i="5"/>
  <c r="K288" i="5"/>
  <c r="K291" i="5"/>
  <c r="K284" i="5"/>
  <c r="K296" i="5"/>
  <c r="K303" i="5"/>
  <c r="K293" i="5"/>
  <c r="K527" i="5"/>
  <c r="K305" i="5"/>
  <c r="K606" i="5"/>
  <c r="K282" i="5"/>
  <c r="K290" i="5"/>
  <c r="K302" i="5"/>
  <c r="K297" i="5"/>
  <c r="K286" i="5"/>
  <c r="K306" i="5"/>
  <c r="K278" i="5"/>
  <c r="K279" i="5"/>
  <c r="K550" i="5"/>
  <c r="K295" i="5"/>
  <c r="K304" i="5"/>
  <c r="K280" i="5"/>
  <c r="K287" i="5"/>
  <c r="K300" i="5"/>
  <c r="K309" i="5"/>
  <c r="K289" i="5"/>
  <c r="K307" i="5"/>
  <c r="K285" i="5"/>
  <c r="K301" i="5"/>
  <c r="K605" i="5"/>
  <c r="K557" i="5"/>
  <c r="K587" i="5"/>
  <c r="K524" i="5"/>
  <c r="K530" i="5"/>
  <c r="K579" i="5"/>
  <c r="K354" i="5"/>
  <c r="K356" i="5"/>
  <c r="K586" i="5"/>
  <c r="K559" i="5"/>
  <c r="K604" i="5"/>
  <c r="K519" i="5"/>
  <c r="K566" i="5"/>
  <c r="K532" i="5"/>
  <c r="K600" i="5"/>
  <c r="K342" i="5"/>
  <c r="K338" i="5"/>
  <c r="K344" i="5"/>
  <c r="K352" i="5"/>
  <c r="K341" i="5"/>
  <c r="K351" i="5"/>
  <c r="K334" i="5"/>
  <c r="K345" i="5"/>
  <c r="K336" i="5"/>
  <c r="K337" i="5"/>
  <c r="K340" i="5"/>
  <c r="K335" i="5"/>
  <c r="K339" i="5"/>
  <c r="K346" i="5"/>
  <c r="K349" i="5"/>
  <c r="K333" i="5"/>
  <c r="K343" i="5"/>
  <c r="K484" i="5"/>
  <c r="K326" i="5"/>
  <c r="K321" i="5"/>
  <c r="K320" i="5"/>
  <c r="K332" i="5"/>
  <c r="K323" i="5"/>
  <c r="K353" i="5"/>
  <c r="K330" i="5"/>
  <c r="K328" i="5"/>
  <c r="K327" i="5"/>
  <c r="K331" i="5"/>
  <c r="K329" i="5"/>
  <c r="K568" i="5"/>
  <c r="K599" i="5"/>
  <c r="K517" i="5"/>
  <c r="K552" i="5"/>
  <c r="K404" i="5"/>
  <c r="K398" i="5"/>
  <c r="K397" i="5"/>
  <c r="K411" i="5"/>
  <c r="K419" i="5"/>
  <c r="K402" i="5"/>
  <c r="K403" i="5"/>
  <c r="K421" i="5"/>
  <c r="K412" i="5"/>
  <c r="K405" i="5"/>
  <c r="K407" i="5"/>
  <c r="K418" i="5"/>
  <c r="K417" i="5"/>
  <c r="K408" i="5"/>
  <c r="K205" i="5"/>
  <c r="K200" i="5"/>
  <c r="K225" i="5"/>
  <c r="K209" i="5"/>
  <c r="K194" i="5"/>
  <c r="K203" i="5"/>
  <c r="K212" i="5"/>
  <c r="K202" i="5"/>
  <c r="K204" i="5"/>
  <c r="K195" i="5"/>
  <c r="K201" i="5"/>
  <c r="K197" i="5"/>
  <c r="K226" i="5"/>
  <c r="K199" i="5"/>
  <c r="K224" i="5"/>
  <c r="K237" i="5"/>
  <c r="K207" i="5"/>
  <c r="K198" i="5"/>
  <c r="K211" i="5"/>
  <c r="K223" i="5"/>
  <c r="K210" i="5"/>
  <c r="K208" i="5"/>
  <c r="K196" i="5"/>
  <c r="K236" i="5"/>
  <c r="K513" i="5"/>
  <c r="K206" i="5"/>
  <c r="K424" i="5"/>
  <c r="K426" i="5"/>
  <c r="K425" i="5"/>
  <c r="K430" i="5"/>
  <c r="K439" i="5"/>
  <c r="K427" i="5"/>
  <c r="K429" i="5"/>
  <c r="K431" i="5"/>
  <c r="K276" i="5"/>
  <c r="K270" i="5"/>
  <c r="K272" i="5"/>
  <c r="K261" i="5"/>
  <c r="K265" i="5"/>
  <c r="K271" i="5"/>
  <c r="K266" i="5"/>
  <c r="K268" i="5"/>
  <c r="K262" i="5"/>
  <c r="K263" i="5"/>
  <c r="K269" i="5"/>
  <c r="K264" i="5"/>
  <c r="K267" i="5"/>
  <c r="K319" i="5"/>
  <c r="K617" i="5"/>
  <c r="K141" i="5"/>
  <c r="K133" i="5"/>
  <c r="K142" i="5"/>
  <c r="K134" i="5"/>
  <c r="K119" i="5"/>
  <c r="K122" i="5"/>
  <c r="K137" i="5"/>
  <c r="K126" i="5"/>
  <c r="K124" i="5"/>
  <c r="K129" i="5"/>
  <c r="K123" i="5"/>
  <c r="K128" i="5"/>
  <c r="K132" i="5"/>
  <c r="K120" i="5"/>
  <c r="K138" i="5"/>
  <c r="K140" i="5"/>
  <c r="K125" i="5"/>
  <c r="K118" i="5"/>
  <c r="K127" i="5"/>
  <c r="K136" i="5"/>
  <c r="K510" i="5"/>
  <c r="K117" i="5"/>
  <c r="K131" i="5"/>
  <c r="K135" i="5"/>
  <c r="K116" i="5"/>
  <c r="K121" i="5"/>
  <c r="K130" i="5"/>
  <c r="K139" i="5"/>
  <c r="K577" i="5"/>
  <c r="I497" i="5"/>
  <c r="K454" i="5"/>
  <c r="K448" i="5"/>
  <c r="K455" i="5"/>
  <c r="K453" i="5"/>
  <c r="K449" i="5"/>
  <c r="K456" i="5"/>
  <c r="K451" i="5"/>
  <c r="K491" i="5"/>
  <c r="K564" i="5"/>
  <c r="K450" i="5"/>
  <c r="K452" i="5"/>
  <c r="K462" i="5"/>
  <c r="K458" i="5"/>
  <c r="K460" i="5"/>
  <c r="K457" i="5"/>
  <c r="K459" i="5"/>
  <c r="K447" i="5"/>
  <c r="K461" i="5"/>
  <c r="K399" i="5"/>
  <c r="K413" i="5"/>
  <c r="K414" i="5"/>
  <c r="K400" i="5"/>
  <c r="K401" i="5"/>
  <c r="K410" i="5"/>
  <c r="K415" i="5"/>
  <c r="K416" i="5"/>
  <c r="K422" i="5"/>
  <c r="K409" i="5"/>
  <c r="K597" i="5"/>
  <c r="K420" i="5"/>
  <c r="K406" i="5"/>
  <c r="K572" i="5"/>
  <c r="K489" i="5"/>
  <c r="I531" i="5"/>
  <c r="I553" i="5"/>
  <c r="I584" i="5"/>
  <c r="I609" i="5"/>
  <c r="K350" i="5"/>
  <c r="K347" i="5"/>
  <c r="K348" i="5"/>
  <c r="K446" i="5"/>
  <c r="K433" i="5"/>
  <c r="K444" i="5"/>
  <c r="K428" i="5"/>
  <c r="K435" i="5"/>
  <c r="K432" i="5"/>
  <c r="K443" i="5"/>
  <c r="K434" i="5"/>
  <c r="K441" i="5"/>
  <c r="K436" i="5"/>
  <c r="K437" i="5"/>
  <c r="K423" i="5"/>
  <c r="K440" i="5"/>
  <c r="K438" i="5"/>
  <c r="K442" i="5"/>
  <c r="K445" i="5"/>
  <c r="I602" i="5"/>
  <c r="I523" i="5"/>
  <c r="I574" i="5"/>
  <c r="K529" i="5"/>
  <c r="I529" i="5"/>
  <c r="I535" i="5"/>
  <c r="K535" i="5"/>
  <c r="K622" i="5"/>
  <c r="I567" i="5"/>
  <c r="I583" i="5"/>
  <c r="I534" i="5"/>
  <c r="I359" i="5"/>
  <c r="I355" i="5"/>
  <c r="I358" i="5"/>
  <c r="I357" i="5"/>
  <c r="I244" i="5"/>
  <c r="I579" i="5"/>
  <c r="I519" i="5"/>
  <c r="I604" i="5"/>
  <c r="I586" i="5"/>
  <c r="I511" i="5"/>
  <c r="I565" i="5"/>
  <c r="I325" i="5"/>
  <c r="I322" i="5"/>
  <c r="I540" i="5"/>
  <c r="I154" i="5"/>
  <c r="I161" i="5"/>
  <c r="I169" i="5"/>
  <c r="I167" i="5"/>
  <c r="I501" i="5"/>
  <c r="I500" i="5"/>
  <c r="I600" i="5"/>
  <c r="I532" i="5"/>
  <c r="N21" i="21" l="1"/>
  <c r="I242" i="5"/>
  <c r="V205" i="22"/>
  <c r="I243" i="5"/>
  <c r="I255" i="5"/>
  <c r="I354" i="5"/>
  <c r="I241" i="5"/>
  <c r="I499" i="5"/>
  <c r="I150" i="5"/>
  <c r="I145" i="5"/>
  <c r="I158" i="5"/>
  <c r="I168" i="5"/>
  <c r="I562" i="5"/>
  <c r="N286" i="17"/>
  <c r="I147" i="5"/>
  <c r="I172" i="5"/>
  <c r="I174" i="5"/>
  <c r="I146" i="5"/>
  <c r="I156" i="5"/>
  <c r="I166" i="5"/>
  <c r="I157" i="5"/>
  <c r="I151" i="5"/>
  <c r="I160" i="5"/>
  <c r="I153" i="5"/>
  <c r="I171" i="5"/>
  <c r="I165" i="5"/>
  <c r="I149" i="5"/>
  <c r="I163" i="5"/>
  <c r="I148" i="5"/>
  <c r="I143" i="5"/>
  <c r="I162" i="5"/>
  <c r="I155" i="5"/>
  <c r="I170" i="5"/>
  <c r="I164" i="5"/>
  <c r="I173" i="5"/>
  <c r="I144" i="5"/>
  <c r="I159" i="5"/>
  <c r="N25" i="17"/>
  <c r="V25" i="17"/>
  <c r="N309" i="17"/>
  <c r="V309" i="17"/>
  <c r="N18" i="17"/>
  <c r="V18" i="17"/>
  <c r="V54" i="17"/>
  <c r="N54" i="17"/>
  <c r="V316" i="17"/>
  <c r="N316" i="17"/>
  <c r="O267" i="17"/>
  <c r="V267" i="17" s="1"/>
  <c r="L317" i="17"/>
  <c r="O266" i="17"/>
  <c r="O269" i="17"/>
  <c r="N26" i="17"/>
  <c r="V26" i="17"/>
  <c r="V308" i="17"/>
  <c r="N308" i="17"/>
  <c r="V20" i="17"/>
  <c r="N20" i="17"/>
  <c r="N55" i="17"/>
  <c r="V55" i="17"/>
  <c r="N296" i="17"/>
  <c r="V296" i="17"/>
  <c r="V311" i="17"/>
  <c r="N311" i="17"/>
  <c r="O110" i="22"/>
  <c r="V110" i="22" s="1"/>
  <c r="O58" i="17"/>
  <c r="O56" i="17"/>
  <c r="O43" i="17"/>
  <c r="O57" i="17"/>
  <c r="O40" i="17"/>
  <c r="O39" i="17"/>
  <c r="O41" i="17"/>
  <c r="O42" i="17"/>
  <c r="O71" i="17"/>
  <c r="N71" i="17" s="1"/>
  <c r="L306" i="17"/>
  <c r="O271" i="17"/>
  <c r="N19" i="17"/>
  <c r="V19" i="17"/>
  <c r="V17" i="17"/>
  <c r="N17" i="17"/>
  <c r="N48" i="17"/>
  <c r="V48" i="17"/>
  <c r="N45" i="17"/>
  <c r="V45" i="17"/>
  <c r="V284" i="17"/>
  <c r="N284" i="17"/>
  <c r="N297" i="17"/>
  <c r="V297" i="17"/>
  <c r="O268" i="17"/>
  <c r="V268" i="17" s="1"/>
  <c r="O277" i="17"/>
  <c r="V277" i="17" s="1"/>
  <c r="V29" i="17"/>
  <c r="N29" i="17"/>
  <c r="N22" i="17"/>
  <c r="V22" i="17"/>
  <c r="N51" i="17"/>
  <c r="V51" i="17"/>
  <c r="N53" i="17"/>
  <c r="V53" i="17"/>
  <c r="V305" i="17"/>
  <c r="N305" i="17"/>
  <c r="N303" i="17"/>
  <c r="V303" i="17"/>
  <c r="O276" i="17"/>
  <c r="V276" i="17" s="1"/>
  <c r="V28" i="17"/>
  <c r="N28" i="17"/>
  <c r="N32" i="17"/>
  <c r="V32" i="17"/>
  <c r="N16" i="17"/>
  <c r="V16" i="17"/>
  <c r="N47" i="17"/>
  <c r="V47" i="17"/>
  <c r="V46" i="17"/>
  <c r="N46" i="17"/>
  <c r="V290" i="17"/>
  <c r="N290" i="17"/>
  <c r="V301" i="17"/>
  <c r="N301" i="17"/>
  <c r="O13" i="21"/>
  <c r="V13" i="21" s="1"/>
  <c r="O283" i="17"/>
  <c r="O270" i="17"/>
  <c r="O279" i="17"/>
  <c r="O274" i="17"/>
  <c r="O272" i="17"/>
  <c r="O278" i="17"/>
  <c r="O280" i="17"/>
  <c r="O281" i="17"/>
  <c r="O275" i="17"/>
  <c r="O273" i="17"/>
  <c r="N273" i="17" s="1"/>
  <c r="V27" i="17"/>
  <c r="N27" i="17"/>
  <c r="V33" i="17"/>
  <c r="N33" i="17"/>
  <c r="V21" i="17"/>
  <c r="N21" i="17"/>
  <c r="V50" i="17"/>
  <c r="N50" i="17"/>
  <c r="V44" i="17"/>
  <c r="N44" i="17"/>
  <c r="V288" i="17"/>
  <c r="N288" i="17"/>
  <c r="V302" i="17"/>
  <c r="N302" i="17"/>
  <c r="V24" i="17"/>
  <c r="N24" i="17"/>
  <c r="N31" i="17"/>
  <c r="V31" i="17"/>
  <c r="N23" i="17"/>
  <c r="V23" i="17"/>
  <c r="V49" i="17"/>
  <c r="N49" i="17"/>
  <c r="V52" i="17"/>
  <c r="N52" i="17"/>
  <c r="N11" i="17"/>
  <c r="V11" i="17"/>
  <c r="N310" i="17"/>
  <c r="V310" i="17"/>
  <c r="N34" i="17"/>
  <c r="V34" i="17"/>
  <c r="N59" i="17"/>
  <c r="V59" i="17"/>
  <c r="N12" i="17"/>
  <c r="V12" i="17"/>
  <c r="N307" i="17"/>
  <c r="V307" i="17"/>
  <c r="L16" i="17"/>
  <c r="L20" i="17"/>
  <c r="L21" i="17"/>
  <c r="L23" i="17"/>
  <c r="L18" i="17"/>
  <c r="L22" i="17"/>
  <c r="L17" i="17"/>
  <c r="L308" i="17"/>
  <c r="L309" i="17"/>
  <c r="L34" i="17"/>
  <c r="L31" i="17"/>
  <c r="L32" i="17"/>
  <c r="L33" i="17"/>
  <c r="L304" i="17"/>
  <c r="L38" i="17"/>
  <c r="L288" i="17"/>
  <c r="L284" i="17"/>
  <c r="L305" i="17"/>
  <c r="L290" i="17"/>
  <c r="L296" i="17"/>
  <c r="L49" i="17"/>
  <c r="L44" i="17"/>
  <c r="L51" i="17"/>
  <c r="L45" i="17"/>
  <c r="L59" i="17"/>
  <c r="L54" i="17"/>
  <c r="L50" i="17"/>
  <c r="L53" i="17"/>
  <c r="L48" i="17"/>
  <c r="L46" i="17"/>
  <c r="L47" i="17"/>
  <c r="L52" i="17"/>
  <c r="L55" i="17"/>
  <c r="L21" i="21"/>
  <c r="L27" i="17"/>
  <c r="L28" i="17"/>
  <c r="L24" i="17"/>
  <c r="L19" i="17"/>
  <c r="L29" i="17"/>
  <c r="L302" i="17"/>
  <c r="L310" i="17"/>
  <c r="L307" i="17"/>
  <c r="L303" i="17"/>
  <c r="L316" i="17"/>
  <c r="L311" i="17"/>
  <c r="L297" i="17"/>
  <c r="L301" i="17"/>
  <c r="L25" i="17"/>
  <c r="L26" i="17"/>
  <c r="I506" i="5"/>
  <c r="L12" i="17"/>
  <c r="L11" i="17"/>
  <c r="L9" i="20"/>
  <c r="L10" i="20"/>
  <c r="O166" i="22"/>
  <c r="O153" i="22"/>
  <c r="N9" i="21"/>
  <c r="V9" i="21"/>
  <c r="N13" i="21"/>
  <c r="O111" i="22"/>
  <c r="N111" i="22" s="1"/>
  <c r="O163" i="22"/>
  <c r="N163" i="22" s="1"/>
  <c r="O165" i="22"/>
  <c r="V165" i="22" s="1"/>
  <c r="O161" i="22"/>
  <c r="N10" i="20"/>
  <c r="V10" i="20"/>
  <c r="N8" i="21"/>
  <c r="V8" i="21"/>
  <c r="L14" i="21"/>
  <c r="L19" i="21"/>
  <c r="L15" i="21"/>
  <c r="O109" i="22"/>
  <c r="O113" i="22"/>
  <c r="O154" i="22"/>
  <c r="N9" i="20"/>
  <c r="V9" i="20"/>
  <c r="V11" i="21"/>
  <c r="N11" i="21"/>
  <c r="L13" i="20"/>
  <c r="L12" i="20"/>
  <c r="L205" i="22"/>
  <c r="O112" i="22"/>
  <c r="V112" i="22" s="1"/>
  <c r="O155" i="22"/>
  <c r="O156" i="22"/>
  <c r="N156" i="22" s="1"/>
  <c r="V19" i="21"/>
  <c r="N19" i="21"/>
  <c r="V18" i="20"/>
  <c r="N18" i="20"/>
  <c r="O157" i="22"/>
  <c r="O108" i="22"/>
  <c r="N108" i="22" s="1"/>
  <c r="O159" i="22"/>
  <c r="N159" i="22" s="1"/>
  <c r="V17" i="21"/>
  <c r="N17" i="21"/>
  <c r="V15" i="21"/>
  <c r="N15" i="21"/>
  <c r="N13" i="20"/>
  <c r="V13" i="20"/>
  <c r="N17" i="20"/>
  <c r="V17" i="20"/>
  <c r="O170" i="22"/>
  <c r="O158" i="22"/>
  <c r="N158" i="22" s="1"/>
  <c r="O114" i="22"/>
  <c r="N114" i="22" s="1"/>
  <c r="O164" i="22"/>
  <c r="N164" i="22" s="1"/>
  <c r="O160" i="22"/>
  <c r="N16" i="21"/>
  <c r="V16" i="21"/>
  <c r="V14" i="21"/>
  <c r="N14" i="21"/>
  <c r="V12" i="20"/>
  <c r="N12" i="20"/>
  <c r="V19" i="20"/>
  <c r="N19" i="20"/>
  <c r="L18" i="20"/>
  <c r="L27" i="21"/>
  <c r="L17" i="20"/>
  <c r="L19" i="20"/>
  <c r="L228" i="22"/>
  <c r="L18" i="21"/>
  <c r="L17" i="21"/>
  <c r="L16" i="21"/>
  <c r="L20" i="21"/>
  <c r="O169" i="22"/>
  <c r="N169" i="22" s="1"/>
  <c r="O162" i="22"/>
  <c r="N162" i="22" s="1"/>
  <c r="V20" i="21"/>
  <c r="N20" i="21"/>
  <c r="V27" i="21"/>
  <c r="N27" i="21"/>
  <c r="L11" i="21"/>
  <c r="L9" i="21"/>
  <c r="L8" i="21"/>
  <c r="O168" i="22"/>
  <c r="V168" i="22" s="1"/>
  <c r="O167" i="22"/>
  <c r="N167" i="22" s="1"/>
  <c r="N18" i="21"/>
  <c r="V18" i="21"/>
  <c r="O175" i="22"/>
  <c r="O171" i="22"/>
  <c r="O203" i="22"/>
  <c r="O190" i="22"/>
  <c r="O173" i="22"/>
  <c r="O192" i="22"/>
  <c r="O188" i="22"/>
  <c r="O174" i="22"/>
  <c r="O189" i="22"/>
  <c r="O172" i="22"/>
  <c r="L236" i="22"/>
  <c r="L233" i="22"/>
  <c r="L237" i="22"/>
  <c r="L152" i="22"/>
  <c r="L151" i="22"/>
  <c r="L147" i="22"/>
  <c r="L149" i="22"/>
  <c r="L146" i="22"/>
  <c r="L150" i="22"/>
  <c r="L148" i="22"/>
  <c r="V128" i="22"/>
  <c r="N128" i="22"/>
  <c r="V82" i="22"/>
  <c r="N82" i="22"/>
  <c r="V77" i="22"/>
  <c r="N77" i="22"/>
  <c r="V68" i="22"/>
  <c r="N68" i="22"/>
  <c r="V238" i="22"/>
  <c r="N238" i="22"/>
  <c r="N243" i="22"/>
  <c r="V243" i="22"/>
  <c r="N232" i="22"/>
  <c r="V232" i="22"/>
  <c r="N201" i="22"/>
  <c r="V201" i="22"/>
  <c r="V104" i="22"/>
  <c r="N104" i="22"/>
  <c r="V93" i="22"/>
  <c r="N93" i="22"/>
  <c r="N117" i="22"/>
  <c r="V117" i="22"/>
  <c r="N105" i="22"/>
  <c r="V105" i="22"/>
  <c r="V257" i="22"/>
  <c r="N257" i="22"/>
  <c r="N249" i="22"/>
  <c r="V249" i="22"/>
  <c r="V191" i="22"/>
  <c r="N191" i="22"/>
  <c r="V123" i="22"/>
  <c r="N123" i="22"/>
  <c r="N141" i="22"/>
  <c r="V141" i="22"/>
  <c r="N138" i="22"/>
  <c r="V138" i="22"/>
  <c r="V162" i="22"/>
  <c r="N150" i="22"/>
  <c r="V150" i="22"/>
  <c r="L235" i="22"/>
  <c r="L234" i="22"/>
  <c r="N130" i="22"/>
  <c r="V130" i="22"/>
  <c r="N65" i="22"/>
  <c r="V65" i="22"/>
  <c r="N63" i="22"/>
  <c r="V63" i="22"/>
  <c r="N69" i="22"/>
  <c r="V69" i="22"/>
  <c r="N241" i="22"/>
  <c r="V241" i="22"/>
  <c r="V194" i="22"/>
  <c r="N194" i="22"/>
  <c r="V193" i="22"/>
  <c r="N193" i="22"/>
  <c r="N87" i="22"/>
  <c r="V87" i="22"/>
  <c r="V99" i="22"/>
  <c r="N99" i="22"/>
  <c r="N92" i="22"/>
  <c r="V92" i="22"/>
  <c r="N115" i="22"/>
  <c r="V115" i="22"/>
  <c r="N258" i="22"/>
  <c r="V258" i="22"/>
  <c r="V187" i="22"/>
  <c r="N187" i="22"/>
  <c r="V183" i="22"/>
  <c r="N183" i="22"/>
  <c r="V124" i="22"/>
  <c r="N124" i="22"/>
  <c r="V137" i="22"/>
  <c r="N137" i="22"/>
  <c r="N139" i="22"/>
  <c r="V139" i="22"/>
  <c r="N147" i="22"/>
  <c r="V147" i="22"/>
  <c r="V149" i="22"/>
  <c r="N149" i="22"/>
  <c r="L121" i="22"/>
  <c r="L119" i="22"/>
  <c r="L122" i="22"/>
  <c r="L120" i="22"/>
  <c r="L125" i="22"/>
  <c r="L123" i="22"/>
  <c r="L124" i="22"/>
  <c r="L130" i="22"/>
  <c r="L126" i="22"/>
  <c r="L129" i="22"/>
  <c r="L128" i="22"/>
  <c r="L127" i="22"/>
  <c r="L132" i="22"/>
  <c r="L131" i="22"/>
  <c r="L245" i="22"/>
  <c r="L240" i="22"/>
  <c r="L241" i="22"/>
  <c r="L238" i="22"/>
  <c r="L243" i="22"/>
  <c r="L242" i="22"/>
  <c r="L246" i="22"/>
  <c r="L244" i="22"/>
  <c r="L239" i="22"/>
  <c r="L259" i="17"/>
  <c r="L259" i="22"/>
  <c r="N127" i="22"/>
  <c r="V127" i="22"/>
  <c r="V66" i="22"/>
  <c r="N66" i="22"/>
  <c r="V64" i="22"/>
  <c r="N64" i="22"/>
  <c r="N85" i="22"/>
  <c r="V85" i="22"/>
  <c r="V240" i="22"/>
  <c r="N240" i="22"/>
  <c r="N166" i="22"/>
  <c r="V166" i="22"/>
  <c r="N229" i="22"/>
  <c r="V229" i="22"/>
  <c r="V197" i="22"/>
  <c r="N197" i="22"/>
  <c r="V202" i="22"/>
  <c r="N202" i="22"/>
  <c r="N94" i="22"/>
  <c r="V94" i="22"/>
  <c r="V106" i="22"/>
  <c r="N106" i="22"/>
  <c r="N98" i="22"/>
  <c r="V98" i="22"/>
  <c r="V116" i="22"/>
  <c r="N116" i="22"/>
  <c r="N247" i="22"/>
  <c r="V247" i="22"/>
  <c r="V178" i="22"/>
  <c r="N178" i="22"/>
  <c r="V186" i="22"/>
  <c r="N186" i="22"/>
  <c r="N122" i="22"/>
  <c r="V122" i="22"/>
  <c r="N142" i="22"/>
  <c r="V142" i="22"/>
  <c r="N143" i="22"/>
  <c r="V143" i="22"/>
  <c r="V152" i="22"/>
  <c r="N152" i="22"/>
  <c r="N153" i="22"/>
  <c r="V153" i="22"/>
  <c r="O219" i="22"/>
  <c r="O216" i="22"/>
  <c r="O213" i="22"/>
  <c r="O223" i="22"/>
  <c r="O221" i="22"/>
  <c r="O220" i="22"/>
  <c r="O224" i="22"/>
  <c r="O214" i="22"/>
  <c r="O215" i="22"/>
  <c r="O211" i="22"/>
  <c r="O217" i="22"/>
  <c r="O210" i="22"/>
  <c r="O209" i="22"/>
  <c r="O207" i="22"/>
  <c r="O222" i="22"/>
  <c r="O208" i="22"/>
  <c r="O218" i="22"/>
  <c r="O212" i="22"/>
  <c r="L204" i="22"/>
  <c r="L206" i="22"/>
  <c r="V132" i="22"/>
  <c r="N132" i="22"/>
  <c r="N71" i="22"/>
  <c r="V71" i="22"/>
  <c r="N73" i="22"/>
  <c r="V73" i="22"/>
  <c r="V67" i="22"/>
  <c r="N67" i="22"/>
  <c r="N245" i="22"/>
  <c r="V245" i="22"/>
  <c r="N236" i="22"/>
  <c r="V236" i="22"/>
  <c r="N230" i="22"/>
  <c r="V230" i="22"/>
  <c r="N196" i="22"/>
  <c r="V196" i="22"/>
  <c r="V89" i="22"/>
  <c r="N89" i="22"/>
  <c r="V95" i="22"/>
  <c r="N95" i="22"/>
  <c r="N101" i="22"/>
  <c r="V101" i="22"/>
  <c r="N248" i="22"/>
  <c r="V248" i="22"/>
  <c r="V256" i="22"/>
  <c r="N256" i="22"/>
  <c r="N177" i="22"/>
  <c r="V177" i="22"/>
  <c r="N176" i="22"/>
  <c r="V176" i="22"/>
  <c r="N120" i="22"/>
  <c r="V120" i="22"/>
  <c r="V145" i="22"/>
  <c r="N145" i="22"/>
  <c r="N161" i="22"/>
  <c r="V161" i="22"/>
  <c r="L230" i="22"/>
  <c r="L229" i="22"/>
  <c r="L232" i="22"/>
  <c r="L226" i="22"/>
  <c r="L231" i="22"/>
  <c r="L227" i="22"/>
  <c r="L225" i="22"/>
  <c r="N235" i="22"/>
  <c r="V235" i="22"/>
  <c r="V131" i="22"/>
  <c r="N131" i="22"/>
  <c r="N74" i="22"/>
  <c r="V74" i="22"/>
  <c r="V76" i="22"/>
  <c r="N76" i="22"/>
  <c r="V70" i="22"/>
  <c r="N70" i="22"/>
  <c r="V239" i="22"/>
  <c r="N239" i="22"/>
  <c r="V237" i="22"/>
  <c r="N237" i="22"/>
  <c r="N225" i="22"/>
  <c r="V225" i="22"/>
  <c r="N195" i="22"/>
  <c r="V195" i="22"/>
  <c r="N109" i="22"/>
  <c r="V109" i="22"/>
  <c r="V102" i="22"/>
  <c r="N102" i="22"/>
  <c r="N91" i="22"/>
  <c r="V91" i="22"/>
  <c r="N113" i="22"/>
  <c r="V113" i="22"/>
  <c r="N252" i="22"/>
  <c r="V252" i="22"/>
  <c r="N250" i="22"/>
  <c r="V250" i="22"/>
  <c r="V182" i="22"/>
  <c r="N182" i="22"/>
  <c r="V180" i="22"/>
  <c r="N180" i="22"/>
  <c r="N125" i="22"/>
  <c r="V125" i="22"/>
  <c r="N154" i="22"/>
  <c r="V154" i="22"/>
  <c r="N144" i="22"/>
  <c r="V144" i="22"/>
  <c r="N151" i="22"/>
  <c r="V151" i="22"/>
  <c r="V204" i="22"/>
  <c r="N204" i="22"/>
  <c r="L200" i="22"/>
  <c r="L199" i="22"/>
  <c r="L197" i="22"/>
  <c r="L195" i="22"/>
  <c r="L196" i="22"/>
  <c r="L194" i="22"/>
  <c r="L198" i="22"/>
  <c r="L201" i="22"/>
  <c r="L193" i="22"/>
  <c r="L202" i="22"/>
  <c r="V234" i="22"/>
  <c r="N234" i="22"/>
  <c r="N80" i="22"/>
  <c r="V80" i="22"/>
  <c r="V75" i="22"/>
  <c r="N75" i="22"/>
  <c r="V86" i="22"/>
  <c r="N86" i="22"/>
  <c r="V81" i="22"/>
  <c r="N81" i="22"/>
  <c r="N244" i="22"/>
  <c r="V244" i="22"/>
  <c r="N233" i="22"/>
  <c r="V233" i="22"/>
  <c r="V227" i="22"/>
  <c r="N227" i="22"/>
  <c r="V199" i="22"/>
  <c r="N199" i="22"/>
  <c r="V88" i="22"/>
  <c r="N88" i="22"/>
  <c r="N112" i="22"/>
  <c r="N118" i="22"/>
  <c r="V118" i="22"/>
  <c r="V103" i="22"/>
  <c r="N103" i="22"/>
  <c r="N253" i="22"/>
  <c r="V253" i="22"/>
  <c r="V255" i="22"/>
  <c r="N255" i="22"/>
  <c r="N179" i="22"/>
  <c r="V179" i="22"/>
  <c r="N185" i="22"/>
  <c r="V185" i="22"/>
  <c r="V133" i="22"/>
  <c r="N133" i="22"/>
  <c r="N135" i="22"/>
  <c r="V135" i="22"/>
  <c r="V155" i="22"/>
  <c r="N155" i="22"/>
  <c r="V206" i="22"/>
  <c r="N206" i="22"/>
  <c r="L252" i="22"/>
  <c r="L248" i="22"/>
  <c r="L249" i="22"/>
  <c r="L260" i="22"/>
  <c r="L261" i="22"/>
  <c r="L255" i="22"/>
  <c r="L250" i="22"/>
  <c r="L256" i="22"/>
  <c r="L247" i="22"/>
  <c r="L258" i="22"/>
  <c r="L257" i="22"/>
  <c r="L251" i="22"/>
  <c r="L253" i="22"/>
  <c r="L254" i="22"/>
  <c r="L102" i="22"/>
  <c r="L97" i="22"/>
  <c r="L115" i="22"/>
  <c r="L107" i="22"/>
  <c r="L103" i="22"/>
  <c r="L94" i="22"/>
  <c r="L93" i="22"/>
  <c r="L91" i="22"/>
  <c r="L88" i="22"/>
  <c r="L117" i="22"/>
  <c r="L89" i="22"/>
  <c r="L92" i="22"/>
  <c r="L106" i="22"/>
  <c r="L101" i="22"/>
  <c r="L90" i="22"/>
  <c r="L96" i="22"/>
  <c r="L118" i="22"/>
  <c r="L116" i="22"/>
  <c r="L99" i="22"/>
  <c r="L104" i="22"/>
  <c r="L105" i="22"/>
  <c r="L100" i="22"/>
  <c r="L98" i="22"/>
  <c r="L95" i="22"/>
  <c r="L87" i="22"/>
  <c r="L141" i="22"/>
  <c r="L136" i="22"/>
  <c r="L134" i="22"/>
  <c r="L142" i="22"/>
  <c r="L137" i="22"/>
  <c r="L145" i="22"/>
  <c r="L143" i="22"/>
  <c r="L139" i="22"/>
  <c r="L144" i="22"/>
  <c r="L138" i="22"/>
  <c r="L133" i="22"/>
  <c r="L135" i="22"/>
  <c r="L140" i="22"/>
  <c r="N126" i="22"/>
  <c r="V126" i="22"/>
  <c r="V60" i="22"/>
  <c r="N60" i="22"/>
  <c r="N78" i="22"/>
  <c r="V78" i="22"/>
  <c r="N62" i="22"/>
  <c r="V62" i="22"/>
  <c r="N83" i="22"/>
  <c r="V83" i="22"/>
  <c r="V246" i="22"/>
  <c r="N246" i="22"/>
  <c r="N157" i="22"/>
  <c r="V157" i="22"/>
  <c r="V231" i="22"/>
  <c r="N231" i="22"/>
  <c r="V200" i="22"/>
  <c r="N200" i="22"/>
  <c r="V96" i="22"/>
  <c r="N96" i="22"/>
  <c r="V107" i="22"/>
  <c r="N107" i="22"/>
  <c r="N90" i="22"/>
  <c r="V90" i="22"/>
  <c r="N254" i="22"/>
  <c r="V254" i="22"/>
  <c r="N261" i="22"/>
  <c r="V261" i="22"/>
  <c r="V184" i="22"/>
  <c r="N184" i="22"/>
  <c r="N119" i="22"/>
  <c r="V119" i="22"/>
  <c r="N136" i="22"/>
  <c r="V136" i="22"/>
  <c r="N140" i="22"/>
  <c r="V140" i="22"/>
  <c r="N148" i="22"/>
  <c r="V148" i="22"/>
  <c r="L191" i="22"/>
  <c r="L187" i="22"/>
  <c r="L184" i="22"/>
  <c r="L179" i="22"/>
  <c r="L182" i="22"/>
  <c r="L177" i="22"/>
  <c r="L178" i="22"/>
  <c r="L186" i="22"/>
  <c r="L176" i="22"/>
  <c r="L181" i="22"/>
  <c r="L185" i="22"/>
  <c r="L180" i="22"/>
  <c r="L183" i="22"/>
  <c r="L80" i="22"/>
  <c r="L76" i="22"/>
  <c r="L62" i="22"/>
  <c r="L84" i="22"/>
  <c r="L85" i="22"/>
  <c r="L69" i="22"/>
  <c r="L68" i="22"/>
  <c r="L67" i="22"/>
  <c r="L61" i="22"/>
  <c r="L60" i="22"/>
  <c r="L86" i="22"/>
  <c r="L81" i="22"/>
  <c r="L73" i="22"/>
  <c r="L70" i="22"/>
  <c r="L64" i="22"/>
  <c r="L63" i="22"/>
  <c r="L77" i="22"/>
  <c r="L83" i="22"/>
  <c r="L79" i="22"/>
  <c r="L78" i="22"/>
  <c r="L75" i="22"/>
  <c r="L74" i="22"/>
  <c r="L71" i="22"/>
  <c r="L66" i="22"/>
  <c r="L65" i="22"/>
  <c r="L82" i="22"/>
  <c r="L72" i="22"/>
  <c r="V170" i="22"/>
  <c r="N170" i="22"/>
  <c r="V129" i="22"/>
  <c r="N129" i="22"/>
  <c r="N72" i="22"/>
  <c r="V72" i="22"/>
  <c r="N79" i="22"/>
  <c r="V79" i="22"/>
  <c r="V61" i="22"/>
  <c r="N61" i="22"/>
  <c r="N84" i="22"/>
  <c r="V84" i="22"/>
  <c r="N242" i="22"/>
  <c r="V242" i="22"/>
  <c r="N226" i="22"/>
  <c r="V226" i="22"/>
  <c r="V198" i="22"/>
  <c r="N198" i="22"/>
  <c r="V97" i="22"/>
  <c r="N97" i="22"/>
  <c r="N100" i="22"/>
  <c r="V100" i="22"/>
  <c r="V251" i="22"/>
  <c r="N251" i="22"/>
  <c r="N260" i="22"/>
  <c r="V260" i="22"/>
  <c r="V181" i="22"/>
  <c r="N181" i="22"/>
  <c r="V121" i="22"/>
  <c r="N121" i="22"/>
  <c r="N134" i="22"/>
  <c r="V134" i="22"/>
  <c r="N160" i="22"/>
  <c r="V160" i="22"/>
  <c r="V146" i="22"/>
  <c r="N146" i="22"/>
  <c r="L315" i="17"/>
  <c r="L298" i="17"/>
  <c r="I516" i="5"/>
  <c r="L313" i="17"/>
  <c r="N80" i="17"/>
  <c r="V80" i="17"/>
  <c r="V86" i="17"/>
  <c r="N86" i="17"/>
  <c r="N65" i="17"/>
  <c r="V65" i="17"/>
  <c r="N73" i="17"/>
  <c r="V73" i="17"/>
  <c r="N239" i="17"/>
  <c r="V239" i="17"/>
  <c r="N240" i="17"/>
  <c r="V240" i="17"/>
  <c r="V313" i="17"/>
  <c r="N313" i="17"/>
  <c r="N312" i="17"/>
  <c r="V312" i="17"/>
  <c r="N227" i="17"/>
  <c r="V227" i="17"/>
  <c r="N193" i="17"/>
  <c r="V193" i="17"/>
  <c r="N195" i="17"/>
  <c r="V195" i="17"/>
  <c r="N110" i="17"/>
  <c r="V110" i="17"/>
  <c r="V118" i="17"/>
  <c r="N118" i="17"/>
  <c r="V113" i="17"/>
  <c r="N113" i="17"/>
  <c r="V89" i="17"/>
  <c r="N89" i="17"/>
  <c r="N299" i="17"/>
  <c r="V299" i="17"/>
  <c r="V262" i="17"/>
  <c r="N262" i="17"/>
  <c r="V260" i="17"/>
  <c r="N260" i="17"/>
  <c r="N255" i="17"/>
  <c r="V255" i="17"/>
  <c r="V187" i="17"/>
  <c r="N187" i="17"/>
  <c r="V119" i="17"/>
  <c r="N119" i="17"/>
  <c r="V265" i="17"/>
  <c r="N265" i="17"/>
  <c r="N140" i="17"/>
  <c r="V140" i="17"/>
  <c r="L295" i="17"/>
  <c r="K274" i="5"/>
  <c r="O171" i="17"/>
  <c r="O173" i="17"/>
  <c r="O189" i="17"/>
  <c r="O203" i="17"/>
  <c r="O175" i="17"/>
  <c r="O190" i="17"/>
  <c r="O188" i="17"/>
  <c r="O172" i="17"/>
  <c r="O174" i="17"/>
  <c r="O192" i="17"/>
  <c r="L199" i="17"/>
  <c r="L195" i="17"/>
  <c r="L202" i="17"/>
  <c r="L194" i="17"/>
  <c r="L293" i="17"/>
  <c r="L198" i="17"/>
  <c r="L193" i="17"/>
  <c r="L196" i="17"/>
  <c r="L200" i="17"/>
  <c r="L201" i="17"/>
  <c r="L197" i="17"/>
  <c r="N132" i="17"/>
  <c r="V132" i="17"/>
  <c r="V79" i="17"/>
  <c r="N79" i="17"/>
  <c r="V64" i="17"/>
  <c r="N64" i="17"/>
  <c r="V66" i="17"/>
  <c r="N66" i="17"/>
  <c r="N84" i="17"/>
  <c r="V84" i="17"/>
  <c r="N245" i="17"/>
  <c r="V245" i="17"/>
  <c r="N244" i="17"/>
  <c r="V244" i="17"/>
  <c r="V233" i="17"/>
  <c r="N233" i="17"/>
  <c r="N226" i="17"/>
  <c r="V226" i="17"/>
  <c r="L232" i="17"/>
  <c r="L227" i="17"/>
  <c r="L230" i="17"/>
  <c r="L231" i="17"/>
  <c r="L226" i="17"/>
  <c r="L229" i="17"/>
  <c r="L225" i="17"/>
  <c r="N198" i="17"/>
  <c r="V198" i="17"/>
  <c r="V202" i="17"/>
  <c r="N202" i="17"/>
  <c r="V91" i="17"/>
  <c r="N91" i="17"/>
  <c r="V115" i="17"/>
  <c r="N115" i="17"/>
  <c r="V117" i="17"/>
  <c r="N117" i="17"/>
  <c r="V105" i="17"/>
  <c r="N105" i="17"/>
  <c r="L101" i="17"/>
  <c r="L97" i="17"/>
  <c r="L113" i="17"/>
  <c r="L93" i="17"/>
  <c r="L105" i="17"/>
  <c r="L100" i="17"/>
  <c r="L109" i="17"/>
  <c r="L94" i="17"/>
  <c r="L89" i="17"/>
  <c r="L104" i="17"/>
  <c r="L111" i="17"/>
  <c r="L87" i="17"/>
  <c r="L103" i="17"/>
  <c r="L95" i="17"/>
  <c r="L99" i="17"/>
  <c r="L112" i="17"/>
  <c r="L116" i="17"/>
  <c r="L117" i="17"/>
  <c r="L108" i="17"/>
  <c r="L114" i="17"/>
  <c r="L118" i="17"/>
  <c r="L110" i="17"/>
  <c r="L96" i="17"/>
  <c r="L91" i="17"/>
  <c r="L90" i="17"/>
  <c r="L102" i="17"/>
  <c r="L107" i="17"/>
  <c r="L88" i="17"/>
  <c r="L106" i="17"/>
  <c r="L115" i="17"/>
  <c r="L98" i="17"/>
  <c r="L92" i="17"/>
  <c r="V257" i="17"/>
  <c r="N257" i="17"/>
  <c r="V261" i="17"/>
  <c r="N261" i="17"/>
  <c r="N256" i="17"/>
  <c r="V256" i="17"/>
  <c r="V179" i="17"/>
  <c r="N179" i="17"/>
  <c r="N121" i="17"/>
  <c r="V121" i="17"/>
  <c r="V264" i="17"/>
  <c r="N264" i="17"/>
  <c r="N141" i="17"/>
  <c r="V141" i="17"/>
  <c r="V152" i="17"/>
  <c r="N152" i="17"/>
  <c r="V162" i="17"/>
  <c r="N162" i="17"/>
  <c r="N147" i="17"/>
  <c r="V147" i="17"/>
  <c r="I577" i="5"/>
  <c r="N291" i="17"/>
  <c r="V291" i="17"/>
  <c r="V72" i="17"/>
  <c r="N72" i="17"/>
  <c r="N83" i="17"/>
  <c r="V83" i="17"/>
  <c r="N81" i="17"/>
  <c r="V81" i="17"/>
  <c r="V70" i="17"/>
  <c r="N70" i="17"/>
  <c r="V242" i="17"/>
  <c r="N242" i="17"/>
  <c r="N236" i="17"/>
  <c r="V236" i="17"/>
  <c r="N276" i="17"/>
  <c r="V231" i="17"/>
  <c r="N231" i="17"/>
  <c r="N200" i="17"/>
  <c r="V200" i="17"/>
  <c r="N194" i="17"/>
  <c r="V194" i="17"/>
  <c r="N314" i="17"/>
  <c r="V314" i="17"/>
  <c r="V102" i="17"/>
  <c r="N102" i="17"/>
  <c r="V96" i="17"/>
  <c r="N96" i="17"/>
  <c r="V99" i="17"/>
  <c r="N99" i="17"/>
  <c r="N104" i="17"/>
  <c r="V104" i="17"/>
  <c r="V254" i="17"/>
  <c r="N254" i="17"/>
  <c r="N186" i="17"/>
  <c r="V186" i="17"/>
  <c r="V191" i="17"/>
  <c r="N191" i="17"/>
  <c r="V287" i="17"/>
  <c r="N287" i="17"/>
  <c r="L264" i="17"/>
  <c r="L265" i="17"/>
  <c r="V164" i="17"/>
  <c r="N164" i="17"/>
  <c r="V154" i="17"/>
  <c r="N154" i="17"/>
  <c r="N136" i="17"/>
  <c r="V136" i="17"/>
  <c r="V165" i="17"/>
  <c r="N165" i="17"/>
  <c r="N150" i="17"/>
  <c r="V150" i="17"/>
  <c r="N151" i="17"/>
  <c r="V151" i="17"/>
  <c r="L289" i="17"/>
  <c r="I175" i="5"/>
  <c r="L120" i="17"/>
  <c r="L122" i="17"/>
  <c r="L123" i="17"/>
  <c r="L121" i="17"/>
  <c r="L125" i="17"/>
  <c r="L124" i="17"/>
  <c r="L119" i="17"/>
  <c r="L179" i="17"/>
  <c r="L185" i="17"/>
  <c r="L191" i="17"/>
  <c r="L183" i="17"/>
  <c r="L181" i="17"/>
  <c r="L187" i="17"/>
  <c r="L177" i="17"/>
  <c r="L176" i="17"/>
  <c r="L180" i="17"/>
  <c r="L178" i="17"/>
  <c r="L184" i="17"/>
  <c r="L182" i="17"/>
  <c r="L186" i="17"/>
  <c r="L235" i="17"/>
  <c r="L234" i="17"/>
  <c r="V130" i="17"/>
  <c r="N130" i="17"/>
  <c r="V60" i="17"/>
  <c r="N60" i="17"/>
  <c r="V75" i="17"/>
  <c r="N75" i="17"/>
  <c r="N74" i="17"/>
  <c r="V74" i="17"/>
  <c r="L73" i="17"/>
  <c r="L74" i="17"/>
  <c r="L68" i="17"/>
  <c r="L66" i="17"/>
  <c r="L85" i="17"/>
  <c r="L70" i="17"/>
  <c r="L63" i="17"/>
  <c r="L77" i="17"/>
  <c r="L81" i="17"/>
  <c r="L65" i="17"/>
  <c r="L67" i="17"/>
  <c r="L61" i="17"/>
  <c r="L84" i="17"/>
  <c r="L78" i="17"/>
  <c r="L62" i="17"/>
  <c r="L64" i="17"/>
  <c r="L75" i="17"/>
  <c r="L83" i="17"/>
  <c r="L76" i="17"/>
  <c r="L86" i="17"/>
  <c r="L79" i="17"/>
  <c r="L82" i="17"/>
  <c r="L72" i="17"/>
  <c r="L69" i="17"/>
  <c r="L80" i="17"/>
  <c r="V241" i="17"/>
  <c r="N241" i="17"/>
  <c r="V158" i="17"/>
  <c r="N158" i="17"/>
  <c r="V225" i="17"/>
  <c r="N225" i="17"/>
  <c r="V196" i="17"/>
  <c r="N196" i="17"/>
  <c r="V199" i="17"/>
  <c r="N199" i="17"/>
  <c r="V285" i="17"/>
  <c r="N285" i="17"/>
  <c r="V98" i="17"/>
  <c r="N98" i="17"/>
  <c r="V111" i="17"/>
  <c r="N111" i="17"/>
  <c r="V95" i="17"/>
  <c r="N95" i="17"/>
  <c r="N100" i="17"/>
  <c r="V100" i="17"/>
  <c r="V249" i="17"/>
  <c r="N249" i="17"/>
  <c r="V166" i="17"/>
  <c r="N166" i="17"/>
  <c r="V184" i="17"/>
  <c r="N184" i="17"/>
  <c r="V181" i="17"/>
  <c r="N181" i="17"/>
  <c r="V125" i="17"/>
  <c r="N125" i="17"/>
  <c r="V144" i="17"/>
  <c r="N144" i="17"/>
  <c r="N143" i="17"/>
  <c r="V143" i="17"/>
  <c r="V155" i="17"/>
  <c r="N155" i="17"/>
  <c r="N156" i="17"/>
  <c r="V156" i="17"/>
  <c r="N159" i="17"/>
  <c r="V159" i="17"/>
  <c r="L162" i="17"/>
  <c r="L149" i="17"/>
  <c r="L150" i="17"/>
  <c r="L146" i="17"/>
  <c r="L147" i="17"/>
  <c r="L160" i="17"/>
  <c r="L159" i="17"/>
  <c r="L151" i="17"/>
  <c r="L153" i="17"/>
  <c r="L156" i="17"/>
  <c r="L161" i="17"/>
  <c r="L148" i="17"/>
  <c r="L152" i="17"/>
  <c r="L165" i="17"/>
  <c r="N168" i="17"/>
  <c r="V168" i="17"/>
  <c r="I578" i="5"/>
  <c r="O224" i="17"/>
  <c r="O215" i="17"/>
  <c r="O207" i="17"/>
  <c r="O218" i="17"/>
  <c r="O223" i="17"/>
  <c r="O219" i="17"/>
  <c r="O210" i="17"/>
  <c r="O211" i="17"/>
  <c r="O213" i="17"/>
  <c r="O212" i="17"/>
  <c r="O216" i="17"/>
  <c r="O221" i="17"/>
  <c r="O209" i="17"/>
  <c r="O222" i="17"/>
  <c r="O217" i="17"/>
  <c r="O220" i="17"/>
  <c r="O214" i="17"/>
  <c r="O208" i="17"/>
  <c r="I505" i="5"/>
  <c r="V127" i="17"/>
  <c r="N127" i="17"/>
  <c r="N129" i="17"/>
  <c r="V129" i="17"/>
  <c r="V69" i="17"/>
  <c r="N69" i="17"/>
  <c r="V71" i="17"/>
  <c r="V63" i="17"/>
  <c r="N63" i="17"/>
  <c r="V238" i="17"/>
  <c r="N238" i="17"/>
  <c r="N157" i="17"/>
  <c r="V157" i="17"/>
  <c r="L228" i="17"/>
  <c r="L312" i="17"/>
  <c r="N232" i="17"/>
  <c r="V232" i="17"/>
  <c r="V197" i="17"/>
  <c r="N197" i="17"/>
  <c r="N275" i="17"/>
  <c r="V275" i="17"/>
  <c r="N107" i="17"/>
  <c r="V107" i="17"/>
  <c r="N114" i="17"/>
  <c r="V114" i="17"/>
  <c r="N103" i="17"/>
  <c r="V103" i="17"/>
  <c r="V109" i="17"/>
  <c r="N109" i="17"/>
  <c r="N258" i="17"/>
  <c r="V258" i="17"/>
  <c r="V167" i="17"/>
  <c r="N167" i="17"/>
  <c r="V182" i="17"/>
  <c r="N182" i="17"/>
  <c r="V183" i="17"/>
  <c r="N183" i="17"/>
  <c r="N282" i="17"/>
  <c r="V282" i="17"/>
  <c r="N122" i="17"/>
  <c r="V122" i="17"/>
  <c r="V145" i="17"/>
  <c r="N145" i="17"/>
  <c r="V135" i="17"/>
  <c r="N135" i="17"/>
  <c r="V138" i="17"/>
  <c r="N138" i="17"/>
  <c r="V134" i="17"/>
  <c r="N134" i="17"/>
  <c r="N153" i="17"/>
  <c r="V153" i="17"/>
  <c r="N160" i="17"/>
  <c r="V160" i="17"/>
  <c r="V204" i="17"/>
  <c r="N204" i="17"/>
  <c r="V269" i="17"/>
  <c r="N269" i="17"/>
  <c r="V170" i="17"/>
  <c r="N170" i="17"/>
  <c r="N169" i="17"/>
  <c r="V169" i="17"/>
  <c r="V205" i="17"/>
  <c r="N205" i="17"/>
  <c r="I533" i="5"/>
  <c r="I526" i="5"/>
  <c r="L169" i="17"/>
  <c r="L291" i="17"/>
  <c r="L170" i="17"/>
  <c r="L168" i="17"/>
  <c r="N234" i="17"/>
  <c r="V234" i="17"/>
  <c r="V128" i="17"/>
  <c r="N128" i="17"/>
  <c r="V62" i="17"/>
  <c r="N62" i="17"/>
  <c r="N77" i="17"/>
  <c r="V77" i="17"/>
  <c r="N243" i="17"/>
  <c r="V243" i="17"/>
  <c r="V237" i="17"/>
  <c r="N237" i="17"/>
  <c r="V259" i="17"/>
  <c r="N259" i="17"/>
  <c r="V201" i="17"/>
  <c r="N201" i="17"/>
  <c r="N300" i="17"/>
  <c r="V300" i="17"/>
  <c r="V92" i="17"/>
  <c r="N92" i="17"/>
  <c r="V106" i="17"/>
  <c r="N106" i="17"/>
  <c r="V112" i="17"/>
  <c r="N112" i="17"/>
  <c r="V101" i="17"/>
  <c r="N101" i="17"/>
  <c r="V298" i="17"/>
  <c r="N298" i="17"/>
  <c r="N263" i="17"/>
  <c r="V263" i="17"/>
  <c r="V248" i="17"/>
  <c r="N248" i="17"/>
  <c r="V178" i="17"/>
  <c r="N178" i="17"/>
  <c r="N124" i="17"/>
  <c r="V124" i="17"/>
  <c r="V139" i="17"/>
  <c r="N139" i="17"/>
  <c r="N137" i="17"/>
  <c r="V137" i="17"/>
  <c r="N271" i="17"/>
  <c r="V271" i="17"/>
  <c r="L133" i="17"/>
  <c r="L134" i="17"/>
  <c r="L141" i="17"/>
  <c r="L138" i="17"/>
  <c r="L155" i="17"/>
  <c r="L143" i="17"/>
  <c r="L136" i="17"/>
  <c r="L154" i="17"/>
  <c r="L135" i="17"/>
  <c r="L137" i="17"/>
  <c r="L164" i="17"/>
  <c r="L145" i="17"/>
  <c r="L139" i="17"/>
  <c r="L163" i="17"/>
  <c r="L140" i="17"/>
  <c r="L142" i="17"/>
  <c r="L144" i="17"/>
  <c r="V161" i="17"/>
  <c r="N161" i="17"/>
  <c r="N149" i="17"/>
  <c r="V149" i="17"/>
  <c r="V206" i="17"/>
  <c r="N206" i="17"/>
  <c r="L205" i="17"/>
  <c r="I190" i="5"/>
  <c r="L130" i="17"/>
  <c r="L292" i="17"/>
  <c r="L129" i="17"/>
  <c r="L131" i="17"/>
  <c r="L126" i="17"/>
  <c r="L132" i="17"/>
  <c r="L128" i="17"/>
  <c r="L127" i="17"/>
  <c r="I495" i="5"/>
  <c r="N235" i="17"/>
  <c r="V235" i="17"/>
  <c r="N126" i="17"/>
  <c r="V126" i="17"/>
  <c r="V292" i="17"/>
  <c r="N292" i="17"/>
  <c r="N78" i="17"/>
  <c r="V78" i="17"/>
  <c r="N61" i="17"/>
  <c r="V61" i="17"/>
  <c r="V68" i="17"/>
  <c r="N68" i="17"/>
  <c r="V246" i="17"/>
  <c r="N246" i="17"/>
  <c r="L240" i="17"/>
  <c r="L244" i="17"/>
  <c r="L239" i="17"/>
  <c r="L242" i="17"/>
  <c r="L294" i="17"/>
  <c r="L241" i="17"/>
  <c r="L245" i="17"/>
  <c r="L246" i="17"/>
  <c r="L243" i="17"/>
  <c r="L238" i="17"/>
  <c r="I229" i="5"/>
  <c r="L157" i="17"/>
  <c r="L158" i="17"/>
  <c r="N229" i="17"/>
  <c r="V229" i="17"/>
  <c r="N293" i="17"/>
  <c r="V293" i="17"/>
  <c r="L300" i="17"/>
  <c r="L285" i="17"/>
  <c r="L314" i="17"/>
  <c r="V88" i="17"/>
  <c r="N88" i="17"/>
  <c r="V87" i="17"/>
  <c r="N87" i="17"/>
  <c r="V108" i="17"/>
  <c r="N108" i="17"/>
  <c r="N94" i="17"/>
  <c r="V94" i="17"/>
  <c r="V315" i="17"/>
  <c r="N315" i="17"/>
  <c r="N253" i="17"/>
  <c r="V253" i="17"/>
  <c r="N252" i="17"/>
  <c r="V252" i="17"/>
  <c r="N251" i="17"/>
  <c r="V251" i="17"/>
  <c r="V180" i="17"/>
  <c r="N180" i="17"/>
  <c r="N177" i="17"/>
  <c r="V177" i="17"/>
  <c r="N120" i="17"/>
  <c r="V120" i="17"/>
  <c r="V142" i="17"/>
  <c r="N142" i="17"/>
  <c r="N133" i="17"/>
  <c r="V133" i="17"/>
  <c r="V295" i="17"/>
  <c r="N295" i="17"/>
  <c r="N148" i="17"/>
  <c r="V148" i="17"/>
  <c r="V146" i="17"/>
  <c r="N146" i="17"/>
  <c r="I484" i="5"/>
  <c r="L256" i="17"/>
  <c r="L255" i="17"/>
  <c r="L252" i="17"/>
  <c r="L260" i="17"/>
  <c r="L251" i="17"/>
  <c r="L247" i="17"/>
  <c r="L248" i="17"/>
  <c r="L258" i="17"/>
  <c r="L254" i="17"/>
  <c r="L261" i="17"/>
  <c r="L250" i="17"/>
  <c r="L253" i="17"/>
  <c r="L249" i="17"/>
  <c r="L263" i="17"/>
  <c r="L257" i="17"/>
  <c r="L262" i="17"/>
  <c r="I624" i="5"/>
  <c r="L287" i="17"/>
  <c r="N131" i="17"/>
  <c r="V131" i="17"/>
  <c r="V82" i="17"/>
  <c r="N82" i="17"/>
  <c r="N76" i="17"/>
  <c r="V76" i="17"/>
  <c r="V85" i="17"/>
  <c r="N85" i="17"/>
  <c r="N67" i="17"/>
  <c r="V67" i="17"/>
  <c r="V294" i="17"/>
  <c r="N294" i="17"/>
  <c r="L233" i="17"/>
  <c r="L237" i="17"/>
  <c r="L236" i="17"/>
  <c r="V228" i="17"/>
  <c r="N228" i="17"/>
  <c r="N230" i="17"/>
  <c r="V230" i="17"/>
  <c r="V90" i="17"/>
  <c r="N90" i="17"/>
  <c r="N116" i="17"/>
  <c r="V116" i="17"/>
  <c r="N97" i="17"/>
  <c r="V97" i="17"/>
  <c r="N93" i="17"/>
  <c r="V93" i="17"/>
  <c r="N250" i="17"/>
  <c r="V250" i="17"/>
  <c r="N247" i="17"/>
  <c r="V247" i="17"/>
  <c r="I240" i="5"/>
  <c r="L166" i="17"/>
  <c r="L167" i="17"/>
  <c r="V176" i="17"/>
  <c r="N176" i="17"/>
  <c r="N185" i="17"/>
  <c r="V185" i="17"/>
  <c r="N304" i="17"/>
  <c r="V304" i="17"/>
  <c r="N123" i="17"/>
  <c r="V123" i="17"/>
  <c r="V163" i="17"/>
  <c r="N163" i="17"/>
  <c r="N266" i="17"/>
  <c r="V266" i="17"/>
  <c r="L206" i="17"/>
  <c r="L204" i="17"/>
  <c r="V289" i="17"/>
  <c r="N289" i="17"/>
  <c r="I507" i="5"/>
  <c r="I618" i="5"/>
  <c r="I608" i="5"/>
  <c r="I601" i="5"/>
  <c r="I619" i="5"/>
  <c r="I623" i="5"/>
  <c r="I613" i="5"/>
  <c r="I530" i="5"/>
  <c r="I559" i="5"/>
  <c r="I566" i="5"/>
  <c r="I185" i="5"/>
  <c r="I187" i="5"/>
  <c r="I191" i="5"/>
  <c r="I186" i="5"/>
  <c r="I189" i="5"/>
  <c r="I525" i="5"/>
  <c r="I548" i="5"/>
  <c r="I607" i="5"/>
  <c r="I496" i="5"/>
  <c r="I494" i="5"/>
  <c r="I581" i="5"/>
  <c r="I582" i="5"/>
  <c r="I188" i="5"/>
  <c r="I591" i="5"/>
  <c r="I592" i="5"/>
  <c r="I503" i="5"/>
  <c r="I538" i="5"/>
  <c r="I504" i="5"/>
  <c r="I193" i="5"/>
  <c r="I560" i="5"/>
  <c r="I192" i="5"/>
  <c r="I588" i="5"/>
  <c r="I522" i="5"/>
  <c r="I555" i="5"/>
  <c r="I180" i="5"/>
  <c r="K260" i="5"/>
  <c r="K312" i="5"/>
  <c r="K273" i="5"/>
  <c r="K318" i="5"/>
  <c r="K311" i="5"/>
  <c r="K259" i="5"/>
  <c r="K257" i="5"/>
  <c r="K256" i="5"/>
  <c r="K277" i="5"/>
  <c r="K315" i="5"/>
  <c r="K316" i="5"/>
  <c r="K313" i="5"/>
  <c r="K258" i="5"/>
  <c r="I181" i="5"/>
  <c r="I179" i="5"/>
  <c r="I178" i="5"/>
  <c r="I177" i="5"/>
  <c r="I183" i="5"/>
  <c r="I182" i="5"/>
  <c r="K317" i="5"/>
  <c r="I176" i="5"/>
  <c r="I184" i="5"/>
  <c r="CJ37" i="6"/>
  <c r="L276" i="17" s="1"/>
  <c r="K394" i="5"/>
  <c r="K365" i="5"/>
  <c r="K361" i="5"/>
  <c r="K376" i="5"/>
  <c r="K368" i="5"/>
  <c r="K388" i="5"/>
  <c r="K387" i="5"/>
  <c r="K379" i="5"/>
  <c r="K386" i="5"/>
  <c r="K384" i="5"/>
  <c r="K389" i="5"/>
  <c r="K369" i="5"/>
  <c r="K380" i="5"/>
  <c r="K372" i="5"/>
  <c r="K395" i="5"/>
  <c r="K392" i="5"/>
  <c r="K382" i="5"/>
  <c r="K366" i="5"/>
  <c r="K393" i="5"/>
  <c r="K385" i="5"/>
  <c r="K377" i="5"/>
  <c r="K375" i="5"/>
  <c r="K381" i="5"/>
  <c r="K378" i="5"/>
  <c r="K370" i="5"/>
  <c r="K362" i="5"/>
  <c r="K360" i="5"/>
  <c r="K374" i="5"/>
  <c r="K363" i="5"/>
  <c r="K390" i="5"/>
  <c r="K396" i="5"/>
  <c r="K367" i="5"/>
  <c r="K373" i="5"/>
  <c r="K371" i="5"/>
  <c r="K383" i="5"/>
  <c r="K364" i="5"/>
  <c r="K391" i="5"/>
  <c r="CJ35" i="6"/>
  <c r="L60" i="17" s="1"/>
  <c r="K314" i="5"/>
  <c r="K275" i="5"/>
  <c r="I465" i="5"/>
  <c r="I479" i="5"/>
  <c r="I485" i="5"/>
  <c r="I481" i="5"/>
  <c r="I464" i="5"/>
  <c r="I471" i="5"/>
  <c r="I470" i="5"/>
  <c r="I477" i="5"/>
  <c r="I474" i="5"/>
  <c r="I476" i="5"/>
  <c r="I473" i="5"/>
  <c r="I466" i="5"/>
  <c r="I463" i="5"/>
  <c r="I467" i="5"/>
  <c r="I487" i="5"/>
  <c r="I480" i="5"/>
  <c r="I483" i="5"/>
  <c r="I486" i="5"/>
  <c r="I472" i="5"/>
  <c r="I475" i="5"/>
  <c r="I468" i="5"/>
  <c r="I478" i="5"/>
  <c r="I488" i="5"/>
  <c r="I469" i="5"/>
  <c r="I482" i="5"/>
  <c r="I622" i="5"/>
  <c r="I250" i="5"/>
  <c r="I249" i="5"/>
  <c r="I247" i="5"/>
  <c r="I251" i="5"/>
  <c r="I248" i="5"/>
  <c r="I528" i="5"/>
  <c r="I245" i="5"/>
  <c r="I246" i="5"/>
  <c r="I254" i="5"/>
  <c r="I561" i="5"/>
  <c r="I252" i="5"/>
  <c r="I253" i="5"/>
  <c r="I302" i="5"/>
  <c r="I294" i="5"/>
  <c r="I287" i="5"/>
  <c r="I298" i="5"/>
  <c r="I304" i="5"/>
  <c r="I283" i="5"/>
  <c r="I300" i="5"/>
  <c r="I305" i="5"/>
  <c r="I284" i="5"/>
  <c r="I306" i="5"/>
  <c r="I297" i="5"/>
  <c r="I310" i="5"/>
  <c r="I293" i="5"/>
  <c r="I292" i="5"/>
  <c r="I285" i="5"/>
  <c r="I303" i="5"/>
  <c r="I296" i="5"/>
  <c r="I281" i="5"/>
  <c r="I286" i="5"/>
  <c r="I308" i="5"/>
  <c r="I280" i="5"/>
  <c r="I301" i="5"/>
  <c r="I290" i="5"/>
  <c r="I278" i="5"/>
  <c r="I282" i="5"/>
  <c r="I299" i="5"/>
  <c r="I307" i="5"/>
  <c r="I563" i="5"/>
  <c r="I288" i="5"/>
  <c r="I279" i="5"/>
  <c r="I550" i="5"/>
  <c r="I291" i="5"/>
  <c r="I295" i="5"/>
  <c r="I527" i="5"/>
  <c r="I606" i="5"/>
  <c r="I309" i="5"/>
  <c r="I289" i="5"/>
  <c r="I518" i="5"/>
  <c r="I598" i="5"/>
  <c r="I580" i="5"/>
  <c r="I587" i="5"/>
  <c r="I557" i="5"/>
  <c r="I524" i="5"/>
  <c r="I605" i="5"/>
  <c r="I233" i="5"/>
  <c r="I227" i="5"/>
  <c r="I216" i="5"/>
  <c r="I222" i="5"/>
  <c r="I239" i="5"/>
  <c r="I220" i="5"/>
  <c r="I215" i="5"/>
  <c r="I228" i="5"/>
  <c r="I234" i="5"/>
  <c r="I232" i="5"/>
  <c r="I217" i="5"/>
  <c r="I218" i="5"/>
  <c r="I238" i="5"/>
  <c r="I221" i="5"/>
  <c r="I213" i="5"/>
  <c r="I214" i="5"/>
  <c r="I235" i="5"/>
  <c r="I219" i="5"/>
  <c r="I572" i="5"/>
  <c r="I420" i="5"/>
  <c r="I399" i="5"/>
  <c r="I401" i="5"/>
  <c r="I422" i="5"/>
  <c r="I416" i="5"/>
  <c r="I413" i="5"/>
  <c r="I400" i="5"/>
  <c r="I414" i="5"/>
  <c r="I410" i="5"/>
  <c r="I415" i="5"/>
  <c r="I409" i="5"/>
  <c r="I406" i="5"/>
  <c r="I597" i="5"/>
  <c r="I116" i="5"/>
  <c r="I123" i="5"/>
  <c r="I128" i="5"/>
  <c r="I134" i="5"/>
  <c r="I139" i="5"/>
  <c r="I124" i="5"/>
  <c r="I129" i="5"/>
  <c r="I131" i="5"/>
  <c r="I120" i="5"/>
  <c r="I126" i="5"/>
  <c r="I141" i="5"/>
  <c r="I127" i="5"/>
  <c r="I132" i="5"/>
  <c r="I137" i="5"/>
  <c r="I121" i="5"/>
  <c r="I125" i="5"/>
  <c r="I122" i="5"/>
  <c r="I130" i="5"/>
  <c r="I119" i="5"/>
  <c r="I118" i="5"/>
  <c r="I140" i="5"/>
  <c r="I133" i="5"/>
  <c r="I510" i="5"/>
  <c r="I142" i="5"/>
  <c r="I138" i="5"/>
  <c r="I136" i="5"/>
  <c r="I117" i="5"/>
  <c r="I135" i="5"/>
  <c r="I599" i="5"/>
  <c r="I568" i="5"/>
  <c r="I517" i="5"/>
  <c r="I552" i="5"/>
  <c r="I330" i="5"/>
  <c r="I320" i="5"/>
  <c r="I331" i="5"/>
  <c r="I321" i="5"/>
  <c r="I327" i="5"/>
  <c r="I328" i="5"/>
  <c r="I332" i="5"/>
  <c r="I323" i="5"/>
  <c r="I329" i="5"/>
  <c r="I326" i="5"/>
  <c r="I353" i="5"/>
  <c r="I347" i="5"/>
  <c r="I350" i="5"/>
  <c r="I348" i="5"/>
  <c r="I461" i="5"/>
  <c r="I450" i="5"/>
  <c r="I564" i="5"/>
  <c r="I454" i="5"/>
  <c r="I455" i="5"/>
  <c r="I457" i="5"/>
  <c r="I458" i="5"/>
  <c r="I460" i="5"/>
  <c r="I451" i="5"/>
  <c r="I453" i="5"/>
  <c r="I491" i="5"/>
  <c r="I447" i="5"/>
  <c r="I449" i="5"/>
  <c r="I448" i="5"/>
  <c r="I459" i="5"/>
  <c r="I462" i="5"/>
  <c r="I456" i="5"/>
  <c r="I452" i="5"/>
  <c r="I334" i="5"/>
  <c r="I343" i="5"/>
  <c r="I341" i="5"/>
  <c r="I339" i="5"/>
  <c r="I345" i="5"/>
  <c r="I344" i="5"/>
  <c r="I336" i="5"/>
  <c r="I340" i="5"/>
  <c r="I335" i="5"/>
  <c r="I342" i="5"/>
  <c r="I351" i="5"/>
  <c r="I349" i="5"/>
  <c r="I333" i="5"/>
  <c r="I346" i="5"/>
  <c r="I352" i="5"/>
  <c r="I337" i="5"/>
  <c r="I338" i="5"/>
  <c r="I443" i="5"/>
  <c r="I435" i="5"/>
  <c r="I441" i="5"/>
  <c r="I423" i="5"/>
  <c r="I434" i="5"/>
  <c r="I445" i="5"/>
  <c r="I438" i="5"/>
  <c r="I432" i="5"/>
  <c r="I428" i="5"/>
  <c r="I436" i="5"/>
  <c r="I444" i="5"/>
  <c r="I433" i="5"/>
  <c r="I440" i="5"/>
  <c r="I446" i="5"/>
  <c r="I442" i="5"/>
  <c r="I437" i="5"/>
  <c r="I397" i="5"/>
  <c r="I405" i="5"/>
  <c r="I412" i="5"/>
  <c r="I421" i="5"/>
  <c r="I419" i="5"/>
  <c r="I411" i="5"/>
  <c r="I402" i="5"/>
  <c r="I407" i="5"/>
  <c r="I408" i="5"/>
  <c r="I418" i="5"/>
  <c r="I417" i="5"/>
  <c r="I404" i="5"/>
  <c r="I398" i="5"/>
  <c r="I403" i="5"/>
  <c r="I490" i="5"/>
  <c r="I489" i="5"/>
  <c r="I429" i="5"/>
  <c r="I424" i="5"/>
  <c r="I427" i="5"/>
  <c r="I426" i="5"/>
  <c r="I439" i="5"/>
  <c r="I431" i="5"/>
  <c r="I430" i="5"/>
  <c r="I425" i="5"/>
  <c r="I199" i="5"/>
  <c r="I209" i="5"/>
  <c r="I194" i="5"/>
  <c r="I197" i="5"/>
  <c r="I211" i="5"/>
  <c r="I205" i="5"/>
  <c r="I237" i="5"/>
  <c r="I212" i="5"/>
  <c r="I204" i="5"/>
  <c r="I195" i="5"/>
  <c r="I206" i="5"/>
  <c r="I225" i="5"/>
  <c r="I201" i="5"/>
  <c r="I223" i="5"/>
  <c r="I513" i="5"/>
  <c r="I208" i="5"/>
  <c r="I203" i="5"/>
  <c r="I202" i="5"/>
  <c r="I198" i="5"/>
  <c r="I224" i="5"/>
  <c r="I200" i="5"/>
  <c r="I226" i="5"/>
  <c r="I210" i="5"/>
  <c r="I207" i="5"/>
  <c r="I236" i="5"/>
  <c r="I196" i="5"/>
  <c r="I267" i="5"/>
  <c r="I319" i="5"/>
  <c r="I276" i="5"/>
  <c r="I262" i="5"/>
  <c r="I270" i="5"/>
  <c r="I271" i="5"/>
  <c r="I263" i="5"/>
  <c r="I261" i="5"/>
  <c r="I617" i="5"/>
  <c r="I268" i="5"/>
  <c r="I266" i="5"/>
  <c r="I265" i="5"/>
  <c r="I264" i="5"/>
  <c r="I269" i="5"/>
  <c r="I272" i="5"/>
  <c r="N110" i="22" l="1"/>
  <c r="N267" i="17"/>
  <c r="V114" i="22"/>
  <c r="V163" i="22"/>
  <c r="N165" i="22"/>
  <c r="N277" i="17"/>
  <c r="V164" i="22"/>
  <c r="V169" i="22"/>
  <c r="V156" i="22"/>
  <c r="V273" i="17"/>
  <c r="V111" i="22"/>
  <c r="V167" i="22"/>
  <c r="I316" i="5"/>
  <c r="N268" i="17"/>
  <c r="V158" i="22"/>
  <c r="V159" i="22"/>
  <c r="V108" i="22"/>
  <c r="N168" i="22"/>
  <c r="I257" i="5"/>
  <c r="I258" i="5"/>
  <c r="V281" i="17"/>
  <c r="N281" i="17"/>
  <c r="N40" i="17"/>
  <c r="V40" i="17"/>
  <c r="N280" i="17"/>
  <c r="V280" i="17"/>
  <c r="V57" i="17"/>
  <c r="N57" i="17"/>
  <c r="V278" i="17"/>
  <c r="N278" i="17"/>
  <c r="N43" i="17"/>
  <c r="V43" i="17"/>
  <c r="V272" i="17"/>
  <c r="N272" i="17"/>
  <c r="N56" i="17"/>
  <c r="V56" i="17"/>
  <c r="N274" i="17"/>
  <c r="V274" i="17"/>
  <c r="V58" i="17"/>
  <c r="N58" i="17"/>
  <c r="V279" i="17"/>
  <c r="N279" i="17"/>
  <c r="V42" i="17"/>
  <c r="N42" i="17"/>
  <c r="N270" i="17"/>
  <c r="V270" i="17"/>
  <c r="V41" i="17"/>
  <c r="N41" i="17"/>
  <c r="N283" i="17"/>
  <c r="V283" i="17"/>
  <c r="V39" i="17"/>
  <c r="N39" i="17"/>
  <c r="L110" i="22"/>
  <c r="L43" i="17"/>
  <c r="L40" i="17"/>
  <c r="L39" i="17"/>
  <c r="L41" i="17"/>
  <c r="L56" i="17"/>
  <c r="L42" i="17"/>
  <c r="L58" i="17"/>
  <c r="L57" i="17"/>
  <c r="L271" i="17"/>
  <c r="L269" i="17"/>
  <c r="L277" i="17"/>
  <c r="L273" i="17"/>
  <c r="L282" i="17"/>
  <c r="L267" i="17"/>
  <c r="L268" i="17"/>
  <c r="L275" i="17"/>
  <c r="L71" i="17"/>
  <c r="L266" i="17"/>
  <c r="L13" i="21"/>
  <c r="L283" i="17"/>
  <c r="L270" i="17"/>
  <c r="L274" i="17"/>
  <c r="L279" i="17"/>
  <c r="L278" i="17"/>
  <c r="L280" i="17"/>
  <c r="L272" i="17"/>
  <c r="L281" i="17"/>
  <c r="L109" i="22"/>
  <c r="L158" i="22"/>
  <c r="L166" i="22"/>
  <c r="L169" i="22"/>
  <c r="L156" i="22"/>
  <c r="L112" i="22"/>
  <c r="L111" i="22"/>
  <c r="L157" i="22"/>
  <c r="L167" i="22"/>
  <c r="L153" i="22"/>
  <c r="L164" i="22"/>
  <c r="L159" i="22"/>
  <c r="L154" i="22"/>
  <c r="L161" i="22"/>
  <c r="L163" i="22"/>
  <c r="L165" i="22"/>
  <c r="L108" i="22"/>
  <c r="L114" i="22"/>
  <c r="L113" i="22"/>
  <c r="L170" i="22"/>
  <c r="L162" i="22"/>
  <c r="L155" i="22"/>
  <c r="L168" i="22"/>
  <c r="L160" i="22"/>
  <c r="L192" i="22"/>
  <c r="L189" i="22"/>
  <c r="L203" i="22"/>
  <c r="L174" i="22"/>
  <c r="L172" i="22"/>
  <c r="L173" i="22"/>
  <c r="L190" i="22"/>
  <c r="L188" i="22"/>
  <c r="L171" i="22"/>
  <c r="L175" i="22"/>
  <c r="N218" i="22"/>
  <c r="V218" i="22"/>
  <c r="N215" i="22"/>
  <c r="V215" i="22"/>
  <c r="V219" i="22"/>
  <c r="N219" i="22"/>
  <c r="N174" i="22"/>
  <c r="V174" i="22"/>
  <c r="V208" i="22"/>
  <c r="N208" i="22"/>
  <c r="N214" i="22"/>
  <c r="V214" i="22"/>
  <c r="N188" i="22"/>
  <c r="V188" i="22"/>
  <c r="N222" i="22"/>
  <c r="V222" i="22"/>
  <c r="V224" i="22"/>
  <c r="N224" i="22"/>
  <c r="V192" i="22"/>
  <c r="N192" i="22"/>
  <c r="N207" i="22"/>
  <c r="V207" i="22"/>
  <c r="N220" i="22"/>
  <c r="V220" i="22"/>
  <c r="V173" i="22"/>
  <c r="N173" i="22"/>
  <c r="N209" i="22"/>
  <c r="V209" i="22"/>
  <c r="N221" i="22"/>
  <c r="V221" i="22"/>
  <c r="N190" i="22"/>
  <c r="V190" i="22"/>
  <c r="V210" i="22"/>
  <c r="N210" i="22"/>
  <c r="V223" i="22"/>
  <c r="N223" i="22"/>
  <c r="V203" i="22"/>
  <c r="N203" i="22"/>
  <c r="L217" i="22"/>
  <c r="L222" i="22"/>
  <c r="L218" i="22"/>
  <c r="L212" i="22"/>
  <c r="L210" i="22"/>
  <c r="L208" i="22"/>
  <c r="L207" i="22"/>
  <c r="L219" i="22"/>
  <c r="L223" i="22"/>
  <c r="L221" i="22"/>
  <c r="L220" i="22"/>
  <c r="L209" i="22"/>
  <c r="L224" i="22"/>
  <c r="L214" i="22"/>
  <c r="L216" i="22"/>
  <c r="L215" i="22"/>
  <c r="L213" i="22"/>
  <c r="L211" i="22"/>
  <c r="N217" i="22"/>
  <c r="V217" i="22"/>
  <c r="N213" i="22"/>
  <c r="V213" i="22"/>
  <c r="V172" i="22"/>
  <c r="N172" i="22"/>
  <c r="N171" i="22"/>
  <c r="V171" i="22"/>
  <c r="N212" i="22"/>
  <c r="V212" i="22"/>
  <c r="N211" i="22"/>
  <c r="V211" i="22"/>
  <c r="N216" i="22"/>
  <c r="V216" i="22"/>
  <c r="V189" i="22"/>
  <c r="N189" i="22"/>
  <c r="V175" i="22"/>
  <c r="N175" i="22"/>
  <c r="V209" i="17"/>
  <c r="N209" i="17"/>
  <c r="V210" i="17"/>
  <c r="N210" i="17"/>
  <c r="V188" i="17"/>
  <c r="N188" i="17"/>
  <c r="V189" i="17"/>
  <c r="N189" i="17"/>
  <c r="V221" i="17"/>
  <c r="N221" i="17"/>
  <c r="N219" i="17"/>
  <c r="V219" i="17"/>
  <c r="N173" i="17"/>
  <c r="V173" i="17"/>
  <c r="V208" i="17"/>
  <c r="N208" i="17"/>
  <c r="V223" i="17"/>
  <c r="N223" i="17"/>
  <c r="V190" i="17"/>
  <c r="N190" i="17"/>
  <c r="V214" i="17"/>
  <c r="N214" i="17"/>
  <c r="N216" i="17"/>
  <c r="V216" i="17"/>
  <c r="N218" i="17"/>
  <c r="V218" i="17"/>
  <c r="V220" i="17"/>
  <c r="N220" i="17"/>
  <c r="V212" i="17"/>
  <c r="N212" i="17"/>
  <c r="V207" i="17"/>
  <c r="N207" i="17"/>
  <c r="L203" i="17"/>
  <c r="L173" i="17"/>
  <c r="L175" i="17"/>
  <c r="L171" i="17"/>
  <c r="L189" i="17"/>
  <c r="L172" i="17"/>
  <c r="L174" i="17"/>
  <c r="L190" i="17"/>
  <c r="L188" i="17"/>
  <c r="L192" i="17"/>
  <c r="L207" i="17"/>
  <c r="L223" i="17"/>
  <c r="L215" i="17"/>
  <c r="L211" i="17"/>
  <c r="L219" i="17"/>
  <c r="L218" i="17"/>
  <c r="L210" i="17"/>
  <c r="L224" i="17"/>
  <c r="L212" i="17"/>
  <c r="L213" i="17"/>
  <c r="L220" i="17"/>
  <c r="L221" i="17"/>
  <c r="L216" i="17"/>
  <c r="L209" i="17"/>
  <c r="L222" i="17"/>
  <c r="L217" i="17"/>
  <c r="L208" i="17"/>
  <c r="L214" i="17"/>
  <c r="V217" i="17"/>
  <c r="N217" i="17"/>
  <c r="V213" i="17"/>
  <c r="N213" i="17"/>
  <c r="V215" i="17"/>
  <c r="N215" i="17"/>
  <c r="N224" i="17"/>
  <c r="V224" i="17"/>
  <c r="V192" i="17"/>
  <c r="N192" i="17"/>
  <c r="V171" i="17"/>
  <c r="N171" i="17"/>
  <c r="N222" i="17"/>
  <c r="V222" i="17"/>
  <c r="N174" i="17"/>
  <c r="V174" i="17"/>
  <c r="N175" i="17"/>
  <c r="V175" i="17"/>
  <c r="N211" i="17"/>
  <c r="V211" i="17"/>
  <c r="V172" i="17"/>
  <c r="N172" i="17"/>
  <c r="N203" i="17"/>
  <c r="V203" i="17"/>
  <c r="I275" i="5"/>
  <c r="I318" i="5"/>
  <c r="I273" i="5"/>
  <c r="I277" i="5"/>
  <c r="I314" i="5"/>
  <c r="I274" i="5"/>
  <c r="I317" i="5"/>
  <c r="I313" i="5"/>
  <c r="I260" i="5"/>
  <c r="I259" i="5"/>
  <c r="I311" i="5"/>
  <c r="I315" i="5"/>
  <c r="I312" i="5"/>
  <c r="I256" i="5"/>
  <c r="I380" i="5"/>
  <c r="I396" i="5"/>
  <c r="I373" i="5"/>
  <c r="I364" i="5"/>
  <c r="I395" i="5"/>
  <c r="I374" i="5"/>
  <c r="I390" i="5"/>
  <c r="I389" i="5"/>
  <c r="I383" i="5"/>
  <c r="I369" i="5"/>
  <c r="I368" i="5"/>
  <c r="I367" i="5"/>
  <c r="I365" i="5"/>
  <c r="I363" i="5"/>
  <c r="I385" i="5"/>
  <c r="I384" i="5"/>
  <c r="I387" i="5"/>
  <c r="I381" i="5"/>
  <c r="I370" i="5"/>
  <c r="I386" i="5"/>
  <c r="I382" i="5"/>
  <c r="I371" i="5"/>
  <c r="I372" i="5"/>
  <c r="I388" i="5"/>
  <c r="I360" i="5"/>
  <c r="I376" i="5"/>
  <c r="I375" i="5"/>
  <c r="I366" i="5"/>
  <c r="I379" i="5"/>
  <c r="I393" i="5"/>
  <c r="I392" i="5"/>
  <c r="I391" i="5"/>
  <c r="I377" i="5"/>
  <c r="I378" i="5"/>
  <c r="I394" i="5"/>
  <c r="I361" i="5"/>
  <c r="I362" i="5"/>
  <c r="J12" i="5" l="1"/>
  <c r="I12" i="5"/>
  <c r="H12" i="5"/>
  <c r="G12" i="5"/>
  <c r="K12" i="5"/>
  <c r="R567" i="5" l="1"/>
  <c r="L12" i="5"/>
  <c r="R487" i="5"/>
  <c r="R80" i="5"/>
  <c r="R28" i="5"/>
  <c r="L84" i="5"/>
  <c r="L487" i="5"/>
  <c r="R12" i="5"/>
  <c r="R575" i="5"/>
  <c r="L575" i="5"/>
  <c r="L567" i="5"/>
  <c r="R84" i="5"/>
  <c r="L590" i="5" l="1"/>
  <c r="R212" i="5"/>
  <c r="R309" i="5"/>
  <c r="R590" i="5"/>
  <c r="R199" i="5"/>
  <c r="R248" i="5"/>
  <c r="L28" i="5"/>
  <c r="L309" i="5"/>
  <c r="L212" i="5"/>
  <c r="R304" i="5"/>
  <c r="L202" i="5"/>
  <c r="L304" i="5"/>
  <c r="L38" i="5"/>
  <c r="R126" i="5"/>
  <c r="L87" i="5"/>
  <c r="L126" i="5"/>
  <c r="L340" i="5"/>
  <c r="L599" i="5"/>
  <c r="R27" i="5"/>
  <c r="L569" i="5"/>
  <c r="L33" i="5"/>
  <c r="R580" i="5"/>
  <c r="L138" i="5"/>
  <c r="R245" i="5"/>
  <c r="R68" i="5"/>
  <c r="R191" i="5"/>
  <c r="L192" i="5"/>
  <c r="R495" i="5"/>
  <c r="R82" i="5"/>
  <c r="L35" i="5"/>
  <c r="R31" i="5"/>
  <c r="L69" i="5"/>
  <c r="L561" i="5"/>
  <c r="L74" i="5"/>
  <c r="R186" i="5"/>
  <c r="L237" i="5"/>
  <c r="R488" i="5"/>
  <c r="R20" i="5"/>
  <c r="L11" i="5"/>
  <c r="R577" i="5"/>
  <c r="L85" i="5"/>
  <c r="L589" i="5"/>
  <c r="L22" i="5"/>
  <c r="L594" i="5"/>
  <c r="R87" i="5"/>
  <c r="R587" i="5"/>
  <c r="L131" i="5"/>
  <c r="L580" i="5"/>
  <c r="L592" i="5"/>
  <c r="L494" i="5"/>
  <c r="R592" i="5"/>
  <c r="L189" i="5"/>
  <c r="L505" i="5"/>
  <c r="R132" i="5"/>
  <c r="R131" i="5"/>
  <c r="R209" i="5"/>
  <c r="L137" i="5"/>
  <c r="L405" i="5"/>
  <c r="L603" i="5"/>
  <c r="R598" i="5"/>
  <c r="L188" i="5"/>
  <c r="R125" i="5"/>
  <c r="L193" i="5"/>
  <c r="L418" i="5"/>
  <c r="L225" i="5"/>
  <c r="R141" i="5"/>
  <c r="R189" i="5"/>
  <c r="L278" i="5"/>
  <c r="R206" i="5"/>
  <c r="L67" i="5"/>
  <c r="R76" i="5"/>
  <c r="L80" i="5"/>
  <c r="R38" i="5"/>
  <c r="R37" i="5"/>
  <c r="R494" i="5"/>
  <c r="L141" i="5"/>
  <c r="L37" i="5"/>
  <c r="R67" i="5"/>
  <c r="L29" i="5"/>
  <c r="R39" i="5"/>
  <c r="R225" i="5"/>
  <c r="L206" i="5"/>
  <c r="L125" i="5"/>
  <c r="R193" i="5"/>
  <c r="R29" i="5"/>
  <c r="R418" i="5"/>
  <c r="R188" i="5"/>
  <c r="L598" i="5"/>
  <c r="R281" i="5"/>
  <c r="L121" i="5"/>
  <c r="R603" i="5"/>
  <c r="L26" i="5"/>
  <c r="L139" i="5"/>
  <c r="L39" i="5"/>
  <c r="R129" i="5"/>
  <c r="L13" i="5"/>
  <c r="R397" i="5"/>
  <c r="L118" i="5"/>
  <c r="R279" i="5"/>
  <c r="R283" i="5"/>
  <c r="R605" i="5"/>
  <c r="L571" i="5"/>
  <c r="R571" i="5"/>
  <c r="R405" i="5"/>
  <c r="L27" i="5"/>
  <c r="L124" i="5"/>
  <c r="R190" i="5"/>
  <c r="L190" i="5"/>
  <c r="R278" i="5"/>
  <c r="L605" i="5"/>
  <c r="L129" i="5"/>
  <c r="L587" i="5"/>
  <c r="L209" i="5"/>
  <c r="R36" i="5"/>
  <c r="R26" i="5"/>
  <c r="R247" i="5"/>
  <c r="L279" i="5"/>
  <c r="L130" i="5"/>
  <c r="R32" i="5"/>
  <c r="L419" i="5"/>
  <c r="L606" i="5"/>
  <c r="L591" i="5"/>
  <c r="R19" i="5"/>
  <c r="R601" i="5"/>
  <c r="R24" i="5"/>
  <c r="L397" i="5"/>
  <c r="L281" i="5"/>
  <c r="L132" i="5"/>
  <c r="R310" i="5"/>
  <c r="L310" i="5"/>
  <c r="L604" i="5"/>
  <c r="L247" i="5"/>
  <c r="L79" i="5"/>
  <c r="L283" i="5"/>
  <c r="R79" i="5"/>
  <c r="R419" i="5"/>
  <c r="L32" i="5"/>
  <c r="L601" i="5"/>
  <c r="R606" i="5"/>
  <c r="L24" i="5"/>
  <c r="R13" i="5"/>
  <c r="L199" i="5"/>
  <c r="L19" i="5"/>
  <c r="R591" i="5"/>
  <c r="R505" i="5"/>
  <c r="L523" i="5"/>
  <c r="R124" i="5"/>
  <c r="L36" i="5"/>
  <c r="R195" i="5"/>
  <c r="R604" i="5"/>
  <c r="R594" i="5"/>
  <c r="L195" i="5"/>
  <c r="R406" i="5"/>
  <c r="L406" i="5"/>
  <c r="L496" i="5"/>
  <c r="R496" i="5"/>
  <c r="L533" i="5"/>
  <c r="R533" i="5"/>
  <c r="R613" i="5"/>
  <c r="L613" i="5"/>
  <c r="R224" i="5"/>
  <c r="L224" i="5"/>
  <c r="L537" i="5"/>
  <c r="R537" i="5"/>
  <c r="R335" i="5"/>
  <c r="L335" i="5"/>
  <c r="L460" i="5"/>
  <c r="R460" i="5"/>
  <c r="L582" i="5"/>
  <c r="R582" i="5"/>
  <c r="L339" i="5"/>
  <c r="R339" i="5"/>
  <c r="R602" i="5"/>
  <c r="L602" i="5"/>
  <c r="R338" i="5"/>
  <c r="L338" i="5"/>
  <c r="L341" i="5"/>
  <c r="R341" i="5"/>
  <c r="R407" i="5"/>
  <c r="L407" i="5"/>
  <c r="R118" i="5"/>
  <c r="R130" i="5"/>
  <c r="R121" i="5"/>
  <c r="R74" i="5"/>
  <c r="L76" i="5"/>
  <c r="R139" i="5"/>
  <c r="R523" i="5"/>
  <c r="R137" i="5"/>
  <c r="L68" i="5"/>
  <c r="R71" i="5"/>
  <c r="L71" i="5"/>
  <c r="R77" i="5"/>
  <c r="L77" i="5"/>
  <c r="L581" i="5"/>
  <c r="R581" i="5"/>
  <c r="R85" i="5"/>
  <c r="R529" i="5"/>
  <c r="L529" i="5"/>
  <c r="R547" i="5"/>
  <c r="L547" i="5"/>
  <c r="L73" i="5"/>
  <c r="R73" i="5"/>
  <c r="L140" i="5"/>
  <c r="R140" i="5"/>
  <c r="R457" i="5"/>
  <c r="L457" i="5"/>
  <c r="L254" i="5"/>
  <c r="R254" i="5"/>
  <c r="R86" i="5"/>
  <c r="L86" i="5"/>
  <c r="L452" i="5"/>
  <c r="R452" i="5"/>
  <c r="L492" i="5"/>
  <c r="R492" i="5"/>
  <c r="L66" i="5"/>
  <c r="R66" i="5"/>
  <c r="L541" i="5"/>
  <c r="R541" i="5"/>
  <c r="R83" i="5"/>
  <c r="L83" i="5"/>
  <c r="L596" i="5"/>
  <c r="R596" i="5"/>
  <c r="L609" i="5"/>
  <c r="R609" i="5"/>
  <c r="R123" i="5"/>
  <c r="L123" i="5"/>
  <c r="L527" i="5"/>
  <c r="R527" i="5"/>
  <c r="R280" i="5"/>
  <c r="L280" i="5"/>
  <c r="R308" i="5"/>
  <c r="L308" i="5"/>
  <c r="L133" i="5"/>
  <c r="R133" i="5"/>
  <c r="L593" i="5"/>
  <c r="R593" i="5"/>
  <c r="L612" i="5"/>
  <c r="R612" i="5"/>
  <c r="R421" i="5"/>
  <c r="L421" i="5"/>
  <c r="L120" i="5"/>
  <c r="R120" i="5"/>
  <c r="L185" i="5"/>
  <c r="R185" i="5"/>
  <c r="L196" i="5"/>
  <c r="R196" i="5"/>
  <c r="R542" i="5"/>
  <c r="L542" i="5"/>
  <c r="L540" i="5"/>
  <c r="R540" i="5"/>
  <c r="R489" i="5"/>
  <c r="L489" i="5"/>
  <c r="L134" i="5"/>
  <c r="R134" i="5"/>
  <c r="R88" i="5"/>
  <c r="L88" i="5"/>
  <c r="L588" i="5"/>
  <c r="R588" i="5"/>
  <c r="R448" i="5"/>
  <c r="L448" i="5"/>
  <c r="L119" i="5"/>
  <c r="R119" i="5"/>
  <c r="L530" i="5"/>
  <c r="R530" i="5"/>
  <c r="L342" i="5"/>
  <c r="R342" i="5"/>
  <c r="L14" i="5"/>
  <c r="R14" i="5"/>
  <c r="L200" i="5"/>
  <c r="R200" i="5"/>
  <c r="L194" i="5"/>
  <c r="R194" i="5"/>
  <c r="R610" i="5"/>
  <c r="L610" i="5"/>
  <c r="L520" i="5"/>
  <c r="R520" i="5"/>
  <c r="R69" i="5" l="1"/>
  <c r="L82" i="5"/>
  <c r="L75" i="5"/>
  <c r="R75" i="5"/>
  <c r="L81" i="5"/>
  <c r="R453" i="5"/>
  <c r="L568" i="5"/>
  <c r="L566" i="5"/>
  <c r="L560" i="5"/>
  <c r="L503" i="5"/>
  <c r="L334" i="5"/>
  <c r="R334" i="5"/>
  <c r="R35" i="5"/>
  <c r="L191" i="5"/>
  <c r="R65" i="5"/>
  <c r="L248" i="5"/>
  <c r="R503" i="5"/>
  <c r="R187" i="5"/>
  <c r="L490" i="5"/>
  <c r="L187" i="5"/>
  <c r="R81" i="5"/>
  <c r="L488" i="5"/>
  <c r="L204" i="5"/>
  <c r="R70" i="5"/>
  <c r="R192" i="5"/>
  <c r="L65" i="5"/>
  <c r="L576" i="5"/>
  <c r="R576" i="5"/>
  <c r="L142" i="5"/>
  <c r="R142" i="5"/>
  <c r="R204" i="5"/>
  <c r="R490" i="5"/>
  <c r="R611" i="5"/>
  <c r="L611" i="5"/>
  <c r="L70" i="5"/>
  <c r="L578" i="5"/>
  <c r="R525" i="5"/>
  <c r="R608" i="5"/>
  <c r="R11" i="5"/>
  <c r="L550" i="5"/>
  <c r="R550" i="5"/>
  <c r="L583" i="5"/>
  <c r="R583" i="5"/>
  <c r="R568" i="5"/>
  <c r="R25" i="5"/>
  <c r="L25" i="5"/>
  <c r="L600" i="5"/>
  <c r="R562" i="5"/>
  <c r="R569" i="5"/>
  <c r="L18" i="5"/>
  <c r="R578" i="5"/>
  <c r="R237" i="5"/>
  <c r="R226" i="5"/>
  <c r="L186" i="5"/>
  <c r="R33" i="5"/>
  <c r="R42" i="5"/>
  <c r="L42" i="5"/>
  <c r="L135" i="5"/>
  <c r="L226" i="5"/>
  <c r="L30" i="5"/>
  <c r="R30" i="5"/>
  <c r="L562" i="5"/>
  <c r="R17" i="5"/>
  <c r="L17" i="5"/>
  <c r="R566" i="5"/>
  <c r="R15" i="5"/>
  <c r="L15" i="5"/>
  <c r="R560" i="5"/>
  <c r="L597" i="5"/>
  <c r="L563" i="5"/>
  <c r="R18" i="5"/>
  <c r="R561" i="5"/>
  <c r="R563" i="5"/>
  <c r="L525" i="5"/>
  <c r="R40" i="5"/>
  <c r="L40" i="5"/>
  <c r="R21" i="5"/>
  <c r="L21" i="5"/>
  <c r="L245" i="5"/>
  <c r="L495" i="5"/>
  <c r="R597" i="5"/>
  <c r="R202" i="5"/>
  <c r="R22" i="5"/>
  <c r="L333" i="5"/>
  <c r="R333" i="5"/>
  <c r="R416" i="5"/>
  <c r="R340" i="5"/>
  <c r="R41" i="5"/>
  <c r="L41" i="5"/>
  <c r="R589" i="5"/>
  <c r="L306" i="5"/>
  <c r="L416" i="5"/>
  <c r="R306" i="5"/>
  <c r="L422" i="5"/>
  <c r="L577" i="5"/>
  <c r="L524" i="5"/>
  <c r="R422" i="5"/>
  <c r="R524" i="5"/>
  <c r="R138" i="5"/>
  <c r="R135" i="5"/>
  <c r="L34" i="5"/>
  <c r="R600" i="5"/>
  <c r="R34" i="5"/>
  <c r="L16" i="5"/>
  <c r="L307" i="5"/>
  <c r="R307" i="5"/>
  <c r="L516" i="5"/>
  <c r="R516" i="5"/>
  <c r="R599" i="5"/>
  <c r="L608" i="5"/>
  <c r="R408" i="5"/>
  <c r="R409" i="5"/>
  <c r="L20" i="5"/>
  <c r="L453" i="5"/>
  <c r="L31" i="5"/>
  <c r="L356" i="5"/>
  <c r="R414" i="5"/>
  <c r="L408" i="5"/>
  <c r="R305" i="5"/>
  <c r="L414" i="5"/>
  <c r="R356" i="5"/>
  <c r="L305" i="5"/>
  <c r="L23" i="5"/>
  <c r="R23" i="5"/>
  <c r="L409" i="5"/>
  <c r="L336" i="5"/>
  <c r="R16" i="5"/>
  <c r="R336" i="5"/>
  <c r="L447" i="5"/>
  <c r="R122" i="5"/>
  <c r="R198" i="5"/>
  <c r="L303" i="5"/>
  <c r="R117" i="5"/>
  <c r="R246" i="5"/>
  <c r="R349" i="5"/>
  <c r="L615" i="5"/>
  <c r="L579" i="5"/>
  <c r="R289" i="5"/>
  <c r="L251" i="5"/>
  <c r="R300" i="5"/>
  <c r="L572" i="5"/>
  <c r="L295" i="5"/>
  <c r="R413" i="5"/>
  <c r="L296" i="5"/>
  <c r="L538" i="5"/>
  <c r="R417" i="5"/>
  <c r="R284" i="5"/>
  <c r="L456" i="5"/>
  <c r="R586" i="5"/>
  <c r="L586" i="5"/>
  <c r="R303" i="5"/>
  <c r="L455" i="5"/>
  <c r="L203" i="5"/>
  <c r="L289" i="5"/>
  <c r="R446" i="5"/>
  <c r="L459" i="5"/>
  <c r="R208" i="5"/>
  <c r="L117" i="5"/>
  <c r="R250" i="5"/>
  <c r="R615" i="5"/>
  <c r="L78" i="5"/>
  <c r="L64" i="5"/>
  <c r="R456" i="5"/>
  <c r="L250" i="5"/>
  <c r="L417" i="5"/>
  <c r="R78" i="5"/>
  <c r="L446" i="5"/>
  <c r="R285" i="5"/>
  <c r="L285" i="5"/>
  <c r="L458" i="5"/>
  <c r="R288" i="5"/>
  <c r="L300" i="5"/>
  <c r="L298" i="5"/>
  <c r="L302" i="5"/>
  <c r="R554" i="5"/>
  <c r="R127" i="5"/>
  <c r="L400" i="5"/>
  <c r="R412" i="5"/>
  <c r="L401" i="5"/>
  <c r="R210" i="5"/>
  <c r="L236" i="5"/>
  <c r="R343" i="5"/>
  <c r="R400" i="5"/>
  <c r="R401" i="5"/>
  <c r="L284" i="5"/>
  <c r="L343" i="5"/>
  <c r="L412" i="5"/>
  <c r="L288" i="5"/>
  <c r="R458" i="5"/>
  <c r="R415" i="5"/>
  <c r="R236" i="5"/>
  <c r="R344" i="5"/>
  <c r="L564" i="5"/>
  <c r="L127" i="5"/>
  <c r="L404" i="5"/>
  <c r="R521" i="5"/>
  <c r="L521" i="5"/>
  <c r="R552" i="5"/>
  <c r="R404" i="5"/>
  <c r="R455" i="5"/>
  <c r="R302" i="5"/>
  <c r="L415" i="5"/>
  <c r="R564" i="5"/>
  <c r="R298" i="5"/>
  <c r="R348" i="5"/>
  <c r="L208" i="5"/>
  <c r="R351" i="5"/>
  <c r="R116" i="5"/>
  <c r="L116" i="5"/>
  <c r="L482" i="5"/>
  <c r="R482" i="5"/>
  <c r="L445" i="5"/>
  <c r="L403" i="5"/>
  <c r="R403" i="5"/>
  <c r="R136" i="5"/>
  <c r="R64" i="5"/>
  <c r="L136" i="5"/>
  <c r="L554" i="5"/>
  <c r="R538" i="5"/>
  <c r="L454" i="5"/>
  <c r="R454" i="5"/>
  <c r="R203" i="5"/>
  <c r="L122" i="5"/>
  <c r="L72" i="5"/>
  <c r="R72" i="5"/>
  <c r="R459" i="5"/>
  <c r="R346" i="5"/>
  <c r="L346" i="5"/>
  <c r="L410" i="5"/>
  <c r="L515" i="5"/>
  <c r="R515" i="5"/>
  <c r="R128" i="5"/>
  <c r="L128" i="5"/>
  <c r="L544" i="5"/>
  <c r="R544" i="5"/>
  <c r="R399" i="5"/>
  <c r="L399" i="5"/>
  <c r="L449" i="5"/>
  <c r="R449" i="5"/>
  <c r="R565" i="5"/>
  <c r="L565" i="5"/>
  <c r="L282" i="5"/>
  <c r="R282" i="5"/>
  <c r="L555" i="5"/>
  <c r="R555" i="5"/>
  <c r="L451" i="5"/>
  <c r="R451" i="5"/>
  <c r="R545" i="5"/>
  <c r="L545" i="5"/>
  <c r="R572" i="5"/>
  <c r="L413" i="5" l="1"/>
  <c r="L210" i="5"/>
  <c r="R295" i="5"/>
  <c r="L420" i="5"/>
  <c r="R445" i="5"/>
  <c r="R201" i="5"/>
  <c r="L201" i="5"/>
  <c r="L351" i="5"/>
  <c r="L249" i="5"/>
  <c r="R249" i="5"/>
  <c r="L574" i="5"/>
  <c r="R522" i="5"/>
  <c r="R514" i="5"/>
  <c r="L518" i="5"/>
  <c r="L557" i="5"/>
  <c r="R559" i="5"/>
  <c r="R197" i="5"/>
  <c r="L573" i="5"/>
  <c r="L197" i="5"/>
  <c r="L344" i="5"/>
  <c r="L290" i="5"/>
  <c r="R573" i="5"/>
  <c r="R290" i="5"/>
  <c r="L348" i="5"/>
  <c r="R297" i="5"/>
  <c r="R410" i="5"/>
  <c r="R557" i="5"/>
  <c r="L552" i="5"/>
  <c r="L293" i="5"/>
  <c r="L553" i="5"/>
  <c r="R553" i="5"/>
  <c r="L519" i="5"/>
  <c r="R43" i="5"/>
  <c r="L43" i="5"/>
  <c r="R539" i="5"/>
  <c r="L398" i="5"/>
  <c r="R543" i="5"/>
  <c r="L614" i="5"/>
  <c r="R616" i="5"/>
  <c r="L556" i="5"/>
  <c r="L522" i="5"/>
  <c r="L536" i="5"/>
  <c r="R294" i="5"/>
  <c r="R536" i="5"/>
  <c r="L585" i="5"/>
  <c r="R585" i="5"/>
  <c r="R519" i="5"/>
  <c r="L337" i="5"/>
  <c r="R337" i="5"/>
  <c r="R614" i="5"/>
  <c r="L514" i="5"/>
  <c r="R402" i="5"/>
  <c r="L402" i="5"/>
  <c r="L211" i="5"/>
  <c r="R211" i="5"/>
  <c r="L350" i="5"/>
  <c r="R350" i="5"/>
  <c r="R574" i="5"/>
  <c r="R345" i="5"/>
  <c r="L198" i="5"/>
  <c r="L345" i="5"/>
  <c r="R607" i="5"/>
  <c r="L349" i="5"/>
  <c r="R293" i="5"/>
  <c r="L607" i="5"/>
  <c r="R286" i="5"/>
  <c r="L286" i="5"/>
  <c r="R556" i="5"/>
  <c r="L287" i="5"/>
  <c r="R447" i="5"/>
  <c r="L559" i="5"/>
  <c r="R287" i="5"/>
  <c r="L539" i="5"/>
  <c r="R223" i="5"/>
  <c r="L223" i="5"/>
  <c r="R528" i="5"/>
  <c r="R207" i="5"/>
  <c r="R531" i="5"/>
  <c r="L528" i="5"/>
  <c r="R205" i="5"/>
  <c r="L205" i="5"/>
  <c r="L531" i="5"/>
  <c r="L207" i="5"/>
  <c r="R352" i="5"/>
  <c r="R579" i="5"/>
  <c r="R518" i="5"/>
  <c r="L411" i="5"/>
  <c r="L352" i="5"/>
  <c r="R398" i="5"/>
  <c r="L294" i="5"/>
  <c r="L299" i="5"/>
  <c r="R299" i="5"/>
  <c r="L297" i="5"/>
  <c r="R251" i="5"/>
  <c r="R292" i="5"/>
  <c r="L292" i="5"/>
  <c r="R296" i="5"/>
  <c r="L347" i="5"/>
  <c r="L616" i="5"/>
  <c r="L450" i="5"/>
  <c r="L246" i="5"/>
  <c r="L558" i="5"/>
  <c r="R420" i="5"/>
  <c r="R411" i="5"/>
  <c r="R450" i="5"/>
  <c r="R535" i="5"/>
  <c r="R517" i="5"/>
  <c r="R558" i="5"/>
  <c r="L517" i="5"/>
  <c r="R301" i="5"/>
  <c r="L354" i="5"/>
  <c r="L291" i="5"/>
  <c r="L535" i="5"/>
  <c r="R354" i="5"/>
  <c r="R291" i="5"/>
  <c r="L543" i="5"/>
  <c r="L301" i="5"/>
  <c r="R347" i="5"/>
  <c r="R595" i="5"/>
  <c r="L595" i="5"/>
  <c r="L617" i="5" l="1"/>
  <c r="R617" i="5"/>
  <c r="R534" i="5"/>
  <c r="L534" i="5"/>
  <c r="R551" i="5" l="1"/>
  <c r="L551" i="5"/>
  <c r="R548" i="5" l="1"/>
  <c r="L548" i="5"/>
  <c r="R151" i="5" l="1"/>
  <c r="L151" i="5" l="1"/>
  <c r="L170" i="5"/>
  <c r="L106" i="5"/>
  <c r="R112" i="5"/>
  <c r="R170" i="5"/>
  <c r="R179" i="5"/>
  <c r="L112" i="5"/>
  <c r="R107" i="5"/>
  <c r="R178" i="5"/>
  <c r="L162" i="5"/>
  <c r="R368" i="5"/>
  <c r="L368" i="5"/>
  <c r="L51" i="5"/>
  <c r="L55" i="5"/>
  <c r="R51" i="5"/>
  <c r="L107" i="5"/>
  <c r="L179" i="5"/>
  <c r="L178" i="5"/>
  <c r="R162" i="5"/>
  <c r="R115" i="5"/>
  <c r="R109" i="5"/>
  <c r="R327" i="5"/>
  <c r="L327" i="5"/>
  <c r="L228" i="5"/>
  <c r="L239" i="5"/>
  <c r="R483" i="5"/>
  <c r="R50" i="5"/>
  <c r="L50" i="5"/>
  <c r="R61" i="5"/>
  <c r="L61" i="5"/>
  <c r="L92" i="5"/>
  <c r="R92" i="5"/>
  <c r="L164" i="5"/>
  <c r="R164" i="5"/>
  <c r="R113" i="5"/>
  <c r="L113" i="5"/>
  <c r="R152" i="5"/>
  <c r="L152" i="5"/>
  <c r="L60" i="5"/>
  <c r="R60" i="5"/>
  <c r="L159" i="5"/>
  <c r="L96" i="5"/>
  <c r="R96" i="5"/>
  <c r="L101" i="5"/>
  <c r="L372" i="5"/>
  <c r="R372" i="5"/>
  <c r="R100" i="5"/>
  <c r="L100" i="5"/>
  <c r="L394" i="5"/>
  <c r="R394" i="5"/>
  <c r="L383" i="5"/>
  <c r="R383" i="5"/>
  <c r="R105" i="5"/>
  <c r="L105" i="5"/>
  <c r="L104" i="5"/>
  <c r="R104" i="5"/>
  <c r="L330" i="5"/>
  <c r="R330" i="5"/>
  <c r="L172" i="5"/>
  <c r="R172" i="5"/>
  <c r="L95" i="5"/>
  <c r="R95" i="5"/>
  <c r="R110" i="5"/>
  <c r="R380" i="5"/>
  <c r="L380" i="5"/>
  <c r="L59" i="5"/>
  <c r="R59" i="5"/>
  <c r="R99" i="5"/>
  <c r="L99" i="5"/>
  <c r="R97" i="5"/>
  <c r="L97" i="5"/>
  <c r="R375" i="5"/>
  <c r="L375" i="5"/>
  <c r="L62" i="5"/>
  <c r="R62" i="5"/>
  <c r="L378" i="5"/>
  <c r="R378" i="5"/>
  <c r="R384" i="5"/>
  <c r="L384" i="5"/>
  <c r="L168" i="5"/>
  <c r="R259" i="5"/>
  <c r="R363" i="5"/>
  <c r="R106" i="5"/>
  <c r="L174" i="5"/>
  <c r="L177" i="5"/>
  <c r="R177" i="5"/>
  <c r="L622" i="5"/>
  <c r="R622" i="5"/>
  <c r="L227" i="5"/>
  <c r="R227" i="5"/>
  <c r="R55" i="5" l="1"/>
  <c r="R143" i="5"/>
  <c r="L161" i="5"/>
  <c r="L429" i="5"/>
  <c r="L392" i="5"/>
  <c r="R486" i="5"/>
  <c r="L103" i="5"/>
  <c r="R150" i="5"/>
  <c r="R379" i="5"/>
  <c r="R157" i="5"/>
  <c r="R430" i="5"/>
  <c r="R159" i="5"/>
  <c r="L154" i="5"/>
  <c r="R256" i="5"/>
  <c r="R161" i="5"/>
  <c r="L156" i="5"/>
  <c r="L242" i="5"/>
  <c r="L143" i="5"/>
  <c r="L160" i="5"/>
  <c r="R429" i="5"/>
  <c r="L256" i="5"/>
  <c r="L270" i="5"/>
  <c r="L259" i="5"/>
  <c r="L486" i="5"/>
  <c r="L324" i="5"/>
  <c r="R108" i="5"/>
  <c r="L501" i="5"/>
  <c r="R501" i="5"/>
  <c r="R180" i="5"/>
  <c r="R311" i="5"/>
  <c r="L235" i="5"/>
  <c r="L109" i="5"/>
  <c r="L623" i="5"/>
  <c r="R623" i="5"/>
  <c r="L532" i="5"/>
  <c r="R532" i="5"/>
  <c r="R620" i="5"/>
  <c r="L620" i="5"/>
  <c r="L497" i="5"/>
  <c r="L316" i="5"/>
  <c r="R46" i="5"/>
  <c r="L46" i="5"/>
  <c r="L272" i="5"/>
  <c r="R182" i="5"/>
  <c r="R114" i="5"/>
  <c r="R369" i="5"/>
  <c r="L391" i="5"/>
  <c r="R277" i="5"/>
  <c r="R173" i="5"/>
  <c r="L373" i="5"/>
  <c r="R584" i="5"/>
  <c r="R166" i="5"/>
  <c r="L229" i="5"/>
  <c r="R353" i="5"/>
  <c r="L222" i="5"/>
  <c r="R103" i="5"/>
  <c r="R474" i="5"/>
  <c r="L146" i="5"/>
  <c r="R276" i="5"/>
  <c r="L165" i="5"/>
  <c r="R392" i="5"/>
  <c r="R155" i="5"/>
  <c r="R329" i="5"/>
  <c r="L379" i="5"/>
  <c r="R325" i="5"/>
  <c r="R174" i="5"/>
  <c r="R272" i="5"/>
  <c r="L108" i="5"/>
  <c r="L365" i="5"/>
  <c r="R376" i="5"/>
  <c r="R154" i="5"/>
  <c r="R390" i="5"/>
  <c r="L149" i="5"/>
  <c r="L363" i="5"/>
  <c r="L483" i="5"/>
  <c r="L374" i="5"/>
  <c r="R239" i="5"/>
  <c r="L311" i="5"/>
  <c r="R168" i="5"/>
  <c r="R373" i="5"/>
  <c r="L277" i="5"/>
  <c r="L276" i="5"/>
  <c r="R242" i="5"/>
  <c r="R222" i="5"/>
  <c r="L326" i="5"/>
  <c r="R381" i="5"/>
  <c r="R433" i="5"/>
  <c r="R271" i="5"/>
  <c r="R270" i="5"/>
  <c r="R149" i="5"/>
  <c r="R146" i="5"/>
  <c r="L150" i="5"/>
  <c r="R235" i="5"/>
  <c r="L57" i="5"/>
  <c r="R232" i="5"/>
  <c r="L430" i="5"/>
  <c r="L114" i="5"/>
  <c r="L221" i="5"/>
  <c r="R156" i="5"/>
  <c r="R160" i="5"/>
  <c r="L474" i="5"/>
  <c r="L381" i="5"/>
  <c r="R101" i="5"/>
  <c r="L171" i="5"/>
  <c r="L386" i="5"/>
  <c r="R324" i="5"/>
  <c r="R374" i="5"/>
  <c r="R54" i="5"/>
  <c r="L274" i="5"/>
  <c r="L428" i="5"/>
  <c r="R428" i="5"/>
  <c r="L110" i="5"/>
  <c r="L155" i="5"/>
  <c r="L157" i="5"/>
  <c r="L393" i="5"/>
  <c r="L426" i="5"/>
  <c r="R377" i="5"/>
  <c r="L353" i="5"/>
  <c r="L376" i="5"/>
  <c r="R238" i="5"/>
  <c r="R426" i="5"/>
  <c r="L362" i="5"/>
  <c r="L377" i="5"/>
  <c r="L180" i="5"/>
  <c r="R326" i="5"/>
  <c r="L238" i="5"/>
  <c r="L329" i="5"/>
  <c r="L182" i="5"/>
  <c r="R362" i="5"/>
  <c r="L49" i="5"/>
  <c r="R102" i="5"/>
  <c r="R386" i="5"/>
  <c r="L271" i="5"/>
  <c r="L433" i="5"/>
  <c r="R153" i="5"/>
  <c r="L153" i="5"/>
  <c r="L325" i="5"/>
  <c r="L328" i="5"/>
  <c r="R328" i="5"/>
  <c r="L176" i="5"/>
  <c r="L321" i="5"/>
  <c r="R393" i="5"/>
  <c r="L90" i="5"/>
  <c r="R90" i="5"/>
  <c r="R57" i="5"/>
  <c r="R53" i="5"/>
  <c r="L54" i="5"/>
  <c r="R49" i="5"/>
  <c r="L52" i="5"/>
  <c r="L53" i="5"/>
  <c r="L47" i="5"/>
  <c r="R45" i="5"/>
  <c r="L45" i="5"/>
  <c r="R47" i="5"/>
  <c r="L549" i="5"/>
  <c r="L584" i="5"/>
  <c r="R549" i="5"/>
  <c r="R370" i="5"/>
  <c r="L317" i="5"/>
  <c r="R498" i="5"/>
  <c r="R267" i="5"/>
  <c r="R165" i="5"/>
  <c r="R331" i="5"/>
  <c r="L331" i="5"/>
  <c r="L166" i="5"/>
  <c r="L115" i="5"/>
  <c r="R171" i="5"/>
  <c r="R274" i="5"/>
  <c r="R176" i="5"/>
  <c r="R228" i="5"/>
  <c r="L98" i="5"/>
  <c r="R98" i="5"/>
  <c r="L148" i="5"/>
  <c r="R148" i="5"/>
  <c r="R56" i="5"/>
  <c r="L56" i="5"/>
  <c r="L48" i="5"/>
  <c r="R48" i="5"/>
  <c r="L63" i="5"/>
  <c r="R63" i="5"/>
  <c r="L624" i="5"/>
  <c r="R624" i="5"/>
  <c r="R167" i="5"/>
  <c r="L167" i="5"/>
  <c r="L217" i="5"/>
  <c r="R217" i="5"/>
  <c r="L220" i="5"/>
  <c r="R220" i="5"/>
  <c r="R89" i="5"/>
  <c r="L89" i="5"/>
  <c r="R320" i="5"/>
  <c r="L320" i="5"/>
  <c r="L158" i="5"/>
  <c r="R158" i="5"/>
  <c r="L323" i="5"/>
  <c r="R323" i="5"/>
  <c r="L111" i="5"/>
  <c r="R111" i="5"/>
  <c r="R147" i="5"/>
  <c r="L147" i="5"/>
  <c r="R570" i="5"/>
  <c r="L570" i="5"/>
  <c r="L144" i="5"/>
  <c r="R144" i="5"/>
  <c r="R382" i="5"/>
  <c r="L382" i="5"/>
  <c r="L93" i="5"/>
  <c r="R93" i="5"/>
  <c r="L169" i="5"/>
  <c r="R169" i="5"/>
  <c r="L389" i="5"/>
  <c r="R389" i="5"/>
  <c r="L230" i="5"/>
  <c r="R230" i="5"/>
  <c r="R58" i="5"/>
  <c r="L58" i="5"/>
  <c r="R91" i="5"/>
  <c r="L91" i="5"/>
  <c r="L319" i="5"/>
  <c r="R319" i="5"/>
  <c r="L313" i="5"/>
  <c r="R313" i="5"/>
  <c r="R357" i="5"/>
  <c r="L357" i="5"/>
  <c r="R322" i="5"/>
  <c r="L322" i="5"/>
  <c r="R145" i="5"/>
  <c r="L145" i="5"/>
  <c r="L262" i="5"/>
  <c r="R262" i="5"/>
  <c r="L476" i="5"/>
  <c r="R476" i="5"/>
  <c r="R163" i="5"/>
  <c r="L163" i="5"/>
  <c r="L621" i="5"/>
  <c r="R621" i="5"/>
  <c r="L390" i="5" l="1"/>
  <c r="R273" i="5"/>
  <c r="R183" i="5"/>
  <c r="L266" i="5"/>
  <c r="R461" i="5"/>
  <c r="L232" i="5"/>
  <c r="R395" i="5"/>
  <c r="L258" i="5"/>
  <c r="L443" i="5"/>
  <c r="L243" i="5"/>
  <c r="L102" i="5"/>
  <c r="L395" i="5"/>
  <c r="R480" i="5"/>
  <c r="L367" i="5"/>
  <c r="R316" i="5"/>
  <c r="R367" i="5"/>
  <c r="R466" i="5"/>
  <c r="L183" i="5"/>
  <c r="L480" i="5"/>
  <c r="L440" i="5"/>
  <c r="R391" i="5"/>
  <c r="R221" i="5"/>
  <c r="L173" i="5"/>
  <c r="R52" i="5"/>
  <c r="R321" i="5"/>
  <c r="R365" i="5"/>
  <c r="L94" i="5"/>
  <c r="R94" i="5"/>
  <c r="L369" i="5"/>
  <c r="R229" i="5"/>
  <c r="R484" i="5"/>
  <c r="L484" i="5"/>
  <c r="L485" i="5"/>
  <c r="R485" i="5"/>
  <c r="R619" i="5"/>
  <c r="L619" i="5"/>
  <c r="R497" i="5"/>
  <c r="L500" i="5"/>
  <c r="R500" i="5"/>
  <c r="L618" i="5"/>
  <c r="R618" i="5"/>
  <c r="L44" i="5"/>
  <c r="R44" i="5"/>
  <c r="R219" i="5"/>
  <c r="R435" i="5"/>
  <c r="L255" i="5"/>
  <c r="L219" i="5"/>
  <c r="R443" i="5"/>
  <c r="R317" i="5"/>
  <c r="R255" i="5"/>
  <c r="R425" i="5"/>
  <c r="R215" i="5"/>
  <c r="L215" i="5"/>
  <c r="R387" i="5"/>
  <c r="L387" i="5"/>
  <c r="L265" i="5"/>
  <c r="R265" i="5"/>
  <c r="R472" i="5"/>
  <c r="L472" i="5"/>
  <c r="L425" i="5"/>
  <c r="R257" i="5"/>
  <c r="L257" i="5"/>
  <c r="R478" i="5"/>
  <c r="L478" i="5"/>
  <c r="L360" i="5"/>
  <c r="R360" i="5"/>
  <c r="R263" i="5"/>
  <c r="L263" i="5"/>
  <c r="R473" i="5"/>
  <c r="L473" i="5"/>
  <c r="R371" i="5"/>
  <c r="L371" i="5"/>
  <c r="L461" i="5"/>
  <c r="L466" i="5"/>
  <c r="L269" i="5"/>
  <c r="R269" i="5"/>
  <c r="R364" i="5"/>
  <c r="L364" i="5"/>
  <c r="R234" i="5"/>
  <c r="L234" i="5"/>
  <c r="L359" i="5"/>
  <c r="R359" i="5"/>
  <c r="R241" i="5"/>
  <c r="R258" i="5"/>
  <c r="R268" i="5"/>
  <c r="L268" i="5"/>
  <c r="R231" i="5"/>
  <c r="L231" i="5"/>
  <c r="L181" i="5"/>
  <c r="R181" i="5"/>
  <c r="L491" i="5"/>
  <c r="R491" i="5"/>
  <c r="L273" i="5"/>
  <c r="R440" i="5"/>
  <c r="R233" i="5"/>
  <c r="L233" i="5"/>
  <c r="R434" i="5"/>
  <c r="L434" i="5"/>
  <c r="L275" i="5"/>
  <c r="R275" i="5"/>
  <c r="L465" i="5"/>
  <c r="L241" i="5"/>
  <c r="L498" i="5"/>
  <c r="L499" i="5"/>
  <c r="R499" i="5"/>
  <c r="R244" i="5"/>
  <c r="L244" i="5"/>
  <c r="L260" i="5"/>
  <c r="R260" i="5"/>
  <c r="R423" i="5"/>
  <c r="L423" i="5"/>
  <c r="R252" i="5"/>
  <c r="L435" i="5"/>
  <c r="R361" i="5"/>
  <c r="L361" i="5"/>
  <c r="L438" i="5"/>
  <c r="R438" i="5"/>
  <c r="L467" i="5"/>
  <c r="R467" i="5"/>
  <c r="R477" i="5"/>
  <c r="L477" i="5"/>
  <c r="L432" i="5"/>
  <c r="R432" i="5"/>
  <c r="L370" i="5"/>
  <c r="L252" i="5"/>
  <c r="L267" i="5"/>
  <c r="R388" i="5"/>
  <c r="L388" i="5"/>
  <c r="L427" i="5"/>
  <c r="R427" i="5"/>
  <c r="R184" i="5"/>
  <c r="L184" i="5"/>
  <c r="L366" i="5"/>
  <c r="R366" i="5"/>
  <c r="R216" i="5"/>
  <c r="L216" i="5"/>
  <c r="L424" i="5"/>
  <c r="R424" i="5"/>
  <c r="L213" i="5"/>
  <c r="R213" i="5"/>
  <c r="R465" i="5"/>
  <c r="R243" i="5"/>
  <c r="R266" i="5"/>
  <c r="L214" i="5"/>
  <c r="R214" i="5"/>
  <c r="L315" i="5"/>
  <c r="R315" i="5"/>
  <c r="L444" i="5"/>
  <c r="R312" i="5"/>
  <c r="L312" i="5"/>
  <c r="L475" i="5"/>
  <c r="R475" i="5"/>
  <c r="L468" i="5"/>
  <c r="R468" i="5"/>
  <c r="R442" i="5"/>
  <c r="L442" i="5"/>
  <c r="R481" i="5"/>
  <c r="L481" i="5"/>
  <c r="L358" i="5"/>
  <c r="R358" i="5"/>
  <c r="L463" i="5"/>
  <c r="R463" i="5"/>
  <c r="L441" i="5"/>
  <c r="R441" i="5"/>
  <c r="R332" i="5"/>
  <c r="L332" i="5"/>
  <c r="R253" i="5"/>
  <c r="L253" i="5"/>
  <c r="L261" i="5"/>
  <c r="R261" i="5"/>
  <c r="R439" i="5"/>
  <c r="L439" i="5"/>
  <c r="R493" i="5"/>
  <c r="L493" i="5"/>
  <c r="L314" i="5"/>
  <c r="R314" i="5"/>
  <c r="L470" i="5"/>
  <c r="R470" i="5"/>
  <c r="L264" i="5"/>
  <c r="R264" i="5"/>
  <c r="L462" i="5"/>
  <c r="R462" i="5"/>
  <c r="L318" i="5"/>
  <c r="R318" i="5"/>
  <c r="R355" i="5"/>
  <c r="L355" i="5"/>
  <c r="L464" i="5"/>
  <c r="R464" i="5"/>
  <c r="L431" i="5"/>
  <c r="R431" i="5"/>
  <c r="R479" i="5"/>
  <c r="L479" i="5"/>
  <c r="L436" i="5"/>
  <c r="R436" i="5"/>
  <c r="R444" i="5" l="1"/>
  <c r="L471" i="5"/>
  <c r="L396" i="5"/>
  <c r="R471" i="5"/>
  <c r="R396" i="5"/>
  <c r="R385" i="5"/>
  <c r="L385" i="5"/>
  <c r="L437" i="5"/>
  <c r="R437" i="5"/>
  <c r="L240" i="5"/>
  <c r="R240" i="5"/>
  <c r="R175" i="5"/>
  <c r="L175" i="5"/>
  <c r="R469" i="5"/>
  <c r="L469" i="5"/>
  <c r="R218" i="5"/>
  <c r="L218" i="5"/>
  <c r="L502" i="5" l="1"/>
  <c r="R502" i="5"/>
  <c r="L546" i="5"/>
  <c r="L512" i="5"/>
  <c r="R512" i="5"/>
  <c r="L507" i="5"/>
  <c r="R507" i="5"/>
  <c r="R510" i="5" l="1"/>
  <c r="L513" i="5"/>
  <c r="R508" i="5"/>
  <c r="L511" i="5"/>
  <c r="L506" i="5"/>
  <c r="R513" i="5"/>
  <c r="R511" i="5"/>
  <c r="R506" i="5"/>
  <c r="L526" i="5"/>
  <c r="T3" i="5"/>
  <c r="L504" i="5"/>
  <c r="R504" i="5"/>
  <c r="L508" i="5"/>
  <c r="R526" i="5"/>
  <c r="L509" i="5"/>
  <c r="R509" i="5"/>
  <c r="R546" i="5"/>
  <c r="L510" i="5"/>
</calcChain>
</file>

<file path=xl/sharedStrings.xml><?xml version="1.0" encoding="utf-8"?>
<sst xmlns="http://schemas.openxmlformats.org/spreadsheetml/2006/main" count="6573" uniqueCount="1590">
  <si>
    <t>본인점수 입력</t>
    <phoneticPr fontId="2" type="noConversion"/>
  </si>
  <si>
    <t>언매</t>
    <phoneticPr fontId="2" type="noConversion"/>
  </si>
  <si>
    <t>화작</t>
    <phoneticPr fontId="2" type="noConversion"/>
  </si>
  <si>
    <t>미적</t>
    <phoneticPr fontId="2" type="noConversion"/>
  </si>
  <si>
    <t>확통</t>
    <phoneticPr fontId="2" type="noConversion"/>
  </si>
  <si>
    <t>사탐</t>
    <phoneticPr fontId="2" type="noConversion"/>
  </si>
  <si>
    <t>국어</t>
    <phoneticPr fontId="2" type="noConversion"/>
  </si>
  <si>
    <t>수학</t>
    <phoneticPr fontId="2" type="noConversion"/>
  </si>
  <si>
    <t>기하</t>
    <phoneticPr fontId="2" type="noConversion"/>
  </si>
  <si>
    <t>과탐</t>
    <phoneticPr fontId="2" type="noConversion"/>
  </si>
  <si>
    <t>물리Ⅰ</t>
    <phoneticPr fontId="2" type="noConversion"/>
  </si>
  <si>
    <t>사탐</t>
    <phoneticPr fontId="2" type="noConversion"/>
  </si>
  <si>
    <t>동아시아사</t>
    <phoneticPr fontId="2" type="noConversion"/>
  </si>
  <si>
    <t>세계사</t>
    <phoneticPr fontId="2" type="noConversion"/>
  </si>
  <si>
    <t>세계지리</t>
    <phoneticPr fontId="2" type="noConversion"/>
  </si>
  <si>
    <t>한국지리</t>
    <phoneticPr fontId="2" type="noConversion"/>
  </si>
  <si>
    <t>정치와법</t>
    <phoneticPr fontId="2" type="noConversion"/>
  </si>
  <si>
    <t>경제</t>
    <phoneticPr fontId="2" type="noConversion"/>
  </si>
  <si>
    <t>사회문화</t>
    <phoneticPr fontId="2" type="noConversion"/>
  </si>
  <si>
    <t>생활과윤리</t>
    <phoneticPr fontId="2" type="noConversion"/>
  </si>
  <si>
    <t>윤리와사상</t>
    <phoneticPr fontId="2" type="noConversion"/>
  </si>
  <si>
    <t>영어</t>
    <phoneticPr fontId="2" type="noConversion"/>
  </si>
  <si>
    <t>등급</t>
    <phoneticPr fontId="2" type="noConversion"/>
  </si>
  <si>
    <t>한국사</t>
    <phoneticPr fontId="2" type="noConversion"/>
  </si>
  <si>
    <t>화학Ⅰ</t>
    <phoneticPr fontId="2" type="noConversion"/>
  </si>
  <si>
    <t>생물Ⅰ</t>
    <phoneticPr fontId="2" type="noConversion"/>
  </si>
  <si>
    <t>지구과학Ⅰ</t>
    <phoneticPr fontId="2" type="noConversion"/>
  </si>
  <si>
    <t>물리Ⅱ</t>
    <phoneticPr fontId="2" type="noConversion"/>
  </si>
  <si>
    <t>화학Ⅱ</t>
    <phoneticPr fontId="2" type="noConversion"/>
  </si>
  <si>
    <t>생물Ⅱ</t>
    <phoneticPr fontId="2" type="noConversion"/>
  </si>
  <si>
    <t>지구과학Ⅱ</t>
    <phoneticPr fontId="2" type="noConversion"/>
  </si>
  <si>
    <t>원점수</t>
    <phoneticPr fontId="2" type="noConversion"/>
  </si>
  <si>
    <t>표준점수</t>
    <phoneticPr fontId="2" type="noConversion"/>
  </si>
  <si>
    <t>백분위</t>
    <phoneticPr fontId="2" type="noConversion"/>
  </si>
  <si>
    <t>응시여부</t>
    <phoneticPr fontId="2" type="noConversion"/>
  </si>
  <si>
    <t>원점</t>
    <phoneticPr fontId="2" type="noConversion"/>
  </si>
  <si>
    <t>표점</t>
    <phoneticPr fontId="2" type="noConversion"/>
  </si>
  <si>
    <t>만점 표점</t>
    <phoneticPr fontId="2" type="noConversion"/>
  </si>
  <si>
    <t>만점 백분</t>
    <phoneticPr fontId="2" type="noConversion"/>
  </si>
  <si>
    <t>1백분</t>
    <phoneticPr fontId="2" type="noConversion"/>
  </si>
  <si>
    <t>1표점</t>
    <phoneticPr fontId="2" type="noConversion"/>
  </si>
  <si>
    <t>2표점</t>
    <phoneticPr fontId="2" type="noConversion"/>
  </si>
  <si>
    <t>3표점</t>
    <phoneticPr fontId="2" type="noConversion"/>
  </si>
  <si>
    <t>4표점</t>
  </si>
  <si>
    <t>5표점</t>
  </si>
  <si>
    <t>6표점</t>
  </si>
  <si>
    <t>7표점</t>
  </si>
  <si>
    <t>8표점</t>
  </si>
  <si>
    <t>2백분</t>
    <phoneticPr fontId="2" type="noConversion"/>
  </si>
  <si>
    <t>3백분</t>
  </si>
  <si>
    <t>4백분</t>
  </si>
  <si>
    <t>5백분</t>
  </si>
  <si>
    <t>6백분</t>
  </si>
  <si>
    <t>7백분</t>
  </si>
  <si>
    <t>8백분</t>
  </si>
  <si>
    <t>등급컷(1,2,3..)</t>
    <phoneticPr fontId="2" type="noConversion"/>
  </si>
  <si>
    <t>1컷원점</t>
    <phoneticPr fontId="2" type="noConversion"/>
  </si>
  <si>
    <t>2컷원점</t>
    <phoneticPr fontId="2" type="noConversion"/>
  </si>
  <si>
    <t>3컷원점</t>
  </si>
  <si>
    <t>4컷원점</t>
  </si>
  <si>
    <t>5컷원점</t>
  </si>
  <si>
    <t>6컷원점</t>
  </si>
  <si>
    <t>7컷원점</t>
  </si>
  <si>
    <t>8컷원점</t>
  </si>
  <si>
    <t>탐구원점</t>
    <phoneticPr fontId="2" type="noConversion"/>
  </si>
  <si>
    <t>백분위차</t>
    <phoneticPr fontId="2" type="noConversion"/>
  </si>
  <si>
    <t>표점차</t>
    <phoneticPr fontId="2" type="noConversion"/>
  </si>
  <si>
    <t>등급구간</t>
    <phoneticPr fontId="2" type="noConversion"/>
  </si>
  <si>
    <t>만점원점</t>
    <phoneticPr fontId="2" type="noConversion"/>
  </si>
  <si>
    <t>함수용</t>
    <phoneticPr fontId="2" type="noConversion"/>
  </si>
  <si>
    <t>적용점수</t>
    <phoneticPr fontId="2" type="noConversion"/>
  </si>
  <si>
    <t>과탐1</t>
    <phoneticPr fontId="2" type="noConversion"/>
  </si>
  <si>
    <t>과탐2</t>
    <phoneticPr fontId="2" type="noConversion"/>
  </si>
  <si>
    <t>사탐1</t>
    <phoneticPr fontId="2" type="noConversion"/>
  </si>
  <si>
    <t>사탐2</t>
    <phoneticPr fontId="2" type="noConversion"/>
  </si>
  <si>
    <t>제2외국어</t>
    <phoneticPr fontId="2" type="noConversion"/>
  </si>
  <si>
    <t>백분</t>
    <phoneticPr fontId="2" type="noConversion"/>
  </si>
  <si>
    <t>고득점순</t>
    <phoneticPr fontId="2" type="noConversion"/>
  </si>
  <si>
    <t>원점순위</t>
    <phoneticPr fontId="2" type="noConversion"/>
  </si>
  <si>
    <t>표점순위</t>
    <phoneticPr fontId="2" type="noConversion"/>
  </si>
  <si>
    <t>백분순위</t>
    <phoneticPr fontId="2" type="noConversion"/>
  </si>
  <si>
    <t>등급순위</t>
    <phoneticPr fontId="2" type="noConversion"/>
  </si>
  <si>
    <t>원점순위용</t>
    <phoneticPr fontId="2" type="noConversion"/>
  </si>
  <si>
    <t>표점순위용</t>
    <phoneticPr fontId="2" type="noConversion"/>
  </si>
  <si>
    <t>백분순위용</t>
    <phoneticPr fontId="2" type="noConversion"/>
  </si>
  <si>
    <t>등급순위용</t>
    <phoneticPr fontId="2" type="noConversion"/>
  </si>
  <si>
    <t>가산점용</t>
    <phoneticPr fontId="2" type="noConversion"/>
  </si>
  <si>
    <t>과탐Ⅱ</t>
    <phoneticPr fontId="2" type="noConversion"/>
  </si>
  <si>
    <t>대학</t>
    <phoneticPr fontId="2" type="noConversion"/>
  </si>
  <si>
    <t>학과</t>
    <phoneticPr fontId="2" type="noConversion"/>
  </si>
  <si>
    <t>계열</t>
    <phoneticPr fontId="2" type="noConversion"/>
  </si>
  <si>
    <t>(1~2)</t>
    <phoneticPr fontId="2" type="noConversion"/>
  </si>
  <si>
    <t>(3~5)</t>
    <phoneticPr fontId="2" type="noConversion"/>
  </si>
  <si>
    <t>(6~13)</t>
    <phoneticPr fontId="2" type="noConversion"/>
  </si>
  <si>
    <t>(10~13)</t>
    <phoneticPr fontId="2" type="noConversion"/>
  </si>
  <si>
    <t>(14~22)</t>
    <phoneticPr fontId="2" type="noConversion"/>
  </si>
  <si>
    <t>지원가능</t>
    <phoneticPr fontId="2" type="noConversion"/>
  </si>
  <si>
    <t>모집군</t>
    <phoneticPr fontId="2" type="noConversion"/>
  </si>
  <si>
    <t>환산점수</t>
    <phoneticPr fontId="2" type="noConversion"/>
  </si>
  <si>
    <t>합격확률 90%</t>
    <phoneticPr fontId="2" type="noConversion"/>
  </si>
  <si>
    <t>합격확률 70%</t>
    <phoneticPr fontId="2" type="noConversion"/>
  </si>
  <si>
    <t>합격확률 40%</t>
    <phoneticPr fontId="2" type="noConversion"/>
  </si>
  <si>
    <t>합격확률 10%</t>
    <phoneticPr fontId="2" type="noConversion"/>
  </si>
  <si>
    <t>탐구</t>
    <phoneticPr fontId="2" type="noConversion"/>
  </si>
  <si>
    <t>미적기하</t>
    <phoneticPr fontId="2" type="noConversion"/>
  </si>
  <si>
    <t>과탐</t>
    <phoneticPr fontId="2" type="noConversion"/>
  </si>
  <si>
    <t>제2외국어</t>
    <phoneticPr fontId="2" type="noConversion"/>
  </si>
  <si>
    <t>과탐II</t>
    <phoneticPr fontId="2" type="noConversion"/>
  </si>
  <si>
    <t>응시여부코드</t>
    <phoneticPr fontId="2" type="noConversion"/>
  </si>
  <si>
    <t>사.과탐</t>
    <phoneticPr fontId="2" type="noConversion"/>
  </si>
  <si>
    <t>서울대 자연</t>
    <phoneticPr fontId="2" type="noConversion"/>
  </si>
  <si>
    <t>서울대 통합</t>
    <phoneticPr fontId="2" type="noConversion"/>
  </si>
  <si>
    <t>(가산점용)</t>
    <phoneticPr fontId="2" type="noConversion"/>
  </si>
  <si>
    <t>국</t>
    <phoneticPr fontId="2" type="noConversion"/>
  </si>
  <si>
    <t>연세대 자연</t>
    <phoneticPr fontId="2" type="noConversion"/>
  </si>
  <si>
    <t>연세대 통합</t>
    <phoneticPr fontId="2" type="noConversion"/>
  </si>
  <si>
    <t>연세대 국제</t>
    <phoneticPr fontId="2" type="noConversion"/>
  </si>
  <si>
    <t>고려대 자연</t>
    <phoneticPr fontId="2" type="noConversion"/>
  </si>
  <si>
    <t>고려대 통합</t>
    <phoneticPr fontId="2" type="noConversion"/>
  </si>
  <si>
    <t>변환표준점수표</t>
    <phoneticPr fontId="2" type="noConversion"/>
  </si>
  <si>
    <t>변표</t>
    <phoneticPr fontId="2" type="noConversion"/>
  </si>
  <si>
    <t>변표(사탐)</t>
    <phoneticPr fontId="2" type="noConversion"/>
  </si>
  <si>
    <t>변표(과탐)</t>
    <phoneticPr fontId="2" type="noConversion"/>
  </si>
  <si>
    <t>변환표준점수</t>
    <phoneticPr fontId="2" type="noConversion"/>
  </si>
  <si>
    <t>변표순위용</t>
    <phoneticPr fontId="2" type="noConversion"/>
  </si>
  <si>
    <t>변표순위</t>
    <phoneticPr fontId="2" type="noConversion"/>
  </si>
  <si>
    <t>과탐1평균</t>
    <phoneticPr fontId="2" type="noConversion"/>
  </si>
  <si>
    <t>사탐평균</t>
    <phoneticPr fontId="2" type="noConversion"/>
  </si>
  <si>
    <t>제2외국어</t>
    <phoneticPr fontId="2" type="noConversion"/>
  </si>
  <si>
    <t>사.과탐</t>
    <phoneticPr fontId="2" type="noConversion"/>
  </si>
  <si>
    <t>한양 자연</t>
    <phoneticPr fontId="2" type="noConversion"/>
  </si>
  <si>
    <t>한양 통합</t>
    <phoneticPr fontId="2" type="noConversion"/>
  </si>
  <si>
    <t>중앙 자연</t>
    <phoneticPr fontId="2" type="noConversion"/>
  </si>
  <si>
    <t>중앙 통합</t>
    <phoneticPr fontId="2" type="noConversion"/>
  </si>
  <si>
    <t>중앙 공공인재</t>
    <phoneticPr fontId="2" type="noConversion"/>
  </si>
  <si>
    <t>중앙 경영경제</t>
    <phoneticPr fontId="2" type="noConversion"/>
  </si>
  <si>
    <t>함수-&gt;</t>
    <phoneticPr fontId="2" type="noConversion"/>
  </si>
  <si>
    <t>배율</t>
    <phoneticPr fontId="2" type="noConversion"/>
  </si>
  <si>
    <t>경희 통합인문</t>
    <phoneticPr fontId="2" type="noConversion"/>
  </si>
  <si>
    <t>경희 통합사회</t>
    <phoneticPr fontId="2" type="noConversion"/>
  </si>
  <si>
    <t>경희 자연</t>
    <phoneticPr fontId="2" type="noConversion"/>
  </si>
  <si>
    <t>최고변</t>
    <phoneticPr fontId="2" type="noConversion"/>
  </si>
  <si>
    <t>표점(만대)</t>
    <phoneticPr fontId="2" type="noConversion"/>
  </si>
  <si>
    <t>건국 자연1</t>
    <phoneticPr fontId="2" type="noConversion"/>
  </si>
  <si>
    <t>건국 자연2</t>
    <phoneticPr fontId="2" type="noConversion"/>
  </si>
  <si>
    <t>건국 통합1</t>
    <phoneticPr fontId="2" type="noConversion"/>
  </si>
  <si>
    <t>건국 통합2</t>
    <phoneticPr fontId="2" type="noConversion"/>
  </si>
  <si>
    <t>건국 수의</t>
    <phoneticPr fontId="2" type="noConversion"/>
  </si>
  <si>
    <t>동국 자연</t>
    <phoneticPr fontId="2" type="noConversion"/>
  </si>
  <si>
    <t>동국 통합</t>
    <phoneticPr fontId="2" type="noConversion"/>
  </si>
  <si>
    <t>동국 바이오</t>
    <phoneticPr fontId="2" type="noConversion"/>
  </si>
  <si>
    <t>동국 융합</t>
    <phoneticPr fontId="2" type="noConversion"/>
  </si>
  <si>
    <t>홍익 자연</t>
    <phoneticPr fontId="2" type="noConversion"/>
  </si>
  <si>
    <t>홍익 통합서울</t>
    <phoneticPr fontId="2" type="noConversion"/>
  </si>
  <si>
    <t>국민 자연</t>
    <phoneticPr fontId="2" type="noConversion"/>
  </si>
  <si>
    <t>국민 통합</t>
    <phoneticPr fontId="2" type="noConversion"/>
  </si>
  <si>
    <t>숭실 자연1</t>
    <phoneticPr fontId="2" type="noConversion"/>
  </si>
  <si>
    <t>숭실 통합</t>
    <phoneticPr fontId="2" type="noConversion"/>
  </si>
  <si>
    <t>숭실 경상</t>
    <phoneticPr fontId="2" type="noConversion"/>
  </si>
  <si>
    <t>세종 자연</t>
    <phoneticPr fontId="2" type="noConversion"/>
  </si>
  <si>
    <t>세종 통합</t>
    <phoneticPr fontId="2" type="noConversion"/>
  </si>
  <si>
    <t>세종 창의</t>
    <phoneticPr fontId="2" type="noConversion"/>
  </si>
  <si>
    <t>세종 국방항공</t>
    <phoneticPr fontId="2" type="noConversion"/>
  </si>
  <si>
    <t>이화 자연</t>
    <phoneticPr fontId="2" type="noConversion"/>
  </si>
  <si>
    <t>이화 통합</t>
    <phoneticPr fontId="2" type="noConversion"/>
  </si>
  <si>
    <t>가천 의약</t>
    <phoneticPr fontId="2" type="noConversion"/>
  </si>
  <si>
    <t>가천 한</t>
    <phoneticPr fontId="2" type="noConversion"/>
  </si>
  <si>
    <t>가톨 의약</t>
    <phoneticPr fontId="2" type="noConversion"/>
  </si>
  <si>
    <t>강릉 치</t>
    <phoneticPr fontId="2" type="noConversion"/>
  </si>
  <si>
    <t>강원 의약수</t>
    <phoneticPr fontId="2" type="noConversion"/>
  </si>
  <si>
    <t>건국충주 의</t>
    <phoneticPr fontId="2" type="noConversion"/>
  </si>
  <si>
    <t>건양 의</t>
    <phoneticPr fontId="2" type="noConversion"/>
  </si>
  <si>
    <t>경북 의치약수</t>
    <phoneticPr fontId="2" type="noConversion"/>
  </si>
  <si>
    <t>경상 의약수</t>
    <phoneticPr fontId="2" type="noConversion"/>
  </si>
  <si>
    <t>최고표점</t>
    <phoneticPr fontId="2" type="noConversion"/>
  </si>
  <si>
    <t>경성 약</t>
    <phoneticPr fontId="2" type="noConversion"/>
  </si>
  <si>
    <t>계명 의약</t>
  </si>
  <si>
    <t>고려세종 약</t>
    <phoneticPr fontId="2" type="noConversion"/>
  </si>
  <si>
    <t>고신 의</t>
    <phoneticPr fontId="2" type="noConversion"/>
  </si>
  <si>
    <t>관동 의</t>
    <phoneticPr fontId="2" type="noConversion"/>
  </si>
  <si>
    <t>응시과목명</t>
    <phoneticPr fontId="2" type="noConversion"/>
  </si>
  <si>
    <t>단국 의치약</t>
  </si>
  <si>
    <t>대가 의</t>
    <phoneticPr fontId="2" type="noConversion"/>
  </si>
  <si>
    <t>대가 약</t>
    <phoneticPr fontId="2" type="noConversion"/>
  </si>
  <si>
    <t>대구 한자</t>
    <phoneticPr fontId="2" type="noConversion"/>
  </si>
  <si>
    <t>대구 한문</t>
    <phoneticPr fontId="2" type="noConversion"/>
  </si>
  <si>
    <t>대전 한</t>
    <phoneticPr fontId="2" type="noConversion"/>
  </si>
  <si>
    <t>영어실질</t>
    <phoneticPr fontId="2" type="noConversion"/>
  </si>
  <si>
    <t>반영비</t>
    <phoneticPr fontId="2" type="noConversion"/>
  </si>
  <si>
    <t>덕성 약</t>
    <phoneticPr fontId="2" type="noConversion"/>
  </si>
  <si>
    <t>동국경주 의</t>
    <phoneticPr fontId="2" type="noConversion"/>
  </si>
  <si>
    <t>동국경주 한자</t>
    <phoneticPr fontId="2" type="noConversion"/>
  </si>
  <si>
    <t>동국경주 한통</t>
    <phoneticPr fontId="2" type="noConversion"/>
  </si>
  <si>
    <t>동덕 약</t>
    <phoneticPr fontId="2" type="noConversion"/>
  </si>
  <si>
    <t>동신 한</t>
    <phoneticPr fontId="2" type="noConversion"/>
  </si>
  <si>
    <t>동아 의</t>
    <phoneticPr fontId="2" type="noConversion"/>
  </si>
  <si>
    <t>동의 한자</t>
    <phoneticPr fontId="2" type="noConversion"/>
  </si>
  <si>
    <t>동의 한문</t>
    <phoneticPr fontId="2" type="noConversion"/>
  </si>
  <si>
    <t>목포 약</t>
    <phoneticPr fontId="2" type="noConversion"/>
  </si>
  <si>
    <t>부산 의치약한</t>
    <phoneticPr fontId="2" type="noConversion"/>
  </si>
  <si>
    <t>삼육 약</t>
    <phoneticPr fontId="2" type="noConversion"/>
  </si>
  <si>
    <t>상지 한자</t>
    <phoneticPr fontId="2" type="noConversion"/>
  </si>
  <si>
    <t>상지 한통</t>
    <phoneticPr fontId="2" type="noConversion"/>
  </si>
  <si>
    <t>세명 한</t>
    <phoneticPr fontId="2" type="noConversion"/>
  </si>
  <si>
    <t>숙명 약</t>
    <phoneticPr fontId="2" type="noConversion"/>
  </si>
  <si>
    <t>순천 약</t>
    <phoneticPr fontId="2" type="noConversion"/>
  </si>
  <si>
    <t>순천향 의</t>
    <phoneticPr fontId="2" type="noConversion"/>
  </si>
  <si>
    <t>서울대 자전</t>
    <phoneticPr fontId="2" type="noConversion"/>
  </si>
  <si>
    <t>성균 자연</t>
    <phoneticPr fontId="2" type="noConversion"/>
  </si>
  <si>
    <t>성균 통합</t>
    <phoneticPr fontId="2" type="noConversion"/>
  </si>
  <si>
    <t>아주 의</t>
    <phoneticPr fontId="2" type="noConversion"/>
  </si>
  <si>
    <t>아주 약</t>
    <phoneticPr fontId="2" type="noConversion"/>
  </si>
  <si>
    <t>연세미래 의</t>
    <phoneticPr fontId="2" type="noConversion"/>
  </si>
  <si>
    <t>연세대 의</t>
    <phoneticPr fontId="2" type="noConversion"/>
  </si>
  <si>
    <t>영남 의약</t>
    <phoneticPr fontId="2" type="noConversion"/>
  </si>
  <si>
    <t>우석 한</t>
    <phoneticPr fontId="2" type="noConversion"/>
  </si>
  <si>
    <t>우석 약</t>
    <phoneticPr fontId="2" type="noConversion"/>
  </si>
  <si>
    <t>울산 의</t>
    <phoneticPr fontId="2" type="noConversion"/>
  </si>
  <si>
    <t>원광 의치약한</t>
    <phoneticPr fontId="2" type="noConversion"/>
  </si>
  <si>
    <t>원광 통합 치한</t>
    <phoneticPr fontId="2" type="noConversion"/>
  </si>
  <si>
    <t>을지 의</t>
    <phoneticPr fontId="2" type="noConversion"/>
  </si>
  <si>
    <t>인제 의</t>
    <phoneticPr fontId="2" type="noConversion"/>
  </si>
  <si>
    <t>인제 약</t>
    <phoneticPr fontId="2" type="noConversion"/>
  </si>
  <si>
    <t>인제 약문</t>
    <phoneticPr fontId="2" type="noConversion"/>
  </si>
  <si>
    <t>인하 자연</t>
    <phoneticPr fontId="2" type="noConversion"/>
  </si>
  <si>
    <t>인하 통합</t>
    <phoneticPr fontId="2" type="noConversion"/>
  </si>
  <si>
    <t>인하 통합2</t>
    <phoneticPr fontId="2" type="noConversion"/>
  </si>
  <si>
    <t>전남 의치약수</t>
    <phoneticPr fontId="2" type="noConversion"/>
  </si>
  <si>
    <t>전북 의치약수</t>
    <phoneticPr fontId="2" type="noConversion"/>
  </si>
  <si>
    <t>제주 의약수</t>
    <phoneticPr fontId="2" type="noConversion"/>
  </si>
  <si>
    <t>조선 의치약</t>
    <phoneticPr fontId="2" type="noConversion"/>
  </si>
  <si>
    <t>차 약</t>
    <phoneticPr fontId="2" type="noConversion"/>
  </si>
  <si>
    <t>충남 의약수</t>
    <phoneticPr fontId="2" type="noConversion"/>
  </si>
  <si>
    <t>충북 의약수</t>
    <phoneticPr fontId="2" type="noConversion"/>
  </si>
  <si>
    <t>한림 의</t>
    <phoneticPr fontId="2" type="noConversion"/>
  </si>
  <si>
    <t>한양에리카 약</t>
    <phoneticPr fontId="2" type="noConversion"/>
  </si>
  <si>
    <t>합격확률 1%</t>
    <phoneticPr fontId="2" type="noConversion"/>
  </si>
  <si>
    <t>수</t>
    <phoneticPr fontId="2" type="noConversion"/>
  </si>
  <si>
    <t>자동이름</t>
    <phoneticPr fontId="2" type="noConversion"/>
  </si>
  <si>
    <t>자동 공식연번</t>
    <phoneticPr fontId="2" type="noConversion"/>
  </si>
  <si>
    <t>*함수기준</t>
    <phoneticPr fontId="2" type="noConversion"/>
  </si>
  <si>
    <t>물리II</t>
    <phoneticPr fontId="2" type="noConversion"/>
  </si>
  <si>
    <t>화학II</t>
    <phoneticPr fontId="2" type="noConversion"/>
  </si>
  <si>
    <t>지구과학II</t>
    <phoneticPr fontId="2" type="noConversion"/>
  </si>
  <si>
    <t>과</t>
    <phoneticPr fontId="2" type="noConversion"/>
  </si>
  <si>
    <t>사</t>
    <phoneticPr fontId="2" type="noConversion"/>
  </si>
  <si>
    <t>과탐2평균</t>
    <phoneticPr fontId="2" type="noConversion"/>
  </si>
  <si>
    <t>과탐II평균</t>
    <phoneticPr fontId="2" type="noConversion"/>
  </si>
  <si>
    <t>*난이도 변경시 조정가능(특히 기하 확통은 미적과 원점수 차만큼 백분위차 두기)</t>
    <phoneticPr fontId="2" type="noConversion"/>
  </si>
  <si>
    <t>*탐구 평균백분위 수치</t>
    <phoneticPr fontId="2" type="noConversion"/>
  </si>
  <si>
    <t>서식기준</t>
    <phoneticPr fontId="2" type="noConversion"/>
  </si>
  <si>
    <t>나</t>
    <phoneticPr fontId="2" type="noConversion"/>
  </si>
  <si>
    <t>물리</t>
  </si>
  <si>
    <t>건축</t>
  </si>
  <si>
    <t>지구</t>
  </si>
  <si>
    <t>통계</t>
  </si>
  <si>
    <t>화학</t>
  </si>
  <si>
    <t>천문</t>
  </si>
  <si>
    <t>수교</t>
  </si>
  <si>
    <t>의류(자연)</t>
  </si>
  <si>
    <t>간호(자연)</t>
  </si>
  <si>
    <t>경제</t>
  </si>
  <si>
    <t>경영</t>
  </si>
  <si>
    <t>정외</t>
  </si>
  <si>
    <t>사회</t>
  </si>
  <si>
    <t>사복</t>
  </si>
  <si>
    <t>심리</t>
  </si>
  <si>
    <t>언론</t>
  </si>
  <si>
    <t>국교</t>
  </si>
  <si>
    <t>영교</t>
  </si>
  <si>
    <t>지리교</t>
  </si>
  <si>
    <t>역교</t>
  </si>
  <si>
    <t>간호(통합)</t>
  </si>
  <si>
    <t>의류(통합)</t>
  </si>
  <si>
    <t>자연</t>
  </si>
  <si>
    <t>통합</t>
  </si>
  <si>
    <t>가</t>
  </si>
  <si>
    <t>연세대</t>
  </si>
  <si>
    <t>컴퓨터</t>
  </si>
  <si>
    <t>전기</t>
  </si>
  <si>
    <t>기계</t>
  </si>
  <si>
    <t>산업</t>
  </si>
  <si>
    <t>화생공</t>
  </si>
  <si>
    <t>학과 연번</t>
    <phoneticPr fontId="2" type="noConversion"/>
  </si>
  <si>
    <t>합격확률 추정</t>
    <phoneticPr fontId="2" type="noConversion"/>
  </si>
  <si>
    <t>반도체</t>
  </si>
  <si>
    <t>신소재</t>
  </si>
  <si>
    <t>글융공</t>
  </si>
  <si>
    <t>화공</t>
  </si>
  <si>
    <t>인공지능</t>
  </si>
  <si>
    <t>생화학</t>
  </si>
  <si>
    <t>건축공</t>
  </si>
  <si>
    <t>수학</t>
  </si>
  <si>
    <t>도시공</t>
  </si>
  <si>
    <t>사환시</t>
  </si>
  <si>
    <t>대기</t>
  </si>
  <si>
    <t>시생</t>
  </si>
  <si>
    <t>생명공</t>
  </si>
  <si>
    <t>아동가정</t>
  </si>
  <si>
    <t>영문</t>
  </si>
  <si>
    <t>생디</t>
  </si>
  <si>
    <t>행정</t>
  </si>
  <si>
    <t>교육</t>
  </si>
  <si>
    <t>국문</t>
  </si>
  <si>
    <t>식영(자연)</t>
  </si>
  <si>
    <t>식영(통합)</t>
  </si>
  <si>
    <t>문헌</t>
  </si>
  <si>
    <t>사학</t>
  </si>
  <si>
    <t>독문</t>
  </si>
  <si>
    <t>철학</t>
  </si>
  <si>
    <t>노문</t>
  </si>
  <si>
    <t>문인</t>
  </si>
  <si>
    <t>중문</t>
  </si>
  <si>
    <t>불문</t>
  </si>
  <si>
    <t>신학</t>
  </si>
  <si>
    <t>실건(통합)</t>
  </si>
  <si>
    <t>실건(자연)</t>
  </si>
  <si>
    <t>고려대</t>
  </si>
  <si>
    <t>사이버국방</t>
  </si>
  <si>
    <t>데이터</t>
  </si>
  <si>
    <t>스마트</t>
  </si>
  <si>
    <t>자유전공(자연)</t>
  </si>
  <si>
    <t>바의</t>
  </si>
  <si>
    <t>융합에</t>
  </si>
  <si>
    <t>건사환</t>
  </si>
  <si>
    <t>식품공</t>
  </si>
  <si>
    <t>바시의</t>
  </si>
  <si>
    <t>보건환</t>
  </si>
  <si>
    <t>생명</t>
  </si>
  <si>
    <t>생공</t>
  </si>
  <si>
    <t>환경생태</t>
  </si>
  <si>
    <t>컴퓨터(통합)</t>
  </si>
  <si>
    <t>자유전공(통합)</t>
  </si>
  <si>
    <t>식자경</t>
  </si>
  <si>
    <t>가교</t>
  </si>
  <si>
    <t>미디어</t>
  </si>
  <si>
    <t>보정</t>
  </si>
  <si>
    <t>일문</t>
  </si>
  <si>
    <t>서문</t>
  </si>
  <si>
    <t>국사</t>
  </si>
  <si>
    <t>한문</t>
  </si>
  <si>
    <t>언어</t>
  </si>
  <si>
    <t>성균관대</t>
  </si>
  <si>
    <t>인문</t>
  </si>
  <si>
    <t>글경제</t>
  </si>
  <si>
    <t>가</t>
    <phoneticPr fontId="2" type="noConversion"/>
  </si>
  <si>
    <t>나</t>
  </si>
  <si>
    <t>글리더</t>
  </si>
  <si>
    <t>글경영</t>
  </si>
  <si>
    <t>한문교</t>
  </si>
  <si>
    <t>영상</t>
  </si>
  <si>
    <t>의상</t>
  </si>
  <si>
    <t>자연과학</t>
  </si>
  <si>
    <t>전자전기</t>
  </si>
  <si>
    <t>공학</t>
  </si>
  <si>
    <t>소프트</t>
  </si>
  <si>
    <t>글바메</t>
  </si>
  <si>
    <t>컴교</t>
  </si>
  <si>
    <t>건환공</t>
  </si>
  <si>
    <t>한양대</t>
  </si>
  <si>
    <t>자원환</t>
  </si>
  <si>
    <t>융전</t>
  </si>
  <si>
    <t>바이오</t>
  </si>
  <si>
    <t>유기나노</t>
  </si>
  <si>
    <t>에너지</t>
  </si>
  <si>
    <t>원자력</t>
  </si>
  <si>
    <t>미래자동차</t>
  </si>
  <si>
    <t>관광</t>
  </si>
  <si>
    <t>생명과학</t>
  </si>
  <si>
    <t>정책</t>
  </si>
  <si>
    <t>경금융</t>
  </si>
  <si>
    <t>파경영</t>
  </si>
  <si>
    <t>교육공</t>
  </si>
  <si>
    <t>식영</t>
  </si>
  <si>
    <t>간호</t>
  </si>
  <si>
    <t>정보시스템</t>
  </si>
  <si>
    <t>국제학부</t>
  </si>
  <si>
    <t>영어교육</t>
  </si>
  <si>
    <t>다</t>
  </si>
  <si>
    <t>다</t>
    <phoneticPr fontId="2" type="noConversion"/>
  </si>
  <si>
    <t>경희대</t>
  </si>
  <si>
    <t>영어통번</t>
  </si>
  <si>
    <t>자율전공</t>
  </si>
  <si>
    <t>무역</t>
  </si>
  <si>
    <t>회계세무</t>
  </si>
  <si>
    <t>빅데이터</t>
  </si>
  <si>
    <t>주거환경</t>
  </si>
  <si>
    <t>생물</t>
  </si>
  <si>
    <t>지리(자연)</t>
  </si>
  <si>
    <t>지리(통합)</t>
  </si>
  <si>
    <t>건축(통합)</t>
  </si>
  <si>
    <t>정보디스</t>
  </si>
  <si>
    <t>정보전자신소재</t>
  </si>
  <si>
    <t>사회기반</t>
  </si>
  <si>
    <t>환경학</t>
  </si>
  <si>
    <t>건축(자연)</t>
  </si>
  <si>
    <t>생체의</t>
  </si>
  <si>
    <t>컴공</t>
  </si>
  <si>
    <t>응용수학</t>
  </si>
  <si>
    <t>응용물리</t>
  </si>
  <si>
    <t>응용화학</t>
  </si>
  <si>
    <t>우주과학</t>
  </si>
  <si>
    <t>유전생명</t>
  </si>
  <si>
    <t>식생공</t>
  </si>
  <si>
    <t>한방생명</t>
  </si>
  <si>
    <t>식물환경신소재</t>
  </si>
  <si>
    <t>스마트팜</t>
  </si>
  <si>
    <t>한약</t>
  </si>
  <si>
    <t>약과학</t>
  </si>
  <si>
    <t>간호(인문)</t>
  </si>
  <si>
    <t>경희대 국제</t>
  </si>
  <si>
    <t>프랑스어</t>
  </si>
  <si>
    <t>스페인어</t>
  </si>
  <si>
    <t>러시아어</t>
  </si>
  <si>
    <t>중국어</t>
  </si>
  <si>
    <t>일본어</t>
  </si>
  <si>
    <t>한국어</t>
  </si>
  <si>
    <t>글로벌커뮤니</t>
  </si>
  <si>
    <t>국제학과</t>
  </si>
  <si>
    <t>서울시립대</t>
  </si>
  <si>
    <t>국제관계</t>
  </si>
  <si>
    <t>사회복지</t>
  </si>
  <si>
    <t>세무</t>
  </si>
  <si>
    <t>도시행정</t>
  </si>
  <si>
    <t>도시사회</t>
  </si>
  <si>
    <t>전전컴</t>
  </si>
  <si>
    <t>토목</t>
  </si>
  <si>
    <t>환경원예</t>
  </si>
  <si>
    <t>융응화</t>
  </si>
  <si>
    <t>건축학</t>
  </si>
  <si>
    <t>교통공</t>
  </si>
  <si>
    <t>조경</t>
  </si>
  <si>
    <t>환경공</t>
  </si>
  <si>
    <t>공간정보</t>
  </si>
  <si>
    <t>자유전공</t>
  </si>
  <si>
    <t>EICC</t>
  </si>
  <si>
    <t>ELLT</t>
  </si>
  <si>
    <t>국제</t>
  </si>
  <si>
    <t>국제통상</t>
  </si>
  <si>
    <t>네덜란드어</t>
  </si>
  <si>
    <t>독어교육</t>
  </si>
  <si>
    <t>독일어</t>
  </si>
  <si>
    <t>말레이어</t>
  </si>
  <si>
    <t>몽골어</t>
  </si>
  <si>
    <t>베트남어</t>
  </si>
  <si>
    <t>불어교육</t>
  </si>
  <si>
    <t>스칸디어</t>
  </si>
  <si>
    <t>아랍어</t>
  </si>
  <si>
    <t>영미문화</t>
  </si>
  <si>
    <t>융합일본</t>
  </si>
  <si>
    <t>이탈리아어</t>
  </si>
  <si>
    <t>인도어</t>
  </si>
  <si>
    <t>정치외교</t>
  </si>
  <si>
    <t>중국어문</t>
  </si>
  <si>
    <t>중국외통</t>
  </si>
  <si>
    <t>태국어</t>
  </si>
  <si>
    <t>터키어</t>
  </si>
  <si>
    <t>페르시아어</t>
  </si>
  <si>
    <t>포르투갈어</t>
  </si>
  <si>
    <t>가나다</t>
    <phoneticPr fontId="2" type="noConversion"/>
  </si>
  <si>
    <t>숭실 자연2(상위)</t>
    <phoneticPr fontId="2" type="noConversion"/>
  </si>
  <si>
    <t>영어감점</t>
    <phoneticPr fontId="2" type="noConversion"/>
  </si>
  <si>
    <t>한국사/외국어</t>
    <phoneticPr fontId="2" type="noConversion"/>
  </si>
  <si>
    <t>영어감점 비율</t>
    <phoneticPr fontId="2" type="noConversion"/>
  </si>
  <si>
    <t>한국.외국</t>
    <phoneticPr fontId="2" type="noConversion"/>
  </si>
  <si>
    <t>감점</t>
    <phoneticPr fontId="2" type="noConversion"/>
  </si>
  <si>
    <t>학과ID</t>
    <phoneticPr fontId="2" type="noConversion"/>
  </si>
  <si>
    <t>군 연번</t>
    <phoneticPr fontId="2" type="noConversion"/>
  </si>
  <si>
    <t>가군</t>
    <phoneticPr fontId="2" type="noConversion"/>
  </si>
  <si>
    <t>나군</t>
    <phoneticPr fontId="2" type="noConversion"/>
  </si>
  <si>
    <t>다군</t>
    <phoneticPr fontId="2" type="noConversion"/>
  </si>
  <si>
    <t>가나다군</t>
    <phoneticPr fontId="2" type="noConversion"/>
  </si>
  <si>
    <t>공식 연번</t>
    <phoneticPr fontId="2" type="noConversion"/>
  </si>
  <si>
    <t>공식 이름</t>
    <phoneticPr fontId="2" type="noConversion"/>
  </si>
  <si>
    <t>판정 기준점수</t>
    <phoneticPr fontId="2" type="noConversion"/>
  </si>
  <si>
    <t>감점 상세</t>
    <phoneticPr fontId="2" type="noConversion"/>
  </si>
  <si>
    <t>나의 점수</t>
    <phoneticPr fontId="2" type="noConversion"/>
  </si>
  <si>
    <t>★과탐 원점컷은 배치점수 계산할때는 배치표상 탐구(인원가중된값)점수와 일치하게 I과목 ii과목 각각 구함(예 탐1평균 45면 탐1 전부 45되게 )</t>
    <phoneticPr fontId="2" type="noConversion"/>
  </si>
  <si>
    <t>응시인원</t>
    <phoneticPr fontId="2" type="noConversion"/>
  </si>
  <si>
    <t>탐구</t>
    <phoneticPr fontId="2" type="noConversion"/>
  </si>
  <si>
    <t>코드</t>
    <phoneticPr fontId="2" type="noConversion"/>
  </si>
  <si>
    <t>*원점수 기준 배치점수 계산할때만 사용되는 데이터임</t>
    <phoneticPr fontId="2" type="noConversion"/>
  </si>
  <si>
    <t>문자용 1~8</t>
    <phoneticPr fontId="2" type="noConversion"/>
  </si>
  <si>
    <t>*확통 만점 백분 정확히 입력해야함</t>
    <phoneticPr fontId="2" type="noConversion"/>
  </si>
  <si>
    <t>원점수/표준점수 스위치 (원점=9, 표점=1)</t>
    <phoneticPr fontId="2" type="noConversion"/>
  </si>
  <si>
    <t>주요대학</t>
    <phoneticPr fontId="2" type="noConversion"/>
  </si>
  <si>
    <t>과탐 최고점</t>
    <phoneticPr fontId="2" type="noConversion"/>
  </si>
  <si>
    <t>사탐 최고점</t>
    <phoneticPr fontId="2" type="noConversion"/>
  </si>
  <si>
    <t>탐구1 점수</t>
    <phoneticPr fontId="2" type="noConversion"/>
  </si>
  <si>
    <t>탐구2 점수</t>
    <phoneticPr fontId="2" type="noConversion"/>
  </si>
  <si>
    <t>과1 백분</t>
    <phoneticPr fontId="2" type="noConversion"/>
  </si>
  <si>
    <t>과2 백분</t>
    <phoneticPr fontId="2" type="noConversion"/>
  </si>
  <si>
    <t>사1 백분</t>
    <phoneticPr fontId="2" type="noConversion"/>
  </si>
  <si>
    <t>사2 백분</t>
    <phoneticPr fontId="2" type="noConversion"/>
  </si>
  <si>
    <t>과1 점수</t>
    <phoneticPr fontId="2" type="noConversion"/>
  </si>
  <si>
    <t>과2 점수</t>
    <phoneticPr fontId="2" type="noConversion"/>
  </si>
  <si>
    <t>사1 점수</t>
    <phoneticPr fontId="2" type="noConversion"/>
  </si>
  <si>
    <t>사2 점수</t>
    <phoneticPr fontId="2" type="noConversion"/>
  </si>
  <si>
    <t>변표테이블 column</t>
    <phoneticPr fontId="2" type="noConversion"/>
  </si>
  <si>
    <t>변표 테이블</t>
    <phoneticPr fontId="2" type="noConversion"/>
  </si>
  <si>
    <t>1과</t>
    <phoneticPr fontId="2" type="noConversion"/>
  </si>
  <si>
    <t>1사</t>
    <phoneticPr fontId="2" type="noConversion"/>
  </si>
  <si>
    <t>2과</t>
  </si>
  <si>
    <t>2사</t>
  </si>
  <si>
    <t>3과</t>
  </si>
  <si>
    <t>3사</t>
  </si>
  <si>
    <t>4과</t>
  </si>
  <si>
    <t>4사</t>
  </si>
  <si>
    <t>5과</t>
  </si>
  <si>
    <t>5사</t>
  </si>
  <si>
    <t>6과</t>
  </si>
  <si>
    <t>6사</t>
  </si>
  <si>
    <t>7과</t>
  </si>
  <si>
    <t>7사</t>
  </si>
  <si>
    <t>8과</t>
  </si>
  <si>
    <t>8사</t>
  </si>
  <si>
    <t>9과</t>
  </si>
  <si>
    <t>9사</t>
  </si>
  <si>
    <t>10과</t>
  </si>
  <si>
    <t>10사</t>
  </si>
  <si>
    <t>11과</t>
  </si>
  <si>
    <t>11사</t>
  </si>
  <si>
    <t>12과</t>
  </si>
  <si>
    <t>12사</t>
  </si>
  <si>
    <t>13과</t>
  </si>
  <si>
    <t>13사</t>
  </si>
  <si>
    <t>14과</t>
  </si>
  <si>
    <t>14사</t>
  </si>
  <si>
    <t>15과</t>
  </si>
  <si>
    <t>15사</t>
  </si>
  <si>
    <t>16과</t>
  </si>
  <si>
    <t>16사</t>
  </si>
  <si>
    <t>17과</t>
  </si>
  <si>
    <t>17사</t>
  </si>
  <si>
    <t>18과</t>
  </si>
  <si>
    <t>18사</t>
  </si>
  <si>
    <t>19과</t>
  </si>
  <si>
    <t>19사</t>
  </si>
  <si>
    <t>20과</t>
  </si>
  <si>
    <t>20사</t>
  </si>
  <si>
    <t>21과</t>
  </si>
  <si>
    <t>21사</t>
  </si>
  <si>
    <t>22과</t>
  </si>
  <si>
    <t>22사</t>
  </si>
  <si>
    <t>23과</t>
  </si>
  <si>
    <t>23사</t>
  </si>
  <si>
    <t>24과</t>
  </si>
  <si>
    <t>24사</t>
  </si>
  <si>
    <t>25과</t>
  </si>
  <si>
    <t>25사</t>
  </si>
  <si>
    <t>26과</t>
  </si>
  <si>
    <t>26사</t>
  </si>
  <si>
    <t>27과</t>
  </si>
  <si>
    <t>27사</t>
  </si>
  <si>
    <t>28과</t>
  </si>
  <si>
    <t>28사</t>
  </si>
  <si>
    <t>29과</t>
  </si>
  <si>
    <t>29사</t>
  </si>
  <si>
    <t>30과</t>
  </si>
  <si>
    <t>30사</t>
  </si>
  <si>
    <t>31과</t>
  </si>
  <si>
    <t>31사</t>
  </si>
  <si>
    <t>32과</t>
  </si>
  <si>
    <t>32사</t>
  </si>
  <si>
    <t>33과</t>
  </si>
  <si>
    <t>33사</t>
  </si>
  <si>
    <t>34과</t>
  </si>
  <si>
    <t>34사</t>
  </si>
  <si>
    <t>35과</t>
  </si>
  <si>
    <t>35사</t>
  </si>
  <si>
    <t>36과</t>
  </si>
  <si>
    <t>36사</t>
  </si>
  <si>
    <t>37과</t>
  </si>
  <si>
    <t>37사</t>
  </si>
  <si>
    <t>38과</t>
  </si>
  <si>
    <t>38사</t>
  </si>
  <si>
    <t>39과</t>
  </si>
  <si>
    <t>39사</t>
  </si>
  <si>
    <t>40과</t>
  </si>
  <si>
    <t>40사</t>
  </si>
  <si>
    <t>41과</t>
  </si>
  <si>
    <t>41사</t>
  </si>
  <si>
    <t>42과</t>
  </si>
  <si>
    <t>42사</t>
  </si>
  <si>
    <t>43과</t>
  </si>
  <si>
    <t>43사</t>
  </si>
  <si>
    <t>44과</t>
  </si>
  <si>
    <t>44사</t>
  </si>
  <si>
    <t>45과</t>
  </si>
  <si>
    <t>45사</t>
  </si>
  <si>
    <t>46과</t>
  </si>
  <si>
    <t>46사</t>
  </si>
  <si>
    <t>47과</t>
  </si>
  <si>
    <t>47사</t>
  </si>
  <si>
    <t>48과</t>
  </si>
  <si>
    <t>48사</t>
  </si>
  <si>
    <t>49과</t>
  </si>
  <si>
    <t>49사</t>
  </si>
  <si>
    <t>50과</t>
  </si>
  <si>
    <t>50사</t>
  </si>
  <si>
    <t>51과</t>
  </si>
  <si>
    <t>51사</t>
  </si>
  <si>
    <t>52과</t>
  </si>
  <si>
    <t>52사</t>
  </si>
  <si>
    <t>53과</t>
  </si>
  <si>
    <t>53사</t>
  </si>
  <si>
    <t>54과</t>
  </si>
  <si>
    <t>54사</t>
  </si>
  <si>
    <t>55과</t>
  </si>
  <si>
    <t>55사</t>
  </si>
  <si>
    <t>56과</t>
  </si>
  <si>
    <t>56사</t>
  </si>
  <si>
    <t>57과</t>
  </si>
  <si>
    <t>57사</t>
  </si>
  <si>
    <t>58과</t>
  </si>
  <si>
    <t>58사</t>
  </si>
  <si>
    <t>59과</t>
  </si>
  <si>
    <t>59사</t>
  </si>
  <si>
    <t>60과</t>
  </si>
  <si>
    <t>60사</t>
  </si>
  <si>
    <t>61과</t>
  </si>
  <si>
    <t>61사</t>
  </si>
  <si>
    <t>62과</t>
  </si>
  <si>
    <t>62사</t>
  </si>
  <si>
    <t>63과</t>
  </si>
  <si>
    <t>63사</t>
  </si>
  <si>
    <t>64과</t>
  </si>
  <si>
    <t>64사</t>
  </si>
  <si>
    <t>65과</t>
  </si>
  <si>
    <t>65사</t>
  </si>
  <si>
    <t>66과</t>
  </si>
  <si>
    <t>66사</t>
  </si>
  <si>
    <t>67과</t>
  </si>
  <si>
    <t>67사</t>
  </si>
  <si>
    <t>68과</t>
  </si>
  <si>
    <t>68사</t>
  </si>
  <si>
    <t>69과</t>
  </si>
  <si>
    <t>69사</t>
  </si>
  <si>
    <t>70과</t>
  </si>
  <si>
    <t>70사</t>
  </si>
  <si>
    <t>71과</t>
  </si>
  <si>
    <t>71사</t>
  </si>
  <si>
    <t>72과</t>
  </si>
  <si>
    <t>72사</t>
  </si>
  <si>
    <t>73과</t>
  </si>
  <si>
    <t>73사</t>
  </si>
  <si>
    <t>74과</t>
  </si>
  <si>
    <t>74사</t>
  </si>
  <si>
    <t>75과</t>
  </si>
  <si>
    <t>75사</t>
  </si>
  <si>
    <t>76과</t>
  </si>
  <si>
    <t>76사</t>
  </si>
  <si>
    <t>77과</t>
  </si>
  <si>
    <t>77사</t>
  </si>
  <si>
    <t>78과</t>
  </si>
  <si>
    <t>78사</t>
  </si>
  <si>
    <t>79과</t>
  </si>
  <si>
    <t>79사</t>
  </si>
  <si>
    <t>80과</t>
  </si>
  <si>
    <t>80사</t>
  </si>
  <si>
    <t>*1과 1사는 디폴트임</t>
    <phoneticPr fontId="2" type="noConversion"/>
  </si>
  <si>
    <t>변표테이블 row</t>
    <phoneticPr fontId="2" type="noConversion"/>
  </si>
  <si>
    <t>변표 출력</t>
    <phoneticPr fontId="2" type="noConversion"/>
  </si>
  <si>
    <t>.</t>
    <phoneticPr fontId="2" type="noConversion"/>
  </si>
  <si>
    <t>한양 상경</t>
    <phoneticPr fontId="2" type="noConversion"/>
  </si>
  <si>
    <t>디폴트</t>
    <phoneticPr fontId="2" type="noConversion"/>
  </si>
  <si>
    <t>과탐 전체최고표점</t>
    <phoneticPr fontId="2" type="noConversion"/>
  </si>
  <si>
    <t>1.대가의 대가약</t>
    <phoneticPr fontId="2" type="noConversion"/>
  </si>
  <si>
    <t>탐구 전체 최고표점</t>
    <phoneticPr fontId="2" type="noConversion"/>
  </si>
  <si>
    <t>국/영 선택</t>
    <phoneticPr fontId="2" type="noConversion"/>
  </si>
  <si>
    <t>국/탐선택</t>
    <phoneticPr fontId="2" type="noConversion"/>
  </si>
  <si>
    <t>군 입력</t>
    <phoneticPr fontId="2" type="noConversion"/>
  </si>
  <si>
    <t>실질 반영비</t>
    <phoneticPr fontId="2" type="noConversion"/>
  </si>
  <si>
    <t>탐</t>
    <phoneticPr fontId="2" type="noConversion"/>
  </si>
  <si>
    <t>원점 입력시</t>
    <phoneticPr fontId="2" type="noConversion"/>
  </si>
  <si>
    <t>*변표테이블 코드1 종속</t>
    <phoneticPr fontId="2" type="noConversion"/>
  </si>
  <si>
    <t>생명과학Ⅰ</t>
    <phoneticPr fontId="2" type="noConversion"/>
  </si>
  <si>
    <t>생명과학II</t>
    <phoneticPr fontId="2" type="noConversion"/>
  </si>
  <si>
    <t>오류 개수</t>
    <phoneticPr fontId="2" type="noConversion"/>
  </si>
  <si>
    <t>가천대</t>
  </si>
  <si>
    <t>환산공식</t>
    <phoneticPr fontId="2" type="noConversion"/>
  </si>
  <si>
    <t>서울대</t>
  </si>
  <si>
    <t>연번</t>
    <phoneticPr fontId="2" type="noConversion"/>
  </si>
  <si>
    <t>연번오류</t>
    <phoneticPr fontId="2" type="noConversion"/>
  </si>
  <si>
    <t>강원대</t>
  </si>
  <si>
    <t>약학</t>
  </si>
  <si>
    <t>한의예(인문)</t>
  </si>
  <si>
    <t>대구한의대</t>
  </si>
  <si>
    <t>동의대</t>
  </si>
  <si>
    <t>한의예(통합)</t>
  </si>
  <si>
    <t>원광대</t>
  </si>
  <si>
    <t>대전대</t>
  </si>
  <si>
    <t>상지대</t>
  </si>
  <si>
    <t>동국(경주)</t>
  </si>
  <si>
    <t>경희</t>
  </si>
  <si>
    <t>한의예</t>
  </si>
  <si>
    <t>우석대</t>
  </si>
  <si>
    <t>동신대</t>
  </si>
  <si>
    <t>세명대</t>
  </si>
  <si>
    <t>부산대</t>
  </si>
  <si>
    <t>수의예</t>
  </si>
  <si>
    <t>전북대</t>
  </si>
  <si>
    <t>전남대</t>
  </si>
  <si>
    <t>제주대</t>
  </si>
  <si>
    <t>경상대</t>
  </si>
  <si>
    <t>충북대</t>
  </si>
  <si>
    <t>경북대</t>
  </si>
  <si>
    <t>충남대</t>
  </si>
  <si>
    <t>건국대</t>
  </si>
  <si>
    <t>순천대</t>
  </si>
  <si>
    <t>계명대</t>
  </si>
  <si>
    <t>삼육대</t>
  </si>
  <si>
    <t>아주대</t>
  </si>
  <si>
    <t>대구가톨릭대</t>
  </si>
  <si>
    <t>우석</t>
  </si>
  <si>
    <t>영남대</t>
  </si>
  <si>
    <t>약학(미래산업약학)</t>
  </si>
  <si>
    <t>이화여대</t>
  </si>
  <si>
    <t>동덕여대</t>
  </si>
  <si>
    <t>고려(세종)</t>
  </si>
  <si>
    <t>차의과대</t>
  </si>
  <si>
    <t>한양(에리카)</t>
  </si>
  <si>
    <t>목포대</t>
  </si>
  <si>
    <t>항공</t>
  </si>
  <si>
    <t>재료</t>
  </si>
  <si>
    <t>건설환</t>
  </si>
  <si>
    <t>수리</t>
  </si>
  <si>
    <t>원자핵</t>
  </si>
  <si>
    <t>조선</t>
  </si>
  <si>
    <t>식동생</t>
  </si>
  <si>
    <t>바시소</t>
  </si>
  <si>
    <t>물교</t>
  </si>
  <si>
    <t>생명과</t>
  </si>
  <si>
    <t>산림</t>
  </si>
  <si>
    <t>화교</t>
  </si>
  <si>
    <t>응생화</t>
  </si>
  <si>
    <t>식물생</t>
  </si>
  <si>
    <t>식품영양</t>
  </si>
  <si>
    <t>생교</t>
  </si>
  <si>
    <t>지교</t>
  </si>
  <si>
    <t>농경제</t>
  </si>
  <si>
    <t>사교</t>
  </si>
  <si>
    <t>지리</t>
  </si>
  <si>
    <t>아가</t>
  </si>
  <si>
    <t>소비자</t>
  </si>
  <si>
    <t>윤교</t>
  </si>
  <si>
    <t>컴퓨터(자연)</t>
  </si>
  <si>
    <t>중앙대</t>
  </si>
  <si>
    <t>사회과학</t>
  </si>
  <si>
    <t>공공인재</t>
  </si>
  <si>
    <t>창의ICT</t>
  </si>
  <si>
    <t>소프트웨어</t>
  </si>
  <si>
    <t>AI학과</t>
  </si>
  <si>
    <t>공과대학</t>
  </si>
  <si>
    <t>화학신소재</t>
  </si>
  <si>
    <t>경영경제대학</t>
  </si>
  <si>
    <t>경영학부</t>
  </si>
  <si>
    <t>호스피탈리티</t>
  </si>
  <si>
    <t>자연계열</t>
  </si>
  <si>
    <t>인문계열</t>
  </si>
  <si>
    <t>사범대학(자연)</t>
  </si>
  <si>
    <t>사범대학(인문)</t>
  </si>
  <si>
    <t>간호학부</t>
  </si>
  <si>
    <t>초등교육</t>
  </si>
  <si>
    <t>한국외대</t>
  </si>
  <si>
    <t>LD</t>
  </si>
  <si>
    <t>LT</t>
  </si>
  <si>
    <t>미디어커뮤</t>
  </si>
  <si>
    <t>일본어문</t>
  </si>
  <si>
    <t>중국어교</t>
  </si>
  <si>
    <t>한국어교</t>
  </si>
  <si>
    <t>ICT융합공</t>
  </si>
  <si>
    <t>운행체공</t>
  </si>
  <si>
    <t>시스템생명</t>
  </si>
  <si>
    <t>화장품</t>
  </si>
  <si>
    <t>융합생명공</t>
  </si>
  <si>
    <t>산업공학</t>
  </si>
  <si>
    <t>컴퓨터공</t>
  </si>
  <si>
    <t>전기전자</t>
  </si>
  <si>
    <t>기계항공</t>
  </si>
  <si>
    <t>생물공학</t>
  </si>
  <si>
    <t>동물자원</t>
  </si>
  <si>
    <t>축산식품공</t>
  </si>
  <si>
    <t>사회환경공</t>
  </si>
  <si>
    <t>미래에너지공</t>
  </si>
  <si>
    <t>환경보건과학</t>
  </si>
  <si>
    <t>생명과학특성학</t>
  </si>
  <si>
    <t>의생명공</t>
  </si>
  <si>
    <t>산림조경학</t>
  </si>
  <si>
    <t>수학교육</t>
  </si>
  <si>
    <t>식량자원</t>
  </si>
  <si>
    <t>식품유통공</t>
  </si>
  <si>
    <t>부동산</t>
  </si>
  <si>
    <t>행정학</t>
  </si>
  <si>
    <t>국제무역</t>
  </si>
  <si>
    <t>기술경영</t>
  </si>
  <si>
    <t>융합인재</t>
  </si>
  <si>
    <t>글로벌비즈</t>
  </si>
  <si>
    <t>문화콘텐츠</t>
  </si>
  <si>
    <t>응용통계</t>
  </si>
  <si>
    <t>일어교육</t>
  </si>
  <si>
    <t>동국대</t>
  </si>
  <si>
    <t>정보통신공</t>
  </si>
  <si>
    <t>융합에너지신소재</t>
  </si>
  <si>
    <t>전자전기공</t>
  </si>
  <si>
    <t>멀티미디어</t>
  </si>
  <si>
    <t>물리반도체</t>
  </si>
  <si>
    <t>수학교</t>
  </si>
  <si>
    <t>건축공학</t>
  </si>
  <si>
    <t>가정교</t>
  </si>
  <si>
    <t>기계로봇</t>
  </si>
  <si>
    <t>경찰행정</t>
  </si>
  <si>
    <t>회계</t>
  </si>
  <si>
    <t>광고홍보</t>
  </si>
  <si>
    <t>법학</t>
  </si>
  <si>
    <t>식품산업</t>
  </si>
  <si>
    <t>중어중문</t>
  </si>
  <si>
    <t>일본학</t>
  </si>
  <si>
    <t>영어영문</t>
  </si>
  <si>
    <t>국어교</t>
  </si>
  <si>
    <t>역사교</t>
  </si>
  <si>
    <t>경영정보</t>
  </si>
  <si>
    <t>AI융합(인문)</t>
  </si>
  <si>
    <t>영화영상</t>
  </si>
  <si>
    <t>북한</t>
  </si>
  <si>
    <t>국문문예</t>
  </si>
  <si>
    <t>바이오환경과학</t>
  </si>
  <si>
    <t>AI융합(자연)</t>
  </si>
  <si>
    <t>홍익대</t>
  </si>
  <si>
    <t>자율전공(자연)</t>
  </si>
  <si>
    <t>자율전공(인문)</t>
  </si>
  <si>
    <t>공대 지원가능점수</t>
  </si>
  <si>
    <t>인문 지원가능점수</t>
  </si>
  <si>
    <t>가나다</t>
  </si>
  <si>
    <t>숭실대</t>
  </si>
  <si>
    <t>공대(상위권)</t>
  </si>
  <si>
    <t>공대(중위권)</t>
  </si>
  <si>
    <t>공대(하위권)</t>
  </si>
  <si>
    <t>상경(상위권)</t>
  </si>
  <si>
    <t>인문(중위권)</t>
  </si>
  <si>
    <t>인문(하위권)</t>
  </si>
  <si>
    <t>국민대</t>
  </si>
  <si>
    <t>인문(상위권)</t>
  </si>
  <si>
    <t>인하대</t>
  </si>
  <si>
    <t>가톨릭대</t>
  </si>
  <si>
    <t>의예</t>
  </si>
  <si>
    <t>울산대</t>
  </si>
  <si>
    <t>인제대</t>
  </si>
  <si>
    <t>동아대</t>
  </si>
  <si>
    <t>건양대</t>
  </si>
  <si>
    <t>조선대</t>
  </si>
  <si>
    <t>한림대</t>
  </si>
  <si>
    <t>을지대</t>
  </si>
  <si>
    <t>의예(인문)</t>
  </si>
  <si>
    <t>연세(미래)</t>
  </si>
  <si>
    <t>건국(충주)</t>
  </si>
  <si>
    <t>관동대</t>
  </si>
  <si>
    <t>순천향대</t>
  </si>
  <si>
    <t>단국(천안)</t>
  </si>
  <si>
    <t>고신대</t>
  </si>
  <si>
    <t>치의예</t>
  </si>
  <si>
    <t>치의예(통합)</t>
  </si>
  <si>
    <t>강릉대</t>
  </si>
  <si>
    <t>숙명여대</t>
  </si>
  <si>
    <t>덕성여대</t>
  </si>
  <si>
    <t>약학(인문)</t>
  </si>
  <si>
    <t>경성대</t>
  </si>
  <si>
    <t>산출점수</t>
    <phoneticPr fontId="2" type="noConversion"/>
  </si>
  <si>
    <t>&lt;-배포용 삭제</t>
    <phoneticPr fontId="2" type="noConversion"/>
  </si>
  <si>
    <t>*값 붙여넣기(from 점수변환테이블)</t>
    <phoneticPr fontId="2" type="noConversion"/>
  </si>
  <si>
    <t>한국외대 서울</t>
    <phoneticPr fontId="2" type="noConversion"/>
  </si>
  <si>
    <t>한국외대 글로 통합</t>
    <phoneticPr fontId="2" type="noConversion"/>
  </si>
  <si>
    <t>한국외대 글로 자연</t>
    <phoneticPr fontId="2" type="noConversion"/>
  </si>
  <si>
    <t>서울시립 통합</t>
    <phoneticPr fontId="2" type="noConversion"/>
  </si>
  <si>
    <t>서울시립 자연</t>
    <phoneticPr fontId="2" type="noConversion"/>
  </si>
  <si>
    <t>서울시립 건축학도공조경</t>
    <phoneticPr fontId="2" type="noConversion"/>
  </si>
  <si>
    <t>서울시립 경영경제세무</t>
    <phoneticPr fontId="2" type="noConversion"/>
  </si>
  <si>
    <t>(첫글자</t>
    <phoneticPr fontId="2" type="noConversion"/>
  </si>
  <si>
    <t>*값 붙여넣기(원본-&gt;배포용)</t>
    <phoneticPr fontId="2" type="noConversion"/>
  </si>
  <si>
    <t>전기생체</t>
  </si>
  <si>
    <t>*from '도수분포 파일'에서 응시인원 붙여넣기(과목순서 유의)</t>
    <phoneticPr fontId="2" type="noConversion"/>
  </si>
  <si>
    <t>표점합</t>
    <phoneticPr fontId="2" type="noConversion"/>
  </si>
  <si>
    <t>국</t>
    <phoneticPr fontId="2" type="noConversion"/>
  </si>
  <si>
    <t>수</t>
    <phoneticPr fontId="2" type="noConversion"/>
  </si>
  <si>
    <t>탐</t>
    <phoneticPr fontId="2" type="noConversion"/>
  </si>
  <si>
    <t>확실</t>
    <phoneticPr fontId="2" type="noConversion"/>
  </si>
  <si>
    <t>안정</t>
    <phoneticPr fontId="2" type="noConversion"/>
  </si>
  <si>
    <t>예상</t>
    <phoneticPr fontId="2" type="noConversion"/>
  </si>
  <si>
    <t>도전</t>
    <phoneticPr fontId="2" type="noConversion"/>
  </si>
  <si>
    <r>
      <t xml:space="preserve">                      환산점수 계산기(가군)              </t>
    </r>
    <r>
      <rPr>
        <sz val="12"/>
        <color theme="1"/>
        <rFont val="맑은 고딕"/>
        <family val="3"/>
        <charset val="129"/>
        <scheme val="minor"/>
      </rPr>
      <t>orbi 베텔기우스</t>
    </r>
    <r>
      <rPr>
        <sz val="18"/>
        <color theme="1"/>
        <rFont val="맑은 고딕"/>
        <family val="2"/>
        <charset val="129"/>
        <scheme val="minor"/>
      </rPr>
      <t>.</t>
    </r>
    <phoneticPr fontId="2" type="noConversion"/>
  </si>
  <si>
    <t>*반영비1</t>
    <phoneticPr fontId="2" type="noConversion"/>
  </si>
  <si>
    <t>반영비2</t>
    <phoneticPr fontId="2" type="noConversion"/>
  </si>
  <si>
    <t>국수</t>
    <phoneticPr fontId="2" type="noConversion"/>
  </si>
  <si>
    <t>반영 방법</t>
    <phoneticPr fontId="2" type="noConversion"/>
  </si>
  <si>
    <t>국어 수학</t>
    <phoneticPr fontId="2" type="noConversion"/>
  </si>
  <si>
    <r>
      <t xml:space="preserve">                      환산점수 계산기(나군)              </t>
    </r>
    <r>
      <rPr>
        <sz val="12"/>
        <color theme="1"/>
        <rFont val="맑은 고딕"/>
        <family val="3"/>
        <charset val="129"/>
        <scheme val="minor"/>
      </rPr>
      <t>orbi 베텔기우스</t>
    </r>
    <r>
      <rPr>
        <sz val="18"/>
        <color theme="1"/>
        <rFont val="맑은 고딕"/>
        <family val="2"/>
        <charset val="129"/>
        <scheme val="minor"/>
      </rPr>
      <t>.</t>
    </r>
    <phoneticPr fontId="2" type="noConversion"/>
  </si>
  <si>
    <r>
      <t xml:space="preserve">                      환산점수 계산기(다군)              </t>
    </r>
    <r>
      <rPr>
        <sz val="12"/>
        <color theme="1"/>
        <rFont val="맑은 고딕"/>
        <family val="3"/>
        <charset val="129"/>
        <scheme val="minor"/>
      </rPr>
      <t>orbi 베텔기우스</t>
    </r>
    <r>
      <rPr>
        <sz val="18"/>
        <color theme="1"/>
        <rFont val="맑은 고딕"/>
        <family val="2"/>
        <charset val="129"/>
        <scheme val="minor"/>
      </rPr>
      <t>.</t>
    </r>
    <phoneticPr fontId="2" type="noConversion"/>
  </si>
  <si>
    <t>가1</t>
  </si>
  <si>
    <t>가2</t>
  </si>
  <si>
    <t>가3</t>
  </si>
  <si>
    <t>가4</t>
  </si>
  <si>
    <t>가5</t>
  </si>
  <si>
    <t>가6</t>
  </si>
  <si>
    <t>가7</t>
  </si>
  <si>
    <t>가8</t>
  </si>
  <si>
    <t>가9</t>
  </si>
  <si>
    <t>가10</t>
  </si>
  <si>
    <t>가11</t>
  </si>
  <si>
    <t>가12</t>
  </si>
  <si>
    <t>가13</t>
  </si>
  <si>
    <t>가14</t>
  </si>
  <si>
    <t>가15</t>
  </si>
  <si>
    <t>가16</t>
  </si>
  <si>
    <t>가17</t>
  </si>
  <si>
    <t>가18</t>
  </si>
  <si>
    <t>가19</t>
  </si>
  <si>
    <t>가20</t>
  </si>
  <si>
    <t>가21</t>
  </si>
  <si>
    <t>가22</t>
  </si>
  <si>
    <t>가23</t>
  </si>
  <si>
    <t>가24</t>
  </si>
  <si>
    <t>가25</t>
  </si>
  <si>
    <t>가26</t>
  </si>
  <si>
    <t>가27</t>
  </si>
  <si>
    <t>가28</t>
  </si>
  <si>
    <t>가29</t>
  </si>
  <si>
    <t>가30</t>
  </si>
  <si>
    <t>가31</t>
  </si>
  <si>
    <t>가32</t>
  </si>
  <si>
    <t>가33</t>
  </si>
  <si>
    <t>가34</t>
  </si>
  <si>
    <t>가35</t>
  </si>
  <si>
    <t>가36</t>
  </si>
  <si>
    <t>가37</t>
  </si>
  <si>
    <t>가38</t>
  </si>
  <si>
    <t>가39</t>
  </si>
  <si>
    <t>가40</t>
  </si>
  <si>
    <t>가41</t>
  </si>
  <si>
    <t>가42</t>
  </si>
  <si>
    <t>가43</t>
  </si>
  <si>
    <t>가44</t>
  </si>
  <si>
    <t>가45</t>
  </si>
  <si>
    <t>가46</t>
  </si>
  <si>
    <t>가47</t>
  </si>
  <si>
    <t>가48</t>
  </si>
  <si>
    <t>가49</t>
  </si>
  <si>
    <t>가50</t>
  </si>
  <si>
    <t>가51</t>
  </si>
  <si>
    <t>가52</t>
  </si>
  <si>
    <t>가53</t>
  </si>
  <si>
    <t>가54</t>
  </si>
  <si>
    <t>가55</t>
  </si>
  <si>
    <t>가56</t>
  </si>
  <si>
    <t>가57</t>
  </si>
  <si>
    <t>가58</t>
  </si>
  <si>
    <t>가59</t>
  </si>
  <si>
    <t>가60</t>
  </si>
  <si>
    <t>가61</t>
  </si>
  <si>
    <t>가62</t>
  </si>
  <si>
    <t>가63</t>
  </si>
  <si>
    <t>가64</t>
  </si>
  <si>
    <t>가65</t>
  </si>
  <si>
    <t>가66</t>
  </si>
  <si>
    <t>가67</t>
  </si>
  <si>
    <t>가68</t>
  </si>
  <si>
    <t>가69</t>
  </si>
  <si>
    <t>가70</t>
  </si>
  <si>
    <t>가71</t>
  </si>
  <si>
    <t>가72</t>
  </si>
  <si>
    <t>가73</t>
  </si>
  <si>
    <t>가74</t>
  </si>
  <si>
    <t>가75</t>
  </si>
  <si>
    <t>가76</t>
  </si>
  <si>
    <t>가77</t>
  </si>
  <si>
    <t>가78</t>
  </si>
  <si>
    <t>가79</t>
  </si>
  <si>
    <t>가80</t>
  </si>
  <si>
    <t>가81</t>
  </si>
  <si>
    <t>가82</t>
  </si>
  <si>
    <t>가83</t>
  </si>
  <si>
    <t>가84</t>
  </si>
  <si>
    <t>가85</t>
  </si>
  <si>
    <t>가86</t>
  </si>
  <si>
    <t>가87</t>
  </si>
  <si>
    <t>가88</t>
  </si>
  <si>
    <t>가89</t>
  </si>
  <si>
    <t>가90</t>
  </si>
  <si>
    <t>가91</t>
  </si>
  <si>
    <t>가92</t>
  </si>
  <si>
    <t>가93</t>
  </si>
  <si>
    <t>가94</t>
  </si>
  <si>
    <t>가95</t>
  </si>
  <si>
    <t>가96</t>
  </si>
  <si>
    <t>가97</t>
  </si>
  <si>
    <t>가98</t>
  </si>
  <si>
    <t>가99</t>
  </si>
  <si>
    <t>가100</t>
  </si>
  <si>
    <t>가101</t>
  </si>
  <si>
    <t>가102</t>
  </si>
  <si>
    <t>가103</t>
  </si>
  <si>
    <t>가104</t>
  </si>
  <si>
    <t>가105</t>
  </si>
  <si>
    <t>가106</t>
  </si>
  <si>
    <t>가107</t>
  </si>
  <si>
    <t>가108</t>
  </si>
  <si>
    <t>가109</t>
  </si>
  <si>
    <t>가110</t>
  </si>
  <si>
    <t>가111</t>
  </si>
  <si>
    <t>가112</t>
  </si>
  <si>
    <t>성균 통합</t>
  </si>
  <si>
    <t>가113</t>
  </si>
  <si>
    <t>가114</t>
  </si>
  <si>
    <t>가115</t>
  </si>
  <si>
    <t>가116</t>
  </si>
  <si>
    <t>가117</t>
  </si>
  <si>
    <t>가118</t>
  </si>
  <si>
    <t>가119</t>
  </si>
  <si>
    <t>성균 자연</t>
  </si>
  <si>
    <t>가120</t>
  </si>
  <si>
    <t>가121</t>
  </si>
  <si>
    <t>가122</t>
  </si>
  <si>
    <t>가123</t>
  </si>
  <si>
    <t>가124</t>
  </si>
  <si>
    <t>가125</t>
  </si>
  <si>
    <t>가126</t>
  </si>
  <si>
    <t>한양 자연</t>
  </si>
  <si>
    <t>가127</t>
  </si>
  <si>
    <t>가128</t>
  </si>
  <si>
    <t>가129</t>
  </si>
  <si>
    <t>가130</t>
  </si>
  <si>
    <t>가131</t>
  </si>
  <si>
    <t>가132</t>
  </si>
  <si>
    <t>가133</t>
  </si>
  <si>
    <t>가134</t>
  </si>
  <si>
    <t>가135</t>
  </si>
  <si>
    <t>가136</t>
  </si>
  <si>
    <t>가137</t>
  </si>
  <si>
    <t>가138</t>
  </si>
  <si>
    <t>가139</t>
  </si>
  <si>
    <t>한양 통합</t>
  </si>
  <si>
    <t>가140</t>
  </si>
  <si>
    <t>가141</t>
  </si>
  <si>
    <t>가142</t>
  </si>
  <si>
    <t>가143</t>
  </si>
  <si>
    <t>가144</t>
  </si>
  <si>
    <t>가145</t>
  </si>
  <si>
    <t>가146</t>
  </si>
  <si>
    <t>가147</t>
  </si>
  <si>
    <t>가148</t>
  </si>
  <si>
    <t>가149</t>
  </si>
  <si>
    <t>가150</t>
  </si>
  <si>
    <t>한양 상경</t>
  </si>
  <si>
    <t>가151</t>
  </si>
  <si>
    <t>가152</t>
  </si>
  <si>
    <t>가153</t>
  </si>
  <si>
    <t>가154</t>
  </si>
  <si>
    <t>가155</t>
  </si>
  <si>
    <t>가156</t>
  </si>
  <si>
    <t>가157</t>
  </si>
  <si>
    <t>가158</t>
  </si>
  <si>
    <t>가159</t>
  </si>
  <si>
    <t>중앙 통합</t>
  </si>
  <si>
    <t>가160</t>
  </si>
  <si>
    <t>가161</t>
  </si>
  <si>
    <t>중앙 자연</t>
  </si>
  <si>
    <t>가162</t>
  </si>
  <si>
    <t>가163</t>
  </si>
  <si>
    <t>가164</t>
  </si>
  <si>
    <t>경희 통합인문</t>
  </si>
  <si>
    <t>가165</t>
  </si>
  <si>
    <t>가166</t>
  </si>
  <si>
    <t>가167</t>
  </si>
  <si>
    <t>가168</t>
  </si>
  <si>
    <t>가169</t>
  </si>
  <si>
    <t>경희 통합사회</t>
  </si>
  <si>
    <t>가170</t>
  </si>
  <si>
    <t>가171</t>
  </si>
  <si>
    <t>가172</t>
  </si>
  <si>
    <t>가173</t>
  </si>
  <si>
    <t>가174</t>
  </si>
  <si>
    <t>가175</t>
  </si>
  <si>
    <t>가176</t>
  </si>
  <si>
    <t>가177</t>
  </si>
  <si>
    <t>가178</t>
  </si>
  <si>
    <t>가179</t>
  </si>
  <si>
    <t>가180</t>
  </si>
  <si>
    <t>가181</t>
  </si>
  <si>
    <t>가182</t>
  </si>
  <si>
    <t>가183</t>
  </si>
  <si>
    <t>가184</t>
  </si>
  <si>
    <t>가185</t>
  </si>
  <si>
    <t>가186</t>
  </si>
  <si>
    <t>경희 자연</t>
  </si>
  <si>
    <t>가187</t>
  </si>
  <si>
    <t>가188</t>
  </si>
  <si>
    <t>가189</t>
  </si>
  <si>
    <t>가190</t>
  </si>
  <si>
    <t>가191</t>
  </si>
  <si>
    <t>가192</t>
  </si>
  <si>
    <t>가193</t>
  </si>
  <si>
    <t>가194</t>
  </si>
  <si>
    <t>가195</t>
  </si>
  <si>
    <t>가196</t>
  </si>
  <si>
    <t>가197</t>
  </si>
  <si>
    <t>서울시립 통합</t>
  </si>
  <si>
    <t>가198</t>
  </si>
  <si>
    <t>서울시립 자연</t>
  </si>
  <si>
    <t>가199</t>
  </si>
  <si>
    <t>가200</t>
  </si>
  <si>
    <t>한국외대 서울</t>
  </si>
  <si>
    <t>가201</t>
  </si>
  <si>
    <t>가202</t>
  </si>
  <si>
    <t>가203</t>
  </si>
  <si>
    <t>가204</t>
  </si>
  <si>
    <t>가205</t>
  </si>
  <si>
    <t>가206</t>
  </si>
  <si>
    <t>가207</t>
  </si>
  <si>
    <t>가208</t>
  </si>
  <si>
    <t>가209</t>
  </si>
  <si>
    <t>가210</t>
  </si>
  <si>
    <t>가211</t>
  </si>
  <si>
    <t>가212</t>
  </si>
  <si>
    <t>가213</t>
  </si>
  <si>
    <t>가214</t>
  </si>
  <si>
    <t>가215</t>
  </si>
  <si>
    <t>가216</t>
  </si>
  <si>
    <t>가217</t>
  </si>
  <si>
    <t>가218</t>
  </si>
  <si>
    <t>건국 자연1</t>
  </si>
  <si>
    <t>가219</t>
  </si>
  <si>
    <t>가220</t>
  </si>
  <si>
    <t>가221</t>
  </si>
  <si>
    <t>건국 자연2</t>
  </si>
  <si>
    <t>가222</t>
  </si>
  <si>
    <t>가223</t>
  </si>
  <si>
    <t>가224</t>
  </si>
  <si>
    <t>가225</t>
  </si>
  <si>
    <t>가226</t>
  </si>
  <si>
    <t>건국 통합1</t>
  </si>
  <si>
    <t>가227</t>
  </si>
  <si>
    <t>건국 통합2</t>
  </si>
  <si>
    <t>가228</t>
  </si>
  <si>
    <t>가229</t>
  </si>
  <si>
    <t>가230</t>
  </si>
  <si>
    <t>가231</t>
  </si>
  <si>
    <t>동국 자연</t>
  </si>
  <si>
    <t>가232</t>
  </si>
  <si>
    <t>가233</t>
  </si>
  <si>
    <t>가234</t>
  </si>
  <si>
    <t>가235</t>
  </si>
  <si>
    <t>가236</t>
  </si>
  <si>
    <t>가237</t>
  </si>
  <si>
    <t>가238</t>
  </si>
  <si>
    <t>가239</t>
  </si>
  <si>
    <t>가240</t>
  </si>
  <si>
    <t>동국 통합</t>
  </si>
  <si>
    <t>가241</t>
  </si>
  <si>
    <t>가242</t>
  </si>
  <si>
    <t>가243</t>
  </si>
  <si>
    <t>가244</t>
  </si>
  <si>
    <t>가245</t>
  </si>
  <si>
    <t>가246</t>
  </si>
  <si>
    <t>가247</t>
  </si>
  <si>
    <t>가248</t>
  </si>
  <si>
    <t>가249</t>
  </si>
  <si>
    <t>가250</t>
  </si>
  <si>
    <t>가251</t>
  </si>
  <si>
    <t>가252</t>
  </si>
  <si>
    <t>가253</t>
  </si>
  <si>
    <t>가254</t>
  </si>
  <si>
    <t>가255</t>
  </si>
  <si>
    <t>가256</t>
  </si>
  <si>
    <t>가257</t>
  </si>
  <si>
    <t>가258</t>
  </si>
  <si>
    <t>가259</t>
  </si>
  <si>
    <t>가260</t>
  </si>
  <si>
    <t>가261</t>
  </si>
  <si>
    <t>가262</t>
  </si>
  <si>
    <t>가263</t>
  </si>
  <si>
    <t>가264</t>
  </si>
  <si>
    <t>가265</t>
  </si>
  <si>
    <t>가266</t>
  </si>
  <si>
    <t>가267</t>
  </si>
  <si>
    <t>가268</t>
  </si>
  <si>
    <t>가269</t>
  </si>
  <si>
    <t>충남 의약수</t>
  </si>
  <si>
    <t>가270</t>
  </si>
  <si>
    <t>전남 의치약수</t>
  </si>
  <si>
    <t>가271</t>
  </si>
  <si>
    <t>가272</t>
  </si>
  <si>
    <t>가273</t>
  </si>
  <si>
    <t>가274</t>
  </si>
  <si>
    <t>가275</t>
  </si>
  <si>
    <t>전북 의치약수</t>
  </si>
  <si>
    <t>가276</t>
  </si>
  <si>
    <t>가277</t>
  </si>
  <si>
    <t>가278</t>
  </si>
  <si>
    <t>가279</t>
  </si>
  <si>
    <t>부산 의치약한</t>
  </si>
  <si>
    <t>가280</t>
  </si>
  <si>
    <t>가281</t>
  </si>
  <si>
    <t>가282</t>
  </si>
  <si>
    <t>가283</t>
  </si>
  <si>
    <t>가284</t>
  </si>
  <si>
    <t>가285</t>
  </si>
  <si>
    <t>가286</t>
  </si>
  <si>
    <t>가287</t>
  </si>
  <si>
    <t>가288</t>
  </si>
  <si>
    <t>가289</t>
  </si>
  <si>
    <t>가290</t>
  </si>
  <si>
    <t>가291</t>
  </si>
  <si>
    <t>충북 의약수</t>
  </si>
  <si>
    <t>가292</t>
  </si>
  <si>
    <t>가293</t>
  </si>
  <si>
    <t>가294</t>
  </si>
  <si>
    <t>가295</t>
  </si>
  <si>
    <t>가296</t>
  </si>
  <si>
    <t>가297</t>
  </si>
  <si>
    <t>가298</t>
  </si>
  <si>
    <t>가299</t>
  </si>
  <si>
    <t>가300</t>
  </si>
  <si>
    <t>가301</t>
  </si>
  <si>
    <t>가302</t>
  </si>
  <si>
    <t>가303</t>
  </si>
  <si>
    <t>가304</t>
  </si>
  <si>
    <t>가305</t>
  </si>
  <si>
    <t>가306</t>
  </si>
  <si>
    <t>가307</t>
  </si>
  <si>
    <t>가308</t>
  </si>
  <si>
    <t>가309</t>
  </si>
  <si>
    <t>가310</t>
  </si>
  <si>
    <t>나1</t>
  </si>
  <si>
    <t>서울대 자연</t>
  </si>
  <si>
    <t>나2</t>
  </si>
  <si>
    <t>나3</t>
  </si>
  <si>
    <t>나4</t>
  </si>
  <si>
    <t>나5</t>
  </si>
  <si>
    <t>나6</t>
  </si>
  <si>
    <t>나7</t>
  </si>
  <si>
    <t>나8</t>
  </si>
  <si>
    <t>나9</t>
  </si>
  <si>
    <t>나10</t>
  </si>
  <si>
    <t>나11</t>
  </si>
  <si>
    <t>나12</t>
  </si>
  <si>
    <t>나13</t>
  </si>
  <si>
    <t>나14</t>
  </si>
  <si>
    <t>나15</t>
  </si>
  <si>
    <t>나16</t>
  </si>
  <si>
    <t>나17</t>
  </si>
  <si>
    <t>나18</t>
  </si>
  <si>
    <t>나19</t>
  </si>
  <si>
    <t>나20</t>
  </si>
  <si>
    <t>나21</t>
  </si>
  <si>
    <t>나22</t>
  </si>
  <si>
    <t>나23</t>
  </si>
  <si>
    <t>나24</t>
  </si>
  <si>
    <t>나25</t>
  </si>
  <si>
    <t>나26</t>
  </si>
  <si>
    <t>나27</t>
  </si>
  <si>
    <t>나28</t>
  </si>
  <si>
    <t>나29</t>
  </si>
  <si>
    <t>나30</t>
  </si>
  <si>
    <t>나31</t>
  </si>
  <si>
    <t>나32</t>
  </si>
  <si>
    <t>나33</t>
  </si>
  <si>
    <t>서울대 자전</t>
  </si>
  <si>
    <t>나34</t>
  </si>
  <si>
    <t>서울대 통합</t>
  </si>
  <si>
    <t>나35</t>
  </si>
  <si>
    <t>나36</t>
  </si>
  <si>
    <t>나37</t>
  </si>
  <si>
    <t>나38</t>
  </si>
  <si>
    <t>나39</t>
  </si>
  <si>
    <t>나40</t>
  </si>
  <si>
    <t>나41</t>
  </si>
  <si>
    <t>나42</t>
  </si>
  <si>
    <t>나43</t>
  </si>
  <si>
    <t>나44</t>
  </si>
  <si>
    <t>나45</t>
  </si>
  <si>
    <t>나46</t>
  </si>
  <si>
    <t>나47</t>
  </si>
  <si>
    <t>나48</t>
  </si>
  <si>
    <t>나49</t>
  </si>
  <si>
    <t>나50</t>
  </si>
  <si>
    <t>나51</t>
  </si>
  <si>
    <t>나52</t>
  </si>
  <si>
    <t>나53</t>
  </si>
  <si>
    <t>나54</t>
  </si>
  <si>
    <t>나55</t>
  </si>
  <si>
    <t>나56</t>
  </si>
  <si>
    <t>나57</t>
  </si>
  <si>
    <t>나58</t>
  </si>
  <si>
    <t>나59</t>
  </si>
  <si>
    <t>나60</t>
  </si>
  <si>
    <t>나61</t>
  </si>
  <si>
    <t>나62</t>
  </si>
  <si>
    <t>나63</t>
  </si>
  <si>
    <t>나64</t>
  </si>
  <si>
    <t>나65</t>
  </si>
  <si>
    <t>나66</t>
  </si>
  <si>
    <t>나67</t>
  </si>
  <si>
    <t>나68</t>
  </si>
  <si>
    <t>나69</t>
  </si>
  <si>
    <t>나70</t>
  </si>
  <si>
    <t>나71</t>
  </si>
  <si>
    <t>나72</t>
  </si>
  <si>
    <t>나73</t>
  </si>
  <si>
    <t>나74</t>
  </si>
  <si>
    <t>나75</t>
  </si>
  <si>
    <t>나76</t>
  </si>
  <si>
    <t>나77</t>
  </si>
  <si>
    <t>중앙 경영경제</t>
  </si>
  <si>
    <t>나78</t>
  </si>
  <si>
    <t>나79</t>
  </si>
  <si>
    <t>나80</t>
  </si>
  <si>
    <t>나81</t>
  </si>
  <si>
    <t>나82</t>
  </si>
  <si>
    <t>나83</t>
  </si>
  <si>
    <t>나84</t>
  </si>
  <si>
    <t>나85</t>
  </si>
  <si>
    <t>나86</t>
  </si>
  <si>
    <t>나87</t>
  </si>
  <si>
    <t>나88</t>
  </si>
  <si>
    <t>나89</t>
  </si>
  <si>
    <t>나90</t>
  </si>
  <si>
    <t>나91</t>
  </si>
  <si>
    <t>나92</t>
  </si>
  <si>
    <t>나93</t>
  </si>
  <si>
    <t>나94</t>
  </si>
  <si>
    <t>나95</t>
  </si>
  <si>
    <t>나96</t>
  </si>
  <si>
    <t>나97</t>
  </si>
  <si>
    <t>나98</t>
  </si>
  <si>
    <t>나99</t>
  </si>
  <si>
    <t>나100</t>
  </si>
  <si>
    <t>나101</t>
  </si>
  <si>
    <t>나102</t>
  </si>
  <si>
    <t>나103</t>
  </si>
  <si>
    <t>나104</t>
  </si>
  <si>
    <t>나105</t>
  </si>
  <si>
    <t>나106</t>
  </si>
  <si>
    <t>나107</t>
  </si>
  <si>
    <t>나108</t>
  </si>
  <si>
    <t>나109</t>
  </si>
  <si>
    <t>나110</t>
  </si>
  <si>
    <t>나111</t>
  </si>
  <si>
    <t>서울시립 경영경제세무</t>
  </si>
  <si>
    <t>나112</t>
  </si>
  <si>
    <t>나113</t>
  </si>
  <si>
    <t>나114</t>
  </si>
  <si>
    <t>나115</t>
  </si>
  <si>
    <t>나116</t>
  </si>
  <si>
    <t>나117</t>
  </si>
  <si>
    <t>나118</t>
  </si>
  <si>
    <t>나119</t>
  </si>
  <si>
    <t>나120</t>
  </si>
  <si>
    <t>나121</t>
  </si>
  <si>
    <t>나122</t>
  </si>
  <si>
    <t>나123</t>
  </si>
  <si>
    <t>나124</t>
  </si>
  <si>
    <t>나125</t>
  </si>
  <si>
    <t>나126</t>
  </si>
  <si>
    <t>나127</t>
  </si>
  <si>
    <t>나128</t>
  </si>
  <si>
    <t>나129</t>
  </si>
  <si>
    <t>나130</t>
  </si>
  <si>
    <t>나131</t>
  </si>
  <si>
    <t>나132</t>
  </si>
  <si>
    <t>나133</t>
  </si>
  <si>
    <t>나134</t>
  </si>
  <si>
    <t>서울시립 건축학도공조경</t>
  </si>
  <si>
    <t>나135</t>
  </si>
  <si>
    <t>나136</t>
  </si>
  <si>
    <t>나137</t>
  </si>
  <si>
    <t>나138</t>
  </si>
  <si>
    <t>나139</t>
  </si>
  <si>
    <t>나140</t>
  </si>
  <si>
    <t>이화 자연</t>
  </si>
  <si>
    <t>나141</t>
  </si>
  <si>
    <t>이화 통합</t>
  </si>
  <si>
    <t>나142</t>
  </si>
  <si>
    <t>나143</t>
  </si>
  <si>
    <t>나144</t>
  </si>
  <si>
    <t>나145</t>
  </si>
  <si>
    <t>나146</t>
  </si>
  <si>
    <t>나147</t>
  </si>
  <si>
    <t>나148</t>
  </si>
  <si>
    <t>나149</t>
  </si>
  <si>
    <t>나150</t>
  </si>
  <si>
    <t>나151</t>
  </si>
  <si>
    <t>나152</t>
  </si>
  <si>
    <t>나153</t>
  </si>
  <si>
    <t>나154</t>
  </si>
  <si>
    <t>나155</t>
  </si>
  <si>
    <t>나156</t>
  </si>
  <si>
    <t>나157</t>
  </si>
  <si>
    <t>나158</t>
  </si>
  <si>
    <t>나159</t>
  </si>
  <si>
    <t>나160</t>
  </si>
  <si>
    <t>나161</t>
  </si>
  <si>
    <t>나162</t>
  </si>
  <si>
    <t>나163</t>
  </si>
  <si>
    <t>나164</t>
  </si>
  <si>
    <t>나165</t>
  </si>
  <si>
    <t>나166</t>
  </si>
  <si>
    <t>나167</t>
  </si>
  <si>
    <t>나168</t>
  </si>
  <si>
    <t>나169</t>
  </si>
  <si>
    <t>나170</t>
  </si>
  <si>
    <t>나171</t>
  </si>
  <si>
    <t>나172</t>
  </si>
  <si>
    <t>나173</t>
  </si>
  <si>
    <t>나174</t>
  </si>
  <si>
    <t>나175</t>
  </si>
  <si>
    <t>나176</t>
  </si>
  <si>
    <t>나177</t>
  </si>
  <si>
    <t>나178</t>
  </si>
  <si>
    <t>나179</t>
  </si>
  <si>
    <t>나180</t>
  </si>
  <si>
    <t>나181</t>
  </si>
  <si>
    <t>나182</t>
  </si>
  <si>
    <t>나183</t>
  </si>
  <si>
    <t>나184</t>
  </si>
  <si>
    <t>나185</t>
  </si>
  <si>
    <t>나186</t>
  </si>
  <si>
    <t>나187</t>
  </si>
  <si>
    <t>나188</t>
  </si>
  <si>
    <t>나189</t>
  </si>
  <si>
    <t>나190</t>
  </si>
  <si>
    <t>나191</t>
  </si>
  <si>
    <t>나192</t>
  </si>
  <si>
    <t>나193</t>
  </si>
  <si>
    <t>나194</t>
  </si>
  <si>
    <t>나195</t>
  </si>
  <si>
    <t>나196</t>
  </si>
  <si>
    <t>나197</t>
  </si>
  <si>
    <t>나198</t>
  </si>
  <si>
    <t>나199</t>
  </si>
  <si>
    <t>나200</t>
  </si>
  <si>
    <t>나201</t>
  </si>
  <si>
    <t>나202</t>
  </si>
  <si>
    <t>나203</t>
  </si>
  <si>
    <t>나204</t>
  </si>
  <si>
    <t>나205</t>
  </si>
  <si>
    <t>나206</t>
  </si>
  <si>
    <t>나207</t>
  </si>
  <si>
    <t>나208</t>
  </si>
  <si>
    <t>나209</t>
  </si>
  <si>
    <t>나210</t>
  </si>
  <si>
    <t>한림 의</t>
  </si>
  <si>
    <t>나211</t>
  </si>
  <si>
    <t>나212</t>
  </si>
  <si>
    <t>나213</t>
  </si>
  <si>
    <t>나214</t>
  </si>
  <si>
    <t>을지 의</t>
  </si>
  <si>
    <t>나215</t>
  </si>
  <si>
    <t>나216</t>
  </si>
  <si>
    <t>연세미래 의</t>
  </si>
  <si>
    <t>나217</t>
  </si>
  <si>
    <t>건국충주 의</t>
  </si>
  <si>
    <t>나218</t>
  </si>
  <si>
    <t>영남 의약</t>
  </si>
  <si>
    <t>나219</t>
  </si>
  <si>
    <t>원광 의치약한</t>
  </si>
  <si>
    <t>나220</t>
  </si>
  <si>
    <t>관동 의</t>
  </si>
  <si>
    <t>나221</t>
  </si>
  <si>
    <t>나222</t>
  </si>
  <si>
    <t>나223</t>
  </si>
  <si>
    <t>원광 통합 치한</t>
  </si>
  <si>
    <t>나224</t>
  </si>
  <si>
    <t>나225</t>
  </si>
  <si>
    <t>나226</t>
  </si>
  <si>
    <t>나227</t>
  </si>
  <si>
    <t>한양에리카 약</t>
  </si>
  <si>
    <t>나228</t>
  </si>
  <si>
    <t>차 약</t>
  </si>
  <si>
    <t>나229</t>
  </si>
  <si>
    <t>나230</t>
  </si>
  <si>
    <t>나231</t>
  </si>
  <si>
    <t>고려세종 약</t>
  </si>
  <si>
    <t>나232</t>
  </si>
  <si>
    <t>동덕 약</t>
  </si>
  <si>
    <t>나233</t>
  </si>
  <si>
    <t>나234</t>
  </si>
  <si>
    <t>나235</t>
  </si>
  <si>
    <t>나236</t>
  </si>
  <si>
    <t>나237</t>
  </si>
  <si>
    <t>나238</t>
  </si>
  <si>
    <t>나239</t>
  </si>
  <si>
    <t>우석 약</t>
  </si>
  <si>
    <t>나240</t>
  </si>
  <si>
    <t>대가 약</t>
  </si>
  <si>
    <t>나241</t>
  </si>
  <si>
    <t>나242</t>
  </si>
  <si>
    <t>나243</t>
  </si>
  <si>
    <t>세명 한</t>
  </si>
  <si>
    <t>나244</t>
  </si>
  <si>
    <t>대구 한자</t>
  </si>
  <si>
    <t>나245</t>
  </si>
  <si>
    <t>우석 한</t>
  </si>
  <si>
    <t>나246</t>
  </si>
  <si>
    <t>나247</t>
  </si>
  <si>
    <t>동의 한자</t>
  </si>
  <si>
    <t>나248</t>
  </si>
  <si>
    <t>나249</t>
  </si>
  <si>
    <t>나250</t>
  </si>
  <si>
    <t>동의 한문</t>
  </si>
  <si>
    <t>나251</t>
  </si>
  <si>
    <t>대구 한문</t>
  </si>
  <si>
    <t>나252</t>
  </si>
  <si>
    <t>나253</t>
  </si>
  <si>
    <t>나254</t>
  </si>
  <si>
    <t>다1</t>
  </si>
  <si>
    <t>다2</t>
  </si>
  <si>
    <t>다3</t>
  </si>
  <si>
    <t>다4</t>
  </si>
  <si>
    <t>다5</t>
  </si>
  <si>
    <t>다6</t>
  </si>
  <si>
    <t>다7</t>
  </si>
  <si>
    <t>다8</t>
  </si>
  <si>
    <t>다9</t>
  </si>
  <si>
    <t>다10</t>
  </si>
  <si>
    <t>다11</t>
  </si>
  <si>
    <t>다12</t>
  </si>
  <si>
    <t>다13</t>
  </si>
  <si>
    <t>다14</t>
  </si>
  <si>
    <t>다15</t>
  </si>
  <si>
    <t>다16</t>
  </si>
  <si>
    <t>홍익 자연</t>
  </si>
  <si>
    <t>다17</t>
  </si>
  <si>
    <t>홍익 통합서울</t>
  </si>
  <si>
    <t>다18</t>
  </si>
  <si>
    <t>다19</t>
  </si>
  <si>
    <t>다20</t>
  </si>
  <si>
    <t>인하 자연</t>
  </si>
  <si>
    <t>다21</t>
  </si>
  <si>
    <t>순천향 의</t>
  </si>
  <si>
    <t>다22</t>
  </si>
  <si>
    <t>동국경주 의</t>
  </si>
  <si>
    <t>다23</t>
  </si>
  <si>
    <t>다24</t>
  </si>
  <si>
    <t>다25</t>
  </si>
  <si>
    <t>제주 의약수</t>
  </si>
  <si>
    <t>다26</t>
  </si>
  <si>
    <t>고신 의</t>
  </si>
  <si>
    <t>다27</t>
  </si>
  <si>
    <t>대가 의</t>
  </si>
  <si>
    <t>다28</t>
  </si>
  <si>
    <t>강릉 치</t>
  </si>
  <si>
    <t>다29</t>
  </si>
  <si>
    <t>아주 약</t>
  </si>
  <si>
    <t>다30</t>
  </si>
  <si>
    <t>삼육 약</t>
  </si>
  <si>
    <t>다31</t>
  </si>
  <si>
    <t>다32</t>
  </si>
  <si>
    <t>다33</t>
  </si>
  <si>
    <t>순천 약</t>
  </si>
  <si>
    <t>다34</t>
  </si>
  <si>
    <t>동국경주 한자</t>
  </si>
  <si>
    <t>다35</t>
  </si>
  <si>
    <t>상지 한자</t>
  </si>
  <si>
    <t>다36</t>
  </si>
  <si>
    <t>동국경주 한통</t>
  </si>
  <si>
    <t>다37</t>
  </si>
  <si>
    <t>상지 한통</t>
  </si>
  <si>
    <t>다38</t>
  </si>
  <si>
    <t>가나다1</t>
  </si>
  <si>
    <t>숭실 자연2(상위)</t>
  </si>
  <si>
    <t>가나다2</t>
  </si>
  <si>
    <t>숭실 자연1</t>
  </si>
  <si>
    <t>가나다3</t>
  </si>
  <si>
    <t>가나다4</t>
  </si>
  <si>
    <t>숭실 경상</t>
  </si>
  <si>
    <t>가나다5</t>
  </si>
  <si>
    <t>숭실 통합</t>
  </si>
  <si>
    <t>가나다6</t>
  </si>
  <si>
    <t>가나다7</t>
  </si>
  <si>
    <t>국민 통합</t>
  </si>
  <si>
    <t>가나다8</t>
  </si>
  <si>
    <t>가나다9</t>
  </si>
  <si>
    <t>가나다10</t>
  </si>
  <si>
    <t>가나다11</t>
  </si>
  <si>
    <t>가나다12</t>
  </si>
  <si>
    <r>
      <t xml:space="preserve">                      환산점수 계산기</t>
    </r>
    <r>
      <rPr>
        <sz val="14"/>
        <color theme="1"/>
        <rFont val="맑은 고딕"/>
        <family val="3"/>
        <charset val="129"/>
        <scheme val="minor"/>
      </rPr>
      <t xml:space="preserve">(숭실.국민.인하) </t>
    </r>
    <r>
      <rPr>
        <sz val="18"/>
        <color theme="1"/>
        <rFont val="맑은 고딕"/>
        <family val="2"/>
        <charset val="129"/>
        <scheme val="minor"/>
      </rPr>
      <t xml:space="preserve">             </t>
    </r>
    <r>
      <rPr>
        <sz val="12"/>
        <color theme="1"/>
        <rFont val="맑은 고딕"/>
        <family val="3"/>
        <charset val="129"/>
        <scheme val="minor"/>
      </rPr>
      <t>orbi 베텔기우스</t>
    </r>
    <r>
      <rPr>
        <sz val="18"/>
        <color theme="1"/>
        <rFont val="맑은 고딕"/>
        <family val="2"/>
        <charset val="129"/>
        <scheme val="minor"/>
      </rPr>
      <t>.</t>
    </r>
    <phoneticPr fontId="2" type="noConversion"/>
  </si>
  <si>
    <t>*합격 예상점수 추정은, 최근 2년간의 입시결과를 올해 수능점수로 환산하여 산출하였습니다.</t>
    <phoneticPr fontId="2" type="noConversion"/>
  </si>
  <si>
    <t>*계산 대학: 의치약한수, 서연고서성한중경외시건동홍국숭인</t>
    <phoneticPr fontId="2" type="noConversion"/>
  </si>
  <si>
    <t>*지원 전, 모집요강을 통해 응시 자격 요건을 확인하세요.</t>
    <phoneticPr fontId="2" type="noConversion"/>
  </si>
  <si>
    <t>노란칸에 표준점수, 백분위, 등급을 입력합니다. (응시한 과목은 모두 입력해야 지원가능 여부를 알 수 있습니다) (미응시 영역은 비워둡니다)</t>
    <phoneticPr fontId="2" type="noConversion"/>
  </si>
  <si>
    <t>2022학년도 수능성적 기준 (2021.12.17 제작)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</si>
</sst>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0_ "/>
    <numFmt numFmtId="178" formatCode="0.0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8" tint="-0.249977111117893"/>
      <name val="맑은 고딕"/>
      <family val="2"/>
      <charset val="129"/>
      <scheme val="minor"/>
    </font>
    <font>
      <sz val="9"/>
      <color theme="8" tint="-0.249977111117893"/>
      <name val="맑은 고딕"/>
      <family val="2"/>
      <charset val="129"/>
      <scheme val="minor"/>
    </font>
    <font>
      <sz val="10"/>
      <color theme="8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0"/>
      <color theme="5" tint="-0.249977111117893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5" tint="-0.249977111117893"/>
      <name val="맑은 고딕"/>
      <family val="3"/>
      <charset val="129"/>
      <scheme val="minor"/>
    </font>
    <font>
      <sz val="10"/>
      <color theme="4" tint="-0.249977111117893"/>
      <name val="맑은 고딕"/>
      <family val="2"/>
      <charset val="129"/>
      <scheme val="minor"/>
    </font>
    <font>
      <sz val="9"/>
      <color theme="4" tint="-0.249977111117893"/>
      <name val="맑은 고딕"/>
      <family val="2"/>
      <charset val="129"/>
      <scheme val="minor"/>
    </font>
    <font>
      <sz val="10"/>
      <color rgb="FF9C5700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9"/>
      <color theme="4" tint="-0.249977111117893"/>
      <name val="맑은 고딕"/>
      <family val="3"/>
      <charset val="129"/>
      <scheme val="minor"/>
    </font>
    <font>
      <sz val="8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color theme="5" tint="-0.249977111117893"/>
      <name val="맑은 고딕"/>
      <family val="2"/>
      <charset val="129"/>
      <scheme val="minor"/>
    </font>
    <font>
      <sz val="8"/>
      <color theme="8" tint="-0.249977111117893"/>
      <name val="맑은 고딕"/>
      <family val="2"/>
      <charset val="129"/>
      <scheme val="minor"/>
    </font>
    <font>
      <b/>
      <sz val="11"/>
      <color theme="2" tint="-0.499984740745262"/>
      <name val="맑은 고딕"/>
      <family val="3"/>
      <charset val="129"/>
      <scheme val="minor"/>
    </font>
    <font>
      <sz val="11"/>
      <color theme="2" tint="-0.499984740745262"/>
      <name val="맑은 고딕"/>
      <family val="3"/>
      <charset val="129"/>
      <scheme val="minor"/>
    </font>
    <font>
      <sz val="11"/>
      <color theme="2" tint="-0.499984740745262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4" tint="-0.249977111117893"/>
      <name val="맑은 고딕"/>
      <family val="3"/>
      <charset val="129"/>
      <scheme val="minor"/>
    </font>
    <font>
      <sz val="10"/>
      <color rgb="FFC00000"/>
      <name val="맑은 고딕"/>
      <family val="2"/>
      <charset val="129"/>
      <scheme val="minor"/>
    </font>
    <font>
      <sz val="9"/>
      <color theme="4" tint="-0.499984740745262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9"/>
      <color rgb="FF7030A0"/>
      <name val="맑은 고딕"/>
      <family val="2"/>
      <charset val="129"/>
      <scheme val="minor"/>
    </font>
    <font>
      <sz val="10"/>
      <color rgb="FF7030A0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2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2" tint="-9.9948118533890809E-2"/>
      </right>
      <top style="medium">
        <color theme="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theme="1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medium">
        <color theme="1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1"/>
      </right>
      <top style="medium">
        <color theme="1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2" tint="-9.9948118533890809E-2"/>
      </left>
      <right style="medium">
        <color theme="1"/>
      </right>
      <top style="thin">
        <color theme="2" tint="-9.9948118533890809E-2"/>
      </top>
      <bottom style="medium">
        <color theme="1"/>
      </bottom>
      <diagonal/>
    </border>
    <border>
      <left style="medium">
        <color theme="1"/>
      </left>
      <right style="thin">
        <color theme="2" tint="-9.9948118533890809E-2"/>
      </right>
      <top style="medium">
        <color theme="1"/>
      </top>
      <bottom style="medium">
        <color theme="1"/>
      </bottom>
      <diagonal/>
    </border>
    <border>
      <left style="thin">
        <color theme="2" tint="-9.9948118533890809E-2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2" tint="-9.9948118533890809E-2"/>
      </right>
      <top style="medium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medium">
        <color indexed="64"/>
      </top>
      <bottom/>
      <diagonal/>
    </border>
    <border>
      <left style="thin">
        <color theme="2" tint="-9.9948118533890809E-2"/>
      </left>
      <right/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/>
      <right style="thin">
        <color theme="2" tint="-9.9948118533890809E-2"/>
      </right>
      <top style="medium">
        <color indexed="64"/>
      </top>
      <bottom/>
      <diagonal/>
    </border>
    <border>
      <left style="thin">
        <color theme="2" tint="-9.9948118533890809E-2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2" tint="-9.9948118533890809E-2"/>
      </left>
      <right style="thin">
        <color theme="1"/>
      </right>
      <top style="thin">
        <color theme="1"/>
      </top>
      <bottom style="thin">
        <color theme="2" tint="-9.9948118533890809E-2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1"/>
      </right>
      <top style="thin">
        <color theme="2" tint="-9.9948118533890809E-2"/>
      </top>
      <bottom style="thin">
        <color theme="1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2" tint="-9.9948118533890809E-2"/>
      </left>
      <right style="medium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medium">
        <color theme="1"/>
      </right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medium">
        <color theme="1"/>
      </left>
      <right style="medium">
        <color theme="1"/>
      </right>
      <top/>
      <bottom style="thin">
        <color theme="2" tint="-9.9948118533890809E-2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2" tint="-9.9948118533890809E-2"/>
      </top>
      <bottom style="medium">
        <color theme="1"/>
      </bottom>
      <diagonal/>
    </border>
    <border>
      <left/>
      <right style="medium">
        <color theme="1"/>
      </right>
      <top/>
      <bottom style="thin">
        <color theme="2" tint="-9.9948118533890809E-2"/>
      </bottom>
      <diagonal/>
    </border>
    <border>
      <left/>
      <right style="medium">
        <color theme="1"/>
      </right>
      <top style="thin">
        <color theme="2" tint="-9.9948118533890809E-2"/>
      </top>
      <bottom style="medium">
        <color theme="1"/>
      </bottom>
      <diagonal/>
    </border>
  </borders>
  <cellStyleXfs count="6">
    <xf numFmtId="0" fontId="0" fillId="0" borderId="0">
      <alignment vertical="center"/>
    </xf>
    <xf numFmtId="0" fontId="1" fillId="2" borderId="1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0" fillId="2" borderId="1" xfId="1" applyFont="1">
      <alignment vertical="center"/>
    </xf>
    <xf numFmtId="0" fontId="1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26" fillId="0" borderId="0" xfId="0" applyFont="1">
      <alignment vertical="center"/>
    </xf>
    <xf numFmtId="0" fontId="0" fillId="0" borderId="0" xfId="0" applyProtection="1">
      <alignment vertical="center"/>
      <protection hidden="1"/>
    </xf>
    <xf numFmtId="0" fontId="0" fillId="0" borderId="0" xfId="0" applyFill="1" applyBorder="1">
      <alignment vertical="center"/>
    </xf>
    <xf numFmtId="0" fontId="0" fillId="0" borderId="24" xfId="0" applyBorder="1">
      <alignment vertical="center"/>
    </xf>
    <xf numFmtId="0" fontId="0" fillId="0" borderId="30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5" xfId="0" applyFill="1" applyBorder="1">
      <alignment vertical="center"/>
    </xf>
    <xf numFmtId="0" fontId="0" fillId="0" borderId="40" xfId="0" applyFill="1" applyBorder="1">
      <alignment vertical="center"/>
    </xf>
    <xf numFmtId="0" fontId="0" fillId="3" borderId="41" xfId="1" applyNumberFormat="1" applyFont="1" applyFill="1" applyBorder="1">
      <alignment vertical="center"/>
    </xf>
    <xf numFmtId="0" fontId="0" fillId="3" borderId="42" xfId="1" applyNumberFormat="1" applyFont="1" applyFill="1" applyBorder="1">
      <alignment vertical="center"/>
    </xf>
    <xf numFmtId="0" fontId="0" fillId="3" borderId="43" xfId="1" applyNumberFormat="1" applyFont="1" applyFill="1" applyBorder="1">
      <alignment vertical="center"/>
    </xf>
    <xf numFmtId="0" fontId="0" fillId="0" borderId="40" xfId="0" applyBorder="1">
      <alignment vertical="center"/>
    </xf>
    <xf numFmtId="0" fontId="0" fillId="0" borderId="44" xfId="0" applyBorder="1">
      <alignment vertical="center"/>
    </xf>
    <xf numFmtId="0" fontId="0" fillId="3" borderId="45" xfId="1" applyNumberFormat="1" applyFont="1" applyFill="1" applyBorder="1">
      <alignment vertical="center"/>
    </xf>
    <xf numFmtId="0" fontId="0" fillId="3" borderId="46" xfId="1" applyNumberFormat="1" applyFont="1" applyFill="1" applyBorder="1">
      <alignment vertical="center"/>
    </xf>
    <xf numFmtId="0" fontId="0" fillId="0" borderId="47" xfId="0" applyBorder="1">
      <alignment vertical="center"/>
    </xf>
    <xf numFmtId="0" fontId="3" fillId="0" borderId="48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9" xfId="0" applyFont="1" applyFill="1" applyBorder="1">
      <alignment vertical="center"/>
    </xf>
    <xf numFmtId="0" fontId="33" fillId="0" borderId="48" xfId="0" applyFont="1" applyFill="1" applyBorder="1">
      <alignment vertical="center"/>
    </xf>
    <xf numFmtId="0" fontId="32" fillId="0" borderId="48" xfId="0" applyFont="1" applyFill="1" applyBorder="1">
      <alignment vertical="center"/>
    </xf>
    <xf numFmtId="0" fontId="32" fillId="0" borderId="49" xfId="0" applyFont="1" applyFill="1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48" xfId="0" applyBorder="1">
      <alignment vertical="center"/>
    </xf>
    <xf numFmtId="0" fontId="3" fillId="0" borderId="47" xfId="0" applyFont="1" applyFill="1" applyBorder="1">
      <alignment vertical="center"/>
    </xf>
    <xf numFmtId="0" fontId="0" fillId="0" borderId="52" xfId="0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Protection="1">
      <alignment vertical="center"/>
      <protection hidden="1"/>
    </xf>
    <xf numFmtId="0" fontId="38" fillId="0" borderId="0" xfId="0" applyFo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Protection="1">
      <alignment vertical="center"/>
      <protection hidden="1"/>
    </xf>
    <xf numFmtId="0" fontId="0" fillId="2" borderId="1" xfId="1" applyFont="1" applyProtection="1">
      <alignment vertical="center"/>
      <protection hidden="1"/>
    </xf>
    <xf numFmtId="176" fontId="0" fillId="0" borderId="0" xfId="0" applyNumberForma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3" fillId="0" borderId="0" xfId="0" applyFont="1" applyProtection="1">
      <alignment vertical="center"/>
      <protection hidden="1"/>
    </xf>
    <xf numFmtId="177" fontId="0" fillId="0" borderId="0" xfId="0" applyNumberFormat="1" applyProtection="1">
      <alignment vertical="center"/>
      <protection hidden="1"/>
    </xf>
    <xf numFmtId="176" fontId="6" fillId="0" borderId="12" xfId="0" applyNumberFormat="1" applyFont="1" applyBorder="1" applyProtection="1">
      <alignment vertical="center"/>
      <protection hidden="1"/>
    </xf>
    <xf numFmtId="0" fontId="0" fillId="0" borderId="14" xfId="0" applyBorder="1" applyAlignment="1" applyProtection="1">
      <alignment horizontal="right" vertical="center"/>
      <protection hidden="1"/>
    </xf>
    <xf numFmtId="0" fontId="21" fillId="0" borderId="0" xfId="0" applyFont="1" applyProtection="1">
      <alignment vertical="center"/>
      <protection hidden="1"/>
    </xf>
    <xf numFmtId="0" fontId="16" fillId="0" borderId="0" xfId="0" applyFont="1" applyProtection="1">
      <alignment vertical="center"/>
      <protection hidden="1"/>
    </xf>
    <xf numFmtId="0" fontId="0" fillId="3" borderId="1" xfId="1" applyFont="1" applyFill="1" applyProtection="1">
      <alignment vertical="center"/>
      <protection hidden="1"/>
    </xf>
    <xf numFmtId="2" fontId="0" fillId="0" borderId="0" xfId="0" applyNumberFormat="1" applyProtection="1">
      <alignment vertical="center"/>
      <protection hidden="1"/>
    </xf>
    <xf numFmtId="0" fontId="26" fillId="0" borderId="0" xfId="0" applyFont="1" applyProtection="1">
      <alignment vertical="center"/>
      <protection hidden="1"/>
    </xf>
    <xf numFmtId="0" fontId="0" fillId="0" borderId="2" xfId="0" applyBorder="1" applyProtection="1">
      <alignment vertical="center"/>
      <protection hidden="1"/>
    </xf>
    <xf numFmtId="0" fontId="14" fillId="5" borderId="0" xfId="3" applyProtection="1">
      <alignment vertical="center"/>
      <protection hidden="1"/>
    </xf>
    <xf numFmtId="176" fontId="14" fillId="5" borderId="0" xfId="3" applyNumberFormat="1" applyProtection="1">
      <alignment vertical="center"/>
      <protection hidden="1"/>
    </xf>
    <xf numFmtId="0" fontId="39" fillId="0" borderId="0" xfId="0" applyFont="1" applyProtection="1">
      <alignment vertical="center"/>
      <protection hidden="1"/>
    </xf>
    <xf numFmtId="41" fontId="0" fillId="2" borderId="1" xfId="5" applyFont="1" applyFill="1" applyBorder="1" applyProtection="1">
      <alignment vertical="center"/>
      <protection hidden="1"/>
    </xf>
    <xf numFmtId="41" fontId="0" fillId="0" borderId="0" xfId="0" applyNumberFormat="1" applyProtection="1">
      <alignment vertical="center"/>
      <protection hidden="1"/>
    </xf>
    <xf numFmtId="0" fontId="0" fillId="0" borderId="62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9" fontId="18" fillId="6" borderId="63" xfId="0" applyNumberFormat="1" applyFont="1" applyFill="1" applyBorder="1" applyAlignment="1" applyProtection="1">
      <alignment horizontal="center" vertical="center"/>
      <protection hidden="1"/>
    </xf>
    <xf numFmtId="9" fontId="18" fillId="7" borderId="63" xfId="0" applyNumberFormat="1" applyFont="1" applyFill="1" applyBorder="1" applyAlignment="1" applyProtection="1">
      <alignment horizontal="center" vertical="center"/>
      <protection hidden="1"/>
    </xf>
    <xf numFmtId="9" fontId="18" fillId="8" borderId="63" xfId="0" applyNumberFormat="1" applyFont="1" applyFill="1" applyBorder="1" applyAlignment="1" applyProtection="1">
      <alignment horizontal="center" vertical="center"/>
      <protection hidden="1"/>
    </xf>
    <xf numFmtId="9" fontId="18" fillId="9" borderId="63" xfId="0" applyNumberFormat="1" applyFont="1" applyFill="1" applyBorder="1" applyAlignment="1" applyProtection="1">
      <alignment horizontal="center" vertical="center"/>
      <protection hidden="1"/>
    </xf>
    <xf numFmtId="9" fontId="28" fillId="10" borderId="63" xfId="0" applyNumberFormat="1" applyFont="1" applyFill="1" applyBorder="1" applyAlignment="1" applyProtection="1">
      <alignment horizontal="center" vertical="center"/>
      <protection hidden="1"/>
    </xf>
    <xf numFmtId="0" fontId="1" fillId="5" borderId="1" xfId="3" applyFont="1" applyBorder="1" applyProtection="1">
      <alignment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0" fillId="0" borderId="48" xfId="0" applyBorder="1" applyProtection="1">
      <alignment vertical="center"/>
      <protection hidden="1"/>
    </xf>
    <xf numFmtId="0" fontId="0" fillId="0" borderId="49" xfId="0" applyBorder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44" xfId="0" applyBorder="1" applyProtection="1">
      <alignment vertical="center"/>
      <protection hidden="1"/>
    </xf>
    <xf numFmtId="0" fontId="0" fillId="2" borderId="1" xfId="1" applyFont="1" applyBorder="1" applyAlignment="1" applyProtection="1">
      <alignment horizontal="right" vertical="center"/>
      <protection locked="0" hidden="1"/>
    </xf>
    <xf numFmtId="0" fontId="0" fillId="0" borderId="0" xfId="0" applyBorder="1" applyAlignment="1" applyProtection="1">
      <alignment horizontal="right" vertical="center"/>
      <protection hidden="1"/>
    </xf>
    <xf numFmtId="0" fontId="0" fillId="0" borderId="44" xfId="0" applyBorder="1" applyAlignment="1" applyProtection="1">
      <alignment horizontal="right" vertical="center"/>
      <protection hidden="1"/>
    </xf>
    <xf numFmtId="0" fontId="0" fillId="2" borderId="36" xfId="1" applyFont="1" applyBorder="1" applyAlignment="1" applyProtection="1">
      <alignment horizontal="right" vertical="center"/>
      <protection locked="0" hidden="1"/>
    </xf>
    <xf numFmtId="0" fontId="0" fillId="0" borderId="30" xfId="0" applyBorder="1" applyProtection="1">
      <alignment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0" fillId="0" borderId="51" xfId="0" applyBorder="1" applyProtection="1">
      <alignment vertical="center"/>
      <protection hidden="1"/>
    </xf>
    <xf numFmtId="0" fontId="0" fillId="2" borderId="66" xfId="1" applyFont="1" applyBorder="1" applyAlignment="1" applyProtection="1">
      <alignment horizontal="right" vertical="center"/>
      <protection locked="0" hidden="1"/>
    </xf>
    <xf numFmtId="0" fontId="4" fillId="0" borderId="51" xfId="0" applyFont="1" applyBorder="1" applyAlignment="1" applyProtection="1">
      <alignment horizontal="center" vertical="center"/>
      <protection hidden="1"/>
    </xf>
    <xf numFmtId="0" fontId="0" fillId="2" borderId="65" xfId="1" applyFont="1" applyBorder="1" applyAlignment="1" applyProtection="1">
      <alignment horizontal="right" vertical="center"/>
      <protection locked="0" hidden="1"/>
    </xf>
    <xf numFmtId="0" fontId="0" fillId="2" borderId="64" xfId="1" applyFont="1" applyBorder="1" applyAlignment="1" applyProtection="1">
      <alignment horizontal="right" vertical="center"/>
      <protection locked="0" hidden="1"/>
    </xf>
    <xf numFmtId="0" fontId="0" fillId="0" borderId="34" xfId="0" applyBorder="1" applyProtection="1">
      <alignment vertical="center"/>
      <protection hidden="1"/>
    </xf>
    <xf numFmtId="0" fontId="4" fillId="0" borderId="35" xfId="0" applyFont="1" applyBorder="1" applyProtection="1">
      <alignment vertical="center"/>
      <protection hidden="1"/>
    </xf>
    <xf numFmtId="0" fontId="0" fillId="2" borderId="67" xfId="1" applyFont="1" applyBorder="1" applyAlignment="1" applyProtection="1">
      <alignment horizontal="right" vertical="center"/>
      <protection locked="0" hidden="1"/>
    </xf>
    <xf numFmtId="0" fontId="0" fillId="0" borderId="68" xfId="0" applyBorder="1" applyAlignment="1" applyProtection="1">
      <alignment horizontal="right" vertical="center"/>
      <protection hidden="1"/>
    </xf>
    <xf numFmtId="0" fontId="0" fillId="2" borderId="69" xfId="1" applyFont="1" applyBorder="1" applyAlignment="1" applyProtection="1">
      <alignment horizontal="right" vertical="center"/>
      <protection locked="0" hidden="1"/>
    </xf>
    <xf numFmtId="0" fontId="0" fillId="2" borderId="70" xfId="1" applyFont="1" applyBorder="1" applyProtection="1">
      <alignment vertical="center"/>
      <protection hidden="1"/>
    </xf>
    <xf numFmtId="0" fontId="0" fillId="2" borderId="71" xfId="1" applyFont="1" applyBorder="1" applyAlignment="1" applyProtection="1">
      <alignment horizontal="right" vertical="center"/>
      <protection locked="0" hidden="1"/>
    </xf>
    <xf numFmtId="0" fontId="0" fillId="2" borderId="61" xfId="1" applyFont="1" applyBorder="1" applyAlignment="1" applyProtection="1">
      <alignment horizontal="right" vertical="center"/>
      <protection locked="0" hidden="1"/>
    </xf>
    <xf numFmtId="0" fontId="0" fillId="0" borderId="49" xfId="0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35" xfId="0" applyBorder="1" applyProtection="1">
      <alignment vertical="center"/>
      <protection hidden="1"/>
    </xf>
    <xf numFmtId="0" fontId="0" fillId="0" borderId="68" xfId="0" applyBorder="1" applyProtection="1">
      <alignment vertical="center"/>
      <protection hidden="1"/>
    </xf>
    <xf numFmtId="0" fontId="3" fillId="0" borderId="68" xfId="0" applyFont="1" applyBorder="1" applyProtection="1">
      <alignment vertical="center"/>
      <protection hidden="1"/>
    </xf>
    <xf numFmtId="0" fontId="0" fillId="0" borderId="68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0" fillId="12" borderId="24" xfId="0" applyFill="1" applyBorder="1" applyProtection="1">
      <alignment vertical="center"/>
      <protection locked="0" hidden="1"/>
    </xf>
    <xf numFmtId="0" fontId="0" fillId="12" borderId="51" xfId="0" applyFill="1" applyBorder="1" applyProtection="1">
      <alignment vertical="center"/>
      <protection locked="0" hidden="1"/>
    </xf>
    <xf numFmtId="0" fontId="0" fillId="12" borderId="68" xfId="0" applyFill="1" applyBorder="1" applyProtection="1">
      <alignment vertical="center"/>
      <protection locked="0" hidden="1"/>
    </xf>
    <xf numFmtId="0" fontId="0" fillId="12" borderId="44" xfId="0" applyFill="1" applyBorder="1" applyProtection="1">
      <alignment vertical="center"/>
      <protection locked="0" hidden="1"/>
    </xf>
    <xf numFmtId="0" fontId="0" fillId="0" borderId="0" xfId="0" applyBorder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2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Font="1" applyProtection="1">
      <alignment vertical="center"/>
      <protection hidden="1"/>
    </xf>
    <xf numFmtId="0" fontId="0" fillId="0" borderId="5" xfId="0" applyBorder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0" fillId="0" borderId="3" xfId="0" applyBorder="1" applyProtection="1">
      <alignment vertical="center"/>
      <protection hidden="1"/>
    </xf>
    <xf numFmtId="0" fontId="0" fillId="0" borderId="4" xfId="0" applyBorder="1" applyProtection="1">
      <alignment vertical="center"/>
      <protection hidden="1"/>
    </xf>
    <xf numFmtId="0" fontId="0" fillId="0" borderId="19" xfId="0" applyBorder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0" fillId="0" borderId="15" xfId="0" applyBorder="1" applyProtection="1">
      <alignment vertical="center"/>
      <protection hidden="1"/>
    </xf>
    <xf numFmtId="0" fontId="0" fillId="2" borderId="53" xfId="1" applyFont="1" applyBorder="1" applyProtection="1">
      <alignment vertical="center"/>
      <protection hidden="1"/>
    </xf>
    <xf numFmtId="0" fontId="36" fillId="0" borderId="0" xfId="0" applyFont="1" applyProtection="1">
      <alignment vertical="center"/>
      <protection hidden="1"/>
    </xf>
    <xf numFmtId="0" fontId="1" fillId="4" borderId="1" xfId="2" applyFont="1" applyBorder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18" fillId="0" borderId="0" xfId="0" applyFo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0" fillId="0" borderId="11" xfId="0" applyBorder="1" applyProtection="1">
      <alignment vertical="center"/>
      <protection hidden="1"/>
    </xf>
    <xf numFmtId="0" fontId="3" fillId="2" borderId="56" xfId="1" applyFont="1" applyBorder="1" applyProtection="1">
      <alignment vertical="center"/>
      <protection hidden="1"/>
    </xf>
    <xf numFmtId="0" fontId="8" fillId="0" borderId="0" xfId="0" applyFont="1" applyProtection="1">
      <alignment vertical="center"/>
      <protection hidden="1"/>
    </xf>
    <xf numFmtId="0" fontId="30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0" fillId="0" borderId="8" xfId="0" applyBorder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0" fillId="0" borderId="18" xfId="0" applyBorder="1" applyProtection="1">
      <alignment vertical="center"/>
      <protection hidden="1"/>
    </xf>
    <xf numFmtId="0" fontId="3" fillId="2" borderId="57" xfId="1" applyFont="1" applyBorder="1" applyProtection="1">
      <alignment vertical="center"/>
      <protection hidden="1"/>
    </xf>
    <xf numFmtId="0" fontId="37" fillId="0" borderId="0" xfId="0" applyFont="1" applyProtection="1">
      <alignment vertical="center"/>
      <protection hidden="1"/>
    </xf>
    <xf numFmtId="0" fontId="18" fillId="4" borderId="1" xfId="2" applyFont="1" applyBorder="1" applyProtection="1">
      <alignment vertical="center"/>
      <protection hidden="1"/>
    </xf>
    <xf numFmtId="0" fontId="3" fillId="2" borderId="1" xfId="1" applyFont="1" applyProtection="1">
      <alignment vertical="center"/>
      <protection hidden="1"/>
    </xf>
    <xf numFmtId="0" fontId="9" fillId="2" borderId="1" xfId="1" applyFont="1" applyProtection="1">
      <alignment vertical="center"/>
      <protection hidden="1"/>
    </xf>
    <xf numFmtId="0" fontId="5" fillId="2" borderId="1" xfId="1" applyFont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0" fontId="0" fillId="2" borderId="6" xfId="1" applyFont="1" applyBorder="1" applyProtection="1">
      <alignment vertical="center"/>
      <protection hidden="1"/>
    </xf>
    <xf numFmtId="0" fontId="0" fillId="2" borderId="7" xfId="1" applyFont="1" applyBorder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0" fillId="2" borderId="55" xfId="1" applyFont="1" applyBorder="1" applyProtection="1">
      <alignment vertical="center"/>
      <protection hidden="1"/>
    </xf>
    <xf numFmtId="0" fontId="3" fillId="2" borderId="18" xfId="1" applyFont="1" applyBorder="1" applyProtection="1">
      <alignment vertical="center"/>
      <protection hidden="1"/>
    </xf>
    <xf numFmtId="0" fontId="34" fillId="0" borderId="58" xfId="1" applyFont="1" applyFill="1" applyBorder="1" applyProtection="1">
      <alignment vertical="center"/>
      <protection hidden="1"/>
    </xf>
    <xf numFmtId="0" fontId="0" fillId="3" borderId="1" xfId="1" applyNumberFormat="1" applyFont="1" applyFill="1" applyProtection="1">
      <alignment vertical="center"/>
      <protection hidden="1"/>
    </xf>
    <xf numFmtId="0" fontId="1" fillId="3" borderId="1" xfId="1" applyNumberFormat="1" applyFont="1" applyFill="1" applyProtection="1">
      <alignment vertical="center"/>
      <protection hidden="1"/>
    </xf>
    <xf numFmtId="0" fontId="12" fillId="3" borderId="1" xfId="1" applyNumberFormat="1" applyFont="1" applyFill="1" applyProtection="1">
      <alignment vertical="center"/>
      <protection hidden="1"/>
    </xf>
    <xf numFmtId="0" fontId="0" fillId="3" borderId="6" xfId="1" applyNumberFormat="1" applyFont="1" applyFill="1" applyBorder="1" applyProtection="1">
      <alignment vertical="center"/>
      <protection hidden="1"/>
    </xf>
    <xf numFmtId="0" fontId="0" fillId="3" borderId="7" xfId="1" applyNumberFormat="1" applyFont="1" applyFill="1" applyBorder="1" applyProtection="1">
      <alignment vertical="center"/>
      <protection hidden="1"/>
    </xf>
    <xf numFmtId="2" fontId="0" fillId="0" borderId="1" xfId="4" applyNumberFormat="1" applyFont="1" applyFill="1" applyBorder="1" applyProtection="1">
      <alignment vertical="center"/>
      <protection hidden="1"/>
    </xf>
    <xf numFmtId="0" fontId="0" fillId="3" borderId="36" xfId="1" applyNumberFormat="1" applyFont="1" applyFill="1" applyBorder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2" fillId="0" borderId="0" xfId="0" applyFont="1" applyProtection="1">
      <alignment vertical="center"/>
      <protection hidden="1"/>
    </xf>
    <xf numFmtId="0" fontId="5" fillId="0" borderId="62" xfId="0" applyFont="1" applyBorder="1" applyProtection="1">
      <alignment vertical="center"/>
      <protection hidden="1"/>
    </xf>
    <xf numFmtId="0" fontId="5" fillId="0" borderId="10" xfId="0" applyFont="1" applyBorder="1" applyProtection="1">
      <alignment vertical="center"/>
      <protection hidden="1"/>
    </xf>
    <xf numFmtId="0" fontId="5" fillId="0" borderId="14" xfId="0" applyFont="1" applyBorder="1" applyProtection="1">
      <alignment vertical="center"/>
      <protection hidden="1"/>
    </xf>
    <xf numFmtId="0" fontId="7" fillId="2" borderId="25" xfId="1" applyFont="1" applyBorder="1" applyProtection="1">
      <alignment vertical="center"/>
      <protection hidden="1"/>
    </xf>
    <xf numFmtId="0" fontId="0" fillId="2" borderId="26" xfId="1" applyFont="1" applyBorder="1" applyProtection="1">
      <alignment vertical="center"/>
      <protection hidden="1"/>
    </xf>
    <xf numFmtId="0" fontId="0" fillId="2" borderId="27" xfId="1" applyFont="1" applyBorder="1" applyProtection="1">
      <alignment vertical="center"/>
      <protection hidden="1"/>
    </xf>
    <xf numFmtId="0" fontId="0" fillId="2" borderId="28" xfId="1" applyFont="1" applyBorder="1" applyProtection="1">
      <alignment vertical="center"/>
      <protection hidden="1"/>
    </xf>
    <xf numFmtId="0" fontId="0" fillId="0" borderId="63" xfId="0" applyBorder="1" applyProtection="1">
      <alignment vertical="center"/>
      <protection hidden="1"/>
    </xf>
    <xf numFmtId="0" fontId="0" fillId="0" borderId="24" xfId="0" applyBorder="1" applyProtection="1">
      <alignment vertical="center"/>
      <protection hidden="1"/>
    </xf>
    <xf numFmtId="0" fontId="0" fillId="0" borderId="29" xfId="0" applyBorder="1" applyProtection="1">
      <alignment vertical="center"/>
      <protection hidden="1"/>
    </xf>
    <xf numFmtId="0" fontId="0" fillId="2" borderId="31" xfId="1" applyFont="1" applyBorder="1" applyProtection="1">
      <alignment vertical="center"/>
      <protection hidden="1"/>
    </xf>
    <xf numFmtId="0" fontId="7" fillId="4" borderId="32" xfId="2" applyFont="1" applyBorder="1" applyAlignment="1" applyProtection="1">
      <alignment horizontal="left" vertical="center"/>
      <protection hidden="1"/>
    </xf>
    <xf numFmtId="0" fontId="1" fillId="4" borderId="33" xfId="2" applyFont="1" applyBorder="1" applyProtection="1">
      <alignment vertical="center"/>
      <protection hidden="1"/>
    </xf>
    <xf numFmtId="0" fontId="40" fillId="0" borderId="0" xfId="0" applyFont="1" applyProtection="1">
      <alignment vertical="center"/>
      <protection hidden="1"/>
    </xf>
    <xf numFmtId="0" fontId="0" fillId="0" borderId="16" xfId="0" applyBorder="1" applyProtection="1">
      <alignment vertical="center"/>
      <protection hidden="1"/>
    </xf>
    <xf numFmtId="0" fontId="0" fillId="0" borderId="17" xfId="0" applyBorder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4" borderId="21" xfId="2" applyFont="1" applyBorder="1" applyProtection="1">
      <alignment vertical="center"/>
      <protection hidden="1"/>
    </xf>
    <xf numFmtId="0" fontId="13" fillId="4" borderId="22" xfId="2" applyBorder="1" applyProtection="1">
      <alignment vertical="center"/>
      <protection hidden="1"/>
    </xf>
    <xf numFmtId="0" fontId="13" fillId="4" borderId="23" xfId="2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0" fillId="0" borderId="20" xfId="0" applyBorder="1" applyProtection="1">
      <alignment vertical="center"/>
      <protection hidden="1"/>
    </xf>
    <xf numFmtId="0" fontId="1" fillId="3" borderId="0" xfId="3" applyFont="1" applyFill="1" applyProtection="1">
      <alignment vertical="center"/>
      <protection hidden="1"/>
    </xf>
    <xf numFmtId="0" fontId="1" fillId="3" borderId="1" xfId="3" applyFont="1" applyFill="1" applyBorder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8" fillId="0" borderId="5" xfId="0" applyFont="1" applyBorder="1" applyProtection="1">
      <alignment vertical="center"/>
      <protection hidden="1"/>
    </xf>
    <xf numFmtId="0" fontId="31" fillId="0" borderId="0" xfId="0" applyFont="1" applyProtection="1">
      <alignment vertical="center"/>
      <protection hidden="1"/>
    </xf>
    <xf numFmtId="0" fontId="18" fillId="3" borderId="1" xfId="3" applyFont="1" applyFill="1" applyBorder="1" applyProtection="1">
      <alignment vertical="center"/>
      <protection hidden="1"/>
    </xf>
    <xf numFmtId="0" fontId="35" fillId="0" borderId="0" xfId="0" applyFont="1" applyProtection="1">
      <alignment vertical="center"/>
      <protection hidden="1"/>
    </xf>
    <xf numFmtId="0" fontId="32" fillId="0" borderId="0" xfId="0" applyFont="1" applyProtection="1">
      <alignment vertical="center"/>
      <protection hidden="1"/>
    </xf>
    <xf numFmtId="0" fontId="13" fillId="4" borderId="0" xfId="2" applyProtection="1">
      <alignment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7" fillId="0" borderId="0" xfId="0" applyFont="1" applyProtection="1">
      <alignment vertical="center"/>
      <protection hidden="1"/>
    </xf>
    <xf numFmtId="176" fontId="14" fillId="5" borderId="1" xfId="3" applyNumberFormat="1" applyBorder="1" applyProtection="1">
      <alignment vertical="center"/>
      <protection hidden="1"/>
    </xf>
    <xf numFmtId="176" fontId="22" fillId="5" borderId="1" xfId="3" applyNumberFormat="1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0" fillId="3" borderId="0" xfId="0" applyFill="1" applyProtection="1">
      <alignment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5" xfId="0" applyFill="1" applyBorder="1" applyProtection="1">
      <alignment vertical="center"/>
      <protection hidden="1"/>
    </xf>
    <xf numFmtId="178" fontId="0" fillId="3" borderId="0" xfId="0" applyNumberFormat="1" applyFill="1" applyProtection="1">
      <alignment vertical="center"/>
      <protection hidden="1"/>
    </xf>
    <xf numFmtId="0" fontId="0" fillId="3" borderId="0" xfId="0" applyFont="1" applyFill="1" applyProtection="1">
      <alignment vertical="center"/>
      <protection hidden="1"/>
    </xf>
    <xf numFmtId="178" fontId="0" fillId="0" borderId="0" xfId="0" applyNumberFormat="1" applyProtection="1">
      <alignment vertical="center"/>
      <protection hidden="1"/>
    </xf>
    <xf numFmtId="0" fontId="0" fillId="11" borderId="0" xfId="0" applyFill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41" fillId="11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2" xfId="0" applyFont="1" applyBorder="1" applyAlignment="1" applyProtection="1">
      <alignment horizontal="center" vertical="center"/>
      <protection hidden="1"/>
    </xf>
    <xf numFmtId="0" fontId="18" fillId="0" borderId="14" xfId="0" applyFont="1" applyBorder="1" applyAlignment="1" applyProtection="1">
      <alignment horizontal="center" vertical="center"/>
      <protection hidden="1"/>
    </xf>
  </cellXfs>
  <cellStyles count="6">
    <cellStyle name="메모" xfId="1" builtinId="10" customBuiltin="1"/>
    <cellStyle name="백분율" xfId="4" builtinId="5"/>
    <cellStyle name="보통" xfId="3" builtinId="28"/>
    <cellStyle name="쉼표 [0]" xfId="5" builtinId="6"/>
    <cellStyle name="좋음" xfId="2" builtinId="26"/>
    <cellStyle name="표준" xfId="0" builtinId="0"/>
  </cellStyles>
  <dxfs count="59"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 patternType="none">
          <bgColor auto="1"/>
        </patternFill>
      </fill>
    </dxf>
    <dxf>
      <fill>
        <patternFill>
          <bgColor rgb="FFFFFF00"/>
        </patternFill>
      </fill>
      <border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FF99CC"/>
        </patternFill>
      </fill>
    </dxf>
    <dxf>
      <font>
        <color rgb="FFFFFF00"/>
      </font>
      <fill>
        <patternFill>
          <bgColor rgb="FFFF6699"/>
        </patternFill>
      </fill>
    </dxf>
    <dxf>
      <font>
        <color theme="7" tint="0.39994506668294322"/>
      </font>
      <fill>
        <patternFill>
          <bgColor rgb="FFFF6699"/>
        </patternFill>
      </fill>
    </dxf>
    <dxf>
      <font>
        <color theme="7" tint="0.79998168889431442"/>
      </font>
      <fill>
        <patternFill>
          <bgColor rgb="FFFF0000"/>
        </patternFill>
      </fill>
    </dxf>
    <dxf>
      <font>
        <color theme="7" tint="0.39994506668294322"/>
      </font>
      <fill>
        <patternFill>
          <bgColor rgb="FFFF0000"/>
        </patternFill>
      </fill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ill>
        <patternFill>
          <bgColor theme="8" tint="0.59996337778862885"/>
        </patternFill>
      </fill>
      <border>
        <top style="thin">
          <color theme="2" tint="-0.24994659260841701"/>
        </top>
        <bottom style="thin">
          <color theme="2" tint="-0.24994659260841701"/>
        </bottom>
      </border>
    </dxf>
    <dxf>
      <fill>
        <patternFill>
          <bgColor theme="9" tint="0.79998168889431442"/>
        </patternFill>
      </fill>
      <border>
        <top style="thin">
          <color theme="2" tint="-9.9948118533890809E-2"/>
        </top>
        <bottom style="thin">
          <color theme="2" tint="-9.9948118533890809E-2"/>
        </bottom>
      </border>
    </dxf>
    <dxf>
      <fill>
        <patternFill>
          <bgColor theme="7" tint="0.79998168889431442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ill>
        <patternFill>
          <bgColor rgb="FFFFC7CE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top style="thin">
          <color theme="2" tint="-0.24994659260841701"/>
        </top>
        <bottom style="thin">
          <color theme="2" tint="-0.24994659260841701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  <dxf>
      <font>
        <color theme="6" tint="0.79998168889431442"/>
      </font>
      <fill>
        <patternFill>
          <bgColor theme="1" tint="0.14996795556505021"/>
        </patternFill>
      </fill>
      <border>
        <top style="thin">
          <color theme="2" tint="-9.9948118533890809E-2"/>
        </top>
        <bottom style="thin">
          <color theme="2" tint="-9.9948118533890809E-2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FF5050"/>
      <color rgb="FFFF6699"/>
      <color rgb="FFFFCCFF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0916-CF75-4DF0-B39B-8B6425E728D8}">
  <sheetPr codeName="Sheet1"/>
  <dimension ref="A1:BA362"/>
  <sheetViews>
    <sheetView tabSelected="1" workbookViewId="0">
      <selection activeCell="B3" sqref="B3:C3"/>
    </sheetView>
  </sheetViews>
  <sheetFormatPr defaultRowHeight="16.5" x14ac:dyDescent="0.3"/>
  <cols>
    <col min="1" max="1" width="9.875" style="7" customWidth="1"/>
    <col min="2" max="6" width="8.125" style="7" customWidth="1"/>
    <col min="7" max="25" width="8.625" style="7" customWidth="1"/>
    <col min="26" max="26" width="9" style="7"/>
    <col min="27" max="27" width="9" style="7" customWidth="1"/>
    <col min="28" max="28" width="9.875" style="7" hidden="1" customWidth="1"/>
    <col min="29" max="36" width="0" style="7" hidden="1" customWidth="1"/>
    <col min="37" max="37" width="9" style="7" hidden="1" customWidth="1"/>
    <col min="38" max="38" width="0" style="7" hidden="1" customWidth="1"/>
    <col min="39" max="16384" width="9" style="7"/>
  </cols>
  <sheetData>
    <row r="1" spans="1:38" x14ac:dyDescent="0.3">
      <c r="B1" s="211" t="s">
        <v>1589</v>
      </c>
      <c r="C1" s="211"/>
      <c r="D1" s="211"/>
      <c r="E1" s="211"/>
      <c r="F1" s="211"/>
    </row>
    <row r="2" spans="1:38" ht="17.25" thickBot="1" x14ac:dyDescent="0.35">
      <c r="B2"/>
      <c r="C2"/>
      <c r="D2"/>
      <c r="E2"/>
      <c r="F2"/>
      <c r="AB2" s="39" t="s">
        <v>108</v>
      </c>
      <c r="AC2" s="7" t="s">
        <v>91</v>
      </c>
      <c r="AD2" s="7" t="s">
        <v>92</v>
      </c>
      <c r="AE2" s="7" t="s">
        <v>93</v>
      </c>
      <c r="AG2" s="7" t="s">
        <v>94</v>
      </c>
      <c r="AH2" s="7" t="s">
        <v>95</v>
      </c>
      <c r="AJ2" s="7">
        <v>23</v>
      </c>
      <c r="AK2" s="7">
        <v>24</v>
      </c>
      <c r="AL2" s="7">
        <v>25</v>
      </c>
    </row>
    <row r="3" spans="1:38" ht="21" thickBot="1" x14ac:dyDescent="0.35">
      <c r="B3" s="212" t="s">
        <v>0</v>
      </c>
      <c r="C3" s="213"/>
      <c r="D3"/>
      <c r="E3" s="6" t="s">
        <v>1588</v>
      </c>
      <c r="F3"/>
      <c r="H3" s="40"/>
      <c r="AC3" s="7" t="s">
        <v>70</v>
      </c>
    </row>
    <row r="4" spans="1:38" ht="17.25" thickBot="1" x14ac:dyDescent="0.35">
      <c r="AC4" s="7" t="s">
        <v>77</v>
      </c>
      <c r="AD4" s="7" t="s">
        <v>77</v>
      </c>
      <c r="AE4" s="7" t="s">
        <v>77</v>
      </c>
      <c r="AF4" s="7" t="s">
        <v>77</v>
      </c>
      <c r="AG4" s="7" t="s">
        <v>86</v>
      </c>
      <c r="AH4" s="7" t="s">
        <v>77</v>
      </c>
      <c r="AI4" s="7" t="s">
        <v>77</v>
      </c>
      <c r="AJ4" s="7" t="s">
        <v>77</v>
      </c>
      <c r="AK4" s="7" t="s">
        <v>77</v>
      </c>
      <c r="AL4" s="7" t="s">
        <v>77</v>
      </c>
    </row>
    <row r="5" spans="1:38" x14ac:dyDescent="0.3">
      <c r="A5" s="87"/>
      <c r="B5" s="70" t="s">
        <v>6</v>
      </c>
      <c r="C5" s="70"/>
      <c r="D5" s="70" t="s">
        <v>7</v>
      </c>
      <c r="E5" s="70"/>
      <c r="F5" s="95"/>
      <c r="G5" s="70" t="s">
        <v>9</v>
      </c>
      <c r="H5" s="70"/>
      <c r="I5" s="70"/>
      <c r="J5" s="70"/>
      <c r="K5" s="70"/>
      <c r="L5" s="70"/>
      <c r="M5" s="70"/>
      <c r="N5" s="95"/>
      <c r="O5" s="70" t="s">
        <v>11</v>
      </c>
      <c r="P5" s="71"/>
      <c r="Q5" s="71"/>
      <c r="R5" s="71"/>
      <c r="S5" s="71"/>
      <c r="T5" s="71"/>
      <c r="U5" s="71"/>
      <c r="V5" s="71"/>
      <c r="W5" s="72"/>
      <c r="X5" s="87" t="s">
        <v>21</v>
      </c>
      <c r="Y5" s="87" t="s">
        <v>23</v>
      </c>
      <c r="Z5" s="72" t="s">
        <v>75</v>
      </c>
      <c r="AC5" s="7">
        <v>1</v>
      </c>
      <c r="AD5" s="7">
        <v>1</v>
      </c>
      <c r="AE5" s="7">
        <v>1</v>
      </c>
      <c r="AF5" s="7">
        <v>2</v>
      </c>
      <c r="AG5" s="7">
        <v>9</v>
      </c>
      <c r="AH5" s="7">
        <v>1</v>
      </c>
      <c r="AI5" s="7">
        <v>2</v>
      </c>
      <c r="AJ5" s="7">
        <v>1</v>
      </c>
      <c r="AK5" s="7">
        <v>1</v>
      </c>
      <c r="AL5" s="7">
        <v>1</v>
      </c>
    </row>
    <row r="6" spans="1:38" ht="17.25" thickBot="1" x14ac:dyDescent="0.35">
      <c r="A6" s="97"/>
      <c r="B6" s="80" t="s">
        <v>1</v>
      </c>
      <c r="C6" s="80" t="s">
        <v>2</v>
      </c>
      <c r="D6" s="80" t="s">
        <v>3</v>
      </c>
      <c r="E6" s="80" t="s">
        <v>8</v>
      </c>
      <c r="F6" s="96" t="s">
        <v>4</v>
      </c>
      <c r="G6" s="81" t="s">
        <v>10</v>
      </c>
      <c r="H6" s="81" t="s">
        <v>24</v>
      </c>
      <c r="I6" s="81" t="s">
        <v>676</v>
      </c>
      <c r="J6" s="81" t="s">
        <v>26</v>
      </c>
      <c r="K6" s="81" t="s">
        <v>241</v>
      </c>
      <c r="L6" s="81" t="s">
        <v>242</v>
      </c>
      <c r="M6" s="81" t="s">
        <v>677</v>
      </c>
      <c r="N6" s="84" t="s">
        <v>243</v>
      </c>
      <c r="O6" s="81" t="s">
        <v>19</v>
      </c>
      <c r="P6" s="81" t="s">
        <v>20</v>
      </c>
      <c r="Q6" s="81" t="s">
        <v>15</v>
      </c>
      <c r="R6" s="81" t="s">
        <v>14</v>
      </c>
      <c r="S6" s="81" t="s">
        <v>12</v>
      </c>
      <c r="T6" s="81" t="s">
        <v>13</v>
      </c>
      <c r="U6" s="81" t="s">
        <v>17</v>
      </c>
      <c r="V6" s="81" t="s">
        <v>16</v>
      </c>
      <c r="W6" s="84" t="s">
        <v>18</v>
      </c>
      <c r="X6" s="88"/>
      <c r="Y6" s="88"/>
      <c r="Z6" s="82"/>
      <c r="AC6" s="7" t="s">
        <v>6</v>
      </c>
      <c r="AD6" s="7" t="s">
        <v>7</v>
      </c>
      <c r="AE6" s="7" t="s">
        <v>71</v>
      </c>
      <c r="AF6" s="7" t="s">
        <v>72</v>
      </c>
      <c r="AG6" s="7" t="s">
        <v>87</v>
      </c>
      <c r="AH6" s="7" t="s">
        <v>73</v>
      </c>
      <c r="AI6" s="7" t="s">
        <v>74</v>
      </c>
      <c r="AJ6" s="7" t="s">
        <v>21</v>
      </c>
      <c r="AK6" s="7" t="s">
        <v>23</v>
      </c>
      <c r="AL6" s="7" t="s">
        <v>75</v>
      </c>
    </row>
    <row r="7" spans="1:38" hidden="1" x14ac:dyDescent="0.3">
      <c r="A7" s="98" t="s">
        <v>31</v>
      </c>
      <c r="B7" s="83"/>
      <c r="C7" s="78"/>
      <c r="D7" s="78"/>
      <c r="E7" s="78"/>
      <c r="F7" s="85"/>
      <c r="G7" s="83"/>
      <c r="H7" s="78"/>
      <c r="I7" s="78"/>
      <c r="J7" s="78"/>
      <c r="K7" s="78"/>
      <c r="L7" s="78"/>
      <c r="M7" s="78"/>
      <c r="N7" s="85"/>
      <c r="O7" s="83"/>
      <c r="P7" s="78"/>
      <c r="Q7" s="78"/>
      <c r="R7" s="78"/>
      <c r="S7" s="78"/>
      <c r="T7" s="78"/>
      <c r="U7" s="78"/>
      <c r="V7" s="78"/>
      <c r="W7" s="85"/>
      <c r="X7" s="89"/>
      <c r="Y7" s="89"/>
      <c r="Z7" s="92"/>
      <c r="AB7" s="7" t="s">
        <v>35</v>
      </c>
      <c r="AC7" s="44">
        <f>IFERROR(INDEX(B7:C7,MATCH($AC$5,B24:C24,0)),0)</f>
        <v>0</v>
      </c>
      <c r="AD7" s="44">
        <f>IFERROR(INDEX(D7:F7,MATCH($AD$5,D24:F24,0)),0)</f>
        <v>0</v>
      </c>
      <c r="AE7" s="45">
        <f>IFERROR(INDEX($G7:$N7,MATCH(AE$5,$G$24:$N$24,0)),0)</f>
        <v>0</v>
      </c>
      <c r="AF7" s="45">
        <f>IFERROR(INDEX($G7:$N7,MATCH(AF$5,$G$24:$N$24,0)),0)</f>
        <v>0</v>
      </c>
      <c r="AG7" s="7">
        <f>IFERROR(MAX(K7:N7),0)</f>
        <v>0</v>
      </c>
      <c r="AH7" s="44">
        <f>IFERROR(INDEX(O7:W7,MATCH($AH$5,O24:W24,0)),0)</f>
        <v>0</v>
      </c>
      <c r="AI7" s="44">
        <f>IFERROR(INDEX(O7:W7,MATCH($AI$5,O24:W24,0)),0)</f>
        <v>0</v>
      </c>
      <c r="AJ7" s="44">
        <f>X7</f>
        <v>0</v>
      </c>
      <c r="AK7" s="44">
        <f t="shared" ref="AK7:AL7" si="0">Y7</f>
        <v>0</v>
      </c>
      <c r="AL7" s="44">
        <f t="shared" si="0"/>
        <v>0</v>
      </c>
    </row>
    <row r="8" spans="1:38" hidden="1" x14ac:dyDescent="0.3">
      <c r="A8" s="98" t="s">
        <v>32</v>
      </c>
      <c r="B8" s="76" t="str">
        <f>IF(B13&gt;0,B13,IF(B7="","",IFERROR(INDEX(B63:B133,MATCH(B$7,$A$63:$A$133,0)),"")))</f>
        <v/>
      </c>
      <c r="C8" s="76" t="str">
        <f t="shared" ref="C8:F8" si="1">IF(C13&gt;0,C13,IF(C7="","",IFERROR(INDEX(C63:C133,MATCH(C$7,$A$63:$A$133,0)),"")))</f>
        <v/>
      </c>
      <c r="D8" s="76" t="str">
        <f t="shared" si="1"/>
        <v/>
      </c>
      <c r="E8" s="76" t="str">
        <f t="shared" si="1"/>
        <v/>
      </c>
      <c r="F8" s="77" t="str">
        <f t="shared" si="1"/>
        <v/>
      </c>
      <c r="G8" s="76" t="str">
        <f>IF(G13&gt;0,G13,IF(G7="","",IFERROR(INDEX(G63:G133,MATCH(G$7,$AB$63:$AB$133,0)),"")))</f>
        <v/>
      </c>
      <c r="H8" s="76" t="str">
        <f t="shared" ref="H8:W8" si="2">IF(H13&gt;0,H13,IF(H7="","",IFERROR(INDEX(H63:H133,MATCH(H$7,$AB$63:$AB$133,0)),"")))</f>
        <v/>
      </c>
      <c r="I8" s="76" t="str">
        <f t="shared" si="2"/>
        <v/>
      </c>
      <c r="J8" s="76" t="str">
        <f t="shared" si="2"/>
        <v/>
      </c>
      <c r="K8" s="76" t="str">
        <f t="shared" si="2"/>
        <v/>
      </c>
      <c r="L8" s="76" t="str">
        <f t="shared" si="2"/>
        <v/>
      </c>
      <c r="M8" s="76" t="str">
        <f t="shared" si="2"/>
        <v/>
      </c>
      <c r="N8" s="77" t="str">
        <f t="shared" si="2"/>
        <v/>
      </c>
      <c r="O8" s="76" t="str">
        <f t="shared" si="2"/>
        <v/>
      </c>
      <c r="P8" s="76" t="str">
        <f t="shared" si="2"/>
        <v/>
      </c>
      <c r="Q8" s="76" t="str">
        <f t="shared" si="2"/>
        <v/>
      </c>
      <c r="R8" s="76" t="str">
        <f t="shared" si="2"/>
        <v/>
      </c>
      <c r="S8" s="76" t="str">
        <f t="shared" si="2"/>
        <v/>
      </c>
      <c r="T8" s="76" t="str">
        <f t="shared" si="2"/>
        <v/>
      </c>
      <c r="U8" s="76" t="str">
        <f t="shared" si="2"/>
        <v/>
      </c>
      <c r="V8" s="76" t="str">
        <f t="shared" si="2"/>
        <v/>
      </c>
      <c r="W8" s="77" t="str">
        <f t="shared" si="2"/>
        <v/>
      </c>
      <c r="X8" s="90"/>
      <c r="Y8" s="90"/>
      <c r="Z8" s="74"/>
      <c r="AB8" s="7" t="s">
        <v>36</v>
      </c>
      <c r="AC8" s="44">
        <f>IFERROR(INDEX(B8:C8,MATCH($AC$5,B25:C25,0)),0)</f>
        <v>0</v>
      </c>
      <c r="AD8" s="44">
        <f>IFERROR(INDEX(D8:F8,MATCH($AD$5,D25:F25,0)),0)</f>
        <v>0</v>
      </c>
      <c r="AE8" s="45">
        <f>IFERROR(INDEX($G8:$N8,MATCH(AE$5,$G$25:$N$25,0)),0)</f>
        <v>0</v>
      </c>
      <c r="AF8" s="45">
        <f>IFERROR(INDEX($G8:$N8,MATCH(AF$5,$G$25:$N$25,0)),0)</f>
        <v>0</v>
      </c>
      <c r="AG8" s="7">
        <f>IFERROR(MAX(K8:N8),0)</f>
        <v>0</v>
      </c>
      <c r="AH8" s="44">
        <f>IFERROR(INDEX(O8:W8,MATCH($AH$5,O25:W25,0)),0)</f>
        <v>0</v>
      </c>
      <c r="AI8" s="44">
        <f>IFERROR(INDEX(O8:W8,MATCH($AI$5,O25:W25,0)),0)</f>
        <v>0</v>
      </c>
      <c r="AJ8" s="44">
        <f t="shared" ref="AJ8:AJ10" si="3">X8</f>
        <v>0</v>
      </c>
      <c r="AK8" s="44">
        <f t="shared" ref="AK8:AK10" si="4">Y8</f>
        <v>0</v>
      </c>
      <c r="AL8" s="44">
        <f t="shared" ref="AL8:AL10" si="5">Z8</f>
        <v>0</v>
      </c>
    </row>
    <row r="9" spans="1:38" hidden="1" x14ac:dyDescent="0.3">
      <c r="A9" s="98" t="s">
        <v>33</v>
      </c>
      <c r="B9" s="76" t="str">
        <f>IF(B14&gt;0,B14,IF(B7="","",IFERROR(INDEX(B135:B205,MATCH(B$7,$A$135:$A$205,0)),"")))</f>
        <v/>
      </c>
      <c r="C9" s="76" t="str">
        <f t="shared" ref="C9:F9" si="6">IF(C14&gt;0,C14,IF(C7="","",IFERROR(INDEX(C135:C205,MATCH(C$7,$A$135:$A$205,0)),"")))</f>
        <v/>
      </c>
      <c r="D9" s="76" t="str">
        <f t="shared" si="6"/>
        <v/>
      </c>
      <c r="E9" s="76" t="str">
        <f t="shared" si="6"/>
        <v/>
      </c>
      <c r="F9" s="77" t="str">
        <f t="shared" si="6"/>
        <v/>
      </c>
      <c r="G9" s="76" t="str">
        <f>IF(G14&gt;0,G14,IF(G7="","",IFERROR(INDEX(G135:G205,MATCH(G$7,$AB$135:$AB$205,0)),"")))</f>
        <v/>
      </c>
      <c r="H9" s="76" t="str">
        <f t="shared" ref="H9:W9" si="7">IF(H14&gt;0,H14,IF(H7="","",IFERROR(INDEX(H135:H205,MATCH(H$7,$AB$135:$AB$205,0)),"")))</f>
        <v/>
      </c>
      <c r="I9" s="76" t="str">
        <f t="shared" si="7"/>
        <v/>
      </c>
      <c r="J9" s="76" t="str">
        <f t="shared" si="7"/>
        <v/>
      </c>
      <c r="K9" s="76" t="str">
        <f t="shared" si="7"/>
        <v/>
      </c>
      <c r="L9" s="76" t="str">
        <f t="shared" si="7"/>
        <v/>
      </c>
      <c r="M9" s="76" t="str">
        <f t="shared" si="7"/>
        <v/>
      </c>
      <c r="N9" s="77" t="str">
        <f t="shared" si="7"/>
        <v/>
      </c>
      <c r="O9" s="76" t="str">
        <f t="shared" si="7"/>
        <v/>
      </c>
      <c r="P9" s="76" t="str">
        <f t="shared" si="7"/>
        <v/>
      </c>
      <c r="Q9" s="76" t="str">
        <f t="shared" si="7"/>
        <v/>
      </c>
      <c r="R9" s="76" t="str">
        <f t="shared" si="7"/>
        <v/>
      </c>
      <c r="S9" s="76" t="str">
        <f t="shared" si="7"/>
        <v/>
      </c>
      <c r="T9" s="76" t="str">
        <f t="shared" si="7"/>
        <v/>
      </c>
      <c r="U9" s="76" t="str">
        <f t="shared" si="7"/>
        <v/>
      </c>
      <c r="V9" s="76" t="str">
        <f t="shared" si="7"/>
        <v/>
      </c>
      <c r="W9" s="77" t="str">
        <f t="shared" si="7"/>
        <v/>
      </c>
      <c r="X9" s="90"/>
      <c r="Y9" s="90"/>
      <c r="Z9" s="74"/>
      <c r="AB9" s="7" t="s">
        <v>76</v>
      </c>
      <c r="AC9" s="44">
        <f>IFERROR(INDEX(B9:C9,MATCH($AC$5,B26:C26,0)),0)</f>
        <v>0</v>
      </c>
      <c r="AD9" s="44">
        <f>IFERROR(INDEX(D9:F9,MATCH($AD$5,D26:F26,0)),0)</f>
        <v>0</v>
      </c>
      <c r="AE9" s="45">
        <f>IFERROR(INDEX($G9:$N9,MATCH(AE$5,$G$26:$N$26,0)),0)</f>
        <v>0</v>
      </c>
      <c r="AF9" s="45">
        <f>IFERROR(INDEX($G9:$N9,MATCH(AF$5,$G$26:$N$26,0)),0)</f>
        <v>0</v>
      </c>
      <c r="AG9" s="7">
        <f>IFERROR(MAX(K9:N9),0)</f>
        <v>0</v>
      </c>
      <c r="AH9" s="44">
        <f>IFERROR(INDEX(O9:W9,MATCH($AH$5,O26:W26,0)),0)</f>
        <v>0</v>
      </c>
      <c r="AI9" s="44">
        <f>IFERROR(INDEX(O9:W9,MATCH($AI$5,O26:W26,0)),0)</f>
        <v>0</v>
      </c>
      <c r="AJ9" s="44">
        <f t="shared" si="3"/>
        <v>0</v>
      </c>
      <c r="AK9" s="44">
        <f t="shared" si="4"/>
        <v>0</v>
      </c>
      <c r="AL9" s="44">
        <f t="shared" si="5"/>
        <v>0</v>
      </c>
    </row>
    <row r="10" spans="1:38" hidden="1" x14ac:dyDescent="0.3">
      <c r="A10" s="98" t="s">
        <v>22</v>
      </c>
      <c r="B10" s="76" t="str">
        <f>IF(B15&gt;0,B15,IF(B7="","",IFERROR(INDEX(B207:B277,MATCH(B$7,$A$207:$A$277,0)),"")))</f>
        <v/>
      </c>
      <c r="C10" s="76" t="str">
        <f t="shared" ref="C10:F10" si="8">IF(C15&gt;0,C15,IF(C7="","",IFERROR(INDEX(C207:C277,MATCH(C$7,$A$207:$A$277,0)),"")))</f>
        <v/>
      </c>
      <c r="D10" s="76" t="str">
        <f t="shared" si="8"/>
        <v/>
      </c>
      <c r="E10" s="76" t="str">
        <f t="shared" si="8"/>
        <v/>
      </c>
      <c r="F10" s="77" t="str">
        <f t="shared" si="8"/>
        <v/>
      </c>
      <c r="G10" s="76" t="str">
        <f>IF(G15&gt;0,G15,IF(G7="","",IFERROR(INDEX(G207:G277,MATCH(G$7,$AB$207:$AB$277,0)),"")))</f>
        <v/>
      </c>
      <c r="H10" s="76" t="str">
        <f t="shared" ref="H10:W10" si="9">IF(H15&gt;0,H15,IF(H7="","",IFERROR(INDEX(H207:H277,MATCH(H$7,$AB$207:$AB$277,0)),"")))</f>
        <v/>
      </c>
      <c r="I10" s="76" t="str">
        <f t="shared" si="9"/>
        <v/>
      </c>
      <c r="J10" s="76" t="str">
        <f t="shared" si="9"/>
        <v/>
      </c>
      <c r="K10" s="76" t="str">
        <f t="shared" si="9"/>
        <v/>
      </c>
      <c r="L10" s="76" t="str">
        <f t="shared" si="9"/>
        <v/>
      </c>
      <c r="M10" s="76" t="str">
        <f t="shared" si="9"/>
        <v/>
      </c>
      <c r="N10" s="77" t="str">
        <f t="shared" si="9"/>
        <v/>
      </c>
      <c r="O10" s="76" t="str">
        <f t="shared" si="9"/>
        <v/>
      </c>
      <c r="P10" s="76" t="str">
        <f t="shared" si="9"/>
        <v/>
      </c>
      <c r="Q10" s="76" t="str">
        <f t="shared" si="9"/>
        <v/>
      </c>
      <c r="R10" s="76" t="str">
        <f t="shared" si="9"/>
        <v/>
      </c>
      <c r="S10" s="76" t="str">
        <f t="shared" si="9"/>
        <v/>
      </c>
      <c r="T10" s="76" t="str">
        <f t="shared" si="9"/>
        <v/>
      </c>
      <c r="U10" s="76" t="str">
        <f t="shared" si="9"/>
        <v/>
      </c>
      <c r="V10" s="76" t="str">
        <f t="shared" si="9"/>
        <v/>
      </c>
      <c r="W10" s="77" t="str">
        <f t="shared" si="9"/>
        <v/>
      </c>
      <c r="X10" s="90" t="str">
        <f>IF(X15&gt;0,X15,IF(X7="","",IFERROR(INDEX(X207:X277,MATCH(X$7,$A$207:$A$277,0)),"")))</f>
        <v/>
      </c>
      <c r="Y10" s="90" t="str">
        <f>IF(Y15&gt;0,Y15,IF(Y7="","",IFERROR(INDEX(Y207:Y277,MATCH(Y$7,$AB$207:$AB$277,0)),"")))</f>
        <v/>
      </c>
      <c r="Z10" s="77" t="str">
        <f>IF(Z15&gt;0,Z15,IF(Z7="","",IFERROR(INDEX(Z207:Z277,MATCH(Z$7,$AB$207:$AB$277,0)),"")))</f>
        <v/>
      </c>
      <c r="AB10" s="7" t="s">
        <v>22</v>
      </c>
      <c r="AC10" s="44">
        <f>IFERROR(INDEX(B10:C10,MATCH($AC$5,B27:C27,0)),0)</f>
        <v>0</v>
      </c>
      <c r="AD10" s="44">
        <f>IFERROR(INDEX(D10:F10,MATCH($AD$5,D27:F27,0)),0)</f>
        <v>0</v>
      </c>
      <c r="AE10" s="45">
        <f>IFERROR(INDEX($G10:$N10,MATCH(AE$5,$G$27:$N$27,0)),0)</f>
        <v>0</v>
      </c>
      <c r="AF10" s="45">
        <f>IFERROR(INDEX($G10:$N10,MATCH(AF$5,$G$27:$N$27,0)),0)</f>
        <v>0</v>
      </c>
      <c r="AG10" s="7">
        <f>IFERROR(MAX(K10:N10),0)</f>
        <v>0</v>
      </c>
      <c r="AH10" s="44">
        <f>IFERROR(INDEX(O10:W10,MATCH($AH$5,O27:W27,0)),0)</f>
        <v>0</v>
      </c>
      <c r="AI10" s="44">
        <f>IFERROR(INDEX(O10:W10,MATCH($AI$5,O27:W27,0)),0)</f>
        <v>0</v>
      </c>
      <c r="AJ10" s="44" t="str">
        <f t="shared" si="3"/>
        <v/>
      </c>
      <c r="AK10" s="44" t="str">
        <f t="shared" si="4"/>
        <v/>
      </c>
      <c r="AL10" s="44" t="str">
        <f t="shared" si="5"/>
        <v/>
      </c>
    </row>
    <row r="11" spans="1:38" hidden="1" x14ac:dyDescent="0.3">
      <c r="A11" s="99" t="s">
        <v>123</v>
      </c>
      <c r="B11" s="76"/>
      <c r="C11" s="76"/>
      <c r="D11" s="76"/>
      <c r="E11" s="76"/>
      <c r="F11" s="77"/>
      <c r="G11" s="76" t="str">
        <f t="shared" ref="G11:N11" si="10">IFERROR(INDEX($B$288:$B$358,MATCH(G$9,$A$288:$A$358,0)),"")</f>
        <v/>
      </c>
      <c r="H11" s="76" t="str">
        <f t="shared" si="10"/>
        <v/>
      </c>
      <c r="I11" s="76" t="str">
        <f t="shared" si="10"/>
        <v/>
      </c>
      <c r="J11" s="76" t="str">
        <f t="shared" si="10"/>
        <v/>
      </c>
      <c r="K11" s="76" t="str">
        <f t="shared" si="10"/>
        <v/>
      </c>
      <c r="L11" s="76" t="str">
        <f t="shared" si="10"/>
        <v/>
      </c>
      <c r="M11" s="76" t="str">
        <f t="shared" si="10"/>
        <v/>
      </c>
      <c r="N11" s="77" t="str">
        <f t="shared" si="10"/>
        <v/>
      </c>
      <c r="O11" s="76" t="str">
        <f t="shared" ref="O11:W11" si="11">IFERROR(INDEX($C$288:$C$358,MATCH(O$9,$A$288:$A$358,0)),"")</f>
        <v/>
      </c>
      <c r="P11" s="76" t="str">
        <f t="shared" si="11"/>
        <v/>
      </c>
      <c r="Q11" s="76" t="str">
        <f t="shared" si="11"/>
        <v/>
      </c>
      <c r="R11" s="76" t="str">
        <f t="shared" si="11"/>
        <v/>
      </c>
      <c r="S11" s="76" t="str">
        <f t="shared" si="11"/>
        <v/>
      </c>
      <c r="T11" s="76" t="str">
        <f t="shared" si="11"/>
        <v/>
      </c>
      <c r="U11" s="76" t="str">
        <f t="shared" si="11"/>
        <v/>
      </c>
      <c r="V11" s="76" t="str">
        <f t="shared" si="11"/>
        <v/>
      </c>
      <c r="W11" s="77" t="str">
        <f t="shared" si="11"/>
        <v/>
      </c>
      <c r="X11" s="90"/>
      <c r="Y11" s="90"/>
      <c r="Z11" s="77"/>
      <c r="AB11" s="7" t="s">
        <v>120</v>
      </c>
      <c r="AC11" s="44">
        <f>IFERROR(INDEX(B11:C11,MATCH($AC$5,B28:C28,0)),0)</f>
        <v>0</v>
      </c>
      <c r="AD11" s="44">
        <f>IFERROR(INDEX(D11:F11,MATCH($AD$5,D28:F28,0)),0)</f>
        <v>0</v>
      </c>
      <c r="AE11" s="45">
        <f>IFERROR(INDEX($G11:$N11,MATCH(AE$5,$G$28:$N$28,0)),0)</f>
        <v>0</v>
      </c>
      <c r="AF11" s="45">
        <f>IFERROR(INDEX($G11:$N11,MATCH(AF$5,$G$28:$N$28,0)),0)</f>
        <v>0</v>
      </c>
      <c r="AG11" s="7">
        <f>IFERROR(MAX(K11:N11),0)</f>
        <v>0</v>
      </c>
      <c r="AH11" s="47">
        <f>IFERROR(INDEX(O11:W11,MATCH($AH$5,O28:W28,0)),0)</f>
        <v>0</v>
      </c>
      <c r="AI11" s="47">
        <f>IFERROR(INDEX(O11:W11,MATCH($AI$5,O28:W28,0)),0)</f>
        <v>0</v>
      </c>
      <c r="AJ11" s="44">
        <f t="shared" ref="AJ11" si="12">X11</f>
        <v>0</v>
      </c>
      <c r="AK11" s="44">
        <f t="shared" ref="AK11" si="13">Y11</f>
        <v>0</v>
      </c>
      <c r="AL11" s="44">
        <f t="shared" ref="AL11" si="14">Z11</f>
        <v>0</v>
      </c>
    </row>
    <row r="12" spans="1:38" hidden="1" x14ac:dyDescent="0.3">
      <c r="A12" s="99"/>
      <c r="B12" s="76"/>
      <c r="C12" s="76"/>
      <c r="D12" s="76"/>
      <c r="E12" s="76"/>
      <c r="F12" s="77"/>
      <c r="G12" s="76"/>
      <c r="H12" s="76"/>
      <c r="I12" s="76"/>
      <c r="J12" s="76"/>
      <c r="K12" s="76"/>
      <c r="L12" s="76"/>
      <c r="M12" s="76"/>
      <c r="N12" s="77"/>
      <c r="O12" s="76"/>
      <c r="P12" s="76"/>
      <c r="Q12" s="76"/>
      <c r="R12" s="76"/>
      <c r="S12" s="76"/>
      <c r="T12" s="76"/>
      <c r="U12" s="76"/>
      <c r="V12" s="76"/>
      <c r="W12" s="77"/>
      <c r="X12" s="90"/>
      <c r="Y12" s="90"/>
      <c r="Z12" s="77"/>
      <c r="AB12" s="7" t="s">
        <v>174</v>
      </c>
      <c r="AC12" s="44">
        <f>IFERROR(MAX(B18:C18),0)</f>
        <v>149</v>
      </c>
      <c r="AD12" s="44">
        <f>IFERROR(MAX(D18:F18),0)</f>
        <v>147</v>
      </c>
      <c r="AE12" s="45">
        <f>IFERROR(INDEX($G18:$N18,MATCH(AE$5,$G$25:$N$25,0)),0)</f>
        <v>0</v>
      </c>
      <c r="AF12" s="45">
        <f>IFERROR(INDEX($G18:$N18,MATCH(AF$5,$G$25:$N$25,0)),0)</f>
        <v>0</v>
      </c>
      <c r="AG12" s="7">
        <f>IFERROR(INDEX(K18:N18,MATCH("&gt;"&amp;AG5,K29:N29,0)),0)</f>
        <v>0</v>
      </c>
      <c r="AH12" s="47">
        <f>IFERROR(INDEX(O18:W18,MATCH($AH$5,O25:W25,0)),0)</f>
        <v>0</v>
      </c>
      <c r="AI12" s="47">
        <f>IFERROR(INDEX(O18:W18,MATCH($AI$5,O25:W25,0)),0)</f>
        <v>0</v>
      </c>
      <c r="AJ12" s="44">
        <f t="shared" ref="AJ12" si="15">X12</f>
        <v>0</v>
      </c>
      <c r="AK12" s="44">
        <f t="shared" ref="AK12" si="16">Y12</f>
        <v>0</v>
      </c>
      <c r="AL12" s="44">
        <f t="shared" ref="AL12" si="17">Z12</f>
        <v>0</v>
      </c>
    </row>
    <row r="13" spans="1:38" x14ac:dyDescent="0.3">
      <c r="A13" s="100" t="s">
        <v>32</v>
      </c>
      <c r="B13" s="94"/>
      <c r="C13" s="75"/>
      <c r="D13" s="75"/>
      <c r="E13" s="75"/>
      <c r="F13" s="86"/>
      <c r="G13" s="94"/>
      <c r="H13" s="75"/>
      <c r="I13" s="75"/>
      <c r="J13" s="75"/>
      <c r="K13" s="75"/>
      <c r="L13" s="75"/>
      <c r="M13" s="75"/>
      <c r="N13" s="86"/>
      <c r="O13" s="94"/>
      <c r="P13" s="75"/>
      <c r="Q13" s="75"/>
      <c r="R13" s="75"/>
      <c r="S13" s="75"/>
      <c r="T13" s="75"/>
      <c r="U13" s="75"/>
      <c r="V13" s="75"/>
      <c r="W13" s="86"/>
      <c r="X13" s="105"/>
      <c r="Y13" s="105"/>
      <c r="Z13" s="106"/>
      <c r="AB13" s="7" t="s">
        <v>180</v>
      </c>
      <c r="AC13" s="44"/>
      <c r="AD13" s="44"/>
      <c r="AE13" s="45">
        <f>IFERROR(INDEX($G6:$N6,MATCH(AE$5,$G$25:$N$25,0)),0)</f>
        <v>0</v>
      </c>
      <c r="AF13" s="45">
        <f>IFERROR(INDEX($G6:$N6,MATCH(AF$5,$G$25:$N$25,0)),0)</f>
        <v>0</v>
      </c>
      <c r="AG13" s="7" t="str">
        <f>IF(K29&gt;0,K6,IF(L29&gt;0,L6,IF(M29&gt;0,M6,IF(N29&gt;0,N6,"미응시"))))</f>
        <v>미응시</v>
      </c>
      <c r="AH13" s="47"/>
      <c r="AI13" s="47"/>
      <c r="AJ13" s="44"/>
      <c r="AK13" s="44"/>
      <c r="AL13" s="44"/>
    </row>
    <row r="14" spans="1:38" x14ac:dyDescent="0.3">
      <c r="A14" s="100" t="s">
        <v>33</v>
      </c>
      <c r="B14" s="94"/>
      <c r="C14" s="75"/>
      <c r="D14" s="75"/>
      <c r="E14" s="75"/>
      <c r="F14" s="86"/>
      <c r="G14" s="94"/>
      <c r="H14" s="75"/>
      <c r="I14" s="75"/>
      <c r="J14" s="75"/>
      <c r="K14" s="75"/>
      <c r="L14" s="75"/>
      <c r="M14" s="75"/>
      <c r="N14" s="86"/>
      <c r="O14" s="94"/>
      <c r="P14" s="75"/>
      <c r="Q14" s="75"/>
      <c r="R14" s="75"/>
      <c r="S14" s="75"/>
      <c r="T14" s="75"/>
      <c r="U14" s="75"/>
      <c r="V14" s="75"/>
      <c r="W14" s="86"/>
      <c r="X14" s="105"/>
      <c r="Y14" s="105"/>
      <c r="Z14" s="106"/>
      <c r="AC14" s="44"/>
      <c r="AD14" s="48" t="s">
        <v>666</v>
      </c>
      <c r="AE14" s="49">
        <f>LARGE(G41:N41,1)</f>
        <v>77</v>
      </c>
      <c r="AF14" s="45"/>
      <c r="AH14" s="47"/>
      <c r="AI14" s="47"/>
      <c r="AJ14" s="44"/>
      <c r="AK14" s="44"/>
      <c r="AL14" s="44"/>
    </row>
    <row r="15" spans="1:38" ht="17.25" thickBot="1" x14ac:dyDescent="0.35">
      <c r="A15" s="101" t="s">
        <v>22</v>
      </c>
      <c r="B15" s="103"/>
      <c r="C15" s="103"/>
      <c r="D15" s="103"/>
      <c r="E15" s="103"/>
      <c r="F15" s="104"/>
      <c r="G15" s="103"/>
      <c r="H15" s="103"/>
      <c r="I15" s="103"/>
      <c r="J15" s="103"/>
      <c r="K15" s="103"/>
      <c r="L15" s="103"/>
      <c r="M15" s="103"/>
      <c r="N15" s="104"/>
      <c r="O15" s="103"/>
      <c r="P15" s="103"/>
      <c r="Q15" s="103"/>
      <c r="R15" s="103"/>
      <c r="S15" s="103"/>
      <c r="T15" s="103"/>
      <c r="U15" s="103"/>
      <c r="V15" s="103"/>
      <c r="W15" s="104"/>
      <c r="X15" s="91"/>
      <c r="Y15" s="91"/>
      <c r="Z15" s="93"/>
      <c r="AB15" s="7" t="s">
        <v>881</v>
      </c>
      <c r="AC15" s="44">
        <f>B13+C13+D13+F13+E13+G13+H13+I13+J13+K13+L13+M13+N13+O13+P13+Q13+R13+S13+T13+U13+V13+W13</f>
        <v>0</v>
      </c>
      <c r="AD15" s="44"/>
      <c r="AE15" s="45"/>
      <c r="AF15" s="45"/>
      <c r="AH15" s="47"/>
      <c r="AI15" s="47"/>
      <c r="AJ15" s="44"/>
      <c r="AK15" s="44"/>
      <c r="AL15" s="44"/>
    </row>
    <row r="16" spans="1:38" x14ac:dyDescent="0.3">
      <c r="A16" s="46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C16" s="44"/>
      <c r="AD16" s="44"/>
      <c r="AE16" s="45"/>
      <c r="AF16" s="45"/>
      <c r="AH16" s="47"/>
      <c r="AI16" s="47"/>
      <c r="AJ16" s="44"/>
      <c r="AK16" s="44"/>
      <c r="AL16" s="44"/>
    </row>
    <row r="17" spans="1:38" x14ac:dyDescent="0.3">
      <c r="A17" s="46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C17" s="44"/>
      <c r="AD17" s="44"/>
      <c r="AE17" s="45"/>
      <c r="AF17" s="45"/>
      <c r="AH17" s="47"/>
      <c r="AI17" s="47"/>
      <c r="AJ17" s="44"/>
      <c r="AK17" s="44"/>
      <c r="AL17" s="44"/>
    </row>
    <row r="18" spans="1:38" hidden="1" x14ac:dyDescent="0.3">
      <c r="A18" s="7" t="s">
        <v>174</v>
      </c>
      <c r="B18" s="45">
        <f>IFERROR(B41,"")</f>
        <v>149</v>
      </c>
      <c r="C18" s="45">
        <f t="shared" ref="C18:Z18" si="18">IFERROR(C41,"")</f>
        <v>149</v>
      </c>
      <c r="D18" s="45">
        <f t="shared" si="18"/>
        <v>147</v>
      </c>
      <c r="E18" s="45">
        <f t="shared" si="18"/>
        <v>147</v>
      </c>
      <c r="F18" s="45">
        <f t="shared" si="18"/>
        <v>147</v>
      </c>
      <c r="G18" s="45">
        <f t="shared" si="18"/>
        <v>72</v>
      </c>
      <c r="H18" s="45">
        <f t="shared" si="18"/>
        <v>68</v>
      </c>
      <c r="I18" s="45">
        <f t="shared" si="18"/>
        <v>72</v>
      </c>
      <c r="J18" s="45">
        <f t="shared" si="18"/>
        <v>74</v>
      </c>
      <c r="K18" s="45">
        <f t="shared" si="18"/>
        <v>68</v>
      </c>
      <c r="L18" s="45">
        <f t="shared" si="18"/>
        <v>69</v>
      </c>
      <c r="M18" s="45">
        <f t="shared" si="18"/>
        <v>69</v>
      </c>
      <c r="N18" s="45">
        <f t="shared" si="18"/>
        <v>77</v>
      </c>
      <c r="O18" s="45">
        <f t="shared" si="18"/>
        <v>66</v>
      </c>
      <c r="P18" s="45">
        <f t="shared" si="18"/>
        <v>68</v>
      </c>
      <c r="Q18" s="45">
        <f t="shared" si="18"/>
        <v>65</v>
      </c>
      <c r="R18" s="45">
        <f t="shared" si="18"/>
        <v>66</v>
      </c>
      <c r="S18" s="45">
        <f t="shared" si="18"/>
        <v>66</v>
      </c>
      <c r="T18" s="45">
        <f t="shared" si="18"/>
        <v>66</v>
      </c>
      <c r="U18" s="45">
        <f t="shared" si="18"/>
        <v>66</v>
      </c>
      <c r="V18" s="45">
        <f t="shared" si="18"/>
        <v>63</v>
      </c>
      <c r="W18" s="45">
        <f t="shared" si="18"/>
        <v>68</v>
      </c>
      <c r="X18" s="45">
        <f t="shared" si="18"/>
        <v>0</v>
      </c>
      <c r="Y18" s="45">
        <f t="shared" si="18"/>
        <v>0</v>
      </c>
      <c r="Z18" s="45">
        <f t="shared" si="18"/>
        <v>0</v>
      </c>
    </row>
    <row r="19" spans="1:38" hidden="1" x14ac:dyDescent="0.3">
      <c r="A19" s="46" t="s">
        <v>82</v>
      </c>
      <c r="B19" s="45" t="str">
        <f t="shared" ref="B19:W19" si="19">IF(B7="","",B7+COLUMN(B7)*0.000000001)</f>
        <v/>
      </c>
      <c r="C19" s="45" t="str">
        <f t="shared" si="19"/>
        <v/>
      </c>
      <c r="D19" s="45" t="str">
        <f t="shared" si="19"/>
        <v/>
      </c>
      <c r="E19" s="45" t="str">
        <f t="shared" si="19"/>
        <v/>
      </c>
      <c r="F19" s="45" t="str">
        <f t="shared" si="19"/>
        <v/>
      </c>
      <c r="G19" s="45" t="str">
        <f t="shared" si="19"/>
        <v/>
      </c>
      <c r="H19" s="45" t="str">
        <f t="shared" si="19"/>
        <v/>
      </c>
      <c r="I19" s="45" t="str">
        <f t="shared" si="19"/>
        <v/>
      </c>
      <c r="J19" s="45" t="str">
        <f t="shared" si="19"/>
        <v/>
      </c>
      <c r="K19" s="45" t="str">
        <f t="shared" si="19"/>
        <v/>
      </c>
      <c r="L19" s="45" t="str">
        <f t="shared" si="19"/>
        <v/>
      </c>
      <c r="M19" s="45" t="str">
        <f t="shared" si="19"/>
        <v/>
      </c>
      <c r="N19" s="45" t="str">
        <f t="shared" si="19"/>
        <v/>
      </c>
      <c r="O19" s="45" t="str">
        <f t="shared" si="19"/>
        <v/>
      </c>
      <c r="P19" s="45" t="str">
        <f t="shared" si="19"/>
        <v/>
      </c>
      <c r="Q19" s="45" t="str">
        <f t="shared" si="19"/>
        <v/>
      </c>
      <c r="R19" s="45" t="str">
        <f t="shared" si="19"/>
        <v/>
      </c>
      <c r="S19" s="45" t="str">
        <f t="shared" si="19"/>
        <v/>
      </c>
      <c r="T19" s="45" t="str">
        <f t="shared" si="19"/>
        <v/>
      </c>
      <c r="U19" s="45" t="str">
        <f t="shared" si="19"/>
        <v/>
      </c>
      <c r="V19" s="45" t="str">
        <f t="shared" si="19"/>
        <v/>
      </c>
      <c r="W19" s="45" t="str">
        <f t="shared" si="19"/>
        <v/>
      </c>
      <c r="X19" s="45"/>
      <c r="Y19" s="45"/>
      <c r="Z19" s="45"/>
    </row>
    <row r="20" spans="1:38" hidden="1" x14ac:dyDescent="0.3">
      <c r="A20" s="42" t="s">
        <v>83</v>
      </c>
      <c r="B20" s="45" t="str">
        <f t="shared" ref="B20:W20" si="20">IF(B8="","",B8+COLUMN(B8)*0.000000001)</f>
        <v/>
      </c>
      <c r="C20" s="45" t="str">
        <f t="shared" si="20"/>
        <v/>
      </c>
      <c r="D20" s="45" t="str">
        <f t="shared" si="20"/>
        <v/>
      </c>
      <c r="E20" s="45" t="str">
        <f t="shared" si="20"/>
        <v/>
      </c>
      <c r="F20" s="45" t="str">
        <f t="shared" si="20"/>
        <v/>
      </c>
      <c r="G20" s="45" t="str">
        <f t="shared" si="20"/>
        <v/>
      </c>
      <c r="H20" s="45" t="str">
        <f t="shared" si="20"/>
        <v/>
      </c>
      <c r="I20" s="45" t="str">
        <f t="shared" si="20"/>
        <v/>
      </c>
      <c r="J20" s="45" t="str">
        <f t="shared" si="20"/>
        <v/>
      </c>
      <c r="K20" s="45" t="str">
        <f t="shared" si="20"/>
        <v/>
      </c>
      <c r="L20" s="45" t="str">
        <f t="shared" si="20"/>
        <v/>
      </c>
      <c r="M20" s="45" t="str">
        <f t="shared" si="20"/>
        <v/>
      </c>
      <c r="N20" s="45" t="str">
        <f t="shared" si="20"/>
        <v/>
      </c>
      <c r="O20" s="45" t="str">
        <f t="shared" si="20"/>
        <v/>
      </c>
      <c r="P20" s="45" t="str">
        <f t="shared" si="20"/>
        <v/>
      </c>
      <c r="Q20" s="45" t="str">
        <f t="shared" si="20"/>
        <v/>
      </c>
      <c r="R20" s="45" t="str">
        <f t="shared" si="20"/>
        <v/>
      </c>
      <c r="S20" s="45" t="str">
        <f t="shared" si="20"/>
        <v/>
      </c>
      <c r="T20" s="45" t="str">
        <f t="shared" si="20"/>
        <v/>
      </c>
      <c r="U20" s="45" t="str">
        <f t="shared" si="20"/>
        <v/>
      </c>
      <c r="V20" s="45" t="str">
        <f t="shared" si="20"/>
        <v/>
      </c>
      <c r="W20" s="45" t="str">
        <f t="shared" si="20"/>
        <v/>
      </c>
      <c r="X20" s="45"/>
      <c r="Y20" s="45"/>
      <c r="Z20" s="45"/>
    </row>
    <row r="21" spans="1:38" hidden="1" x14ac:dyDescent="0.3">
      <c r="A21" s="42" t="s">
        <v>84</v>
      </c>
      <c r="B21" s="45" t="str">
        <f t="shared" ref="B21:W21" si="21">IF(B9="","",B9+COLUMN(B9)*0.000000001)</f>
        <v/>
      </c>
      <c r="C21" s="45" t="str">
        <f t="shared" si="21"/>
        <v/>
      </c>
      <c r="D21" s="45" t="str">
        <f t="shared" si="21"/>
        <v/>
      </c>
      <c r="E21" s="45" t="str">
        <f t="shared" si="21"/>
        <v/>
      </c>
      <c r="F21" s="45" t="str">
        <f t="shared" si="21"/>
        <v/>
      </c>
      <c r="G21" s="45" t="str">
        <f t="shared" si="21"/>
        <v/>
      </c>
      <c r="H21" s="45" t="str">
        <f t="shared" si="21"/>
        <v/>
      </c>
      <c r="I21" s="45" t="str">
        <f t="shared" si="21"/>
        <v/>
      </c>
      <c r="J21" s="45" t="str">
        <f t="shared" si="21"/>
        <v/>
      </c>
      <c r="K21" s="45" t="str">
        <f t="shared" si="21"/>
        <v/>
      </c>
      <c r="L21" s="45" t="str">
        <f t="shared" si="21"/>
        <v/>
      </c>
      <c r="M21" s="45" t="str">
        <f t="shared" si="21"/>
        <v/>
      </c>
      <c r="N21" s="45" t="str">
        <f t="shared" si="21"/>
        <v/>
      </c>
      <c r="O21" s="45" t="str">
        <f t="shared" si="21"/>
        <v/>
      </c>
      <c r="P21" s="45" t="str">
        <f t="shared" si="21"/>
        <v/>
      </c>
      <c r="Q21" s="45" t="str">
        <f t="shared" si="21"/>
        <v/>
      </c>
      <c r="R21" s="45" t="str">
        <f t="shared" si="21"/>
        <v/>
      </c>
      <c r="S21" s="45" t="str">
        <f t="shared" si="21"/>
        <v/>
      </c>
      <c r="T21" s="45" t="str">
        <f t="shared" si="21"/>
        <v/>
      </c>
      <c r="U21" s="45" t="str">
        <f t="shared" si="21"/>
        <v/>
      </c>
      <c r="V21" s="45" t="str">
        <f t="shared" si="21"/>
        <v/>
      </c>
      <c r="W21" s="45" t="str">
        <f t="shared" si="21"/>
        <v/>
      </c>
      <c r="X21" s="45"/>
      <c r="Y21" s="45"/>
      <c r="Z21" s="45"/>
    </row>
    <row r="22" spans="1:38" hidden="1" x14ac:dyDescent="0.3">
      <c r="A22" s="42" t="s">
        <v>85</v>
      </c>
      <c r="B22" s="45" t="str">
        <f t="shared" ref="B22:W22" si="22">IF(B10="","",B10+COLUMN(B10)*0.000000001)</f>
        <v/>
      </c>
      <c r="C22" s="45" t="str">
        <f t="shared" si="22"/>
        <v/>
      </c>
      <c r="D22" s="45" t="str">
        <f t="shared" si="22"/>
        <v/>
      </c>
      <c r="E22" s="45" t="str">
        <f t="shared" si="22"/>
        <v/>
      </c>
      <c r="F22" s="45" t="str">
        <f t="shared" si="22"/>
        <v/>
      </c>
      <c r="G22" s="45" t="str">
        <f t="shared" si="22"/>
        <v/>
      </c>
      <c r="H22" s="45" t="str">
        <f t="shared" si="22"/>
        <v/>
      </c>
      <c r="I22" s="45" t="str">
        <f t="shared" si="22"/>
        <v/>
      </c>
      <c r="J22" s="45" t="str">
        <f t="shared" si="22"/>
        <v/>
      </c>
      <c r="K22" s="45" t="str">
        <f t="shared" si="22"/>
        <v/>
      </c>
      <c r="L22" s="45" t="str">
        <f t="shared" si="22"/>
        <v/>
      </c>
      <c r="M22" s="45" t="str">
        <f t="shared" si="22"/>
        <v/>
      </c>
      <c r="N22" s="45" t="str">
        <f t="shared" si="22"/>
        <v/>
      </c>
      <c r="O22" s="45" t="str">
        <f t="shared" si="22"/>
        <v/>
      </c>
      <c r="P22" s="45" t="str">
        <f t="shared" si="22"/>
        <v/>
      </c>
      <c r="Q22" s="45" t="str">
        <f t="shared" si="22"/>
        <v/>
      </c>
      <c r="R22" s="45" t="str">
        <f t="shared" si="22"/>
        <v/>
      </c>
      <c r="S22" s="45" t="str">
        <f t="shared" si="22"/>
        <v/>
      </c>
      <c r="T22" s="45" t="str">
        <f t="shared" si="22"/>
        <v/>
      </c>
      <c r="U22" s="45" t="str">
        <f t="shared" si="22"/>
        <v/>
      </c>
      <c r="V22" s="45" t="str">
        <f t="shared" si="22"/>
        <v/>
      </c>
      <c r="W22" s="45" t="str">
        <f t="shared" si="22"/>
        <v/>
      </c>
      <c r="X22" s="45" t="str">
        <f>IF(X10="","",X10+COLUMN(X10)*0.000000001)</f>
        <v/>
      </c>
      <c r="Y22" s="45" t="str">
        <f>IF(Y10="","",Y10+COLUMN(Y10)*0.000000001)</f>
        <v/>
      </c>
      <c r="Z22" s="45" t="str">
        <f>IF(Z10="","",Z10+COLUMN(Z10)*0.000000001)</f>
        <v/>
      </c>
    </row>
    <row r="23" spans="1:38" hidden="1" x14ac:dyDescent="0.3">
      <c r="A23" s="42" t="s">
        <v>124</v>
      </c>
      <c r="B23" s="45" t="str">
        <f>IF(B11="","",B11+COLUMN(B11)*0.000000001)</f>
        <v/>
      </c>
      <c r="C23" s="45" t="str">
        <f t="shared" ref="C23:W23" si="23">IF(C11="","",C11+COLUMN(C11)*0.000000001)</f>
        <v/>
      </c>
      <c r="D23" s="45" t="str">
        <f t="shared" si="23"/>
        <v/>
      </c>
      <c r="E23" s="45" t="str">
        <f t="shared" si="23"/>
        <v/>
      </c>
      <c r="F23" s="45" t="str">
        <f t="shared" si="23"/>
        <v/>
      </c>
      <c r="G23" s="45" t="str">
        <f t="shared" si="23"/>
        <v/>
      </c>
      <c r="H23" s="45" t="str">
        <f t="shared" si="23"/>
        <v/>
      </c>
      <c r="I23" s="45" t="str">
        <f t="shared" si="23"/>
        <v/>
      </c>
      <c r="J23" s="45" t="str">
        <f t="shared" si="23"/>
        <v/>
      </c>
      <c r="K23" s="45" t="str">
        <f t="shared" si="23"/>
        <v/>
      </c>
      <c r="L23" s="45" t="str">
        <f t="shared" si="23"/>
        <v/>
      </c>
      <c r="M23" s="45" t="str">
        <f t="shared" si="23"/>
        <v/>
      </c>
      <c r="N23" s="45" t="str">
        <f t="shared" si="23"/>
        <v/>
      </c>
      <c r="O23" s="45" t="str">
        <f t="shared" si="23"/>
        <v/>
      </c>
      <c r="P23" s="45" t="str">
        <f t="shared" si="23"/>
        <v/>
      </c>
      <c r="Q23" s="45" t="str">
        <f t="shared" si="23"/>
        <v/>
      </c>
      <c r="R23" s="45" t="str">
        <f t="shared" si="23"/>
        <v/>
      </c>
      <c r="S23" s="45" t="str">
        <f t="shared" si="23"/>
        <v/>
      </c>
      <c r="T23" s="45" t="str">
        <f t="shared" si="23"/>
        <v/>
      </c>
      <c r="U23" s="45" t="str">
        <f t="shared" si="23"/>
        <v/>
      </c>
      <c r="V23" s="45" t="str">
        <f t="shared" si="23"/>
        <v/>
      </c>
      <c r="W23" s="45" t="str">
        <f t="shared" si="23"/>
        <v/>
      </c>
      <c r="X23" s="45"/>
      <c r="Y23" s="45"/>
      <c r="Z23" s="45"/>
    </row>
    <row r="24" spans="1:38" hidden="1" x14ac:dyDescent="0.3">
      <c r="A24" s="7" t="s">
        <v>78</v>
      </c>
      <c r="B24" s="7" t="e">
        <f>RANK(B19,$B$19:$C$19,0)</f>
        <v>#VALUE!</v>
      </c>
      <c r="C24" s="7" t="e">
        <f>RANK(C19,$B$19:$C$19,0)</f>
        <v>#VALUE!</v>
      </c>
      <c r="D24" s="7" t="e">
        <f>RANK(D19,$D$19:$F$19,0)</f>
        <v>#VALUE!</v>
      </c>
      <c r="E24" s="7" t="e">
        <f>RANK(E19,$D$19:$F$19,0)</f>
        <v>#VALUE!</v>
      </c>
      <c r="F24" s="7" t="e">
        <f>RANK(F19,$D$19:$F$19,0)</f>
        <v>#VALUE!</v>
      </c>
      <c r="G24" s="7" t="e">
        <f t="shared" ref="G24:N24" si="24">RANK(G19,$G$19:$N$19,0)</f>
        <v>#VALUE!</v>
      </c>
      <c r="H24" s="7" t="e">
        <f t="shared" si="24"/>
        <v>#VALUE!</v>
      </c>
      <c r="I24" s="7" t="e">
        <f t="shared" si="24"/>
        <v>#VALUE!</v>
      </c>
      <c r="J24" s="7" t="e">
        <f t="shared" si="24"/>
        <v>#VALUE!</v>
      </c>
      <c r="K24" s="7" t="e">
        <f t="shared" si="24"/>
        <v>#VALUE!</v>
      </c>
      <c r="L24" s="7" t="e">
        <f t="shared" si="24"/>
        <v>#VALUE!</v>
      </c>
      <c r="M24" s="7" t="e">
        <f t="shared" si="24"/>
        <v>#VALUE!</v>
      </c>
      <c r="N24" s="7" t="e">
        <f t="shared" si="24"/>
        <v>#VALUE!</v>
      </c>
      <c r="O24" s="7" t="e">
        <f t="shared" ref="O24:W24" si="25">RANK(O19,$O$19:$W$19,0)</f>
        <v>#VALUE!</v>
      </c>
      <c r="P24" s="7" t="e">
        <f t="shared" si="25"/>
        <v>#VALUE!</v>
      </c>
      <c r="Q24" s="7" t="e">
        <f t="shared" si="25"/>
        <v>#VALUE!</v>
      </c>
      <c r="R24" s="7" t="e">
        <f t="shared" si="25"/>
        <v>#VALUE!</v>
      </c>
      <c r="S24" s="7" t="e">
        <f t="shared" si="25"/>
        <v>#VALUE!</v>
      </c>
      <c r="T24" s="7" t="e">
        <f t="shared" si="25"/>
        <v>#VALUE!</v>
      </c>
      <c r="U24" s="7" t="e">
        <f t="shared" si="25"/>
        <v>#VALUE!</v>
      </c>
      <c r="V24" s="7" t="e">
        <f t="shared" si="25"/>
        <v>#VALUE!</v>
      </c>
      <c r="W24" s="7" t="e">
        <f t="shared" si="25"/>
        <v>#VALUE!</v>
      </c>
    </row>
    <row r="25" spans="1:38" hidden="1" x14ac:dyDescent="0.3">
      <c r="A25" s="7" t="s">
        <v>79</v>
      </c>
      <c r="B25" s="7" t="e">
        <f>RANK(B20,$B$20:$C$20,0)</f>
        <v>#VALUE!</v>
      </c>
      <c r="C25" s="7" t="e">
        <f>RANK(C20,$B$20:$C$20,0)</f>
        <v>#VALUE!</v>
      </c>
      <c r="D25" s="7" t="e">
        <f>RANK(D20,$D$20:$F$20,0)</f>
        <v>#VALUE!</v>
      </c>
      <c r="E25" s="7" t="e">
        <f>RANK(E20,$D$20:$F$20,0)</f>
        <v>#VALUE!</v>
      </c>
      <c r="F25" s="7" t="e">
        <f>RANK(F20,$D$20:$F$20,0)</f>
        <v>#VALUE!</v>
      </c>
      <c r="G25" s="7" t="e">
        <f t="shared" ref="G25:N25" si="26">RANK(G20,$G$20:$N$20,0)</f>
        <v>#VALUE!</v>
      </c>
      <c r="H25" s="7" t="e">
        <f t="shared" si="26"/>
        <v>#VALUE!</v>
      </c>
      <c r="I25" s="7" t="e">
        <f t="shared" si="26"/>
        <v>#VALUE!</v>
      </c>
      <c r="J25" s="7" t="e">
        <f t="shared" si="26"/>
        <v>#VALUE!</v>
      </c>
      <c r="K25" s="7" t="e">
        <f t="shared" si="26"/>
        <v>#VALUE!</v>
      </c>
      <c r="L25" s="7" t="e">
        <f t="shared" si="26"/>
        <v>#VALUE!</v>
      </c>
      <c r="M25" s="7" t="e">
        <f t="shared" si="26"/>
        <v>#VALUE!</v>
      </c>
      <c r="N25" s="7" t="e">
        <f t="shared" si="26"/>
        <v>#VALUE!</v>
      </c>
      <c r="O25" s="7" t="e">
        <f t="shared" ref="O25:W25" si="27">RANK(O20,$O$20:$W$20,0)</f>
        <v>#VALUE!</v>
      </c>
      <c r="P25" s="7" t="e">
        <f t="shared" si="27"/>
        <v>#VALUE!</v>
      </c>
      <c r="Q25" s="7" t="e">
        <f t="shared" si="27"/>
        <v>#VALUE!</v>
      </c>
      <c r="R25" s="7" t="e">
        <f t="shared" si="27"/>
        <v>#VALUE!</v>
      </c>
      <c r="S25" s="7" t="e">
        <f t="shared" si="27"/>
        <v>#VALUE!</v>
      </c>
      <c r="T25" s="7" t="e">
        <f t="shared" si="27"/>
        <v>#VALUE!</v>
      </c>
      <c r="U25" s="7" t="e">
        <f t="shared" si="27"/>
        <v>#VALUE!</v>
      </c>
      <c r="V25" s="7" t="e">
        <f t="shared" si="27"/>
        <v>#VALUE!</v>
      </c>
      <c r="W25" s="7" t="e">
        <f t="shared" si="27"/>
        <v>#VALUE!</v>
      </c>
    </row>
    <row r="26" spans="1:38" hidden="1" x14ac:dyDescent="0.3">
      <c r="A26" s="7" t="s">
        <v>80</v>
      </c>
      <c r="B26" s="7" t="e">
        <f>RANK(B21,$B$21:$C$21,0)</f>
        <v>#VALUE!</v>
      </c>
      <c r="C26" s="7" t="e">
        <f>RANK(C21,$B$21:$C$21,0)</f>
        <v>#VALUE!</v>
      </c>
      <c r="D26" s="7" t="e">
        <f>RANK(D21,$D$21:$F$21,0)</f>
        <v>#VALUE!</v>
      </c>
      <c r="E26" s="7" t="e">
        <f>RANK(E21,$D$21:$F$21,0)</f>
        <v>#VALUE!</v>
      </c>
      <c r="F26" s="7" t="e">
        <f>RANK(F21,$D$21:$F$21,0)</f>
        <v>#VALUE!</v>
      </c>
      <c r="G26" s="7" t="e">
        <f t="shared" ref="G26:N26" si="28">RANK(G21,$G$21:$N$21,0)</f>
        <v>#VALUE!</v>
      </c>
      <c r="H26" s="7" t="e">
        <f t="shared" si="28"/>
        <v>#VALUE!</v>
      </c>
      <c r="I26" s="7" t="e">
        <f t="shared" si="28"/>
        <v>#VALUE!</v>
      </c>
      <c r="J26" s="7" t="e">
        <f t="shared" si="28"/>
        <v>#VALUE!</v>
      </c>
      <c r="K26" s="7" t="e">
        <f t="shared" si="28"/>
        <v>#VALUE!</v>
      </c>
      <c r="L26" s="7" t="e">
        <f t="shared" si="28"/>
        <v>#VALUE!</v>
      </c>
      <c r="M26" s="7" t="e">
        <f t="shared" si="28"/>
        <v>#VALUE!</v>
      </c>
      <c r="N26" s="7" t="e">
        <f t="shared" si="28"/>
        <v>#VALUE!</v>
      </c>
      <c r="O26" s="7" t="e">
        <f t="shared" ref="O26:W26" si="29">RANK(O21,$O$21:$W$21,0)</f>
        <v>#VALUE!</v>
      </c>
      <c r="P26" s="7" t="e">
        <f t="shared" si="29"/>
        <v>#VALUE!</v>
      </c>
      <c r="Q26" s="7" t="e">
        <f t="shared" si="29"/>
        <v>#VALUE!</v>
      </c>
      <c r="R26" s="7" t="e">
        <f t="shared" si="29"/>
        <v>#VALUE!</v>
      </c>
      <c r="S26" s="7" t="e">
        <f t="shared" si="29"/>
        <v>#VALUE!</v>
      </c>
      <c r="T26" s="7" t="e">
        <f t="shared" si="29"/>
        <v>#VALUE!</v>
      </c>
      <c r="U26" s="7" t="e">
        <f t="shared" si="29"/>
        <v>#VALUE!</v>
      </c>
      <c r="V26" s="7" t="e">
        <f t="shared" si="29"/>
        <v>#VALUE!</v>
      </c>
      <c r="W26" s="7" t="e">
        <f t="shared" si="29"/>
        <v>#VALUE!</v>
      </c>
    </row>
    <row r="27" spans="1:38" hidden="1" x14ac:dyDescent="0.3">
      <c r="A27" s="7" t="s">
        <v>81</v>
      </c>
      <c r="B27" s="7" t="e">
        <f>RANK(B22,$B$22:$C$22,1)</f>
        <v>#VALUE!</v>
      </c>
      <c r="C27" s="7" t="e">
        <f>RANK(C22,$B$22:$C$22,1)</f>
        <v>#VALUE!</v>
      </c>
      <c r="D27" s="7" t="e">
        <f>RANK(D22,$D$22:$F$22,1)</f>
        <v>#VALUE!</v>
      </c>
      <c r="E27" s="7" t="e">
        <f>RANK(E22,$D$22:$F$22,1)</f>
        <v>#VALUE!</v>
      </c>
      <c r="F27" s="7" t="e">
        <f>RANK(F22,$D$22:$F$22,1)</f>
        <v>#VALUE!</v>
      </c>
      <c r="G27" s="7" t="e">
        <f t="shared" ref="G27:N27" si="30">RANK(G22,$G$22:$N$22,1)</f>
        <v>#VALUE!</v>
      </c>
      <c r="H27" s="7" t="e">
        <f t="shared" si="30"/>
        <v>#VALUE!</v>
      </c>
      <c r="I27" s="7" t="e">
        <f t="shared" si="30"/>
        <v>#VALUE!</v>
      </c>
      <c r="J27" s="7" t="e">
        <f t="shared" si="30"/>
        <v>#VALUE!</v>
      </c>
      <c r="K27" s="7" t="e">
        <f t="shared" si="30"/>
        <v>#VALUE!</v>
      </c>
      <c r="L27" s="7" t="e">
        <f t="shared" si="30"/>
        <v>#VALUE!</v>
      </c>
      <c r="M27" s="7" t="e">
        <f t="shared" si="30"/>
        <v>#VALUE!</v>
      </c>
      <c r="N27" s="7" t="e">
        <f t="shared" si="30"/>
        <v>#VALUE!</v>
      </c>
      <c r="O27" s="7" t="e">
        <f t="shared" ref="O27:W27" si="31">RANK(O22,$O$22:$W$22,1)</f>
        <v>#VALUE!</v>
      </c>
      <c r="P27" s="7" t="e">
        <f t="shared" si="31"/>
        <v>#VALUE!</v>
      </c>
      <c r="Q27" s="7" t="e">
        <f t="shared" si="31"/>
        <v>#VALUE!</v>
      </c>
      <c r="R27" s="7" t="e">
        <f t="shared" si="31"/>
        <v>#VALUE!</v>
      </c>
      <c r="S27" s="7" t="e">
        <f t="shared" si="31"/>
        <v>#VALUE!</v>
      </c>
      <c r="T27" s="7" t="e">
        <f t="shared" si="31"/>
        <v>#VALUE!</v>
      </c>
      <c r="U27" s="7" t="e">
        <f t="shared" si="31"/>
        <v>#VALUE!</v>
      </c>
      <c r="V27" s="7" t="e">
        <f t="shared" si="31"/>
        <v>#VALUE!</v>
      </c>
      <c r="W27" s="7" t="e">
        <f t="shared" si="31"/>
        <v>#VALUE!</v>
      </c>
      <c r="X27" s="7">
        <v>1</v>
      </c>
      <c r="Y27" s="7">
        <v>1</v>
      </c>
      <c r="Z27" s="7">
        <v>1</v>
      </c>
    </row>
    <row r="28" spans="1:38" hidden="1" x14ac:dyDescent="0.3">
      <c r="A28" s="7" t="s">
        <v>125</v>
      </c>
      <c r="B28" s="7" t="e">
        <f>RANK(B23,$B$23:$C$23,0)</f>
        <v>#VALUE!</v>
      </c>
      <c r="C28" s="7" t="e">
        <f>RANK(C23,$B$23:$C$23,0)</f>
        <v>#VALUE!</v>
      </c>
      <c r="D28" s="7" t="e">
        <f>RANK(D23,$D$23:$F$23,0)</f>
        <v>#VALUE!</v>
      </c>
      <c r="E28" s="7" t="e">
        <f t="shared" ref="E28:F28" si="32">RANK(E23,$D$23:$F$23,0)</f>
        <v>#VALUE!</v>
      </c>
      <c r="F28" s="7" t="e">
        <f t="shared" si="32"/>
        <v>#VALUE!</v>
      </c>
      <c r="G28" s="7" t="e">
        <f>RANK(G23,$G$23:$N$23,0)</f>
        <v>#VALUE!</v>
      </c>
      <c r="H28" s="7" t="e">
        <f t="shared" ref="H28:N28" si="33">RANK(H23,$G$23:$N$23,0)</f>
        <v>#VALUE!</v>
      </c>
      <c r="I28" s="7" t="e">
        <f t="shared" si="33"/>
        <v>#VALUE!</v>
      </c>
      <c r="J28" s="7" t="e">
        <f t="shared" si="33"/>
        <v>#VALUE!</v>
      </c>
      <c r="K28" s="7" t="e">
        <f t="shared" si="33"/>
        <v>#VALUE!</v>
      </c>
      <c r="L28" s="7" t="e">
        <f>RANK(L23,$G$23:$N$23,0)</f>
        <v>#VALUE!</v>
      </c>
      <c r="M28" s="7" t="e">
        <f t="shared" si="33"/>
        <v>#VALUE!</v>
      </c>
      <c r="N28" s="7" t="e">
        <f t="shared" si="33"/>
        <v>#VALUE!</v>
      </c>
      <c r="O28" s="7" t="e">
        <f>RANK(O23,$O$23:$W$23,0)</f>
        <v>#VALUE!</v>
      </c>
      <c r="P28" s="7" t="e">
        <f t="shared" ref="P28:W28" si="34">RANK(P23,$O$23:$W$23,0)</f>
        <v>#VALUE!</v>
      </c>
      <c r="Q28" s="7" t="e">
        <f t="shared" si="34"/>
        <v>#VALUE!</v>
      </c>
      <c r="R28" s="7" t="e">
        <f t="shared" si="34"/>
        <v>#VALUE!</v>
      </c>
      <c r="S28" s="7" t="e">
        <f t="shared" si="34"/>
        <v>#VALUE!</v>
      </c>
      <c r="T28" s="7" t="e">
        <f t="shared" si="34"/>
        <v>#VALUE!</v>
      </c>
      <c r="U28" s="7" t="e">
        <f t="shared" si="34"/>
        <v>#VALUE!</v>
      </c>
      <c r="V28" s="7" t="e">
        <f t="shared" si="34"/>
        <v>#VALUE!</v>
      </c>
      <c r="W28" s="7" t="e">
        <f t="shared" si="34"/>
        <v>#VALUE!</v>
      </c>
    </row>
    <row r="29" spans="1:38" hidden="1" x14ac:dyDescent="0.3">
      <c r="A29" s="7" t="s">
        <v>34</v>
      </c>
      <c r="B29" s="7">
        <f>IF(OR(B7&gt;0,AND(B13&gt;0,B14&gt;0)),1,0)</f>
        <v>0</v>
      </c>
      <c r="C29" s="7">
        <f t="shared" ref="C29:W29" si="35">IF(OR(C7&gt;0,AND(C13&gt;0,C14&gt;0)),1,0)</f>
        <v>0</v>
      </c>
      <c r="D29" s="7">
        <f t="shared" si="35"/>
        <v>0</v>
      </c>
      <c r="E29" s="7">
        <f t="shared" si="35"/>
        <v>0</v>
      </c>
      <c r="F29" s="7">
        <f t="shared" si="35"/>
        <v>0</v>
      </c>
      <c r="G29" s="7">
        <f t="shared" si="35"/>
        <v>0</v>
      </c>
      <c r="H29" s="7">
        <f t="shared" si="35"/>
        <v>0</v>
      </c>
      <c r="I29" s="7">
        <f t="shared" si="35"/>
        <v>0</v>
      </c>
      <c r="J29" s="7">
        <f t="shared" si="35"/>
        <v>0</v>
      </c>
      <c r="K29" s="7">
        <f t="shared" si="35"/>
        <v>0</v>
      </c>
      <c r="L29" s="7">
        <f t="shared" si="35"/>
        <v>0</v>
      </c>
      <c r="M29" s="7">
        <f t="shared" si="35"/>
        <v>0</v>
      </c>
      <c r="N29" s="7">
        <f t="shared" si="35"/>
        <v>0</v>
      </c>
      <c r="O29" s="7">
        <f t="shared" si="35"/>
        <v>0</v>
      </c>
      <c r="P29" s="7">
        <f t="shared" si="35"/>
        <v>0</v>
      </c>
      <c r="Q29" s="7">
        <f t="shared" si="35"/>
        <v>0</v>
      </c>
      <c r="R29" s="7">
        <f t="shared" si="35"/>
        <v>0</v>
      </c>
      <c r="S29" s="7">
        <f t="shared" si="35"/>
        <v>0</v>
      </c>
      <c r="T29" s="7">
        <f t="shared" si="35"/>
        <v>0</v>
      </c>
      <c r="U29" s="7">
        <f t="shared" si="35"/>
        <v>0</v>
      </c>
      <c r="V29" s="7">
        <f t="shared" si="35"/>
        <v>0</v>
      </c>
      <c r="W29" s="7">
        <f t="shared" si="35"/>
        <v>0</v>
      </c>
      <c r="X29" s="7">
        <f>IF(OR(X7&gt;0,AND(X15&gt;0,X15&gt;0)),1,0)</f>
        <v>0</v>
      </c>
      <c r="Y29" s="7">
        <f t="shared" ref="Y29:Z29" si="36">IF(OR(Y7&gt;0,AND(Y15&gt;0,Y15&gt;0)),1,0)</f>
        <v>0</v>
      </c>
      <c r="Z29" s="7">
        <f t="shared" si="36"/>
        <v>0</v>
      </c>
    </row>
    <row r="30" spans="1:38" hidden="1" x14ac:dyDescent="0.3">
      <c r="H30" s="50" t="s">
        <v>477</v>
      </c>
      <c r="AB30" s="51" t="s">
        <v>482</v>
      </c>
    </row>
    <row r="31" spans="1:38" hidden="1" x14ac:dyDescent="0.3">
      <c r="A31" s="7" t="s">
        <v>68</v>
      </c>
      <c r="B31" s="7">
        <v>100</v>
      </c>
      <c r="C31" s="7">
        <v>100</v>
      </c>
      <c r="D31" s="7">
        <v>100</v>
      </c>
      <c r="E31" s="7">
        <v>100</v>
      </c>
      <c r="F31" s="7">
        <v>100</v>
      </c>
      <c r="G31" s="7">
        <v>50</v>
      </c>
      <c r="H31" s="7">
        <v>50</v>
      </c>
      <c r="I31" s="7">
        <v>50</v>
      </c>
      <c r="J31" s="7">
        <v>50</v>
      </c>
      <c r="K31" s="7">
        <v>50</v>
      </c>
      <c r="L31" s="7">
        <v>50</v>
      </c>
      <c r="M31" s="7">
        <v>50</v>
      </c>
      <c r="N31" s="7">
        <v>50</v>
      </c>
      <c r="O31" s="7">
        <v>50</v>
      </c>
      <c r="P31" s="7">
        <v>50</v>
      </c>
      <c r="Q31" s="7">
        <v>50</v>
      </c>
      <c r="R31" s="7">
        <v>50</v>
      </c>
      <c r="S31" s="7">
        <v>50</v>
      </c>
      <c r="T31" s="7">
        <v>50</v>
      </c>
      <c r="U31" s="7">
        <v>50</v>
      </c>
      <c r="V31" s="7">
        <v>50</v>
      </c>
      <c r="W31" s="7">
        <v>50</v>
      </c>
      <c r="AB31" s="7" t="str">
        <f>"1"</f>
        <v>1</v>
      </c>
    </row>
    <row r="32" spans="1:38" hidden="1" x14ac:dyDescent="0.3">
      <c r="A32" s="7" t="s">
        <v>56</v>
      </c>
      <c r="B32" s="52">
        <v>82</v>
      </c>
      <c r="C32" s="52">
        <v>83</v>
      </c>
      <c r="D32" s="52">
        <v>81</v>
      </c>
      <c r="E32" s="52">
        <v>84</v>
      </c>
      <c r="F32" s="52">
        <v>85</v>
      </c>
      <c r="G32" s="52">
        <v>44</v>
      </c>
      <c r="H32" s="52">
        <v>44</v>
      </c>
      <c r="I32" s="52">
        <v>44</v>
      </c>
      <c r="J32" s="52">
        <v>44</v>
      </c>
      <c r="K32" s="52">
        <v>46</v>
      </c>
      <c r="L32" s="52">
        <v>47</v>
      </c>
      <c r="M32" s="52">
        <v>46</v>
      </c>
      <c r="N32" s="52">
        <v>46</v>
      </c>
      <c r="O32" s="52">
        <v>47</v>
      </c>
      <c r="P32" s="52">
        <v>47</v>
      </c>
      <c r="Q32" s="52">
        <v>47</v>
      </c>
      <c r="R32" s="52">
        <v>47</v>
      </c>
      <c r="S32" s="52">
        <v>47</v>
      </c>
      <c r="T32" s="52">
        <v>48</v>
      </c>
      <c r="U32" s="52">
        <v>48</v>
      </c>
      <c r="V32" s="52">
        <v>48</v>
      </c>
      <c r="W32" s="52">
        <v>48</v>
      </c>
      <c r="X32" s="52">
        <v>90</v>
      </c>
      <c r="Y32" s="52">
        <v>40</v>
      </c>
      <c r="AB32" s="7" t="str">
        <f>"2"</f>
        <v>2</v>
      </c>
    </row>
    <row r="33" spans="1:52" hidden="1" x14ac:dyDescent="0.3">
      <c r="A33" s="7" t="s">
        <v>57</v>
      </c>
      <c r="B33" s="52">
        <v>75</v>
      </c>
      <c r="C33" s="52">
        <v>76</v>
      </c>
      <c r="D33" s="52">
        <v>71</v>
      </c>
      <c r="E33" s="52">
        <v>74</v>
      </c>
      <c r="F33" s="52">
        <v>75</v>
      </c>
      <c r="G33" s="52">
        <v>40</v>
      </c>
      <c r="H33" s="52">
        <v>42</v>
      </c>
      <c r="I33" s="52">
        <v>40</v>
      </c>
      <c r="J33" s="52">
        <v>38</v>
      </c>
      <c r="K33" s="52">
        <v>42</v>
      </c>
      <c r="L33" s="52">
        <v>44</v>
      </c>
      <c r="M33" s="52">
        <v>43</v>
      </c>
      <c r="N33" s="52">
        <v>40</v>
      </c>
      <c r="O33" s="52">
        <v>43</v>
      </c>
      <c r="P33" s="52">
        <v>43</v>
      </c>
      <c r="Q33" s="52">
        <v>43</v>
      </c>
      <c r="R33" s="52">
        <v>43</v>
      </c>
      <c r="S33" s="52">
        <v>43</v>
      </c>
      <c r="T33" s="52">
        <v>44</v>
      </c>
      <c r="U33" s="52">
        <v>44</v>
      </c>
      <c r="V33" s="52">
        <v>44</v>
      </c>
      <c r="W33" s="52">
        <v>44</v>
      </c>
      <c r="X33" s="52">
        <v>80</v>
      </c>
      <c r="Y33" s="52">
        <v>35</v>
      </c>
      <c r="AB33" s="7" t="str">
        <f>"3"</f>
        <v>3</v>
      </c>
    </row>
    <row r="34" spans="1:52" hidden="1" x14ac:dyDescent="0.3">
      <c r="A34" s="7" t="s">
        <v>58</v>
      </c>
      <c r="B34" s="52">
        <v>67</v>
      </c>
      <c r="C34" s="52">
        <v>68</v>
      </c>
      <c r="D34" s="52">
        <v>62</v>
      </c>
      <c r="E34" s="52">
        <v>63</v>
      </c>
      <c r="F34" s="52">
        <v>66</v>
      </c>
      <c r="G34" s="52">
        <v>34</v>
      </c>
      <c r="H34" s="52">
        <v>39</v>
      </c>
      <c r="I34" s="52">
        <v>35</v>
      </c>
      <c r="J34" s="52">
        <v>33</v>
      </c>
      <c r="K34" s="52">
        <v>38</v>
      </c>
      <c r="L34" s="52">
        <v>38</v>
      </c>
      <c r="M34" s="52">
        <v>39</v>
      </c>
      <c r="N34" s="52">
        <v>34</v>
      </c>
      <c r="O34" s="52">
        <v>37</v>
      </c>
      <c r="P34" s="52">
        <v>37</v>
      </c>
      <c r="Q34" s="52">
        <v>37</v>
      </c>
      <c r="R34" s="52">
        <v>37</v>
      </c>
      <c r="S34" s="52">
        <v>37</v>
      </c>
      <c r="T34" s="52">
        <v>37</v>
      </c>
      <c r="U34" s="52">
        <v>37</v>
      </c>
      <c r="V34" s="52">
        <v>37</v>
      </c>
      <c r="W34" s="52">
        <v>37</v>
      </c>
      <c r="X34" s="52">
        <v>70</v>
      </c>
      <c r="Y34" s="52">
        <v>30</v>
      </c>
      <c r="AB34" s="7" t="str">
        <f>"4"</f>
        <v>4</v>
      </c>
    </row>
    <row r="35" spans="1:52" hidden="1" x14ac:dyDescent="0.3">
      <c r="A35" s="7" t="s">
        <v>59</v>
      </c>
      <c r="B35" s="52">
        <v>57</v>
      </c>
      <c r="C35" s="52">
        <v>59</v>
      </c>
      <c r="D35" s="52">
        <v>50</v>
      </c>
      <c r="E35" s="52">
        <v>52</v>
      </c>
      <c r="F35" s="52">
        <v>54</v>
      </c>
      <c r="G35" s="52">
        <v>29</v>
      </c>
      <c r="H35" s="52">
        <v>32</v>
      </c>
      <c r="I35" s="52">
        <v>28</v>
      </c>
      <c r="J35" s="52">
        <v>28</v>
      </c>
      <c r="K35" s="52">
        <v>30</v>
      </c>
      <c r="L35" s="52">
        <v>30</v>
      </c>
      <c r="M35" s="52">
        <v>30</v>
      </c>
      <c r="N35" s="52">
        <v>24</v>
      </c>
      <c r="O35" s="52">
        <v>28</v>
      </c>
      <c r="P35" s="52">
        <v>28</v>
      </c>
      <c r="Q35" s="52">
        <v>28</v>
      </c>
      <c r="R35" s="52">
        <v>28</v>
      </c>
      <c r="S35" s="52">
        <v>28</v>
      </c>
      <c r="T35" s="52">
        <v>31</v>
      </c>
      <c r="U35" s="52">
        <v>31</v>
      </c>
      <c r="V35" s="52">
        <v>31</v>
      </c>
      <c r="W35" s="52">
        <v>31</v>
      </c>
      <c r="X35" s="52">
        <v>60</v>
      </c>
      <c r="Y35" s="52">
        <v>25</v>
      </c>
      <c r="AB35" s="7" t="str">
        <f>"5"</f>
        <v>5</v>
      </c>
    </row>
    <row r="36" spans="1:52" hidden="1" x14ac:dyDescent="0.3">
      <c r="A36" s="7" t="s">
        <v>60</v>
      </c>
      <c r="B36" s="52">
        <v>47</v>
      </c>
      <c r="C36" s="52">
        <v>48</v>
      </c>
      <c r="D36" s="52">
        <v>30</v>
      </c>
      <c r="E36" s="52">
        <v>33</v>
      </c>
      <c r="F36" s="52">
        <v>34</v>
      </c>
      <c r="G36" s="52">
        <v>22</v>
      </c>
      <c r="H36" s="52">
        <v>23</v>
      </c>
      <c r="I36" s="52">
        <v>20</v>
      </c>
      <c r="J36" s="52">
        <v>20</v>
      </c>
      <c r="K36" s="52">
        <v>19</v>
      </c>
      <c r="L36" s="52">
        <v>19</v>
      </c>
      <c r="M36" s="52">
        <v>18</v>
      </c>
      <c r="N36" s="52">
        <v>16</v>
      </c>
      <c r="O36" s="52">
        <v>18</v>
      </c>
      <c r="P36" s="52">
        <v>18</v>
      </c>
      <c r="Q36" s="52">
        <v>18</v>
      </c>
      <c r="R36" s="52">
        <v>18</v>
      </c>
      <c r="S36" s="52">
        <v>18</v>
      </c>
      <c r="T36" s="52">
        <v>23</v>
      </c>
      <c r="U36" s="52">
        <v>23</v>
      </c>
      <c r="V36" s="52">
        <v>23</v>
      </c>
      <c r="W36" s="52">
        <v>23</v>
      </c>
      <c r="X36" s="52">
        <v>50</v>
      </c>
      <c r="Y36" s="52">
        <v>20</v>
      </c>
      <c r="AB36" s="7" t="str">
        <f>"6"</f>
        <v>6</v>
      </c>
    </row>
    <row r="37" spans="1:52" hidden="1" x14ac:dyDescent="0.3">
      <c r="A37" s="7" t="s">
        <v>61</v>
      </c>
      <c r="B37" s="52">
        <v>34</v>
      </c>
      <c r="C37" s="52">
        <v>35</v>
      </c>
      <c r="D37" s="52">
        <v>15</v>
      </c>
      <c r="E37" s="52">
        <v>18</v>
      </c>
      <c r="F37" s="52">
        <v>19</v>
      </c>
      <c r="G37" s="52">
        <v>16</v>
      </c>
      <c r="H37" s="52">
        <v>15</v>
      </c>
      <c r="I37" s="52">
        <v>14</v>
      </c>
      <c r="J37" s="52">
        <v>16</v>
      </c>
      <c r="K37" s="52">
        <v>14</v>
      </c>
      <c r="L37" s="52">
        <v>12</v>
      </c>
      <c r="M37" s="52">
        <v>12</v>
      </c>
      <c r="N37" s="52">
        <v>10</v>
      </c>
      <c r="O37" s="52">
        <v>13</v>
      </c>
      <c r="P37" s="52">
        <v>13</v>
      </c>
      <c r="Q37" s="52">
        <v>13</v>
      </c>
      <c r="R37" s="52">
        <v>13</v>
      </c>
      <c r="S37" s="52">
        <v>13</v>
      </c>
      <c r="T37" s="52">
        <v>16</v>
      </c>
      <c r="U37" s="52">
        <v>16</v>
      </c>
      <c r="V37" s="52">
        <v>16</v>
      </c>
      <c r="W37" s="52">
        <v>16</v>
      </c>
      <c r="X37" s="52">
        <v>40</v>
      </c>
      <c r="Y37" s="52">
        <v>15</v>
      </c>
      <c r="AB37" s="7" t="str">
        <f>"7"</f>
        <v>7</v>
      </c>
    </row>
    <row r="38" spans="1:52" hidden="1" x14ac:dyDescent="0.3">
      <c r="A38" s="7" t="s">
        <v>62</v>
      </c>
      <c r="B38" s="52">
        <v>25</v>
      </c>
      <c r="C38" s="52">
        <v>26</v>
      </c>
      <c r="D38" s="52">
        <v>9</v>
      </c>
      <c r="E38" s="52">
        <v>11</v>
      </c>
      <c r="F38" s="52">
        <v>14</v>
      </c>
      <c r="G38" s="52">
        <v>11</v>
      </c>
      <c r="H38" s="52">
        <v>10</v>
      </c>
      <c r="I38" s="52">
        <v>9</v>
      </c>
      <c r="J38" s="52">
        <v>10</v>
      </c>
      <c r="K38" s="52">
        <v>9</v>
      </c>
      <c r="L38" s="52">
        <v>9</v>
      </c>
      <c r="M38" s="52">
        <v>9</v>
      </c>
      <c r="N38" s="52">
        <v>8</v>
      </c>
      <c r="O38" s="52">
        <v>9</v>
      </c>
      <c r="P38" s="52">
        <v>9</v>
      </c>
      <c r="Q38" s="52">
        <v>9</v>
      </c>
      <c r="R38" s="52">
        <v>9</v>
      </c>
      <c r="S38" s="52">
        <v>9</v>
      </c>
      <c r="T38" s="52">
        <v>11</v>
      </c>
      <c r="U38" s="52">
        <v>11</v>
      </c>
      <c r="V38" s="52">
        <v>11</v>
      </c>
      <c r="W38" s="52">
        <v>11</v>
      </c>
      <c r="X38" s="52">
        <v>30</v>
      </c>
      <c r="Y38" s="52">
        <v>10</v>
      </c>
      <c r="AB38" s="7" t="str">
        <f>"8"</f>
        <v>8</v>
      </c>
      <c r="AC38" s="7" t="s">
        <v>6</v>
      </c>
      <c r="AE38" s="7" t="s">
        <v>7</v>
      </c>
      <c r="AH38" s="7" t="s">
        <v>9</v>
      </c>
      <c r="AP38" s="7" t="s">
        <v>11</v>
      </c>
      <c r="AY38" s="7" t="s">
        <v>21</v>
      </c>
      <c r="AZ38" s="7" t="s">
        <v>23</v>
      </c>
    </row>
    <row r="39" spans="1:52" hidden="1" x14ac:dyDescent="0.3">
      <c r="A39" s="7" t="s">
        <v>63</v>
      </c>
      <c r="B39" s="52">
        <v>15</v>
      </c>
      <c r="C39" s="52">
        <v>17</v>
      </c>
      <c r="D39" s="52">
        <v>4</v>
      </c>
      <c r="E39" s="52">
        <v>6</v>
      </c>
      <c r="F39" s="52">
        <v>9</v>
      </c>
      <c r="G39" s="52">
        <v>7</v>
      </c>
      <c r="H39" s="52">
        <v>7</v>
      </c>
      <c r="I39" s="52">
        <v>6</v>
      </c>
      <c r="J39" s="52">
        <v>7</v>
      </c>
      <c r="K39" s="52">
        <v>6</v>
      </c>
      <c r="L39" s="52">
        <v>5</v>
      </c>
      <c r="M39" s="52">
        <v>6</v>
      </c>
      <c r="N39" s="52">
        <v>6</v>
      </c>
      <c r="O39" s="52">
        <v>6</v>
      </c>
      <c r="P39" s="52">
        <v>6</v>
      </c>
      <c r="Q39" s="52">
        <v>6</v>
      </c>
      <c r="R39" s="52">
        <v>6</v>
      </c>
      <c r="S39" s="52">
        <v>6</v>
      </c>
      <c r="T39" s="52">
        <v>7</v>
      </c>
      <c r="U39" s="52">
        <v>7</v>
      </c>
      <c r="V39" s="52">
        <v>7</v>
      </c>
      <c r="W39" s="52">
        <v>7</v>
      </c>
      <c r="X39" s="52">
        <v>20</v>
      </c>
      <c r="Y39" s="52">
        <v>5</v>
      </c>
      <c r="AC39" s="7" t="s">
        <v>1</v>
      </c>
      <c r="AD39" s="7" t="s">
        <v>2</v>
      </c>
      <c r="AE39" s="7" t="s">
        <v>3</v>
      </c>
      <c r="AF39" s="7" t="s">
        <v>8</v>
      </c>
      <c r="AG39" s="7" t="s">
        <v>4</v>
      </c>
      <c r="AH39" s="42" t="s">
        <v>10</v>
      </c>
      <c r="AI39" s="42" t="s">
        <v>24</v>
      </c>
      <c r="AJ39" s="42" t="s">
        <v>25</v>
      </c>
      <c r="AK39" s="42" t="s">
        <v>26</v>
      </c>
      <c r="AL39" s="42" t="s">
        <v>27</v>
      </c>
      <c r="AM39" s="42" t="s">
        <v>28</v>
      </c>
      <c r="AN39" s="42" t="s">
        <v>29</v>
      </c>
      <c r="AO39" s="42" t="s">
        <v>30</v>
      </c>
      <c r="AP39" s="42" t="s">
        <v>19</v>
      </c>
      <c r="AQ39" s="42" t="s">
        <v>20</v>
      </c>
      <c r="AR39" s="42" t="s">
        <v>15</v>
      </c>
      <c r="AS39" s="42" t="s">
        <v>14</v>
      </c>
      <c r="AT39" s="42" t="s">
        <v>12</v>
      </c>
      <c r="AU39" s="42" t="s">
        <v>13</v>
      </c>
      <c r="AV39" s="42" t="s">
        <v>17</v>
      </c>
      <c r="AW39" s="42" t="s">
        <v>16</v>
      </c>
      <c r="AX39" s="42" t="s">
        <v>18</v>
      </c>
      <c r="AY39" s="42"/>
      <c r="AZ39" s="42"/>
    </row>
    <row r="40" spans="1:52" hidden="1" x14ac:dyDescent="0.3">
      <c r="E40" s="7" t="s">
        <v>479</v>
      </c>
      <c r="F40" s="7" t="s">
        <v>478</v>
      </c>
      <c r="G40" s="60">
        <f>G62</f>
        <v>62509</v>
      </c>
      <c r="H40" s="60">
        <f t="shared" ref="H40:W40" si="37">H62</f>
        <v>73582</v>
      </c>
      <c r="I40" s="60">
        <f t="shared" si="37"/>
        <v>134726</v>
      </c>
      <c r="J40" s="60">
        <f t="shared" si="37"/>
        <v>136541</v>
      </c>
      <c r="K40" s="60">
        <f t="shared" si="37"/>
        <v>3006</v>
      </c>
      <c r="L40" s="60">
        <f t="shared" si="37"/>
        <v>3317</v>
      </c>
      <c r="M40" s="60">
        <f t="shared" si="37"/>
        <v>6515</v>
      </c>
      <c r="N40" s="60">
        <f t="shared" si="37"/>
        <v>3570</v>
      </c>
      <c r="O40" s="60">
        <f t="shared" si="37"/>
        <v>136793</v>
      </c>
      <c r="P40" s="60">
        <f t="shared" si="37"/>
        <v>31399</v>
      </c>
      <c r="Q40" s="60">
        <f t="shared" si="37"/>
        <v>41893</v>
      </c>
      <c r="R40" s="60">
        <f t="shared" si="37"/>
        <v>31221</v>
      </c>
      <c r="S40" s="60">
        <f t="shared" si="37"/>
        <v>23053</v>
      </c>
      <c r="T40" s="60">
        <f t="shared" si="37"/>
        <v>17552</v>
      </c>
      <c r="U40" s="60">
        <f t="shared" si="37"/>
        <v>5495</v>
      </c>
      <c r="V40" s="60">
        <f t="shared" si="37"/>
        <v>26007</v>
      </c>
      <c r="W40" s="60">
        <f t="shared" si="37"/>
        <v>127482</v>
      </c>
      <c r="AB40" s="7" t="s">
        <v>67</v>
      </c>
      <c r="AC40" s="7" t="s">
        <v>66</v>
      </c>
    </row>
    <row r="41" spans="1:52" hidden="1" x14ac:dyDescent="0.3">
      <c r="A41" s="7" t="s">
        <v>37</v>
      </c>
      <c r="B41" s="43">
        <v>149</v>
      </c>
      <c r="C41" s="43">
        <v>149</v>
      </c>
      <c r="D41" s="43">
        <v>147</v>
      </c>
      <c r="E41" s="69">
        <v>147</v>
      </c>
      <c r="F41" s="69">
        <v>147</v>
      </c>
      <c r="G41" s="43">
        <v>72</v>
      </c>
      <c r="H41" s="43">
        <v>68</v>
      </c>
      <c r="I41" s="43">
        <v>72</v>
      </c>
      <c r="J41" s="43">
        <v>74</v>
      </c>
      <c r="K41" s="43">
        <v>68</v>
      </c>
      <c r="L41" s="43">
        <v>69</v>
      </c>
      <c r="M41" s="43">
        <v>69</v>
      </c>
      <c r="N41" s="43">
        <v>77</v>
      </c>
      <c r="O41" s="43">
        <v>66</v>
      </c>
      <c r="P41" s="43">
        <v>68</v>
      </c>
      <c r="Q41" s="43">
        <v>65</v>
      </c>
      <c r="R41" s="43">
        <v>66</v>
      </c>
      <c r="S41" s="43">
        <v>66</v>
      </c>
      <c r="T41" s="43">
        <v>66</v>
      </c>
      <c r="U41" s="43">
        <v>66</v>
      </c>
      <c r="V41" s="43">
        <v>63</v>
      </c>
      <c r="W41" s="43">
        <v>68</v>
      </c>
      <c r="AA41" s="7" t="s">
        <v>69</v>
      </c>
      <c r="AB41" s="7">
        <v>1</v>
      </c>
      <c r="AC41" s="53">
        <f t="shared" ref="AC41:AL48" si="38">IF(B32=B31,0,ROUND((B41-B42)/(B31-B32),1))</f>
        <v>1</v>
      </c>
      <c r="AD41" s="53">
        <f t="shared" si="38"/>
        <v>1.1000000000000001</v>
      </c>
      <c r="AE41" s="53">
        <f t="shared" si="38"/>
        <v>0.5</v>
      </c>
      <c r="AF41" s="53">
        <f t="shared" si="38"/>
        <v>0.6</v>
      </c>
      <c r="AG41" s="53">
        <f t="shared" si="38"/>
        <v>0.7</v>
      </c>
      <c r="AH41" s="53">
        <f t="shared" si="38"/>
        <v>1</v>
      </c>
      <c r="AI41" s="53">
        <f t="shared" si="38"/>
        <v>0.8</v>
      </c>
      <c r="AJ41" s="53">
        <f t="shared" si="38"/>
        <v>1.2</v>
      </c>
      <c r="AK41" s="53">
        <f t="shared" si="38"/>
        <v>1</v>
      </c>
      <c r="AL41" s="53">
        <f t="shared" si="38"/>
        <v>0.5</v>
      </c>
      <c r="AM41" s="53">
        <f t="shared" ref="AM41:AV48" si="39">IF(L32=L31,0,ROUND((L41-L42)/(L31-L32),1))</f>
        <v>0.7</v>
      </c>
      <c r="AN41" s="53">
        <f t="shared" si="39"/>
        <v>1</v>
      </c>
      <c r="AO41" s="53">
        <f t="shared" si="39"/>
        <v>2.5</v>
      </c>
      <c r="AP41" s="53">
        <f t="shared" si="39"/>
        <v>0.7</v>
      </c>
      <c r="AQ41" s="53">
        <f t="shared" si="39"/>
        <v>0.7</v>
      </c>
      <c r="AR41" s="53">
        <f t="shared" si="39"/>
        <v>0</v>
      </c>
      <c r="AS41" s="53">
        <f t="shared" si="39"/>
        <v>0</v>
      </c>
      <c r="AT41" s="53">
        <f t="shared" si="39"/>
        <v>0</v>
      </c>
      <c r="AU41" s="53">
        <f t="shared" si="39"/>
        <v>0</v>
      </c>
      <c r="AV41" s="53">
        <f t="shared" si="39"/>
        <v>0</v>
      </c>
      <c r="AW41" s="53">
        <f t="shared" ref="AW41:AX48" si="40">IF(V32=V31,0,ROUND((V41-V42)/(V31-V32),1))</f>
        <v>0</v>
      </c>
      <c r="AX41" s="53">
        <f t="shared" si="40"/>
        <v>2</v>
      </c>
    </row>
    <row r="42" spans="1:52" hidden="1" x14ac:dyDescent="0.3">
      <c r="A42" s="7" t="s">
        <v>40</v>
      </c>
      <c r="B42" s="52">
        <v>131</v>
      </c>
      <c r="C42" s="52">
        <v>131</v>
      </c>
      <c r="D42" s="52">
        <v>137</v>
      </c>
      <c r="E42" s="52">
        <v>137</v>
      </c>
      <c r="F42" s="52">
        <v>137</v>
      </c>
      <c r="G42" s="52">
        <v>66</v>
      </c>
      <c r="H42" s="52">
        <v>63</v>
      </c>
      <c r="I42" s="52">
        <v>65</v>
      </c>
      <c r="J42" s="52">
        <v>68</v>
      </c>
      <c r="K42" s="52">
        <v>66</v>
      </c>
      <c r="L42" s="52">
        <v>67</v>
      </c>
      <c r="M42" s="52">
        <v>65</v>
      </c>
      <c r="N42" s="52">
        <v>67</v>
      </c>
      <c r="O42" s="52">
        <v>64</v>
      </c>
      <c r="P42" s="52">
        <v>66</v>
      </c>
      <c r="Q42" s="52">
        <v>65</v>
      </c>
      <c r="R42" s="52">
        <v>66</v>
      </c>
      <c r="S42" s="52">
        <v>66</v>
      </c>
      <c r="T42" s="52">
        <v>66</v>
      </c>
      <c r="U42" s="52">
        <v>66</v>
      </c>
      <c r="V42" s="52">
        <v>63</v>
      </c>
      <c r="W42" s="52">
        <v>64</v>
      </c>
      <c r="AA42" s="7" t="s">
        <v>56</v>
      </c>
      <c r="AB42" s="7">
        <v>2</v>
      </c>
      <c r="AC42" s="53">
        <f t="shared" si="38"/>
        <v>1</v>
      </c>
      <c r="AD42" s="53">
        <f t="shared" si="38"/>
        <v>1</v>
      </c>
      <c r="AE42" s="53">
        <f t="shared" si="38"/>
        <v>1</v>
      </c>
      <c r="AF42" s="53">
        <f t="shared" si="38"/>
        <v>1</v>
      </c>
      <c r="AG42" s="53">
        <f t="shared" si="38"/>
        <v>1</v>
      </c>
      <c r="AH42" s="53">
        <f t="shared" si="38"/>
        <v>0.8</v>
      </c>
      <c r="AI42" s="53">
        <f t="shared" si="38"/>
        <v>1</v>
      </c>
      <c r="AJ42" s="53">
        <f t="shared" si="38"/>
        <v>0.8</v>
      </c>
      <c r="AK42" s="53">
        <f t="shared" si="38"/>
        <v>0.8</v>
      </c>
      <c r="AL42" s="53">
        <f t="shared" si="38"/>
        <v>0.8</v>
      </c>
      <c r="AM42" s="53">
        <f t="shared" si="39"/>
        <v>1</v>
      </c>
      <c r="AN42" s="53">
        <f t="shared" si="39"/>
        <v>0.7</v>
      </c>
      <c r="AO42" s="53">
        <f t="shared" si="39"/>
        <v>0.7</v>
      </c>
      <c r="AP42" s="53">
        <f t="shared" si="39"/>
        <v>0.5</v>
      </c>
      <c r="AQ42" s="53">
        <f t="shared" si="39"/>
        <v>0.5</v>
      </c>
      <c r="AR42" s="53">
        <f t="shared" si="39"/>
        <v>0.5</v>
      </c>
      <c r="AS42" s="53">
        <f t="shared" si="39"/>
        <v>0.5</v>
      </c>
      <c r="AT42" s="53">
        <f t="shared" si="39"/>
        <v>0.5</v>
      </c>
      <c r="AU42" s="53">
        <f t="shared" si="39"/>
        <v>0.5</v>
      </c>
      <c r="AV42" s="53">
        <f t="shared" si="39"/>
        <v>0.5</v>
      </c>
      <c r="AW42" s="53">
        <f t="shared" si="40"/>
        <v>0.3</v>
      </c>
      <c r="AX42" s="53">
        <f t="shared" si="40"/>
        <v>0.5</v>
      </c>
    </row>
    <row r="43" spans="1:52" hidden="1" x14ac:dyDescent="0.3">
      <c r="A43" s="7" t="s">
        <v>41</v>
      </c>
      <c r="B43" s="52">
        <v>124</v>
      </c>
      <c r="C43" s="52">
        <v>124</v>
      </c>
      <c r="D43" s="52">
        <v>127</v>
      </c>
      <c r="E43" s="52">
        <v>127</v>
      </c>
      <c r="F43" s="52">
        <v>127</v>
      </c>
      <c r="G43" s="52">
        <v>63</v>
      </c>
      <c r="H43" s="52">
        <v>61</v>
      </c>
      <c r="I43" s="52">
        <v>62</v>
      </c>
      <c r="J43" s="52">
        <v>63</v>
      </c>
      <c r="K43" s="52">
        <v>63</v>
      </c>
      <c r="L43" s="52">
        <v>64</v>
      </c>
      <c r="M43" s="52">
        <v>63</v>
      </c>
      <c r="N43" s="52">
        <v>63</v>
      </c>
      <c r="O43" s="52">
        <v>62</v>
      </c>
      <c r="P43" s="52">
        <v>64</v>
      </c>
      <c r="Q43" s="52">
        <v>63</v>
      </c>
      <c r="R43" s="52">
        <v>64</v>
      </c>
      <c r="S43" s="52">
        <v>64</v>
      </c>
      <c r="T43" s="52">
        <v>64</v>
      </c>
      <c r="U43" s="52">
        <v>64</v>
      </c>
      <c r="V43" s="52">
        <v>62</v>
      </c>
      <c r="W43" s="52">
        <v>62</v>
      </c>
      <c r="AA43" s="7" t="s">
        <v>57</v>
      </c>
      <c r="AB43" s="7">
        <v>3</v>
      </c>
      <c r="AC43" s="53">
        <f t="shared" si="38"/>
        <v>1</v>
      </c>
      <c r="AD43" s="53">
        <f t="shared" si="38"/>
        <v>1</v>
      </c>
      <c r="AE43" s="53">
        <f t="shared" si="38"/>
        <v>1.1000000000000001</v>
      </c>
      <c r="AF43" s="53">
        <f t="shared" si="38"/>
        <v>0.9</v>
      </c>
      <c r="AG43" s="53">
        <f t="shared" si="38"/>
        <v>1.1000000000000001</v>
      </c>
      <c r="AH43" s="53">
        <f t="shared" si="38"/>
        <v>0.7</v>
      </c>
      <c r="AI43" s="53">
        <f t="shared" si="38"/>
        <v>0.7</v>
      </c>
      <c r="AJ43" s="53">
        <f t="shared" si="38"/>
        <v>0.6</v>
      </c>
      <c r="AK43" s="53">
        <f t="shared" si="38"/>
        <v>0.8</v>
      </c>
      <c r="AL43" s="53">
        <f t="shared" si="38"/>
        <v>0.8</v>
      </c>
      <c r="AM43" s="53">
        <f t="shared" si="39"/>
        <v>0.8</v>
      </c>
      <c r="AN43" s="53">
        <f t="shared" si="39"/>
        <v>0.8</v>
      </c>
      <c r="AO43" s="53">
        <f t="shared" si="39"/>
        <v>0.7</v>
      </c>
      <c r="AP43" s="53">
        <f t="shared" si="39"/>
        <v>0.3</v>
      </c>
      <c r="AQ43" s="53">
        <f t="shared" si="39"/>
        <v>0.7</v>
      </c>
      <c r="AR43" s="53">
        <f t="shared" si="39"/>
        <v>0.5</v>
      </c>
      <c r="AS43" s="53">
        <f t="shared" si="39"/>
        <v>0.5</v>
      </c>
      <c r="AT43" s="53">
        <f t="shared" si="39"/>
        <v>0.7</v>
      </c>
      <c r="AU43" s="53">
        <f t="shared" si="39"/>
        <v>0.4</v>
      </c>
      <c r="AV43" s="53">
        <f t="shared" si="39"/>
        <v>0.6</v>
      </c>
      <c r="AW43" s="53">
        <f t="shared" si="40"/>
        <v>0.3</v>
      </c>
      <c r="AX43" s="53">
        <f t="shared" si="40"/>
        <v>0.4</v>
      </c>
    </row>
    <row r="44" spans="1:52" hidden="1" x14ac:dyDescent="0.3">
      <c r="A44" s="7" t="s">
        <v>42</v>
      </c>
      <c r="B44" s="52">
        <v>116</v>
      </c>
      <c r="C44" s="52">
        <v>116</v>
      </c>
      <c r="D44" s="52">
        <v>117</v>
      </c>
      <c r="E44" s="52">
        <v>117</v>
      </c>
      <c r="F44" s="52">
        <v>117</v>
      </c>
      <c r="G44" s="52">
        <v>59</v>
      </c>
      <c r="H44" s="52">
        <v>59</v>
      </c>
      <c r="I44" s="52">
        <v>59</v>
      </c>
      <c r="J44" s="52">
        <v>59</v>
      </c>
      <c r="K44" s="52">
        <v>60</v>
      </c>
      <c r="L44" s="52">
        <v>59</v>
      </c>
      <c r="M44" s="52">
        <v>60</v>
      </c>
      <c r="N44" s="52">
        <v>59</v>
      </c>
      <c r="O44" s="52">
        <v>60</v>
      </c>
      <c r="P44" s="52">
        <v>60</v>
      </c>
      <c r="Q44" s="52">
        <v>60</v>
      </c>
      <c r="R44" s="52">
        <v>61</v>
      </c>
      <c r="S44" s="52">
        <v>60</v>
      </c>
      <c r="T44" s="52">
        <v>61</v>
      </c>
      <c r="U44" s="52">
        <v>60</v>
      </c>
      <c r="V44" s="52">
        <v>60</v>
      </c>
      <c r="W44" s="52">
        <v>59</v>
      </c>
      <c r="AA44" s="7" t="s">
        <v>58</v>
      </c>
      <c r="AB44" s="7">
        <v>4</v>
      </c>
      <c r="AC44" s="53">
        <f t="shared" si="38"/>
        <v>0.8</v>
      </c>
      <c r="AD44" s="53">
        <f t="shared" si="38"/>
        <v>0.9</v>
      </c>
      <c r="AE44" s="53">
        <f t="shared" si="38"/>
        <v>0.9</v>
      </c>
      <c r="AF44" s="53">
        <f t="shared" si="38"/>
        <v>1</v>
      </c>
      <c r="AG44" s="53">
        <f t="shared" si="38"/>
        <v>0.9</v>
      </c>
      <c r="AH44" s="53">
        <f t="shared" si="38"/>
        <v>1</v>
      </c>
      <c r="AI44" s="53">
        <f t="shared" si="38"/>
        <v>0.6</v>
      </c>
      <c r="AJ44" s="53">
        <f t="shared" si="38"/>
        <v>0.7</v>
      </c>
      <c r="AK44" s="53">
        <f t="shared" si="38"/>
        <v>1.2</v>
      </c>
      <c r="AL44" s="53">
        <f t="shared" si="38"/>
        <v>0.8</v>
      </c>
      <c r="AM44" s="53">
        <f t="shared" si="39"/>
        <v>0.8</v>
      </c>
      <c r="AN44" s="53">
        <f t="shared" si="39"/>
        <v>0.6</v>
      </c>
      <c r="AO44" s="53">
        <f t="shared" si="39"/>
        <v>0.6</v>
      </c>
      <c r="AP44" s="53">
        <f t="shared" si="39"/>
        <v>0.7</v>
      </c>
      <c r="AQ44" s="53">
        <f t="shared" si="39"/>
        <v>0.6</v>
      </c>
      <c r="AR44" s="53">
        <f t="shared" si="39"/>
        <v>0.7</v>
      </c>
      <c r="AS44" s="53">
        <f t="shared" si="39"/>
        <v>0.8</v>
      </c>
      <c r="AT44" s="53">
        <f t="shared" si="39"/>
        <v>0.7</v>
      </c>
      <c r="AU44" s="53">
        <f t="shared" si="39"/>
        <v>1.3</v>
      </c>
      <c r="AV44" s="53">
        <f t="shared" si="39"/>
        <v>1.2</v>
      </c>
      <c r="AW44" s="53">
        <f t="shared" si="40"/>
        <v>0.7</v>
      </c>
      <c r="AX44" s="53">
        <f t="shared" si="40"/>
        <v>0.7</v>
      </c>
    </row>
    <row r="45" spans="1:52" hidden="1" x14ac:dyDescent="0.3">
      <c r="A45" s="7" t="s">
        <v>43</v>
      </c>
      <c r="B45" s="52">
        <v>108</v>
      </c>
      <c r="C45" s="52">
        <v>108</v>
      </c>
      <c r="D45" s="52">
        <v>106</v>
      </c>
      <c r="E45" s="52">
        <v>106</v>
      </c>
      <c r="F45" s="52">
        <v>106</v>
      </c>
      <c r="G45" s="52">
        <v>54</v>
      </c>
      <c r="H45" s="52">
        <v>55</v>
      </c>
      <c r="I45" s="52">
        <v>54</v>
      </c>
      <c r="J45" s="52">
        <v>53</v>
      </c>
      <c r="K45" s="52">
        <v>54</v>
      </c>
      <c r="L45" s="52">
        <v>53</v>
      </c>
      <c r="M45" s="52">
        <v>55</v>
      </c>
      <c r="N45" s="52">
        <v>53</v>
      </c>
      <c r="O45" s="52">
        <v>54</v>
      </c>
      <c r="P45" s="52">
        <v>55</v>
      </c>
      <c r="Q45" s="52">
        <v>54</v>
      </c>
      <c r="R45" s="52">
        <v>54</v>
      </c>
      <c r="S45" s="52">
        <v>54</v>
      </c>
      <c r="T45" s="52">
        <v>53</v>
      </c>
      <c r="U45" s="52">
        <v>53</v>
      </c>
      <c r="V45" s="52">
        <v>56</v>
      </c>
      <c r="W45" s="52">
        <v>55</v>
      </c>
      <c r="AA45" s="7" t="s">
        <v>59</v>
      </c>
      <c r="AB45" s="7">
        <v>5</v>
      </c>
      <c r="AC45" s="53">
        <f t="shared" si="38"/>
        <v>1.1000000000000001</v>
      </c>
      <c r="AD45" s="53">
        <f t="shared" si="38"/>
        <v>1</v>
      </c>
      <c r="AE45" s="53">
        <f t="shared" si="38"/>
        <v>0.7</v>
      </c>
      <c r="AF45" s="53">
        <f t="shared" si="38"/>
        <v>0.7</v>
      </c>
      <c r="AG45" s="53">
        <f t="shared" si="38"/>
        <v>0.7</v>
      </c>
      <c r="AH45" s="53">
        <f t="shared" si="38"/>
        <v>1.1000000000000001</v>
      </c>
      <c r="AI45" s="53">
        <f t="shared" si="38"/>
        <v>0.7</v>
      </c>
      <c r="AJ45" s="53">
        <f t="shared" si="38"/>
        <v>0.9</v>
      </c>
      <c r="AK45" s="53">
        <f t="shared" si="38"/>
        <v>0.9</v>
      </c>
      <c r="AL45" s="53">
        <f t="shared" si="38"/>
        <v>0.8</v>
      </c>
      <c r="AM45" s="53">
        <f t="shared" si="39"/>
        <v>0.6</v>
      </c>
      <c r="AN45" s="53">
        <f t="shared" si="39"/>
        <v>0.8</v>
      </c>
      <c r="AO45" s="53">
        <f t="shared" si="39"/>
        <v>0.9</v>
      </c>
      <c r="AP45" s="53">
        <f t="shared" si="39"/>
        <v>0.7</v>
      </c>
      <c r="AQ45" s="53">
        <f t="shared" si="39"/>
        <v>1</v>
      </c>
      <c r="AR45" s="53">
        <f t="shared" si="39"/>
        <v>0.8</v>
      </c>
      <c r="AS45" s="53">
        <f t="shared" si="39"/>
        <v>0.9</v>
      </c>
      <c r="AT45" s="53">
        <f t="shared" si="39"/>
        <v>0.8</v>
      </c>
      <c r="AU45" s="53">
        <f t="shared" si="39"/>
        <v>1</v>
      </c>
      <c r="AV45" s="53">
        <f t="shared" si="39"/>
        <v>0.9</v>
      </c>
      <c r="AW45" s="53">
        <f t="shared" si="40"/>
        <v>1.1000000000000001</v>
      </c>
      <c r="AX45" s="53">
        <f t="shared" si="40"/>
        <v>0.9</v>
      </c>
    </row>
    <row r="46" spans="1:52" hidden="1" x14ac:dyDescent="0.3">
      <c r="A46" s="7" t="s">
        <v>44</v>
      </c>
      <c r="B46" s="52">
        <v>97</v>
      </c>
      <c r="C46" s="52">
        <v>97</v>
      </c>
      <c r="D46" s="52">
        <v>92</v>
      </c>
      <c r="E46" s="52">
        <v>92</v>
      </c>
      <c r="F46" s="52">
        <v>92</v>
      </c>
      <c r="G46" s="52">
        <v>46</v>
      </c>
      <c r="H46" s="52">
        <v>49</v>
      </c>
      <c r="I46" s="52">
        <v>47</v>
      </c>
      <c r="J46" s="52">
        <v>46</v>
      </c>
      <c r="K46" s="52">
        <v>45</v>
      </c>
      <c r="L46" s="52">
        <v>46</v>
      </c>
      <c r="M46" s="52">
        <v>46</v>
      </c>
      <c r="N46" s="52">
        <v>46</v>
      </c>
      <c r="O46" s="52">
        <v>47</v>
      </c>
      <c r="P46" s="52">
        <v>45</v>
      </c>
      <c r="Q46" s="52">
        <v>46</v>
      </c>
      <c r="R46" s="52">
        <v>45</v>
      </c>
      <c r="S46" s="52">
        <v>46</v>
      </c>
      <c r="T46" s="52">
        <v>45</v>
      </c>
      <c r="U46" s="52">
        <v>46</v>
      </c>
      <c r="V46" s="52">
        <v>47</v>
      </c>
      <c r="W46" s="52">
        <v>48</v>
      </c>
      <c r="AA46" s="7" t="s">
        <v>60</v>
      </c>
      <c r="AB46" s="7">
        <v>6</v>
      </c>
      <c r="AC46" s="53">
        <f t="shared" si="38"/>
        <v>1</v>
      </c>
      <c r="AD46" s="53">
        <f t="shared" si="38"/>
        <v>1</v>
      </c>
      <c r="AE46" s="53">
        <f t="shared" si="38"/>
        <v>0.7</v>
      </c>
      <c r="AF46" s="53">
        <f t="shared" si="38"/>
        <v>0.7</v>
      </c>
      <c r="AG46" s="53">
        <f t="shared" si="38"/>
        <v>0.7</v>
      </c>
      <c r="AH46" s="53">
        <f t="shared" si="38"/>
        <v>0.8</v>
      </c>
      <c r="AI46" s="53">
        <f t="shared" si="38"/>
        <v>1</v>
      </c>
      <c r="AJ46" s="53">
        <f t="shared" si="38"/>
        <v>1.2</v>
      </c>
      <c r="AK46" s="53">
        <f t="shared" si="38"/>
        <v>1.3</v>
      </c>
      <c r="AL46" s="53">
        <f t="shared" si="38"/>
        <v>0.8</v>
      </c>
      <c r="AM46" s="53">
        <f t="shared" si="39"/>
        <v>0.7</v>
      </c>
      <c r="AN46" s="53">
        <f t="shared" si="39"/>
        <v>1</v>
      </c>
      <c r="AO46" s="53">
        <f t="shared" si="39"/>
        <v>1</v>
      </c>
      <c r="AP46" s="53">
        <f t="shared" si="39"/>
        <v>1.2</v>
      </c>
      <c r="AQ46" s="53">
        <f t="shared" si="39"/>
        <v>1</v>
      </c>
      <c r="AR46" s="53">
        <f t="shared" si="39"/>
        <v>1.2</v>
      </c>
      <c r="AS46" s="53">
        <f t="shared" si="39"/>
        <v>0.8</v>
      </c>
      <c r="AT46" s="53">
        <f t="shared" si="39"/>
        <v>1</v>
      </c>
      <c r="AU46" s="53">
        <f t="shared" si="39"/>
        <v>0.7</v>
      </c>
      <c r="AV46" s="53">
        <f t="shared" si="39"/>
        <v>0.7</v>
      </c>
      <c r="AW46" s="53">
        <f t="shared" si="40"/>
        <v>1.1000000000000001</v>
      </c>
      <c r="AX46" s="53">
        <f t="shared" si="40"/>
        <v>1.1000000000000001</v>
      </c>
    </row>
    <row r="47" spans="1:52" hidden="1" x14ac:dyDescent="0.3">
      <c r="A47" s="7" t="s">
        <v>45</v>
      </c>
      <c r="B47" s="52">
        <v>84</v>
      </c>
      <c r="C47" s="52">
        <v>84</v>
      </c>
      <c r="D47" s="52">
        <v>81</v>
      </c>
      <c r="E47" s="52">
        <v>81</v>
      </c>
      <c r="F47" s="52">
        <v>81</v>
      </c>
      <c r="G47" s="52">
        <v>41</v>
      </c>
      <c r="H47" s="52">
        <v>41</v>
      </c>
      <c r="I47" s="52">
        <v>40</v>
      </c>
      <c r="J47" s="52">
        <v>41</v>
      </c>
      <c r="K47" s="52">
        <v>41</v>
      </c>
      <c r="L47" s="52">
        <v>41</v>
      </c>
      <c r="M47" s="52">
        <v>40</v>
      </c>
      <c r="N47" s="52">
        <v>40</v>
      </c>
      <c r="O47" s="52">
        <v>41</v>
      </c>
      <c r="P47" s="52">
        <v>40</v>
      </c>
      <c r="Q47" s="52">
        <v>40</v>
      </c>
      <c r="R47" s="52">
        <v>41</v>
      </c>
      <c r="S47" s="52">
        <v>41</v>
      </c>
      <c r="T47" s="52">
        <v>40</v>
      </c>
      <c r="U47" s="52">
        <v>41</v>
      </c>
      <c r="V47" s="52">
        <v>39</v>
      </c>
      <c r="W47" s="52">
        <v>40</v>
      </c>
      <c r="AA47" s="7" t="s">
        <v>61</v>
      </c>
      <c r="AB47" s="7">
        <v>7</v>
      </c>
      <c r="AC47" s="53">
        <f t="shared" si="38"/>
        <v>1.3</v>
      </c>
      <c r="AD47" s="53">
        <f t="shared" si="38"/>
        <v>1.3</v>
      </c>
      <c r="AE47" s="53">
        <f t="shared" si="38"/>
        <v>1</v>
      </c>
      <c r="AF47" s="53">
        <f t="shared" si="38"/>
        <v>0.9</v>
      </c>
      <c r="AG47" s="53">
        <f t="shared" si="38"/>
        <v>1.2</v>
      </c>
      <c r="AH47" s="53">
        <f t="shared" si="38"/>
        <v>0.8</v>
      </c>
      <c r="AI47" s="53">
        <f t="shared" si="38"/>
        <v>1</v>
      </c>
      <c r="AJ47" s="53">
        <f t="shared" si="38"/>
        <v>0.6</v>
      </c>
      <c r="AK47" s="53">
        <f t="shared" si="38"/>
        <v>0.5</v>
      </c>
      <c r="AL47" s="53">
        <f t="shared" si="38"/>
        <v>0.6</v>
      </c>
      <c r="AM47" s="53">
        <f t="shared" si="39"/>
        <v>1</v>
      </c>
      <c r="AN47" s="53">
        <f t="shared" si="39"/>
        <v>1</v>
      </c>
      <c r="AO47" s="53">
        <f t="shared" si="39"/>
        <v>1.5</v>
      </c>
      <c r="AP47" s="53">
        <f t="shared" si="39"/>
        <v>1.3</v>
      </c>
      <c r="AQ47" s="53">
        <f t="shared" si="39"/>
        <v>0.8</v>
      </c>
      <c r="AR47" s="53">
        <f t="shared" si="39"/>
        <v>0.8</v>
      </c>
      <c r="AS47" s="53">
        <f t="shared" si="39"/>
        <v>1</v>
      </c>
      <c r="AT47" s="53">
        <f t="shared" si="39"/>
        <v>1</v>
      </c>
      <c r="AU47" s="53">
        <f t="shared" si="39"/>
        <v>0.4</v>
      </c>
      <c r="AV47" s="53">
        <f t="shared" si="39"/>
        <v>0.6</v>
      </c>
      <c r="AW47" s="53">
        <f t="shared" si="40"/>
        <v>0.6</v>
      </c>
      <c r="AX47" s="53">
        <f t="shared" si="40"/>
        <v>0.8</v>
      </c>
    </row>
    <row r="48" spans="1:52" hidden="1" x14ac:dyDescent="0.3">
      <c r="A48" s="7" t="s">
        <v>46</v>
      </c>
      <c r="B48" s="52">
        <v>72</v>
      </c>
      <c r="C48" s="52">
        <v>72</v>
      </c>
      <c r="D48" s="52">
        <v>75</v>
      </c>
      <c r="E48" s="52">
        <v>75</v>
      </c>
      <c r="F48" s="52">
        <v>75</v>
      </c>
      <c r="G48" s="52">
        <v>37</v>
      </c>
      <c r="H48" s="52">
        <v>36</v>
      </c>
      <c r="I48" s="52">
        <v>37</v>
      </c>
      <c r="J48" s="52">
        <v>38</v>
      </c>
      <c r="K48" s="52">
        <v>38</v>
      </c>
      <c r="L48" s="52">
        <v>38</v>
      </c>
      <c r="M48" s="52">
        <v>37</v>
      </c>
      <c r="N48" s="52">
        <v>37</v>
      </c>
      <c r="O48" s="52">
        <v>36</v>
      </c>
      <c r="P48" s="52">
        <v>37</v>
      </c>
      <c r="Q48" s="52">
        <v>37</v>
      </c>
      <c r="R48" s="52">
        <v>37</v>
      </c>
      <c r="S48" s="52">
        <v>37</v>
      </c>
      <c r="T48" s="52">
        <v>38</v>
      </c>
      <c r="U48" s="52">
        <v>38</v>
      </c>
      <c r="V48" s="52">
        <v>36</v>
      </c>
      <c r="W48" s="52">
        <v>36</v>
      </c>
      <c r="AA48" s="7" t="s">
        <v>62</v>
      </c>
      <c r="AB48" s="7">
        <v>8</v>
      </c>
      <c r="AC48" s="53">
        <f t="shared" si="38"/>
        <v>1</v>
      </c>
      <c r="AD48" s="53">
        <f t="shared" si="38"/>
        <v>1.1000000000000001</v>
      </c>
      <c r="AE48" s="53">
        <f t="shared" si="38"/>
        <v>0.8</v>
      </c>
      <c r="AF48" s="53">
        <f t="shared" si="38"/>
        <v>0.8</v>
      </c>
      <c r="AG48" s="53">
        <f t="shared" si="38"/>
        <v>0.8</v>
      </c>
      <c r="AH48" s="53">
        <f t="shared" si="38"/>
        <v>0.8</v>
      </c>
      <c r="AI48" s="53">
        <f t="shared" si="38"/>
        <v>1.7</v>
      </c>
      <c r="AJ48" s="53">
        <f t="shared" si="38"/>
        <v>1.3</v>
      </c>
      <c r="AK48" s="53">
        <f t="shared" si="38"/>
        <v>1</v>
      </c>
      <c r="AL48" s="53">
        <f t="shared" si="38"/>
        <v>1</v>
      </c>
      <c r="AM48" s="53">
        <f t="shared" si="39"/>
        <v>0.8</v>
      </c>
      <c r="AN48" s="53">
        <f t="shared" si="39"/>
        <v>0.7</v>
      </c>
      <c r="AO48" s="53">
        <f t="shared" si="39"/>
        <v>1</v>
      </c>
      <c r="AP48" s="53">
        <f t="shared" si="39"/>
        <v>1</v>
      </c>
      <c r="AQ48" s="53">
        <f t="shared" si="39"/>
        <v>0.7</v>
      </c>
      <c r="AR48" s="53">
        <f t="shared" si="39"/>
        <v>1</v>
      </c>
      <c r="AS48" s="53">
        <f t="shared" si="39"/>
        <v>0.7</v>
      </c>
      <c r="AT48" s="53">
        <f t="shared" si="39"/>
        <v>0.7</v>
      </c>
      <c r="AU48" s="53">
        <f t="shared" si="39"/>
        <v>0.5</v>
      </c>
      <c r="AV48" s="53">
        <f t="shared" si="39"/>
        <v>0.8</v>
      </c>
      <c r="AW48" s="53">
        <f t="shared" si="40"/>
        <v>0.8</v>
      </c>
      <c r="AX48" s="53">
        <f t="shared" si="40"/>
        <v>0.8</v>
      </c>
    </row>
    <row r="49" spans="1:52" hidden="1" x14ac:dyDescent="0.3">
      <c r="A49" s="7" t="s">
        <v>47</v>
      </c>
      <c r="B49" s="52">
        <v>62</v>
      </c>
      <c r="C49" s="52">
        <v>62</v>
      </c>
      <c r="D49" s="52">
        <v>71</v>
      </c>
      <c r="E49" s="52">
        <v>71</v>
      </c>
      <c r="F49" s="52">
        <v>71</v>
      </c>
      <c r="G49" s="52">
        <v>34</v>
      </c>
      <c r="H49" s="52">
        <v>31</v>
      </c>
      <c r="I49" s="52">
        <v>33</v>
      </c>
      <c r="J49" s="52">
        <v>35</v>
      </c>
      <c r="K49" s="52">
        <v>35</v>
      </c>
      <c r="L49" s="52">
        <v>35</v>
      </c>
      <c r="M49" s="52">
        <v>35</v>
      </c>
      <c r="N49" s="52">
        <v>35</v>
      </c>
      <c r="O49" s="52">
        <v>33</v>
      </c>
      <c r="P49" s="52">
        <v>35</v>
      </c>
      <c r="Q49" s="52">
        <v>34</v>
      </c>
      <c r="R49" s="52">
        <v>35</v>
      </c>
      <c r="S49" s="52">
        <v>35</v>
      </c>
      <c r="T49" s="52">
        <v>36</v>
      </c>
      <c r="U49" s="52">
        <v>35</v>
      </c>
      <c r="V49" s="52">
        <v>33</v>
      </c>
      <c r="W49" s="52">
        <v>33</v>
      </c>
      <c r="AA49" s="7" t="s">
        <v>63</v>
      </c>
    </row>
    <row r="50" spans="1:52" hidden="1" x14ac:dyDescent="0.3">
      <c r="F50" s="54" t="s">
        <v>483</v>
      </c>
      <c r="AB50" s="7" t="s">
        <v>67</v>
      </c>
      <c r="AC50" s="7" t="s">
        <v>65</v>
      </c>
    </row>
    <row r="51" spans="1:52" hidden="1" x14ac:dyDescent="0.3">
      <c r="A51" s="7" t="s">
        <v>38</v>
      </c>
      <c r="B51" s="52">
        <v>100</v>
      </c>
      <c r="C51" s="52">
        <v>100</v>
      </c>
      <c r="D51" s="52">
        <v>100</v>
      </c>
      <c r="E51" s="52">
        <v>100</v>
      </c>
      <c r="F51" s="52">
        <v>99</v>
      </c>
      <c r="G51" s="52">
        <v>100</v>
      </c>
      <c r="H51" s="52">
        <v>99</v>
      </c>
      <c r="I51" s="52">
        <v>100</v>
      </c>
      <c r="J51" s="52">
        <v>100</v>
      </c>
      <c r="K51" s="52">
        <v>99</v>
      </c>
      <c r="L51" s="52">
        <v>99</v>
      </c>
      <c r="M51" s="52">
        <v>99</v>
      </c>
      <c r="N51" s="52">
        <v>100</v>
      </c>
      <c r="O51" s="52">
        <v>99</v>
      </c>
      <c r="P51" s="52">
        <v>99</v>
      </c>
      <c r="Q51" s="52">
        <v>99</v>
      </c>
      <c r="R51" s="52">
        <v>98</v>
      </c>
      <c r="S51" s="52">
        <v>99</v>
      </c>
      <c r="T51" s="52">
        <v>98</v>
      </c>
      <c r="U51" s="52">
        <v>99</v>
      </c>
      <c r="V51" s="52">
        <v>99</v>
      </c>
      <c r="W51" s="52">
        <v>99</v>
      </c>
      <c r="AA51" s="7" t="s">
        <v>69</v>
      </c>
      <c r="AB51" s="7">
        <v>1</v>
      </c>
      <c r="AC51" s="53">
        <f t="shared" ref="AC51:AL58" si="41">IF(B32=B31,0,ROUND((B51-B52)/(B31-B32),1))</f>
        <v>0.2</v>
      </c>
      <c r="AD51" s="53">
        <f t="shared" si="41"/>
        <v>0.2</v>
      </c>
      <c r="AE51" s="53">
        <f t="shared" si="41"/>
        <v>0.2</v>
      </c>
      <c r="AF51" s="53">
        <f t="shared" si="41"/>
        <v>0.3</v>
      </c>
      <c r="AG51" s="53">
        <f t="shared" si="41"/>
        <v>0.2</v>
      </c>
      <c r="AH51" s="53">
        <f t="shared" si="41"/>
        <v>0.7</v>
      </c>
      <c r="AI51" s="53">
        <f t="shared" si="41"/>
        <v>0.5</v>
      </c>
      <c r="AJ51" s="53">
        <f t="shared" si="41"/>
        <v>0.7</v>
      </c>
      <c r="AK51" s="53">
        <f t="shared" si="41"/>
        <v>0.7</v>
      </c>
      <c r="AL51" s="53">
        <f t="shared" si="41"/>
        <v>0.8</v>
      </c>
      <c r="AM51" s="53">
        <f t="shared" ref="AM51:AV58" si="42">IF(L32=L31,0,ROUND((L51-L52)/(L31-L32),1))</f>
        <v>1</v>
      </c>
      <c r="AN51" s="53">
        <f t="shared" si="42"/>
        <v>0.8</v>
      </c>
      <c r="AO51" s="53">
        <f t="shared" si="42"/>
        <v>1</v>
      </c>
      <c r="AP51" s="53">
        <f t="shared" si="42"/>
        <v>1</v>
      </c>
      <c r="AQ51" s="53">
        <f t="shared" si="42"/>
        <v>1</v>
      </c>
      <c r="AR51" s="53">
        <f t="shared" si="42"/>
        <v>1</v>
      </c>
      <c r="AS51" s="53">
        <f t="shared" si="42"/>
        <v>0</v>
      </c>
      <c r="AT51" s="53">
        <f t="shared" si="42"/>
        <v>1</v>
      </c>
      <c r="AU51" s="53">
        <f t="shared" si="42"/>
        <v>0</v>
      </c>
      <c r="AV51" s="53">
        <f t="shared" si="42"/>
        <v>1.5</v>
      </c>
      <c r="AW51" s="53">
        <f t="shared" ref="AW51:AX58" si="43">IF(V32=V31,0,ROUND((V51-V52)/(V31-V32),1))</f>
        <v>1.5</v>
      </c>
      <c r="AX51" s="53">
        <f t="shared" si="43"/>
        <v>1.5</v>
      </c>
    </row>
    <row r="52" spans="1:52" hidden="1" x14ac:dyDescent="0.3">
      <c r="A52" s="7" t="s">
        <v>39</v>
      </c>
      <c r="B52" s="52">
        <v>96</v>
      </c>
      <c r="C52" s="52">
        <v>96</v>
      </c>
      <c r="D52" s="52">
        <v>96</v>
      </c>
      <c r="E52" s="52">
        <v>96</v>
      </c>
      <c r="F52" s="52">
        <v>96</v>
      </c>
      <c r="G52" s="52">
        <v>96</v>
      </c>
      <c r="H52" s="52">
        <v>96</v>
      </c>
      <c r="I52" s="52">
        <v>96</v>
      </c>
      <c r="J52" s="52">
        <v>96</v>
      </c>
      <c r="K52" s="52">
        <v>96</v>
      </c>
      <c r="L52" s="52">
        <v>96</v>
      </c>
      <c r="M52" s="52">
        <v>96</v>
      </c>
      <c r="N52" s="52">
        <v>96</v>
      </c>
      <c r="O52" s="52">
        <v>96</v>
      </c>
      <c r="P52" s="52">
        <v>96</v>
      </c>
      <c r="Q52" s="52">
        <v>96</v>
      </c>
      <c r="R52" s="52">
        <v>98</v>
      </c>
      <c r="S52" s="52">
        <v>96</v>
      </c>
      <c r="T52" s="52">
        <v>98</v>
      </c>
      <c r="U52" s="52">
        <v>96</v>
      </c>
      <c r="V52" s="52">
        <v>96</v>
      </c>
      <c r="W52" s="52">
        <v>96</v>
      </c>
      <c r="AA52" s="7" t="s">
        <v>56</v>
      </c>
      <c r="AB52" s="7">
        <v>2</v>
      </c>
      <c r="AC52" s="53">
        <f t="shared" si="41"/>
        <v>1</v>
      </c>
      <c r="AD52" s="53">
        <f t="shared" si="41"/>
        <v>1</v>
      </c>
      <c r="AE52" s="53">
        <f t="shared" si="41"/>
        <v>0.7</v>
      </c>
      <c r="AF52" s="53">
        <f t="shared" si="41"/>
        <v>0.7</v>
      </c>
      <c r="AG52" s="53">
        <f t="shared" si="41"/>
        <v>0.7</v>
      </c>
      <c r="AH52" s="53">
        <f t="shared" si="41"/>
        <v>1.8</v>
      </c>
      <c r="AI52" s="53">
        <f t="shared" si="41"/>
        <v>3.5</v>
      </c>
      <c r="AJ52" s="53">
        <f t="shared" si="41"/>
        <v>1.8</v>
      </c>
      <c r="AK52" s="53">
        <f t="shared" si="41"/>
        <v>1.2</v>
      </c>
      <c r="AL52" s="53">
        <f t="shared" si="41"/>
        <v>1.8</v>
      </c>
      <c r="AM52" s="53">
        <f t="shared" si="42"/>
        <v>2.2999999999999998</v>
      </c>
      <c r="AN52" s="53">
        <f t="shared" si="42"/>
        <v>2.2999999999999998</v>
      </c>
      <c r="AO52" s="53">
        <f t="shared" si="42"/>
        <v>1.2</v>
      </c>
      <c r="AP52" s="53">
        <f t="shared" si="42"/>
        <v>1.8</v>
      </c>
      <c r="AQ52" s="53">
        <f t="shared" si="42"/>
        <v>1.8</v>
      </c>
      <c r="AR52" s="53">
        <f t="shared" si="42"/>
        <v>1.8</v>
      </c>
      <c r="AS52" s="53">
        <f t="shared" si="42"/>
        <v>2.2999999999999998</v>
      </c>
      <c r="AT52" s="53">
        <f t="shared" si="42"/>
        <v>1.8</v>
      </c>
      <c r="AU52" s="53">
        <f t="shared" si="42"/>
        <v>2.2999999999999998</v>
      </c>
      <c r="AV52" s="53">
        <f t="shared" si="42"/>
        <v>1.8</v>
      </c>
      <c r="AW52" s="53">
        <f t="shared" si="43"/>
        <v>1.8</v>
      </c>
      <c r="AX52" s="53">
        <f t="shared" si="43"/>
        <v>1.8</v>
      </c>
    </row>
    <row r="53" spans="1:52" hidden="1" x14ac:dyDescent="0.3">
      <c r="A53" s="7" t="s">
        <v>48</v>
      </c>
      <c r="B53" s="52">
        <v>89</v>
      </c>
      <c r="C53" s="52">
        <v>89</v>
      </c>
      <c r="D53" s="52">
        <v>89</v>
      </c>
      <c r="E53" s="52">
        <v>89</v>
      </c>
      <c r="F53" s="52">
        <v>89</v>
      </c>
      <c r="G53" s="52">
        <v>89</v>
      </c>
      <c r="H53" s="52">
        <v>89</v>
      </c>
      <c r="I53" s="52">
        <v>89</v>
      </c>
      <c r="J53" s="52">
        <v>89</v>
      </c>
      <c r="K53" s="52">
        <v>89</v>
      </c>
      <c r="L53" s="52">
        <v>89</v>
      </c>
      <c r="M53" s="52">
        <v>89</v>
      </c>
      <c r="N53" s="52">
        <v>89</v>
      </c>
      <c r="O53" s="52">
        <v>89</v>
      </c>
      <c r="P53" s="52">
        <v>89</v>
      </c>
      <c r="Q53" s="52">
        <v>89</v>
      </c>
      <c r="R53" s="52">
        <v>89</v>
      </c>
      <c r="S53" s="52">
        <v>89</v>
      </c>
      <c r="T53" s="52">
        <v>89</v>
      </c>
      <c r="U53" s="52">
        <v>89</v>
      </c>
      <c r="V53" s="52">
        <v>89</v>
      </c>
      <c r="W53" s="52">
        <v>89</v>
      </c>
      <c r="AA53" s="7" t="s">
        <v>57</v>
      </c>
      <c r="AB53" s="7">
        <v>3</v>
      </c>
      <c r="AC53" s="53">
        <f t="shared" si="41"/>
        <v>1.5</v>
      </c>
      <c r="AD53" s="53">
        <f t="shared" si="41"/>
        <v>1.5</v>
      </c>
      <c r="AE53" s="53">
        <f t="shared" si="41"/>
        <v>1.3</v>
      </c>
      <c r="AF53" s="53">
        <f t="shared" si="41"/>
        <v>1.1000000000000001</v>
      </c>
      <c r="AG53" s="53">
        <f t="shared" si="41"/>
        <v>1.3</v>
      </c>
      <c r="AH53" s="53">
        <f t="shared" si="41"/>
        <v>2</v>
      </c>
      <c r="AI53" s="53">
        <f t="shared" si="41"/>
        <v>3.7</v>
      </c>
      <c r="AJ53" s="53">
        <f t="shared" si="41"/>
        <v>2.4</v>
      </c>
      <c r="AK53" s="53">
        <f t="shared" si="41"/>
        <v>2.4</v>
      </c>
      <c r="AL53" s="53">
        <f t="shared" si="41"/>
        <v>3</v>
      </c>
      <c r="AM53" s="53">
        <f t="shared" si="42"/>
        <v>2</v>
      </c>
      <c r="AN53" s="53">
        <f t="shared" si="42"/>
        <v>3</v>
      </c>
      <c r="AO53" s="53">
        <f t="shared" si="42"/>
        <v>2</v>
      </c>
      <c r="AP53" s="53">
        <f t="shared" si="42"/>
        <v>2</v>
      </c>
      <c r="AQ53" s="53">
        <f t="shared" si="42"/>
        <v>2</v>
      </c>
      <c r="AR53" s="53">
        <f t="shared" si="42"/>
        <v>2</v>
      </c>
      <c r="AS53" s="53">
        <f t="shared" si="42"/>
        <v>2</v>
      </c>
      <c r="AT53" s="53">
        <f t="shared" si="42"/>
        <v>2</v>
      </c>
      <c r="AU53" s="53">
        <f t="shared" si="42"/>
        <v>1.7</v>
      </c>
      <c r="AV53" s="53">
        <f t="shared" si="42"/>
        <v>1.7</v>
      </c>
      <c r="AW53" s="53">
        <f t="shared" si="43"/>
        <v>1.7</v>
      </c>
      <c r="AX53" s="53">
        <f t="shared" si="43"/>
        <v>1.7</v>
      </c>
    </row>
    <row r="54" spans="1:52" hidden="1" x14ac:dyDescent="0.3">
      <c r="A54" s="7" t="s">
        <v>49</v>
      </c>
      <c r="B54" s="52">
        <v>77</v>
      </c>
      <c r="C54" s="52">
        <v>77</v>
      </c>
      <c r="D54" s="52">
        <v>77</v>
      </c>
      <c r="E54" s="52">
        <v>77</v>
      </c>
      <c r="F54" s="52">
        <v>77</v>
      </c>
      <c r="G54" s="52">
        <v>77</v>
      </c>
      <c r="H54" s="52">
        <v>78</v>
      </c>
      <c r="I54" s="52">
        <v>77</v>
      </c>
      <c r="J54" s="52">
        <v>77</v>
      </c>
      <c r="K54" s="52">
        <v>77</v>
      </c>
      <c r="L54" s="52">
        <v>77</v>
      </c>
      <c r="M54" s="52">
        <v>77</v>
      </c>
      <c r="N54" s="52">
        <v>77</v>
      </c>
      <c r="O54" s="52">
        <v>77</v>
      </c>
      <c r="P54" s="52">
        <v>77</v>
      </c>
      <c r="Q54" s="52">
        <v>77</v>
      </c>
      <c r="R54" s="52">
        <v>77</v>
      </c>
      <c r="S54" s="52">
        <v>77</v>
      </c>
      <c r="T54" s="52">
        <v>77</v>
      </c>
      <c r="U54" s="52">
        <v>77</v>
      </c>
      <c r="V54" s="52">
        <v>77</v>
      </c>
      <c r="W54" s="52">
        <v>77</v>
      </c>
      <c r="AA54" s="7" t="s">
        <v>58</v>
      </c>
      <c r="AB54" s="7">
        <v>4</v>
      </c>
      <c r="AC54" s="53">
        <f t="shared" si="41"/>
        <v>1.7</v>
      </c>
      <c r="AD54" s="53">
        <f t="shared" si="41"/>
        <v>1.9</v>
      </c>
      <c r="AE54" s="53">
        <f t="shared" si="41"/>
        <v>1.4</v>
      </c>
      <c r="AF54" s="53">
        <f t="shared" si="41"/>
        <v>1.5</v>
      </c>
      <c r="AG54" s="53">
        <f t="shared" si="41"/>
        <v>1.4</v>
      </c>
      <c r="AH54" s="53">
        <f t="shared" si="41"/>
        <v>3.4</v>
      </c>
      <c r="AI54" s="53">
        <f t="shared" si="41"/>
        <v>2.4</v>
      </c>
      <c r="AJ54" s="53">
        <f t="shared" si="41"/>
        <v>2.4</v>
      </c>
      <c r="AK54" s="53">
        <f t="shared" si="41"/>
        <v>3.4</v>
      </c>
      <c r="AL54" s="53">
        <f t="shared" si="41"/>
        <v>2.1</v>
      </c>
      <c r="AM54" s="53">
        <f t="shared" si="42"/>
        <v>2.1</v>
      </c>
      <c r="AN54" s="53">
        <f t="shared" si="42"/>
        <v>1.9</v>
      </c>
      <c r="AO54" s="53">
        <f t="shared" si="42"/>
        <v>1.7</v>
      </c>
      <c r="AP54" s="53">
        <f t="shared" si="42"/>
        <v>1.9</v>
      </c>
      <c r="AQ54" s="53">
        <f t="shared" si="42"/>
        <v>1.9</v>
      </c>
      <c r="AR54" s="53">
        <f t="shared" si="42"/>
        <v>1.9</v>
      </c>
      <c r="AS54" s="53">
        <f t="shared" si="42"/>
        <v>1.9</v>
      </c>
      <c r="AT54" s="53">
        <f t="shared" si="42"/>
        <v>1.9</v>
      </c>
      <c r="AU54" s="53">
        <f t="shared" si="42"/>
        <v>2.8</v>
      </c>
      <c r="AV54" s="53">
        <f t="shared" si="42"/>
        <v>2.8</v>
      </c>
      <c r="AW54" s="53">
        <f t="shared" si="43"/>
        <v>2.8</v>
      </c>
      <c r="AX54" s="53">
        <f t="shared" si="43"/>
        <v>2.8</v>
      </c>
    </row>
    <row r="55" spans="1:52" hidden="1" x14ac:dyDescent="0.3">
      <c r="A55" s="7" t="s">
        <v>50</v>
      </c>
      <c r="B55" s="52">
        <v>60</v>
      </c>
      <c r="C55" s="52">
        <v>60</v>
      </c>
      <c r="D55" s="52">
        <v>60</v>
      </c>
      <c r="E55" s="52">
        <v>60</v>
      </c>
      <c r="F55" s="52">
        <v>60</v>
      </c>
      <c r="G55" s="52">
        <v>60</v>
      </c>
      <c r="H55" s="52">
        <v>61</v>
      </c>
      <c r="I55" s="52">
        <v>60</v>
      </c>
      <c r="J55" s="52">
        <v>60</v>
      </c>
      <c r="K55" s="52">
        <v>60</v>
      </c>
      <c r="L55" s="52">
        <v>60</v>
      </c>
      <c r="M55" s="52">
        <v>60</v>
      </c>
      <c r="N55" s="52">
        <v>60</v>
      </c>
      <c r="O55" s="52">
        <v>60</v>
      </c>
      <c r="P55" s="52">
        <v>60</v>
      </c>
      <c r="Q55" s="52">
        <v>60</v>
      </c>
      <c r="R55" s="52">
        <v>60</v>
      </c>
      <c r="S55" s="52">
        <v>60</v>
      </c>
      <c r="T55" s="52">
        <v>60</v>
      </c>
      <c r="U55" s="52">
        <v>60</v>
      </c>
      <c r="V55" s="52">
        <v>60</v>
      </c>
      <c r="W55" s="52">
        <v>60</v>
      </c>
      <c r="AA55" s="7" t="s">
        <v>59</v>
      </c>
      <c r="AB55" s="7">
        <v>5</v>
      </c>
      <c r="AC55" s="53">
        <f t="shared" si="41"/>
        <v>2</v>
      </c>
      <c r="AD55" s="53">
        <f t="shared" si="41"/>
        <v>1.8</v>
      </c>
      <c r="AE55" s="53">
        <f t="shared" si="41"/>
        <v>1</v>
      </c>
      <c r="AF55" s="53">
        <f t="shared" si="41"/>
        <v>1.1000000000000001</v>
      </c>
      <c r="AG55" s="53">
        <f t="shared" si="41"/>
        <v>1</v>
      </c>
      <c r="AH55" s="53">
        <f t="shared" si="41"/>
        <v>2.9</v>
      </c>
      <c r="AI55" s="53">
        <f t="shared" si="41"/>
        <v>2.2000000000000002</v>
      </c>
      <c r="AJ55" s="53">
        <f t="shared" si="41"/>
        <v>2.5</v>
      </c>
      <c r="AK55" s="53">
        <f t="shared" si="41"/>
        <v>2.5</v>
      </c>
      <c r="AL55" s="53">
        <f t="shared" si="41"/>
        <v>1.8</v>
      </c>
      <c r="AM55" s="53">
        <f t="shared" si="42"/>
        <v>1.8</v>
      </c>
      <c r="AN55" s="53">
        <f t="shared" si="42"/>
        <v>1.7</v>
      </c>
      <c r="AO55" s="53">
        <f t="shared" si="42"/>
        <v>2.5</v>
      </c>
      <c r="AP55" s="53">
        <f t="shared" si="42"/>
        <v>2</v>
      </c>
      <c r="AQ55" s="53">
        <f t="shared" si="42"/>
        <v>2</v>
      </c>
      <c r="AR55" s="53">
        <f t="shared" si="42"/>
        <v>2</v>
      </c>
      <c r="AS55" s="53">
        <f t="shared" si="42"/>
        <v>2</v>
      </c>
      <c r="AT55" s="53">
        <f t="shared" si="42"/>
        <v>2</v>
      </c>
      <c r="AU55" s="53">
        <f t="shared" si="42"/>
        <v>2.5</v>
      </c>
      <c r="AV55" s="53">
        <f t="shared" si="42"/>
        <v>2.5</v>
      </c>
      <c r="AW55" s="53">
        <f t="shared" si="43"/>
        <v>2.5</v>
      </c>
      <c r="AX55" s="53">
        <f t="shared" si="43"/>
        <v>2.5</v>
      </c>
    </row>
    <row r="56" spans="1:52" hidden="1" x14ac:dyDescent="0.3">
      <c r="A56" s="7" t="s">
        <v>51</v>
      </c>
      <c r="B56" s="52">
        <v>40</v>
      </c>
      <c r="C56" s="52">
        <v>40</v>
      </c>
      <c r="D56" s="52">
        <v>40</v>
      </c>
      <c r="E56" s="52">
        <v>40</v>
      </c>
      <c r="F56" s="52">
        <v>40</v>
      </c>
      <c r="G56" s="52">
        <v>40</v>
      </c>
      <c r="H56" s="52">
        <v>41</v>
      </c>
      <c r="I56" s="52">
        <v>40</v>
      </c>
      <c r="J56" s="52">
        <v>40</v>
      </c>
      <c r="K56" s="52">
        <v>40</v>
      </c>
      <c r="L56" s="52">
        <v>40</v>
      </c>
      <c r="M56" s="52">
        <v>40</v>
      </c>
      <c r="N56" s="52">
        <v>40</v>
      </c>
      <c r="O56" s="52">
        <v>40</v>
      </c>
      <c r="P56" s="52">
        <v>40</v>
      </c>
      <c r="Q56" s="52">
        <v>40</v>
      </c>
      <c r="R56" s="52">
        <v>40</v>
      </c>
      <c r="S56" s="52">
        <v>40</v>
      </c>
      <c r="T56" s="52">
        <v>40</v>
      </c>
      <c r="U56" s="52">
        <v>40</v>
      </c>
      <c r="V56" s="52">
        <v>40</v>
      </c>
      <c r="W56" s="52">
        <v>40</v>
      </c>
      <c r="AA56" s="7" t="s">
        <v>60</v>
      </c>
      <c r="AB56" s="7">
        <v>6</v>
      </c>
      <c r="AC56" s="53">
        <f t="shared" si="41"/>
        <v>1.3</v>
      </c>
      <c r="AD56" s="53">
        <f t="shared" si="41"/>
        <v>1.3</v>
      </c>
      <c r="AE56" s="53">
        <f t="shared" si="41"/>
        <v>1.1000000000000001</v>
      </c>
      <c r="AF56" s="53">
        <f t="shared" si="41"/>
        <v>1.1000000000000001</v>
      </c>
      <c r="AG56" s="53">
        <f t="shared" si="41"/>
        <v>1.1000000000000001</v>
      </c>
      <c r="AH56" s="53">
        <f t="shared" si="41"/>
        <v>2.8</v>
      </c>
      <c r="AI56" s="53">
        <f t="shared" si="41"/>
        <v>2.1</v>
      </c>
      <c r="AJ56" s="53">
        <f t="shared" si="41"/>
        <v>2.8</v>
      </c>
      <c r="AK56" s="53">
        <f t="shared" si="41"/>
        <v>4.3</v>
      </c>
      <c r="AL56" s="53">
        <f t="shared" si="41"/>
        <v>3.4</v>
      </c>
      <c r="AM56" s="53">
        <f t="shared" si="42"/>
        <v>2.4</v>
      </c>
      <c r="AN56" s="53">
        <f t="shared" si="42"/>
        <v>2.8</v>
      </c>
      <c r="AO56" s="53">
        <f t="shared" si="42"/>
        <v>2.8</v>
      </c>
      <c r="AP56" s="53">
        <f t="shared" si="42"/>
        <v>3.4</v>
      </c>
      <c r="AQ56" s="53">
        <f t="shared" si="42"/>
        <v>3.4</v>
      </c>
      <c r="AR56" s="53">
        <f t="shared" si="42"/>
        <v>3.4</v>
      </c>
      <c r="AS56" s="53">
        <f t="shared" si="42"/>
        <v>3.4</v>
      </c>
      <c r="AT56" s="53">
        <f t="shared" si="42"/>
        <v>3.4</v>
      </c>
      <c r="AU56" s="53">
        <f t="shared" si="42"/>
        <v>2.4</v>
      </c>
      <c r="AV56" s="53">
        <f t="shared" si="42"/>
        <v>2.4</v>
      </c>
      <c r="AW56" s="53">
        <f t="shared" si="43"/>
        <v>2.4</v>
      </c>
      <c r="AX56" s="53">
        <f t="shared" si="43"/>
        <v>2.4</v>
      </c>
    </row>
    <row r="57" spans="1:52" hidden="1" x14ac:dyDescent="0.3">
      <c r="A57" s="7" t="s">
        <v>52</v>
      </c>
      <c r="B57" s="52">
        <v>23</v>
      </c>
      <c r="C57" s="52">
        <v>23</v>
      </c>
      <c r="D57" s="52">
        <v>23</v>
      </c>
      <c r="E57" s="52">
        <v>23</v>
      </c>
      <c r="F57" s="52">
        <v>23</v>
      </c>
      <c r="G57" s="52">
        <v>23</v>
      </c>
      <c r="H57" s="52">
        <v>24</v>
      </c>
      <c r="I57" s="52">
        <v>23</v>
      </c>
      <c r="J57" s="52">
        <v>23</v>
      </c>
      <c r="K57" s="52">
        <v>23</v>
      </c>
      <c r="L57" s="52">
        <v>23</v>
      </c>
      <c r="M57" s="52">
        <v>23</v>
      </c>
      <c r="N57" s="52">
        <v>23</v>
      </c>
      <c r="O57" s="52">
        <v>23</v>
      </c>
      <c r="P57" s="52">
        <v>23</v>
      </c>
      <c r="Q57" s="52">
        <v>23</v>
      </c>
      <c r="R57" s="52">
        <v>23</v>
      </c>
      <c r="S57" s="52">
        <v>23</v>
      </c>
      <c r="T57" s="52">
        <v>23</v>
      </c>
      <c r="U57" s="52">
        <v>23</v>
      </c>
      <c r="V57" s="52">
        <v>23</v>
      </c>
      <c r="W57" s="52">
        <v>23</v>
      </c>
      <c r="AA57" s="7" t="s">
        <v>61</v>
      </c>
      <c r="AB57" s="7">
        <v>7</v>
      </c>
      <c r="AC57" s="53">
        <f t="shared" si="41"/>
        <v>1.3</v>
      </c>
      <c r="AD57" s="53">
        <f t="shared" si="41"/>
        <v>1.3</v>
      </c>
      <c r="AE57" s="53">
        <f t="shared" si="41"/>
        <v>2</v>
      </c>
      <c r="AF57" s="53">
        <f t="shared" si="41"/>
        <v>1.7</v>
      </c>
      <c r="AG57" s="53">
        <f t="shared" si="41"/>
        <v>2.4</v>
      </c>
      <c r="AH57" s="53">
        <f t="shared" si="41"/>
        <v>2.4</v>
      </c>
      <c r="AI57" s="53">
        <f t="shared" si="41"/>
        <v>2.6</v>
      </c>
      <c r="AJ57" s="53">
        <f t="shared" si="41"/>
        <v>2.4</v>
      </c>
      <c r="AK57" s="53">
        <f t="shared" si="41"/>
        <v>2</v>
      </c>
      <c r="AL57" s="53">
        <f t="shared" si="41"/>
        <v>2.4</v>
      </c>
      <c r="AM57" s="53">
        <f t="shared" si="42"/>
        <v>4</v>
      </c>
      <c r="AN57" s="53">
        <f t="shared" si="42"/>
        <v>4</v>
      </c>
      <c r="AO57" s="53">
        <f t="shared" si="42"/>
        <v>6</v>
      </c>
      <c r="AP57" s="53">
        <f t="shared" si="42"/>
        <v>3</v>
      </c>
      <c r="AQ57" s="53">
        <f t="shared" si="42"/>
        <v>3</v>
      </c>
      <c r="AR57" s="53">
        <f t="shared" si="42"/>
        <v>3</v>
      </c>
      <c r="AS57" s="53">
        <f t="shared" si="42"/>
        <v>3</v>
      </c>
      <c r="AT57" s="53">
        <f t="shared" si="42"/>
        <v>3</v>
      </c>
      <c r="AU57" s="53">
        <f t="shared" si="42"/>
        <v>2.4</v>
      </c>
      <c r="AV57" s="53">
        <f t="shared" si="42"/>
        <v>2.4</v>
      </c>
      <c r="AW57" s="53">
        <f t="shared" si="43"/>
        <v>2.4</v>
      </c>
      <c r="AX57" s="53">
        <f t="shared" si="43"/>
        <v>2.4</v>
      </c>
    </row>
    <row r="58" spans="1:52" hidden="1" x14ac:dyDescent="0.3">
      <c r="A58" s="7" t="s">
        <v>53</v>
      </c>
      <c r="B58" s="52">
        <v>11</v>
      </c>
      <c r="C58" s="52">
        <v>11</v>
      </c>
      <c r="D58" s="52">
        <v>11</v>
      </c>
      <c r="E58" s="52">
        <v>11</v>
      </c>
      <c r="F58" s="52">
        <v>11</v>
      </c>
      <c r="G58" s="52">
        <v>11</v>
      </c>
      <c r="H58" s="52">
        <v>11</v>
      </c>
      <c r="I58" s="52">
        <v>11</v>
      </c>
      <c r="J58" s="52">
        <v>11</v>
      </c>
      <c r="K58" s="52">
        <v>11</v>
      </c>
      <c r="L58" s="52">
        <v>11</v>
      </c>
      <c r="M58" s="52">
        <v>11</v>
      </c>
      <c r="N58" s="52">
        <v>11</v>
      </c>
      <c r="O58" s="52">
        <v>11</v>
      </c>
      <c r="P58" s="52">
        <v>11</v>
      </c>
      <c r="Q58" s="52">
        <v>11</v>
      </c>
      <c r="R58" s="52">
        <v>11</v>
      </c>
      <c r="S58" s="52">
        <v>11</v>
      </c>
      <c r="T58" s="52">
        <v>11</v>
      </c>
      <c r="U58" s="52">
        <v>11</v>
      </c>
      <c r="V58" s="52">
        <v>11</v>
      </c>
      <c r="W58" s="52">
        <v>11</v>
      </c>
      <c r="AA58" s="7" t="s">
        <v>62</v>
      </c>
      <c r="AB58" s="7">
        <v>8</v>
      </c>
      <c r="AC58" s="53">
        <f t="shared" si="41"/>
        <v>0.7</v>
      </c>
      <c r="AD58" s="53">
        <f t="shared" si="41"/>
        <v>0.8</v>
      </c>
      <c r="AE58" s="53">
        <f t="shared" si="41"/>
        <v>1.4</v>
      </c>
      <c r="AF58" s="53">
        <f t="shared" si="41"/>
        <v>1.4</v>
      </c>
      <c r="AG58" s="53">
        <f t="shared" si="41"/>
        <v>1.4</v>
      </c>
      <c r="AH58" s="53">
        <f t="shared" si="41"/>
        <v>1.8</v>
      </c>
      <c r="AI58" s="53">
        <f t="shared" si="41"/>
        <v>2.2999999999999998</v>
      </c>
      <c r="AJ58" s="53">
        <f t="shared" si="41"/>
        <v>2.2999999999999998</v>
      </c>
      <c r="AK58" s="53">
        <f t="shared" si="41"/>
        <v>2.2999999999999998</v>
      </c>
      <c r="AL58" s="53">
        <f t="shared" si="41"/>
        <v>2.2999999999999998</v>
      </c>
      <c r="AM58" s="53">
        <f t="shared" si="42"/>
        <v>1.8</v>
      </c>
      <c r="AN58" s="53">
        <f t="shared" si="42"/>
        <v>2.2999999999999998</v>
      </c>
      <c r="AO58" s="53">
        <f t="shared" si="42"/>
        <v>3.5</v>
      </c>
      <c r="AP58" s="53">
        <f t="shared" si="42"/>
        <v>2.2999999999999998</v>
      </c>
      <c r="AQ58" s="53">
        <f t="shared" si="42"/>
        <v>2.2999999999999998</v>
      </c>
      <c r="AR58" s="53">
        <f t="shared" si="42"/>
        <v>2.2999999999999998</v>
      </c>
      <c r="AS58" s="53">
        <f t="shared" si="42"/>
        <v>2.2999999999999998</v>
      </c>
      <c r="AT58" s="53">
        <f t="shared" si="42"/>
        <v>2.2999999999999998</v>
      </c>
      <c r="AU58" s="53">
        <f t="shared" si="42"/>
        <v>1.8</v>
      </c>
      <c r="AV58" s="53">
        <f t="shared" si="42"/>
        <v>1.8</v>
      </c>
      <c r="AW58" s="53">
        <f t="shared" si="43"/>
        <v>1.8</v>
      </c>
      <c r="AX58" s="53">
        <f t="shared" si="43"/>
        <v>1.8</v>
      </c>
    </row>
    <row r="59" spans="1:52" hidden="1" x14ac:dyDescent="0.3">
      <c r="A59" s="7" t="s">
        <v>54</v>
      </c>
      <c r="B59" s="52">
        <v>4</v>
      </c>
      <c r="C59" s="52">
        <v>4</v>
      </c>
      <c r="D59" s="52">
        <v>4</v>
      </c>
      <c r="E59" s="52">
        <v>4</v>
      </c>
      <c r="F59" s="52">
        <v>4</v>
      </c>
      <c r="G59" s="52">
        <v>4</v>
      </c>
      <c r="H59" s="52">
        <v>4</v>
      </c>
      <c r="I59" s="52">
        <v>4</v>
      </c>
      <c r="J59" s="52">
        <v>4</v>
      </c>
      <c r="K59" s="52">
        <v>4</v>
      </c>
      <c r="L59" s="52">
        <v>4</v>
      </c>
      <c r="M59" s="52">
        <v>4</v>
      </c>
      <c r="N59" s="52">
        <v>4</v>
      </c>
      <c r="O59" s="52">
        <v>4</v>
      </c>
      <c r="P59" s="52">
        <v>4</v>
      </c>
      <c r="Q59" s="52">
        <v>4</v>
      </c>
      <c r="R59" s="52">
        <v>4</v>
      </c>
      <c r="S59" s="52">
        <v>4</v>
      </c>
      <c r="T59" s="52">
        <v>4</v>
      </c>
      <c r="U59" s="52">
        <v>4</v>
      </c>
      <c r="V59" s="52">
        <v>4</v>
      </c>
      <c r="W59" s="52">
        <v>4</v>
      </c>
      <c r="AA59" s="7" t="s">
        <v>63</v>
      </c>
    </row>
    <row r="60" spans="1:52" hidden="1" x14ac:dyDescent="0.3">
      <c r="AC60" s="7" t="s">
        <v>6</v>
      </c>
      <c r="AE60" s="7" t="s">
        <v>7</v>
      </c>
      <c r="AH60" s="7" t="s">
        <v>9</v>
      </c>
      <c r="AP60" s="7" t="s">
        <v>11</v>
      </c>
      <c r="AY60" s="7" t="s">
        <v>21</v>
      </c>
      <c r="AZ60" s="7" t="s">
        <v>23</v>
      </c>
    </row>
    <row r="61" spans="1:52" hidden="1" x14ac:dyDescent="0.3">
      <c r="D61" s="44"/>
      <c r="G61" s="58" t="s">
        <v>880</v>
      </c>
      <c r="AC61" s="7" t="s">
        <v>1</v>
      </c>
      <c r="AD61" s="7" t="s">
        <v>2</v>
      </c>
      <c r="AE61" s="7" t="s">
        <v>3</v>
      </c>
      <c r="AF61" s="7" t="s">
        <v>8</v>
      </c>
      <c r="AG61" s="7" t="s">
        <v>4</v>
      </c>
      <c r="AH61" s="42" t="s">
        <v>10</v>
      </c>
      <c r="AI61" s="42" t="s">
        <v>24</v>
      </c>
      <c r="AJ61" s="42" t="s">
        <v>25</v>
      </c>
      <c r="AK61" s="42" t="s">
        <v>26</v>
      </c>
      <c r="AL61" s="42" t="s">
        <v>27</v>
      </c>
      <c r="AM61" s="42" t="s">
        <v>28</v>
      </c>
      <c r="AN61" s="42" t="s">
        <v>29</v>
      </c>
      <c r="AO61" s="42" t="s">
        <v>30</v>
      </c>
      <c r="AP61" s="42" t="s">
        <v>19</v>
      </c>
      <c r="AQ61" s="42" t="s">
        <v>20</v>
      </c>
      <c r="AR61" s="42" t="s">
        <v>15</v>
      </c>
      <c r="AS61" s="42" t="s">
        <v>14</v>
      </c>
      <c r="AT61" s="42" t="s">
        <v>12</v>
      </c>
      <c r="AU61" s="42" t="s">
        <v>13</v>
      </c>
      <c r="AV61" s="42" t="s">
        <v>17</v>
      </c>
      <c r="AW61" s="42" t="s">
        <v>16</v>
      </c>
      <c r="AX61" s="42" t="s">
        <v>18</v>
      </c>
      <c r="AY61" s="42"/>
      <c r="AZ61" s="42"/>
    </row>
    <row r="62" spans="1:52" hidden="1" x14ac:dyDescent="0.3">
      <c r="A62" s="7" t="s">
        <v>31</v>
      </c>
      <c r="B62" s="7" t="s">
        <v>32</v>
      </c>
      <c r="E62" s="7" t="s">
        <v>479</v>
      </c>
      <c r="F62" s="7" t="s">
        <v>478</v>
      </c>
      <c r="G62" s="59">
        <v>62509</v>
      </c>
      <c r="H62" s="59">
        <v>73582</v>
      </c>
      <c r="I62" s="59">
        <v>134726</v>
      </c>
      <c r="J62" s="59">
        <v>136541</v>
      </c>
      <c r="K62" s="59">
        <v>3006</v>
      </c>
      <c r="L62" s="59">
        <v>3317</v>
      </c>
      <c r="M62" s="59">
        <v>6515</v>
      </c>
      <c r="N62" s="59">
        <v>3570</v>
      </c>
      <c r="O62" s="59">
        <v>136793</v>
      </c>
      <c r="P62" s="59">
        <v>31399</v>
      </c>
      <c r="Q62" s="59">
        <v>41893</v>
      </c>
      <c r="R62" s="59">
        <v>31221</v>
      </c>
      <c r="S62" s="59">
        <v>23053</v>
      </c>
      <c r="T62" s="59">
        <v>17552</v>
      </c>
      <c r="U62" s="59">
        <v>5495</v>
      </c>
      <c r="V62" s="59">
        <v>26007</v>
      </c>
      <c r="W62" s="59">
        <v>127482</v>
      </c>
      <c r="X62" s="7" t="s">
        <v>246</v>
      </c>
      <c r="Y62" s="7" t="s">
        <v>247</v>
      </c>
      <c r="Z62" s="7" t="s">
        <v>126</v>
      </c>
      <c r="AA62" s="7" t="s">
        <v>127</v>
      </c>
      <c r="AB62" s="7" t="s">
        <v>64</v>
      </c>
      <c r="AC62" s="7" t="s">
        <v>55</v>
      </c>
    </row>
    <row r="63" spans="1:52" hidden="1" x14ac:dyDescent="0.3">
      <c r="A63" s="7">
        <v>100</v>
      </c>
      <c r="B63" s="44">
        <f>B41</f>
        <v>149</v>
      </c>
      <c r="C63" s="44">
        <f t="shared" ref="C63:W63" si="44">C41</f>
        <v>149</v>
      </c>
      <c r="D63" s="44">
        <f t="shared" si="44"/>
        <v>147</v>
      </c>
      <c r="E63" s="44">
        <f t="shared" si="44"/>
        <v>147</v>
      </c>
      <c r="F63" s="44">
        <f t="shared" si="44"/>
        <v>147</v>
      </c>
      <c r="G63" s="44">
        <f t="shared" si="44"/>
        <v>72</v>
      </c>
      <c r="H63" s="44">
        <f t="shared" si="44"/>
        <v>68</v>
      </c>
      <c r="I63" s="44">
        <f t="shared" si="44"/>
        <v>72</v>
      </c>
      <c r="J63" s="44">
        <f t="shared" si="44"/>
        <v>74</v>
      </c>
      <c r="K63" s="44">
        <f t="shared" si="44"/>
        <v>68</v>
      </c>
      <c r="L63" s="44">
        <f t="shared" si="44"/>
        <v>69</v>
      </c>
      <c r="M63" s="44">
        <f t="shared" si="44"/>
        <v>69</v>
      </c>
      <c r="N63" s="44">
        <f t="shared" si="44"/>
        <v>77</v>
      </c>
      <c r="O63" s="44">
        <f t="shared" si="44"/>
        <v>66</v>
      </c>
      <c r="P63" s="44">
        <f t="shared" si="44"/>
        <v>68</v>
      </c>
      <c r="Q63" s="44">
        <f t="shared" si="44"/>
        <v>65</v>
      </c>
      <c r="R63" s="44">
        <f t="shared" si="44"/>
        <v>66</v>
      </c>
      <c r="S63" s="44">
        <f t="shared" si="44"/>
        <v>66</v>
      </c>
      <c r="T63" s="44">
        <f t="shared" si="44"/>
        <v>66</v>
      </c>
      <c r="U63" s="44">
        <f t="shared" si="44"/>
        <v>66</v>
      </c>
      <c r="V63" s="44">
        <f t="shared" si="44"/>
        <v>63</v>
      </c>
      <c r="W63" s="44">
        <f t="shared" si="44"/>
        <v>68</v>
      </c>
      <c r="X63" s="44">
        <f>($G$62*G63+$H$62*H63+$I$62*I63+$J$62*J63+$K$62*K63+$L$62*L63+$M$62*M63+$N$62*N63)/($G$62+$H$62+$I$62+$J$62+$K$62+$L$62+$M$62+$N$62)</f>
        <v>71.894007541898119</v>
      </c>
      <c r="Y63" s="44">
        <f>($K$62*K63+$L$62*L63+$M$62*M63+$N$62*N63)/($K$62+$L$62+$M$62+$N$62)</f>
        <v>70.55741101901512</v>
      </c>
      <c r="Z63" s="44">
        <f>($G$62*G63+$H$62*H63+$I$62*I63+$J$62*J63)/($G$62+$H$62+$I$62+$J$62)</f>
        <v>71.947844402221136</v>
      </c>
      <c r="AA63" s="44">
        <f>($O$62*O63+$P$62*P63+$Q$62*Q63+$R$62*R63+$S$62*S63+$T$62*T63+$U$62*U63+$V$62*V63+$W$62*W63)/($O$62+$P$62+$Q$62+$R$62+$S$62+$T$62+$U$62+$V$62+$W$62)</f>
        <v>66.448741763912039</v>
      </c>
      <c r="AB63" s="7">
        <v>50</v>
      </c>
      <c r="AC63" s="44" t="str">
        <f>IF(COUNTIF(B$32:B$39,$A63)=1,INDEX($A$32:$A$39,MATCH($A63,B$32:B$39,0)),IF($A63&gt;=B$32,"1",IF($A63&gt;=B$33,"2",IF($A63&gt;=B$34,"3",IF($A63&gt;=B$35,"4",IF($A63&gt;=B$36,"5",IF($A63&gt;=B$37,"6",IF($A63&gt;=B$38,"7",IF($A63&gt;=B$39,"8")))))))))</f>
        <v>1</v>
      </c>
      <c r="AD63" s="44" t="str">
        <f>IF(COUNTIF(C$32:C$39,$A63)=1,INDEX($A$32:$A$39,MATCH($A63,C$32:C$39,0)),IF($A63&gt;=C$32,"1",IF($A63&gt;=C$33,"2",IF($A63&gt;=C$34,"3",IF($A63&gt;=C$35,"4",IF($A63&gt;=C$36,"5",IF($A63&gt;=C$37,"6",IF($A63&gt;=C$38,"7",IF($A63&gt;=C$39,"8")))))))))</f>
        <v>1</v>
      </c>
      <c r="AE63" s="44" t="str">
        <f>IF(COUNTIF(D$32:D$39,$A63)=1,INDEX($A$32:$A$39,MATCH($A63,D$32:D$39,0)),IF($A63&gt;=D$32,"1",IF($A63&gt;=D$33,"2",IF($A63&gt;=D$34,"3",IF($A63&gt;=D$35,"4",IF($A63&gt;=D$36,"5",IF($A63&gt;=D$37,"6",IF($A63&gt;=D$38,"7",IF($A63&gt;=D$39,"8")))))))))</f>
        <v>1</v>
      </c>
      <c r="AF63" s="44" t="str">
        <f>IF(COUNTIF(E$32:E$39,$A63)=1,INDEX($A$32:$A$39,MATCH($A63,E$32:E$39,0)),IF($A63&gt;=E$32,"1",IF($A63&gt;=E$33,"2",IF($A63&gt;=E$34,"3",IF($A63&gt;=E$35,"4",IF($A63&gt;=E$36,"5",IF($A63&gt;=E$37,"6",IF($A63&gt;=E$38,"7",IF($A63&gt;=E$39,"8")))))))))</f>
        <v>1</v>
      </c>
      <c r="AG63" s="44" t="str">
        <f>IF(COUNTIF(F$32:F$39,$A63)=1,INDEX($A$32:$A$39,MATCH($A63,F$32:F$39,0)),IF($A63&gt;=F$32,"1",IF($A63&gt;=F$33,"2",IF($A63&gt;=F$34,"3",IF($A63&gt;=F$35,"4",IF($A63&gt;=F$36,"5",IF($A63&gt;=F$37,"6",IF($A63&gt;=F$38,"7",IF($A63&gt;=F$39,"8")))))))))</f>
        <v>1</v>
      </c>
      <c r="AH63" s="44" t="str">
        <f t="shared" ref="AH63:AX63" si="45">IF(COUNTIF(G$32:G$39,$AB63)=1,INDEX($A$32:$A$39,MATCH($AB63,G$32:G$39,0)),IF($AB63&gt;=G$32,"1",IF($AB63&gt;=G$33,"2",IF($AB63&gt;=G$34,"3",IF($AB63&gt;=G$35,"4",IF($AB63&gt;=G$36,"5",IF($AB63&gt;=G$37,"6",IF($AB63&gt;=G$38,"7",IF($AB63&gt;=G$39,"8")))))))))</f>
        <v>1</v>
      </c>
      <c r="AI63" s="44" t="str">
        <f t="shared" si="45"/>
        <v>1</v>
      </c>
      <c r="AJ63" s="44" t="str">
        <f t="shared" si="45"/>
        <v>1</v>
      </c>
      <c r="AK63" s="44" t="str">
        <f t="shared" si="45"/>
        <v>1</v>
      </c>
      <c r="AL63" s="44" t="str">
        <f t="shared" si="45"/>
        <v>1</v>
      </c>
      <c r="AM63" s="44" t="str">
        <f t="shared" si="45"/>
        <v>1</v>
      </c>
      <c r="AN63" s="44" t="str">
        <f t="shared" si="45"/>
        <v>1</v>
      </c>
      <c r="AO63" s="44" t="str">
        <f t="shared" si="45"/>
        <v>1</v>
      </c>
      <c r="AP63" s="44" t="str">
        <f t="shared" si="45"/>
        <v>1</v>
      </c>
      <c r="AQ63" s="44" t="str">
        <f t="shared" si="45"/>
        <v>1</v>
      </c>
      <c r="AR63" s="44" t="str">
        <f t="shared" si="45"/>
        <v>1</v>
      </c>
      <c r="AS63" s="44" t="str">
        <f t="shared" si="45"/>
        <v>1</v>
      </c>
      <c r="AT63" s="44" t="str">
        <f t="shared" si="45"/>
        <v>1</v>
      </c>
      <c r="AU63" s="44" t="str">
        <f t="shared" si="45"/>
        <v>1</v>
      </c>
      <c r="AV63" s="44" t="str">
        <f t="shared" si="45"/>
        <v>1</v>
      </c>
      <c r="AW63" s="44" t="str">
        <f t="shared" si="45"/>
        <v>1</v>
      </c>
      <c r="AX63" s="44" t="str">
        <f t="shared" si="45"/>
        <v>1</v>
      </c>
      <c r="AY63" s="7">
        <v>1</v>
      </c>
      <c r="AZ63" s="7">
        <v>1</v>
      </c>
    </row>
    <row r="64" spans="1:52" hidden="1" x14ac:dyDescent="0.3">
      <c r="A64" s="7">
        <v>99</v>
      </c>
      <c r="B64" s="7">
        <f t="shared" ref="B64:B95" si="46">IF(LEN(AC64)=LEN($A$32),INDEX(B$42:B$49,MATCH(AC64,$AA$42:$AA$49,0)),IF(AC64=$AB$31,ROUND(B$41-(B$31-$A64)*AC$41,0),IF(AC64=$AB$32,ROUND(B$42-(B$32-$A64)*AC$42,0),IF(AC64=$AB$33,ROUND(B$43-(B$33-$A64)*AC$43,0),IF(AC64=$AB$34,ROUND(B$44-(B$34-$A64)*AC$44,0),IF(AC64=$AB$35,ROUND(B$45-(B$35-$A64)*AC$45,0),IF(AC64=$AB$36,ROUND(B$46-(B$36-$A64)*AC$46,0),IF(AC64=$AB$37,ROUND(B$47-(B$37-$A64)*AC$47,0),IF(AC64=$AB$38,ROUND(B$48-(B$38-$A64)*AC$48,0),IF(AC64=$AB$39,ROUND(B$49-(B$39-$A64)*AC$49,0)))))))))))</f>
        <v>148</v>
      </c>
      <c r="C64" s="7">
        <f t="shared" ref="C64:C95" si="47">IF(LEN(AD64)=LEN($A$32),INDEX(C$42:C$49,MATCH(AD64,$AA$42:$AA$49,0)),IF(AD64=$AB$31,ROUND(C$41-(C$31-$A64)*AD$41,0),IF(AD64=$AB$32,ROUND(C$42-(C$32-$A64)*AD$42,0),IF(AD64=$AB$33,ROUND(C$43-(C$33-$A64)*AD$43,0),IF(AD64=$AB$34,ROUND(C$44-(C$34-$A64)*AD$44,0),IF(AD64=$AB$35,ROUND(C$45-(C$35-$A64)*AD$45,0),IF(AD64=$AB$36,ROUND(C$46-(C$36-$A64)*AD$46,0),IF(AD64=$AB$37,ROUND(C$47-(C$37-$A64)*AD$47,0),IF(AD64=$AB$38,ROUND(C$48-(C$38-$A64)*AD$48,0),IF(AD64=$AB$39,ROUND(C$49-(C$39-$A64)*AD$49,0)))))))))))</f>
        <v>148</v>
      </c>
      <c r="D64" s="7">
        <f t="shared" ref="D64:D95" si="48">IF(LEN(AE64)=LEN($A$32),INDEX(D$42:D$49,MATCH(AE64,$AA$42:$AA$49,0)),IF(AE64=$AB$31,ROUND(D$41-(D$31-$A64)*AE$41,0),IF(AE64=$AB$32,ROUND(D$42-(D$32-$A64)*AE$42,0),IF(AE64=$AB$33,ROUND(D$43-(D$33-$A64)*AE$43,0),IF(AE64=$AB$34,ROUND(D$44-(D$34-$A64)*AE$44,0),IF(AE64=$AB$35,ROUND(D$45-(D$35-$A64)*AE$45,0),IF(AE64=$AB$36,ROUND(D$46-(D$36-$A64)*AE$46,0),IF(AE64=$AB$37,ROUND(D$47-(D$37-$A64)*AE$47,0),IF(AE64=$AB$38,ROUND(D$48-(D$38-$A64)*AE$48,0),IF(AE64=$AB$39,ROUND(D$49-(D$39-$A64)*AE$49,0)))))))))))</f>
        <v>147</v>
      </c>
      <c r="E64" s="7">
        <f t="shared" ref="E64:E95" si="49">IF(LEN(AF64)=LEN($A$32),INDEX(E$42:E$49,MATCH(AF64,$AA$42:$AA$49,0)),IF(AF64=$AB$31,ROUND(E$41-(E$31-$A64)*AF$41,0),IF(AF64=$AB$32,ROUND(E$42-(E$32-$A64)*AF$42,0),IF(AF64=$AB$33,ROUND(E$43-(E$33-$A64)*AF$43,0),IF(AF64=$AB$34,ROUND(E$44-(E$34-$A64)*AF$44,0),IF(AF64=$AB$35,ROUND(E$45-(E$35-$A64)*AF$45,0),IF(AF64=$AB$36,ROUND(E$46-(E$36-$A64)*AF$46,0),IF(AF64=$AB$37,ROUND(E$47-(E$37-$A64)*AF$47,0),IF(AF64=$AB$38,ROUND(E$48-(E$38-$A64)*AF$48,0),IF(AF64=$AB$39,ROUND(E$49-(E$39-$A64)*AF$49,0)))))))))))</f>
        <v>146</v>
      </c>
      <c r="F64" s="7">
        <f t="shared" ref="F64:F95" si="50">IF(LEN(AG64)=LEN($A$32),INDEX(F$42:F$49,MATCH(AG64,$AA$42:$AA$49,0)),IF(AG64=$AB$31,ROUND(F$41-(F$31-$A64)*AG$41,0),IF(AG64=$AB$32,ROUND(F$42-(F$32-$A64)*AG$42,0),IF(AG64=$AB$33,ROUND(F$43-(F$33-$A64)*AG$43,0),IF(AG64=$AB$34,ROUND(F$44-(F$34-$A64)*AG$44,0),IF(AG64=$AB$35,ROUND(F$45-(F$35-$A64)*AG$45,0),IF(AG64=$AB$36,ROUND(F$46-(F$36-$A64)*AG$46,0),IF(AG64=$AB$37,ROUND(F$47-(F$37-$A64)*AG$47,0),IF(AG64=$AB$38,ROUND(F$48-(F$38-$A64)*AG$48,0),IF(AG64=$AB$39,ROUND(F$49-(F$39-$A64)*AG$49,0)))))))))))</f>
        <v>146</v>
      </c>
      <c r="G64" s="7">
        <f t="shared" ref="G64:G95" si="51">IF(LEN(AH64)=LEN($A$32),INDEX(G$42:G$49,MATCH(AH64,$AA$42:$AA$49,0)),IF(AH64=$AB$31,ROUND(G$41-(G$31-$AB64)*AH$41,0),IF(AH64=$AB$32,ROUND(G$42-(G$32-$AB64)*AH$42,0),IF(AH64=$AB$33,ROUND(G$43-(G$33-$AB64)*AH$43,0),IF(AH64=$AB$34,ROUND(G$44-(G$34-$AB64)*AH$44,0),IF(AH64=$AB$35,ROUND(G$45-(G$35-$AB64)*AH$45,0),IF(AH64=$AB$36,ROUND(G$46-(G$36-$AB64)*AH$46,0),IF(AH64=$AB$37,ROUND(G$47-(G$37-$AB64)*AH$47,0),IF(AH64=$AB$38,ROUND(G$48-(G$38-$AB64)*AH$48,0),IF(AH64=$AB$39,ROUND(G$49-(G$39-$AB64)*AH$49,0)))))))))))</f>
        <v>71</v>
      </c>
      <c r="H64" s="7">
        <f t="shared" ref="H64:H95" si="52">IF(LEN(AI64)=LEN($A$32),INDEX(H$42:H$49,MATCH(AI64,$AA$42:$AA$49,0)),IF(AI64=$AB$31,ROUND(H$41-(H$31-$AB64)*AI$41,0),IF(AI64=$AB$32,ROUND(H$42-(H$32-$AB64)*AI$42,0),IF(AI64=$AB$33,ROUND(H$43-(H$33-$AB64)*AI$43,0),IF(AI64=$AB$34,ROUND(H$44-(H$34-$AB64)*AI$44,0),IF(AI64=$AB$35,ROUND(H$45-(H$35-$AB64)*AI$45,0),IF(AI64=$AB$36,ROUND(H$46-(H$36-$AB64)*AI$46,0),IF(AI64=$AB$37,ROUND(H$47-(H$37-$AB64)*AI$47,0),IF(AI64=$AB$38,ROUND(H$48-(H$38-$AB64)*AI$48,0),IF(AI64=$AB$39,ROUND(H$49-(H$39-$AB64)*AI$49,0)))))))))))</f>
        <v>67</v>
      </c>
      <c r="I64" s="7">
        <f t="shared" ref="I64:I95" si="53">IF(LEN(AJ64)=LEN($A$32),INDEX(I$42:I$49,MATCH(AJ64,$AA$42:$AA$49,0)),IF(AJ64=$AB$31,ROUND(I$41-(I$31-$AB64)*AJ$41,0),IF(AJ64=$AB$32,ROUND(I$42-(I$32-$AB64)*AJ$42,0),IF(AJ64=$AB$33,ROUND(I$43-(I$33-$AB64)*AJ$43,0),IF(AJ64=$AB$34,ROUND(I$44-(I$34-$AB64)*AJ$44,0),IF(AJ64=$AB$35,ROUND(I$45-(I$35-$AB64)*AJ$45,0),IF(AJ64=$AB$36,ROUND(I$46-(I$36-$AB64)*AJ$46,0),IF(AJ64=$AB$37,ROUND(I$47-(I$37-$AB64)*AJ$47,0),IF(AJ64=$AB$38,ROUND(I$48-(I$38-$AB64)*AJ$48,0),IF(AJ64=$AB$39,ROUND(I$49-(I$39-$AB64)*AJ$49,0)))))))))))</f>
        <v>71</v>
      </c>
      <c r="J64" s="7">
        <f t="shared" ref="J64:J95" si="54">IF(LEN(AK64)=LEN($A$32),INDEX(J$42:J$49,MATCH(AK64,$AA$42:$AA$49,0)),IF(AK64=$AB$31,ROUND(J$41-(J$31-$AB64)*AK$41,0),IF(AK64=$AB$32,ROUND(J$42-(J$32-$AB64)*AK$42,0),IF(AK64=$AB$33,ROUND(J$43-(J$33-$AB64)*AK$43,0),IF(AK64=$AB$34,ROUND(J$44-(J$34-$AB64)*AK$44,0),IF(AK64=$AB$35,ROUND(J$45-(J$35-$AB64)*AK$45,0),IF(AK64=$AB$36,ROUND(J$46-(J$36-$AB64)*AK$46,0),IF(AK64=$AB$37,ROUND(J$47-(J$37-$AB64)*AK$47,0),IF(AK64=$AB$38,ROUND(J$48-(J$38-$AB64)*AK$48,0),IF(AK64=$AB$39,ROUND(J$49-(J$39-$AB64)*AK$49,0)))))))))))</f>
        <v>73</v>
      </c>
      <c r="K64" s="7">
        <f t="shared" ref="K64:K95" si="55">IF(LEN(AL64)=LEN($A$32),INDEX(K$42:K$49,MATCH(AL64,$AA$42:$AA$49,0)),IF(AL64=$AB$31,ROUND(K$41-(K$31-$AB64)*AL$41,0),IF(AL64=$AB$32,ROUND(K$42-(K$32-$AB64)*AL$42,0),IF(AL64=$AB$33,ROUND(K$43-(K$33-$AB64)*AL$43,0),IF(AL64=$AB$34,ROUND(K$44-(K$34-$AB64)*AL$44,0),IF(AL64=$AB$35,ROUND(K$45-(K$35-$AB64)*AL$45,0),IF(AL64=$AB$36,ROUND(K$46-(K$36-$AB64)*AL$46,0),IF(AL64=$AB$37,ROUND(K$47-(K$37-$AB64)*AL$47,0),IF(AL64=$AB$38,ROUND(K$48-(K$38-$AB64)*AL$48,0),IF(AL64=$AB$39,ROUND(K$49-(K$39-$AB64)*AL$49,0)))))))))))</f>
        <v>68</v>
      </c>
      <c r="L64" s="7">
        <f t="shared" ref="L64:L95" si="56">IF(LEN(AM64)=LEN($A$32),INDEX(L$42:L$49,MATCH(AM64,$AA$42:$AA$49,0)),IF(AM64=$AB$31,ROUND(L$41-(L$31-$AB64)*AM$41,0),IF(AM64=$AB$32,ROUND(L$42-(L$32-$AB64)*AM$42,0),IF(AM64=$AB$33,ROUND(L$43-(L$33-$AB64)*AM$43,0),IF(AM64=$AB$34,ROUND(L$44-(L$34-$AB64)*AM$44,0),IF(AM64=$AB$35,ROUND(L$45-(L$35-$AB64)*AM$45,0),IF(AM64=$AB$36,ROUND(L$46-(L$36-$AB64)*AM$46,0),IF(AM64=$AB$37,ROUND(L$47-(L$37-$AB64)*AM$47,0),IF(AM64=$AB$38,ROUND(L$48-(L$38-$AB64)*AM$48,0),IF(AM64=$AB$39,ROUND(L$49-(L$39-$AB64)*AM$49,0)))))))))))</f>
        <v>68</v>
      </c>
      <c r="M64" s="7">
        <f t="shared" ref="M64:M95" si="57">IF(LEN(AN64)=LEN($A$32),INDEX(M$42:M$49,MATCH(AN64,$AA$42:$AA$49,0)),IF(AN64=$AB$31,ROUND(M$41-(M$31-$AB64)*AN$41,0),IF(AN64=$AB$32,ROUND(M$42-(M$32-$AB64)*AN$42,0),IF(AN64=$AB$33,ROUND(M$43-(M$33-$AB64)*AN$43,0),IF(AN64=$AB$34,ROUND(M$44-(M$34-$AB64)*AN$44,0),IF(AN64=$AB$35,ROUND(M$45-(M$35-$AB64)*AN$45,0),IF(AN64=$AB$36,ROUND(M$46-(M$36-$AB64)*AN$46,0),IF(AN64=$AB$37,ROUND(M$47-(M$37-$AB64)*AN$47,0),IF(AN64=$AB$38,ROUND(M$48-(M$38-$AB64)*AN$48,0),IF(AN64=$AB$39,ROUND(M$49-(M$39-$AB64)*AN$49,0)))))))))))</f>
        <v>68</v>
      </c>
      <c r="N64" s="7">
        <f t="shared" ref="N64:N95" si="58">IF(LEN(AO64)=LEN($A$32),INDEX(N$42:N$49,MATCH(AO64,$AA$42:$AA$49,0)),IF(AO64=$AB$31,ROUND(N$41-(N$31-$AB64)*AO$41,0),IF(AO64=$AB$32,ROUND(N$42-(N$32-$AB64)*AO$42,0),IF(AO64=$AB$33,ROUND(N$43-(N$33-$AB64)*AO$43,0),IF(AO64=$AB$34,ROUND(N$44-(N$34-$AB64)*AO$44,0),IF(AO64=$AB$35,ROUND(N$45-(N$35-$AB64)*AO$45,0),IF(AO64=$AB$36,ROUND(N$46-(N$36-$AB64)*AO$46,0),IF(AO64=$AB$37,ROUND(N$47-(N$37-$AB64)*AO$47,0),IF(AO64=$AB$38,ROUND(N$48-(N$38-$AB64)*AO$48,0),IF(AO64=$AB$39,ROUND(N$49-(N$39-$AB64)*AO$49,0)))))))))))</f>
        <v>75</v>
      </c>
      <c r="O64" s="7">
        <f t="shared" ref="O64:O95" si="59">IF(LEN(AP64)=LEN($A$32),INDEX(O$42:O$49,MATCH(AP64,$AA$42:$AA$49,0)),IF(AP64=$AB$31,ROUND(O$41-(O$31-$AB64)*AP$41,0),IF(AP64=$AB$32,ROUND(O$42-(O$32-$AB64)*AP$42,0),IF(AP64=$AB$33,ROUND(O$43-(O$33-$AB64)*AP$43,0),IF(AP64=$AB$34,ROUND(O$44-(O$34-$AB64)*AP$44,0),IF(AP64=$AB$35,ROUND(O$45-(O$35-$AB64)*AP$45,0),IF(AP64=$AB$36,ROUND(O$46-(O$36-$AB64)*AP$46,0),IF(AP64=$AB$37,ROUND(O$47-(O$37-$AB64)*AP$47,0),IF(AP64=$AB$38,ROUND(O$48-(O$38-$AB64)*AP$48,0),IF(AP64=$AB$39,ROUND(O$49-(O$39-$AB64)*AP$49,0)))))))))))</f>
        <v>65</v>
      </c>
      <c r="P64" s="7">
        <f t="shared" ref="P64:P95" si="60">IF(LEN(AQ64)=LEN($A$32),INDEX(P$42:P$49,MATCH(AQ64,$AA$42:$AA$49,0)),IF(AQ64=$AB$31,ROUND(P$41-(P$31-$AB64)*AQ$41,0),IF(AQ64=$AB$32,ROUND(P$42-(P$32-$AB64)*AQ$42,0),IF(AQ64=$AB$33,ROUND(P$43-(P$33-$AB64)*AQ$43,0),IF(AQ64=$AB$34,ROUND(P$44-(P$34-$AB64)*AQ$44,0),IF(AQ64=$AB$35,ROUND(P$45-(P$35-$AB64)*AQ$45,0),IF(AQ64=$AB$36,ROUND(P$46-(P$36-$AB64)*AQ$46,0),IF(AQ64=$AB$37,ROUND(P$47-(P$37-$AB64)*AQ$47,0),IF(AQ64=$AB$38,ROUND(P$48-(P$38-$AB64)*AQ$48,0),IF(AQ64=$AB$39,ROUND(P$49-(P$39-$AB64)*AQ$49,0)))))))))))</f>
        <v>67</v>
      </c>
      <c r="Q64" s="7">
        <f t="shared" ref="Q64:Q95" si="61">IF(LEN(AR64)=LEN($A$32),INDEX(Q$42:Q$49,MATCH(AR64,$AA$42:$AA$49,0)),IF(AR64=$AB$31,ROUND(Q$41-(Q$31-$AB64)*AR$41,0),IF(AR64=$AB$32,ROUND(Q$42-(Q$32-$AB64)*AR$42,0),IF(AR64=$AB$33,ROUND(Q$43-(Q$33-$AB64)*AR$43,0),IF(AR64=$AB$34,ROUND(Q$44-(Q$34-$AB64)*AR$44,0),IF(AR64=$AB$35,ROUND(Q$45-(Q$35-$AB64)*AR$45,0),IF(AR64=$AB$36,ROUND(Q$46-(Q$36-$AB64)*AR$46,0),IF(AR64=$AB$37,ROUND(Q$47-(Q$37-$AB64)*AR$47,0),IF(AR64=$AB$38,ROUND(Q$48-(Q$38-$AB64)*AR$48,0),IF(AR64=$AB$39,ROUND(Q$49-(Q$39-$AB64)*AR$49,0)))))))))))</f>
        <v>65</v>
      </c>
      <c r="R64" s="7">
        <f t="shared" ref="R64:R95" si="62">IF(LEN(AS64)=LEN($A$32),INDEX(R$42:R$49,MATCH(AS64,$AA$42:$AA$49,0)),IF(AS64=$AB$31,ROUND(R$41-(R$31-$AB64)*AS$41,0),IF(AS64=$AB$32,ROUND(R$42-(R$32-$AB64)*AS$42,0),IF(AS64=$AB$33,ROUND(R$43-(R$33-$AB64)*AS$43,0),IF(AS64=$AB$34,ROUND(R$44-(R$34-$AB64)*AS$44,0),IF(AS64=$AB$35,ROUND(R$45-(R$35-$AB64)*AS$45,0),IF(AS64=$AB$36,ROUND(R$46-(R$36-$AB64)*AS$46,0),IF(AS64=$AB$37,ROUND(R$47-(R$37-$AB64)*AS$47,0),IF(AS64=$AB$38,ROUND(R$48-(R$38-$AB64)*AS$48,0),IF(AS64=$AB$39,ROUND(R$49-(R$39-$AB64)*AS$49,0)))))))))))</f>
        <v>66</v>
      </c>
      <c r="S64" s="7">
        <f t="shared" ref="S64:S95" si="63">IF(LEN(AT64)=LEN($A$32),INDEX(S$42:S$49,MATCH(AT64,$AA$42:$AA$49,0)),IF(AT64=$AB$31,ROUND(S$41-(S$31-$AB64)*AT$41,0),IF(AT64=$AB$32,ROUND(S$42-(S$32-$AB64)*AT$42,0),IF(AT64=$AB$33,ROUND(S$43-(S$33-$AB64)*AT$43,0),IF(AT64=$AB$34,ROUND(S$44-(S$34-$AB64)*AT$44,0),IF(AT64=$AB$35,ROUND(S$45-(S$35-$AB64)*AT$45,0),IF(AT64=$AB$36,ROUND(S$46-(S$36-$AB64)*AT$46,0),IF(AT64=$AB$37,ROUND(S$47-(S$37-$AB64)*AT$47,0),IF(AT64=$AB$38,ROUND(S$48-(S$38-$AB64)*AT$48,0),IF(AT64=$AB$39,ROUND(S$49-(S$39-$AB64)*AT$49,0)))))))))))</f>
        <v>66</v>
      </c>
      <c r="T64" s="7">
        <f t="shared" ref="T64:T95" si="64">IF(LEN(AU64)=LEN($A$32),INDEX(T$42:T$49,MATCH(AU64,$AA$42:$AA$49,0)),IF(AU64=$AB$31,ROUND(T$41-(T$31-$AB64)*AU$41,0),IF(AU64=$AB$32,ROUND(T$42-(T$32-$AB64)*AU$42,0),IF(AU64=$AB$33,ROUND(T$43-(T$33-$AB64)*AU$43,0),IF(AU64=$AB$34,ROUND(T$44-(T$34-$AB64)*AU$44,0),IF(AU64=$AB$35,ROUND(T$45-(T$35-$AB64)*AU$45,0),IF(AU64=$AB$36,ROUND(T$46-(T$36-$AB64)*AU$46,0),IF(AU64=$AB$37,ROUND(T$47-(T$37-$AB64)*AU$47,0),IF(AU64=$AB$38,ROUND(T$48-(T$38-$AB64)*AU$48,0),IF(AU64=$AB$39,ROUND(T$49-(T$39-$AB64)*AU$49,0)))))))))))</f>
        <v>66</v>
      </c>
      <c r="U64" s="7">
        <f t="shared" ref="U64:U95" si="65">IF(LEN(AV64)=LEN($A$32),INDEX(U$42:U$49,MATCH(AV64,$AA$42:$AA$49,0)),IF(AV64=$AB$31,ROUND(U$41-(U$31-$AB64)*AV$41,0),IF(AV64=$AB$32,ROUND(U$42-(U$32-$AB64)*AV$42,0),IF(AV64=$AB$33,ROUND(U$43-(U$33-$AB64)*AV$43,0),IF(AV64=$AB$34,ROUND(U$44-(U$34-$AB64)*AV$44,0),IF(AV64=$AB$35,ROUND(U$45-(U$35-$AB64)*AV$45,0),IF(AV64=$AB$36,ROUND(U$46-(U$36-$AB64)*AV$46,0),IF(AV64=$AB$37,ROUND(U$47-(U$37-$AB64)*AV$47,0),IF(AV64=$AB$38,ROUND(U$48-(U$38-$AB64)*AV$48,0),IF(AV64=$AB$39,ROUND(U$49-(U$39-$AB64)*AV$49,0)))))))))))</f>
        <v>66</v>
      </c>
      <c r="V64" s="7">
        <f t="shared" ref="V64:V95" si="66">IF(LEN(AW64)=LEN($A$32),INDEX(V$42:V$49,MATCH(AW64,$AA$42:$AA$49,0)),IF(AW64=$AB$31,ROUND(V$41-(V$31-$AB64)*AW$41,0),IF(AW64=$AB$32,ROUND(V$42-(V$32-$AB64)*AW$42,0),IF(AW64=$AB$33,ROUND(V$43-(V$33-$AB64)*AW$43,0),IF(AW64=$AB$34,ROUND(V$44-(V$34-$AB64)*AW$44,0),IF(AW64=$AB$35,ROUND(V$45-(V$35-$AB64)*AW$45,0),IF(AW64=$AB$36,ROUND(V$46-(V$36-$AB64)*AW$46,0),IF(AW64=$AB$37,ROUND(V$47-(V$37-$AB64)*AW$47,0),IF(AW64=$AB$38,ROUND(V$48-(V$38-$AB64)*AW$48,0),IF(AW64=$AB$39,ROUND(V$49-(V$39-$AB64)*AW$49,0)))))))))))</f>
        <v>63</v>
      </c>
      <c r="W64" s="7">
        <f t="shared" ref="W64:W95" si="67">IF(LEN(AX64)=LEN($A$32),INDEX(W$42:W$49,MATCH(AX64,$AA$42:$AA$49,0)),IF(AX64=$AB$31,ROUND(W$41-(W$31-$AB64)*AX$41,0),IF(AX64=$AB$32,ROUND(W$42-(W$32-$AB64)*AX$42,0),IF(AX64=$AB$33,ROUND(W$43-(W$33-$AB64)*AX$43,0),IF(AX64=$AB$34,ROUND(W$44-(W$34-$AB64)*AX$44,0),IF(AX64=$AB$35,ROUND(W$45-(W$35-$AB64)*AX$45,0),IF(AX64=$AB$36,ROUND(W$46-(W$36-$AB64)*AX$46,0),IF(AX64=$AB$37,ROUND(W$47-(W$37-$AB64)*AX$47,0),IF(AX64=$AB$38,ROUND(W$48-(W$38-$AB64)*AX$48,0),IF(AX64=$AB$39,ROUND(W$49-(W$39-$AB64)*AX$49,0)))))))))))</f>
        <v>66</v>
      </c>
      <c r="X64" s="44">
        <f t="shared" ref="X64:X113" si="68">($G$62*G64+$H$62*H64+$I$62*I64+$J$62*J64+$K$62*K64+$L$62*L64+$M$62*M64+$N$62*N64)/($G$62+$H$62+$I$62+$J$62+$K$62+$L$62+$M$62+$N$62)</f>
        <v>70.892676618699937</v>
      </c>
      <c r="Y64" s="44">
        <f t="shared" ref="Y64:Y113" si="69">($K$62*K64+$L$62*L64+$M$62*M64+$N$62*N64)/($K$62+$L$62+$M$62+$N$62)</f>
        <v>69.523037542662109</v>
      </c>
      <c r="Z64" s="44">
        <f t="shared" ref="Z64:Z113" si="70">($G$62*G64+$H$62*H64+$I$62*I64+$J$62*J64)/($G$62+$H$62+$I$62+$J$62)</f>
        <v>70.947844402221136</v>
      </c>
      <c r="AA64" s="44">
        <f t="shared" ref="AA64:AA113" si="71">($O$62*O64+$P$62*P64+$Q$62*Q64+$R$62*R64+$S$62*S64+$T$62*T64+$U$62*U64+$V$62*V64+$W$62*W64)/($O$62+$P$62+$Q$62+$R$62+$S$62+$T$62+$U$62+$V$62+$W$62)</f>
        <v>65.488975833248276</v>
      </c>
      <c r="AB64" s="7">
        <v>49</v>
      </c>
      <c r="AC64" s="44" t="str">
        <f t="shared" ref="AC64:AC127" si="72">IF(COUNTIF(B$32:B$39,$A64)=1,INDEX($A$32:$A$39,MATCH($A64,B$32:B$39,0)),IF($A64&gt;=B$32,"1",IF($A64&gt;=B$33,"2",IF($A64&gt;=B$34,"3",IF($A64&gt;=B$35,"4",IF($A64&gt;=B$36,"5",IF($A64&gt;=B$37,"6",IF($A64&gt;=B$38,"7",IF($A64&gt;=B$39,"8")))))))))</f>
        <v>1</v>
      </c>
      <c r="AD64" s="44" t="str">
        <f t="shared" ref="AD64:AD127" si="73">IF(COUNTIF(C$32:C$39,$A64)=1,INDEX($A$32:$A$39,MATCH($A64,C$32:C$39,0)),IF($A64&gt;=C$32,"1",IF($A64&gt;=C$33,"2",IF($A64&gt;=C$34,"3",IF($A64&gt;=C$35,"4",IF($A64&gt;=C$36,"5",IF($A64&gt;=C$37,"6",IF($A64&gt;=C$38,"7",IF($A64&gt;=C$39,"8")))))))))</f>
        <v>1</v>
      </c>
      <c r="AE64" s="44" t="str">
        <f t="shared" ref="AE64:AE127" si="74">IF(COUNTIF(D$32:D$39,$A64)=1,INDEX($A$32:$A$39,MATCH($A64,D$32:D$39,0)),IF($A64&gt;=D$32,"1",IF($A64&gt;=D$33,"2",IF($A64&gt;=D$34,"3",IF($A64&gt;=D$35,"4",IF($A64&gt;=D$36,"5",IF($A64&gt;=D$37,"6",IF($A64&gt;=D$38,"7",IF($A64&gt;=D$39,"8")))))))))</f>
        <v>1</v>
      </c>
      <c r="AF64" s="44" t="str">
        <f t="shared" ref="AF64:AF127" si="75">IF(COUNTIF(E$32:E$39,$A64)=1,INDEX($A$32:$A$39,MATCH($A64,E$32:E$39,0)),IF($A64&gt;=E$32,"1",IF($A64&gt;=E$33,"2",IF($A64&gt;=E$34,"3",IF($A64&gt;=E$35,"4",IF($A64&gt;=E$36,"5",IF($A64&gt;=E$37,"6",IF($A64&gt;=E$38,"7",IF($A64&gt;=E$39,"8")))))))))</f>
        <v>1</v>
      </c>
      <c r="AG64" s="44" t="str">
        <f t="shared" ref="AG64:AG127" si="76">IF(COUNTIF(F$32:F$39,$A64)=1,INDEX($A$32:$A$39,MATCH($A64,F$32:F$39,0)),IF($A64&gt;=F$32,"1",IF($A64&gt;=F$33,"2",IF($A64&gt;=F$34,"3",IF($A64&gt;=F$35,"4",IF($A64&gt;=F$36,"5",IF($A64&gt;=F$37,"6",IF($A64&gt;=F$38,"7",IF($A64&gt;=F$39,"8")))))))))</f>
        <v>1</v>
      </c>
      <c r="AH64" s="44" t="str">
        <f t="shared" ref="AH64:AH113" si="77">IF(COUNTIF(G$32:G$39,$AB64)=1,INDEX($A$32:$A$39,MATCH($AB64,G$32:G$39,0)),IF($AB64&gt;=G$32,"1",IF($AB64&gt;=G$33,"2",IF($AB64&gt;=G$34,"3",IF($AB64&gt;=G$35,"4",IF($AB64&gt;=G$36,"5",IF($AB64&gt;=G$37,"6",IF($AB64&gt;=G$38,"7",IF($AB64&gt;=G$39,"8")))))))))</f>
        <v>1</v>
      </c>
      <c r="AI64" s="44" t="str">
        <f t="shared" ref="AI64:AI113" si="78">IF(COUNTIF(H$32:H$39,$AB64)=1,INDEX($A$32:$A$39,MATCH($AB64,H$32:H$39,0)),IF($AB64&gt;=H$32,"1",IF($AB64&gt;=H$33,"2",IF($AB64&gt;=H$34,"3",IF($AB64&gt;=H$35,"4",IF($AB64&gt;=H$36,"5",IF($AB64&gt;=H$37,"6",IF($AB64&gt;=H$38,"7",IF($AB64&gt;=H$39,"8")))))))))</f>
        <v>1</v>
      </c>
      <c r="AJ64" s="44" t="str">
        <f t="shared" ref="AJ64:AJ113" si="79">IF(COUNTIF(I$32:I$39,$AB64)=1,INDEX($A$32:$A$39,MATCH($AB64,I$32:I$39,0)),IF($AB64&gt;=I$32,"1",IF($AB64&gt;=I$33,"2",IF($AB64&gt;=I$34,"3",IF($AB64&gt;=I$35,"4",IF($AB64&gt;=I$36,"5",IF($AB64&gt;=I$37,"6",IF($AB64&gt;=I$38,"7",IF($AB64&gt;=I$39,"8")))))))))</f>
        <v>1</v>
      </c>
      <c r="AK64" s="44" t="str">
        <f t="shared" ref="AK64:AK113" si="80">IF(COUNTIF(J$32:J$39,$AB64)=1,INDEX($A$32:$A$39,MATCH($AB64,J$32:J$39,0)),IF($AB64&gt;=J$32,"1",IF($AB64&gt;=J$33,"2",IF($AB64&gt;=J$34,"3",IF($AB64&gt;=J$35,"4",IF($AB64&gt;=J$36,"5",IF($AB64&gt;=J$37,"6",IF($AB64&gt;=J$38,"7",IF($AB64&gt;=J$39,"8")))))))))</f>
        <v>1</v>
      </c>
      <c r="AL64" s="44" t="str">
        <f t="shared" ref="AL64:AL113" si="81">IF(COUNTIF(K$32:K$39,$AB64)=1,INDEX($A$32:$A$39,MATCH($AB64,K$32:K$39,0)),IF($AB64&gt;=K$32,"1",IF($AB64&gt;=K$33,"2",IF($AB64&gt;=K$34,"3",IF($AB64&gt;=K$35,"4",IF($AB64&gt;=K$36,"5",IF($AB64&gt;=K$37,"6",IF($AB64&gt;=K$38,"7",IF($AB64&gt;=K$39,"8")))))))))</f>
        <v>1</v>
      </c>
      <c r="AM64" s="44" t="str">
        <f t="shared" ref="AM64:AM113" si="82">IF(COUNTIF(L$32:L$39,$AB64)=1,INDEX($A$32:$A$39,MATCH($AB64,L$32:L$39,0)),IF($AB64&gt;=L$32,"1",IF($AB64&gt;=L$33,"2",IF($AB64&gt;=L$34,"3",IF($AB64&gt;=L$35,"4",IF($AB64&gt;=L$36,"5",IF($AB64&gt;=L$37,"6",IF($AB64&gt;=L$38,"7",IF($AB64&gt;=L$39,"8")))))))))</f>
        <v>1</v>
      </c>
      <c r="AN64" s="44" t="str">
        <f t="shared" ref="AN64:AN113" si="83">IF(COUNTIF(M$32:M$39,$AB64)=1,INDEX($A$32:$A$39,MATCH($AB64,M$32:M$39,0)),IF($AB64&gt;=M$32,"1",IF($AB64&gt;=M$33,"2",IF($AB64&gt;=M$34,"3",IF($AB64&gt;=M$35,"4",IF($AB64&gt;=M$36,"5",IF($AB64&gt;=M$37,"6",IF($AB64&gt;=M$38,"7",IF($AB64&gt;=M$39,"8")))))))))</f>
        <v>1</v>
      </c>
      <c r="AO64" s="44" t="str">
        <f t="shared" ref="AO64:AO113" si="84">IF(COUNTIF(N$32:N$39,$AB64)=1,INDEX($A$32:$A$39,MATCH($AB64,N$32:N$39,0)),IF($AB64&gt;=N$32,"1",IF($AB64&gt;=N$33,"2",IF($AB64&gt;=N$34,"3",IF($AB64&gt;=N$35,"4",IF($AB64&gt;=N$36,"5",IF($AB64&gt;=N$37,"6",IF($AB64&gt;=N$38,"7",IF($AB64&gt;=N$39,"8")))))))))</f>
        <v>1</v>
      </c>
      <c r="AP64" s="44" t="str">
        <f t="shared" ref="AP64:AP113" si="85">IF(COUNTIF(O$32:O$39,$AB64)=1,INDEX($A$32:$A$39,MATCH($AB64,O$32:O$39,0)),IF($AB64&gt;=O$32,"1",IF($AB64&gt;=O$33,"2",IF($AB64&gt;=O$34,"3",IF($AB64&gt;=O$35,"4",IF($AB64&gt;=O$36,"5",IF($AB64&gt;=O$37,"6",IF($AB64&gt;=O$38,"7",IF($AB64&gt;=O$39,"8")))))))))</f>
        <v>1</v>
      </c>
      <c r="AQ64" s="44" t="str">
        <f t="shared" ref="AQ64:AQ113" si="86">IF(COUNTIF(P$32:P$39,$AB64)=1,INDEX($A$32:$A$39,MATCH($AB64,P$32:P$39,0)),IF($AB64&gt;=P$32,"1",IF($AB64&gt;=P$33,"2",IF($AB64&gt;=P$34,"3",IF($AB64&gt;=P$35,"4",IF($AB64&gt;=P$36,"5",IF($AB64&gt;=P$37,"6",IF($AB64&gt;=P$38,"7",IF($AB64&gt;=P$39,"8")))))))))</f>
        <v>1</v>
      </c>
      <c r="AR64" s="44" t="str">
        <f t="shared" ref="AR64:AR113" si="87">IF(COUNTIF(Q$32:Q$39,$AB64)=1,INDEX($A$32:$A$39,MATCH($AB64,Q$32:Q$39,0)),IF($AB64&gt;=Q$32,"1",IF($AB64&gt;=Q$33,"2",IF($AB64&gt;=Q$34,"3",IF($AB64&gt;=Q$35,"4",IF($AB64&gt;=Q$36,"5",IF($AB64&gt;=Q$37,"6",IF($AB64&gt;=Q$38,"7",IF($AB64&gt;=Q$39,"8")))))))))</f>
        <v>1</v>
      </c>
      <c r="AS64" s="44" t="str">
        <f t="shared" ref="AS64:AS113" si="88">IF(COUNTIF(R$32:R$39,$AB64)=1,INDEX($A$32:$A$39,MATCH($AB64,R$32:R$39,0)),IF($AB64&gt;=R$32,"1",IF($AB64&gt;=R$33,"2",IF($AB64&gt;=R$34,"3",IF($AB64&gt;=R$35,"4",IF($AB64&gt;=R$36,"5",IF($AB64&gt;=R$37,"6",IF($AB64&gt;=R$38,"7",IF($AB64&gt;=R$39,"8")))))))))</f>
        <v>1</v>
      </c>
      <c r="AT64" s="44" t="str">
        <f t="shared" ref="AT64:AT113" si="89">IF(COUNTIF(S$32:S$39,$AB64)=1,INDEX($A$32:$A$39,MATCH($AB64,S$32:S$39,0)),IF($AB64&gt;=S$32,"1",IF($AB64&gt;=S$33,"2",IF($AB64&gt;=S$34,"3",IF($AB64&gt;=S$35,"4",IF($AB64&gt;=S$36,"5",IF($AB64&gt;=S$37,"6",IF($AB64&gt;=S$38,"7",IF($AB64&gt;=S$39,"8")))))))))</f>
        <v>1</v>
      </c>
      <c r="AU64" s="44" t="str">
        <f t="shared" ref="AU64:AU113" si="90">IF(COUNTIF(T$32:T$39,$AB64)=1,INDEX($A$32:$A$39,MATCH($AB64,T$32:T$39,0)),IF($AB64&gt;=T$32,"1",IF($AB64&gt;=T$33,"2",IF($AB64&gt;=T$34,"3",IF($AB64&gt;=T$35,"4",IF($AB64&gt;=T$36,"5",IF($AB64&gt;=T$37,"6",IF($AB64&gt;=T$38,"7",IF($AB64&gt;=T$39,"8")))))))))</f>
        <v>1</v>
      </c>
      <c r="AV64" s="44" t="str">
        <f t="shared" ref="AV64:AV113" si="91">IF(COUNTIF(U$32:U$39,$AB64)=1,INDEX($A$32:$A$39,MATCH($AB64,U$32:U$39,0)),IF($AB64&gt;=U$32,"1",IF($AB64&gt;=U$33,"2",IF($AB64&gt;=U$34,"3",IF($AB64&gt;=U$35,"4",IF($AB64&gt;=U$36,"5",IF($AB64&gt;=U$37,"6",IF($AB64&gt;=U$38,"7",IF($AB64&gt;=U$39,"8")))))))))</f>
        <v>1</v>
      </c>
      <c r="AW64" s="44" t="str">
        <f t="shared" ref="AW64:AW113" si="92">IF(COUNTIF(V$32:V$39,$AB64)=1,INDEX($A$32:$A$39,MATCH($AB64,V$32:V$39,0)),IF($AB64&gt;=V$32,"1",IF($AB64&gt;=V$33,"2",IF($AB64&gt;=V$34,"3",IF($AB64&gt;=V$35,"4",IF($AB64&gt;=V$36,"5",IF($AB64&gt;=V$37,"6",IF($AB64&gt;=V$38,"7",IF($AB64&gt;=V$39,"8")))))))))</f>
        <v>1</v>
      </c>
      <c r="AX64" s="44" t="str">
        <f t="shared" ref="AX64:AX113" si="93">IF(COUNTIF(W$32:W$39,$AB64)=1,INDEX($A$32:$A$39,MATCH($AB64,W$32:W$39,0)),IF($AB64&gt;=W$32,"1",IF($AB64&gt;=W$33,"2",IF($AB64&gt;=W$34,"3",IF($AB64&gt;=W$35,"4",IF($AB64&gt;=W$36,"5",IF($AB64&gt;=W$37,"6",IF($AB64&gt;=W$38,"7",IF($AB64&gt;=W$39,"8")))))))))</f>
        <v>1</v>
      </c>
      <c r="AY64" s="7">
        <v>1</v>
      </c>
      <c r="AZ64" s="7">
        <v>1</v>
      </c>
    </row>
    <row r="65" spans="1:52" hidden="1" x14ac:dyDescent="0.3">
      <c r="A65" s="7">
        <v>98</v>
      </c>
      <c r="B65" s="7">
        <f t="shared" si="46"/>
        <v>147</v>
      </c>
      <c r="C65" s="7">
        <f t="shared" si="47"/>
        <v>147</v>
      </c>
      <c r="D65" s="7">
        <f t="shared" si="48"/>
        <v>146</v>
      </c>
      <c r="E65" s="7">
        <f t="shared" si="49"/>
        <v>146</v>
      </c>
      <c r="F65" s="7">
        <f t="shared" si="50"/>
        <v>146</v>
      </c>
      <c r="G65" s="7">
        <f t="shared" si="51"/>
        <v>70</v>
      </c>
      <c r="H65" s="7">
        <f t="shared" si="52"/>
        <v>66</v>
      </c>
      <c r="I65" s="7">
        <f t="shared" si="53"/>
        <v>70</v>
      </c>
      <c r="J65" s="7">
        <f t="shared" si="54"/>
        <v>72</v>
      </c>
      <c r="K65" s="7">
        <f t="shared" si="55"/>
        <v>67</v>
      </c>
      <c r="L65" s="7">
        <f t="shared" si="56"/>
        <v>68</v>
      </c>
      <c r="M65" s="7">
        <f t="shared" si="57"/>
        <v>67</v>
      </c>
      <c r="N65" s="7">
        <f t="shared" si="58"/>
        <v>72</v>
      </c>
      <c r="O65" s="7">
        <f t="shared" si="59"/>
        <v>65</v>
      </c>
      <c r="P65" s="7">
        <f t="shared" si="60"/>
        <v>67</v>
      </c>
      <c r="Q65" s="7">
        <f t="shared" si="61"/>
        <v>65</v>
      </c>
      <c r="R65" s="7">
        <f t="shared" si="62"/>
        <v>66</v>
      </c>
      <c r="S65" s="7">
        <f t="shared" si="63"/>
        <v>66</v>
      </c>
      <c r="T65" s="7">
        <f t="shared" si="64"/>
        <v>66</v>
      </c>
      <c r="U65" s="7">
        <f t="shared" si="65"/>
        <v>66</v>
      </c>
      <c r="V65" s="7">
        <f t="shared" si="66"/>
        <v>63</v>
      </c>
      <c r="W65" s="7">
        <f t="shared" si="67"/>
        <v>64</v>
      </c>
      <c r="X65" s="44">
        <f t="shared" si="68"/>
        <v>69.883655130425751</v>
      </c>
      <c r="Y65" s="44">
        <f t="shared" si="69"/>
        <v>68.290041443198433</v>
      </c>
      <c r="Z65" s="44">
        <f t="shared" si="70"/>
        <v>69.947844402221136</v>
      </c>
      <c r="AA65" s="44">
        <f t="shared" si="71"/>
        <v>64.910688485920687</v>
      </c>
      <c r="AB65" s="7">
        <v>48</v>
      </c>
      <c r="AC65" s="44" t="str">
        <f t="shared" si="72"/>
        <v>1</v>
      </c>
      <c r="AD65" s="44" t="str">
        <f t="shared" si="73"/>
        <v>1</v>
      </c>
      <c r="AE65" s="44" t="str">
        <f t="shared" si="74"/>
        <v>1</v>
      </c>
      <c r="AF65" s="44" t="str">
        <f t="shared" si="75"/>
        <v>1</v>
      </c>
      <c r="AG65" s="44" t="str">
        <f t="shared" si="76"/>
        <v>1</v>
      </c>
      <c r="AH65" s="44" t="str">
        <f t="shared" si="77"/>
        <v>1</v>
      </c>
      <c r="AI65" s="44" t="str">
        <f t="shared" si="78"/>
        <v>1</v>
      </c>
      <c r="AJ65" s="44" t="str">
        <f t="shared" si="79"/>
        <v>1</v>
      </c>
      <c r="AK65" s="44" t="str">
        <f t="shared" si="80"/>
        <v>1</v>
      </c>
      <c r="AL65" s="44" t="str">
        <f t="shared" si="81"/>
        <v>1</v>
      </c>
      <c r="AM65" s="44" t="str">
        <f t="shared" si="82"/>
        <v>1</v>
      </c>
      <c r="AN65" s="44" t="str">
        <f t="shared" si="83"/>
        <v>1</v>
      </c>
      <c r="AO65" s="44" t="str">
        <f t="shared" si="84"/>
        <v>1</v>
      </c>
      <c r="AP65" s="44" t="str">
        <f t="shared" si="85"/>
        <v>1</v>
      </c>
      <c r="AQ65" s="44" t="str">
        <f t="shared" si="86"/>
        <v>1</v>
      </c>
      <c r="AR65" s="44" t="str">
        <f t="shared" si="87"/>
        <v>1</v>
      </c>
      <c r="AS65" s="44" t="str">
        <f t="shared" si="88"/>
        <v>1</v>
      </c>
      <c r="AT65" s="44" t="str">
        <f t="shared" si="89"/>
        <v>1</v>
      </c>
      <c r="AU65" s="44" t="str">
        <f t="shared" si="90"/>
        <v>1컷원점</v>
      </c>
      <c r="AV65" s="44" t="str">
        <f t="shared" si="91"/>
        <v>1컷원점</v>
      </c>
      <c r="AW65" s="44" t="str">
        <f t="shared" si="92"/>
        <v>1컷원점</v>
      </c>
      <c r="AX65" s="44" t="str">
        <f t="shared" si="93"/>
        <v>1컷원점</v>
      </c>
      <c r="AY65" s="7">
        <v>1</v>
      </c>
      <c r="AZ65" s="7">
        <v>1</v>
      </c>
    </row>
    <row r="66" spans="1:52" hidden="1" x14ac:dyDescent="0.3">
      <c r="A66" s="7">
        <v>97</v>
      </c>
      <c r="B66" s="7">
        <f t="shared" si="46"/>
        <v>146</v>
      </c>
      <c r="C66" s="7">
        <f t="shared" si="47"/>
        <v>146</v>
      </c>
      <c r="D66" s="7">
        <f t="shared" si="48"/>
        <v>146</v>
      </c>
      <c r="E66" s="7">
        <f t="shared" si="49"/>
        <v>145</v>
      </c>
      <c r="F66" s="7">
        <f t="shared" si="50"/>
        <v>145</v>
      </c>
      <c r="G66" s="7">
        <f t="shared" si="51"/>
        <v>69</v>
      </c>
      <c r="H66" s="7">
        <f t="shared" si="52"/>
        <v>66</v>
      </c>
      <c r="I66" s="7">
        <f t="shared" si="53"/>
        <v>68</v>
      </c>
      <c r="J66" s="7">
        <f t="shared" si="54"/>
        <v>71</v>
      </c>
      <c r="K66" s="7">
        <f t="shared" si="55"/>
        <v>67</v>
      </c>
      <c r="L66" s="7">
        <f t="shared" si="56"/>
        <v>67</v>
      </c>
      <c r="M66" s="7">
        <f t="shared" si="57"/>
        <v>66</v>
      </c>
      <c r="N66" s="7">
        <f t="shared" si="58"/>
        <v>70</v>
      </c>
      <c r="O66" s="7">
        <f t="shared" si="59"/>
        <v>64</v>
      </c>
      <c r="P66" s="7">
        <f t="shared" si="60"/>
        <v>66</v>
      </c>
      <c r="Q66" s="7">
        <f t="shared" si="61"/>
        <v>65</v>
      </c>
      <c r="R66" s="7">
        <f t="shared" si="62"/>
        <v>66</v>
      </c>
      <c r="S66" s="7">
        <f t="shared" si="63"/>
        <v>66</v>
      </c>
      <c r="T66" s="7">
        <f t="shared" si="64"/>
        <v>66</v>
      </c>
      <c r="U66" s="7">
        <f t="shared" si="65"/>
        <v>66</v>
      </c>
      <c r="V66" s="7">
        <f t="shared" si="66"/>
        <v>63</v>
      </c>
      <c r="W66" s="7">
        <f t="shared" si="67"/>
        <v>64</v>
      </c>
      <c r="X66" s="44">
        <f t="shared" si="68"/>
        <v>68.738037029870256</v>
      </c>
      <c r="Y66" s="44">
        <f t="shared" si="69"/>
        <v>67.255667966845436</v>
      </c>
      <c r="Z66" s="44">
        <f t="shared" si="70"/>
        <v>68.797745472041797</v>
      </c>
      <c r="AA66" s="44">
        <f t="shared" si="71"/>
        <v>64.529209902584512</v>
      </c>
      <c r="AB66" s="7">
        <v>47</v>
      </c>
      <c r="AC66" s="44" t="str">
        <f t="shared" si="72"/>
        <v>1</v>
      </c>
      <c r="AD66" s="44" t="str">
        <f t="shared" si="73"/>
        <v>1</v>
      </c>
      <c r="AE66" s="44" t="str">
        <f t="shared" si="74"/>
        <v>1</v>
      </c>
      <c r="AF66" s="44" t="str">
        <f t="shared" si="75"/>
        <v>1</v>
      </c>
      <c r="AG66" s="44" t="str">
        <f t="shared" si="76"/>
        <v>1</v>
      </c>
      <c r="AH66" s="44" t="str">
        <f t="shared" si="77"/>
        <v>1</v>
      </c>
      <c r="AI66" s="44" t="str">
        <f t="shared" si="78"/>
        <v>1</v>
      </c>
      <c r="AJ66" s="44" t="str">
        <f t="shared" si="79"/>
        <v>1</v>
      </c>
      <c r="AK66" s="44" t="str">
        <f t="shared" si="80"/>
        <v>1</v>
      </c>
      <c r="AL66" s="44" t="str">
        <f t="shared" si="81"/>
        <v>1</v>
      </c>
      <c r="AM66" s="44" t="str">
        <f t="shared" si="82"/>
        <v>1컷원점</v>
      </c>
      <c r="AN66" s="44" t="str">
        <f t="shared" si="83"/>
        <v>1</v>
      </c>
      <c r="AO66" s="44" t="str">
        <f t="shared" si="84"/>
        <v>1</v>
      </c>
      <c r="AP66" s="44" t="str">
        <f t="shared" si="85"/>
        <v>1컷원점</v>
      </c>
      <c r="AQ66" s="44" t="str">
        <f t="shared" si="86"/>
        <v>1컷원점</v>
      </c>
      <c r="AR66" s="44" t="str">
        <f t="shared" si="87"/>
        <v>1컷원점</v>
      </c>
      <c r="AS66" s="44" t="str">
        <f t="shared" si="88"/>
        <v>1컷원점</v>
      </c>
      <c r="AT66" s="44" t="str">
        <f t="shared" si="89"/>
        <v>1컷원점</v>
      </c>
      <c r="AU66" s="44" t="str">
        <f t="shared" si="90"/>
        <v>2</v>
      </c>
      <c r="AV66" s="44" t="str">
        <f t="shared" si="91"/>
        <v>2</v>
      </c>
      <c r="AW66" s="44" t="str">
        <f t="shared" si="92"/>
        <v>2</v>
      </c>
      <c r="AX66" s="44" t="str">
        <f t="shared" si="93"/>
        <v>2</v>
      </c>
      <c r="AY66" s="7">
        <v>1</v>
      </c>
      <c r="AZ66" s="7">
        <v>1</v>
      </c>
    </row>
    <row r="67" spans="1:52" hidden="1" x14ac:dyDescent="0.3">
      <c r="A67" s="7">
        <v>96</v>
      </c>
      <c r="B67" s="7">
        <f t="shared" si="46"/>
        <v>145</v>
      </c>
      <c r="C67" s="7">
        <f t="shared" si="47"/>
        <v>145</v>
      </c>
      <c r="D67" s="7">
        <f t="shared" si="48"/>
        <v>145</v>
      </c>
      <c r="E67" s="7">
        <f t="shared" si="49"/>
        <v>145</v>
      </c>
      <c r="F67" s="7">
        <f t="shared" si="50"/>
        <v>144</v>
      </c>
      <c r="G67" s="7">
        <f t="shared" si="51"/>
        <v>68</v>
      </c>
      <c r="H67" s="7">
        <f t="shared" si="52"/>
        <v>65</v>
      </c>
      <c r="I67" s="7">
        <f t="shared" si="53"/>
        <v>67</v>
      </c>
      <c r="J67" s="7">
        <f t="shared" si="54"/>
        <v>70</v>
      </c>
      <c r="K67" s="7">
        <f t="shared" si="55"/>
        <v>66</v>
      </c>
      <c r="L67" s="7">
        <f t="shared" si="56"/>
        <v>66</v>
      </c>
      <c r="M67" s="7">
        <f t="shared" si="57"/>
        <v>65</v>
      </c>
      <c r="N67" s="7">
        <f t="shared" si="58"/>
        <v>67</v>
      </c>
      <c r="O67" s="7">
        <f t="shared" si="59"/>
        <v>64</v>
      </c>
      <c r="P67" s="7">
        <f t="shared" si="60"/>
        <v>66</v>
      </c>
      <c r="Q67" s="7">
        <f t="shared" si="61"/>
        <v>65</v>
      </c>
      <c r="R67" s="7">
        <f t="shared" si="62"/>
        <v>66</v>
      </c>
      <c r="S67" s="7">
        <f t="shared" si="63"/>
        <v>66</v>
      </c>
      <c r="T67" s="7">
        <f t="shared" si="64"/>
        <v>65</v>
      </c>
      <c r="U67" s="7">
        <f t="shared" si="65"/>
        <v>65</v>
      </c>
      <c r="V67" s="7">
        <f t="shared" si="66"/>
        <v>62</v>
      </c>
      <c r="W67" s="7">
        <f t="shared" si="67"/>
        <v>63</v>
      </c>
      <c r="X67" s="44">
        <f t="shared" si="68"/>
        <v>67.721188108531592</v>
      </c>
      <c r="Y67" s="44">
        <f t="shared" si="69"/>
        <v>65.820514383227689</v>
      </c>
      <c r="Z67" s="44">
        <f t="shared" si="70"/>
        <v>67.797745472041797</v>
      </c>
      <c r="AA67" s="44">
        <f t="shared" si="71"/>
        <v>64.128806178341776</v>
      </c>
      <c r="AB67" s="7">
        <v>46</v>
      </c>
      <c r="AC67" s="44" t="str">
        <f t="shared" si="72"/>
        <v>1</v>
      </c>
      <c r="AD67" s="44" t="str">
        <f t="shared" si="73"/>
        <v>1</v>
      </c>
      <c r="AE67" s="44" t="str">
        <f t="shared" si="74"/>
        <v>1</v>
      </c>
      <c r="AF67" s="44" t="str">
        <f t="shared" si="75"/>
        <v>1</v>
      </c>
      <c r="AG67" s="44" t="str">
        <f t="shared" si="76"/>
        <v>1</v>
      </c>
      <c r="AH67" s="44" t="str">
        <f t="shared" si="77"/>
        <v>1</v>
      </c>
      <c r="AI67" s="44" t="str">
        <f t="shared" si="78"/>
        <v>1</v>
      </c>
      <c r="AJ67" s="44" t="str">
        <f t="shared" si="79"/>
        <v>1</v>
      </c>
      <c r="AK67" s="44" t="str">
        <f t="shared" si="80"/>
        <v>1</v>
      </c>
      <c r="AL67" s="44" t="str">
        <f t="shared" si="81"/>
        <v>1컷원점</v>
      </c>
      <c r="AM67" s="44" t="str">
        <f t="shared" si="82"/>
        <v>2</v>
      </c>
      <c r="AN67" s="44" t="str">
        <f t="shared" si="83"/>
        <v>1컷원점</v>
      </c>
      <c r="AO67" s="44" t="str">
        <f t="shared" si="84"/>
        <v>1컷원점</v>
      </c>
      <c r="AP67" s="44" t="str">
        <f t="shared" si="85"/>
        <v>2</v>
      </c>
      <c r="AQ67" s="44" t="str">
        <f t="shared" si="86"/>
        <v>2</v>
      </c>
      <c r="AR67" s="44" t="str">
        <f t="shared" si="87"/>
        <v>2</v>
      </c>
      <c r="AS67" s="44" t="str">
        <f t="shared" si="88"/>
        <v>2</v>
      </c>
      <c r="AT67" s="44" t="str">
        <f t="shared" si="89"/>
        <v>2</v>
      </c>
      <c r="AU67" s="44" t="str">
        <f t="shared" si="90"/>
        <v>2</v>
      </c>
      <c r="AV67" s="44" t="str">
        <f t="shared" si="91"/>
        <v>2</v>
      </c>
      <c r="AW67" s="44" t="str">
        <f t="shared" si="92"/>
        <v>2</v>
      </c>
      <c r="AX67" s="44" t="str">
        <f t="shared" si="93"/>
        <v>2</v>
      </c>
      <c r="AY67" s="7">
        <v>1</v>
      </c>
      <c r="AZ67" s="7">
        <v>1</v>
      </c>
    </row>
    <row r="68" spans="1:52" hidden="1" x14ac:dyDescent="0.3">
      <c r="A68" s="7">
        <v>95</v>
      </c>
      <c r="B68" s="7">
        <f t="shared" si="46"/>
        <v>144</v>
      </c>
      <c r="C68" s="7">
        <f t="shared" si="47"/>
        <v>144</v>
      </c>
      <c r="D68" s="7">
        <f t="shared" si="48"/>
        <v>145</v>
      </c>
      <c r="E68" s="7">
        <f t="shared" si="49"/>
        <v>144</v>
      </c>
      <c r="F68" s="7">
        <f t="shared" si="50"/>
        <v>144</v>
      </c>
      <c r="G68" s="7">
        <f t="shared" si="51"/>
        <v>67</v>
      </c>
      <c r="H68" s="7">
        <f t="shared" si="52"/>
        <v>64</v>
      </c>
      <c r="I68" s="7">
        <f t="shared" si="53"/>
        <v>66</v>
      </c>
      <c r="J68" s="7">
        <f t="shared" si="54"/>
        <v>69</v>
      </c>
      <c r="K68" s="7">
        <f t="shared" si="55"/>
        <v>65</v>
      </c>
      <c r="L68" s="7">
        <f t="shared" si="56"/>
        <v>65</v>
      </c>
      <c r="M68" s="7">
        <f t="shared" si="57"/>
        <v>64</v>
      </c>
      <c r="N68" s="7">
        <f t="shared" si="58"/>
        <v>66</v>
      </c>
      <c r="O68" s="7">
        <f t="shared" si="59"/>
        <v>63</v>
      </c>
      <c r="P68" s="7">
        <f t="shared" si="60"/>
        <v>65</v>
      </c>
      <c r="Q68" s="7">
        <f t="shared" si="61"/>
        <v>64</v>
      </c>
      <c r="R68" s="7">
        <f t="shared" si="62"/>
        <v>65</v>
      </c>
      <c r="S68" s="7">
        <f t="shared" si="63"/>
        <v>65</v>
      </c>
      <c r="T68" s="7">
        <f t="shared" si="64"/>
        <v>65</v>
      </c>
      <c r="U68" s="7">
        <f t="shared" si="65"/>
        <v>65</v>
      </c>
      <c r="V68" s="7">
        <f t="shared" si="66"/>
        <v>62</v>
      </c>
      <c r="W68" s="7">
        <f t="shared" si="67"/>
        <v>63</v>
      </c>
      <c r="X68" s="44">
        <f t="shared" si="68"/>
        <v>66.721188108531592</v>
      </c>
      <c r="Y68" s="44">
        <f t="shared" si="69"/>
        <v>64.820514383227689</v>
      </c>
      <c r="Z68" s="44">
        <f t="shared" si="70"/>
        <v>66.797745472041797</v>
      </c>
      <c r="AA68" s="44">
        <f t="shared" si="71"/>
        <v>63.529209902584519</v>
      </c>
      <c r="AB68" s="7">
        <v>45</v>
      </c>
      <c r="AC68" s="44" t="str">
        <f t="shared" si="72"/>
        <v>1</v>
      </c>
      <c r="AD68" s="44" t="str">
        <f t="shared" si="73"/>
        <v>1</v>
      </c>
      <c r="AE68" s="44" t="str">
        <f t="shared" si="74"/>
        <v>1</v>
      </c>
      <c r="AF68" s="44" t="str">
        <f t="shared" si="75"/>
        <v>1</v>
      </c>
      <c r="AG68" s="44" t="str">
        <f t="shared" si="76"/>
        <v>1</v>
      </c>
      <c r="AH68" s="44" t="str">
        <f t="shared" si="77"/>
        <v>1</v>
      </c>
      <c r="AI68" s="44" t="str">
        <f t="shared" si="78"/>
        <v>1</v>
      </c>
      <c r="AJ68" s="44" t="str">
        <f t="shared" si="79"/>
        <v>1</v>
      </c>
      <c r="AK68" s="44" t="str">
        <f t="shared" si="80"/>
        <v>1</v>
      </c>
      <c r="AL68" s="44" t="str">
        <f t="shared" si="81"/>
        <v>2</v>
      </c>
      <c r="AM68" s="44" t="str">
        <f t="shared" si="82"/>
        <v>2</v>
      </c>
      <c r="AN68" s="44" t="str">
        <f t="shared" si="83"/>
        <v>2</v>
      </c>
      <c r="AO68" s="44" t="str">
        <f t="shared" si="84"/>
        <v>2</v>
      </c>
      <c r="AP68" s="44" t="str">
        <f t="shared" si="85"/>
        <v>2</v>
      </c>
      <c r="AQ68" s="44" t="str">
        <f t="shared" si="86"/>
        <v>2</v>
      </c>
      <c r="AR68" s="44" t="str">
        <f t="shared" si="87"/>
        <v>2</v>
      </c>
      <c r="AS68" s="44" t="str">
        <f t="shared" si="88"/>
        <v>2</v>
      </c>
      <c r="AT68" s="44" t="str">
        <f t="shared" si="89"/>
        <v>2</v>
      </c>
      <c r="AU68" s="44" t="str">
        <f t="shared" si="90"/>
        <v>2</v>
      </c>
      <c r="AV68" s="44" t="str">
        <f t="shared" si="91"/>
        <v>2</v>
      </c>
      <c r="AW68" s="44" t="str">
        <f t="shared" si="92"/>
        <v>2</v>
      </c>
      <c r="AX68" s="44" t="str">
        <f t="shared" si="93"/>
        <v>2</v>
      </c>
      <c r="AY68" s="7">
        <v>1</v>
      </c>
      <c r="AZ68" s="7">
        <v>1</v>
      </c>
    </row>
    <row r="69" spans="1:52" hidden="1" x14ac:dyDescent="0.3">
      <c r="A69" s="7">
        <v>94</v>
      </c>
      <c r="B69" s="7">
        <f t="shared" si="46"/>
        <v>143</v>
      </c>
      <c r="C69" s="7">
        <f t="shared" si="47"/>
        <v>142</v>
      </c>
      <c r="D69" s="7">
        <f t="shared" si="48"/>
        <v>144</v>
      </c>
      <c r="E69" s="7">
        <f t="shared" si="49"/>
        <v>143</v>
      </c>
      <c r="F69" s="7">
        <f t="shared" si="50"/>
        <v>143</v>
      </c>
      <c r="G69" s="7">
        <f t="shared" si="51"/>
        <v>66</v>
      </c>
      <c r="H69" s="7">
        <f t="shared" si="52"/>
        <v>63</v>
      </c>
      <c r="I69" s="7">
        <f t="shared" si="53"/>
        <v>65</v>
      </c>
      <c r="J69" s="7">
        <f t="shared" si="54"/>
        <v>68</v>
      </c>
      <c r="K69" s="7">
        <f t="shared" si="55"/>
        <v>64</v>
      </c>
      <c r="L69" s="7">
        <f t="shared" si="56"/>
        <v>64</v>
      </c>
      <c r="M69" s="7">
        <f t="shared" si="57"/>
        <v>64</v>
      </c>
      <c r="N69" s="7">
        <f t="shared" si="58"/>
        <v>66</v>
      </c>
      <c r="O69" s="7">
        <f t="shared" si="59"/>
        <v>63</v>
      </c>
      <c r="P69" s="7">
        <f t="shared" si="60"/>
        <v>65</v>
      </c>
      <c r="Q69" s="7">
        <f t="shared" si="61"/>
        <v>64</v>
      </c>
      <c r="R69" s="7">
        <f t="shared" si="62"/>
        <v>65</v>
      </c>
      <c r="S69" s="7">
        <f t="shared" si="63"/>
        <v>65</v>
      </c>
      <c r="T69" s="7">
        <f t="shared" si="64"/>
        <v>64</v>
      </c>
      <c r="U69" s="7">
        <f t="shared" si="65"/>
        <v>64</v>
      </c>
      <c r="V69" s="7">
        <f t="shared" si="66"/>
        <v>62</v>
      </c>
      <c r="W69" s="7">
        <f t="shared" si="67"/>
        <v>62</v>
      </c>
      <c r="X69" s="44">
        <f t="shared" si="68"/>
        <v>65.744986619974227</v>
      </c>
      <c r="Y69" s="44">
        <f t="shared" si="69"/>
        <v>64.435153583617748</v>
      </c>
      <c r="Z69" s="44">
        <f t="shared" si="70"/>
        <v>65.797745472041797</v>
      </c>
      <c r="AA69" s="44">
        <f t="shared" si="71"/>
        <v>63.187793011941622</v>
      </c>
      <c r="AB69" s="7">
        <v>44</v>
      </c>
      <c r="AC69" s="44" t="str">
        <f t="shared" si="72"/>
        <v>1</v>
      </c>
      <c r="AD69" s="44" t="str">
        <f t="shared" si="73"/>
        <v>1</v>
      </c>
      <c r="AE69" s="44" t="str">
        <f t="shared" si="74"/>
        <v>1</v>
      </c>
      <c r="AF69" s="44" t="str">
        <f t="shared" si="75"/>
        <v>1</v>
      </c>
      <c r="AG69" s="44" t="str">
        <f t="shared" si="76"/>
        <v>1</v>
      </c>
      <c r="AH69" s="44" t="str">
        <f t="shared" si="77"/>
        <v>1컷원점</v>
      </c>
      <c r="AI69" s="44" t="str">
        <f t="shared" si="78"/>
        <v>1컷원점</v>
      </c>
      <c r="AJ69" s="44" t="str">
        <f t="shared" si="79"/>
        <v>1컷원점</v>
      </c>
      <c r="AK69" s="44" t="str">
        <f t="shared" si="80"/>
        <v>1컷원점</v>
      </c>
      <c r="AL69" s="44" t="str">
        <f t="shared" si="81"/>
        <v>2</v>
      </c>
      <c r="AM69" s="44" t="str">
        <f t="shared" si="82"/>
        <v>2컷원점</v>
      </c>
      <c r="AN69" s="44" t="str">
        <f t="shared" si="83"/>
        <v>2</v>
      </c>
      <c r="AO69" s="44" t="str">
        <f t="shared" si="84"/>
        <v>2</v>
      </c>
      <c r="AP69" s="44" t="str">
        <f t="shared" si="85"/>
        <v>2</v>
      </c>
      <c r="AQ69" s="44" t="str">
        <f t="shared" si="86"/>
        <v>2</v>
      </c>
      <c r="AR69" s="44" t="str">
        <f t="shared" si="87"/>
        <v>2</v>
      </c>
      <c r="AS69" s="44" t="str">
        <f t="shared" si="88"/>
        <v>2</v>
      </c>
      <c r="AT69" s="44" t="str">
        <f t="shared" si="89"/>
        <v>2</v>
      </c>
      <c r="AU69" s="44" t="str">
        <f t="shared" si="90"/>
        <v>2컷원점</v>
      </c>
      <c r="AV69" s="44" t="str">
        <f t="shared" si="91"/>
        <v>2컷원점</v>
      </c>
      <c r="AW69" s="44" t="str">
        <f t="shared" si="92"/>
        <v>2컷원점</v>
      </c>
      <c r="AX69" s="44" t="str">
        <f t="shared" si="93"/>
        <v>2컷원점</v>
      </c>
      <c r="AY69" s="7">
        <v>1</v>
      </c>
      <c r="AZ69" s="7">
        <v>1</v>
      </c>
    </row>
    <row r="70" spans="1:52" hidden="1" x14ac:dyDescent="0.3">
      <c r="A70" s="7">
        <v>93</v>
      </c>
      <c r="B70" s="7">
        <f t="shared" si="46"/>
        <v>142</v>
      </c>
      <c r="C70" s="7">
        <f t="shared" si="47"/>
        <v>141</v>
      </c>
      <c r="D70" s="7">
        <f t="shared" si="48"/>
        <v>144</v>
      </c>
      <c r="E70" s="7">
        <f t="shared" si="49"/>
        <v>143</v>
      </c>
      <c r="F70" s="7">
        <f t="shared" si="50"/>
        <v>142</v>
      </c>
      <c r="G70" s="7">
        <f t="shared" si="51"/>
        <v>65</v>
      </c>
      <c r="H70" s="7">
        <f t="shared" si="52"/>
        <v>62</v>
      </c>
      <c r="I70" s="7">
        <f t="shared" si="53"/>
        <v>64</v>
      </c>
      <c r="J70" s="7">
        <f t="shared" si="54"/>
        <v>67</v>
      </c>
      <c r="K70" s="7">
        <f t="shared" si="55"/>
        <v>64</v>
      </c>
      <c r="L70" s="7">
        <f t="shared" si="56"/>
        <v>63</v>
      </c>
      <c r="M70" s="7">
        <f t="shared" si="57"/>
        <v>63</v>
      </c>
      <c r="N70" s="7">
        <f t="shared" si="58"/>
        <v>65</v>
      </c>
      <c r="O70" s="7">
        <f t="shared" si="59"/>
        <v>62</v>
      </c>
      <c r="P70" s="7">
        <f t="shared" si="60"/>
        <v>64</v>
      </c>
      <c r="Q70" s="7">
        <f t="shared" si="61"/>
        <v>63</v>
      </c>
      <c r="R70" s="7">
        <f t="shared" si="62"/>
        <v>64</v>
      </c>
      <c r="S70" s="7">
        <f t="shared" si="63"/>
        <v>64</v>
      </c>
      <c r="T70" s="7">
        <f t="shared" si="64"/>
        <v>64</v>
      </c>
      <c r="U70" s="7">
        <f t="shared" si="65"/>
        <v>63</v>
      </c>
      <c r="V70" s="7">
        <f t="shared" si="66"/>
        <v>62</v>
      </c>
      <c r="W70" s="7">
        <f t="shared" si="67"/>
        <v>62</v>
      </c>
      <c r="X70" s="44">
        <f t="shared" si="68"/>
        <v>64.752080157445377</v>
      </c>
      <c r="Y70" s="44">
        <f t="shared" si="69"/>
        <v>63.618356899073625</v>
      </c>
      <c r="Z70" s="44">
        <f t="shared" si="70"/>
        <v>64.797745472041797</v>
      </c>
      <c r="AA70" s="44">
        <f t="shared" si="71"/>
        <v>62.575733451275248</v>
      </c>
      <c r="AB70" s="7">
        <v>43</v>
      </c>
      <c r="AC70" s="44" t="str">
        <f t="shared" si="72"/>
        <v>1</v>
      </c>
      <c r="AD70" s="44" t="str">
        <f t="shared" si="73"/>
        <v>1</v>
      </c>
      <c r="AE70" s="44" t="str">
        <f t="shared" si="74"/>
        <v>1</v>
      </c>
      <c r="AF70" s="44" t="str">
        <f t="shared" si="75"/>
        <v>1</v>
      </c>
      <c r="AG70" s="44" t="str">
        <f t="shared" si="76"/>
        <v>1</v>
      </c>
      <c r="AH70" s="44" t="str">
        <f t="shared" si="77"/>
        <v>2</v>
      </c>
      <c r="AI70" s="44" t="str">
        <f t="shared" si="78"/>
        <v>2</v>
      </c>
      <c r="AJ70" s="44" t="str">
        <f t="shared" si="79"/>
        <v>2</v>
      </c>
      <c r="AK70" s="44" t="str">
        <f t="shared" si="80"/>
        <v>2</v>
      </c>
      <c r="AL70" s="44" t="str">
        <f t="shared" si="81"/>
        <v>2</v>
      </c>
      <c r="AM70" s="44" t="str">
        <f t="shared" si="82"/>
        <v>3</v>
      </c>
      <c r="AN70" s="44" t="str">
        <f t="shared" si="83"/>
        <v>2컷원점</v>
      </c>
      <c r="AO70" s="44" t="str">
        <f t="shared" si="84"/>
        <v>2</v>
      </c>
      <c r="AP70" s="44" t="str">
        <f t="shared" si="85"/>
        <v>2컷원점</v>
      </c>
      <c r="AQ70" s="44" t="str">
        <f t="shared" si="86"/>
        <v>2컷원점</v>
      </c>
      <c r="AR70" s="44" t="str">
        <f t="shared" si="87"/>
        <v>2컷원점</v>
      </c>
      <c r="AS70" s="44" t="str">
        <f t="shared" si="88"/>
        <v>2컷원점</v>
      </c>
      <c r="AT70" s="44" t="str">
        <f t="shared" si="89"/>
        <v>2컷원점</v>
      </c>
      <c r="AU70" s="44" t="str">
        <f t="shared" si="90"/>
        <v>3</v>
      </c>
      <c r="AV70" s="44" t="str">
        <f t="shared" si="91"/>
        <v>3</v>
      </c>
      <c r="AW70" s="44" t="str">
        <f t="shared" si="92"/>
        <v>3</v>
      </c>
      <c r="AX70" s="44" t="str">
        <f t="shared" si="93"/>
        <v>3</v>
      </c>
      <c r="AY70" s="7">
        <v>1</v>
      </c>
      <c r="AZ70" s="7">
        <v>1</v>
      </c>
    </row>
    <row r="71" spans="1:52" hidden="1" x14ac:dyDescent="0.3">
      <c r="A71" s="7">
        <v>92</v>
      </c>
      <c r="B71" s="7">
        <f t="shared" si="46"/>
        <v>141</v>
      </c>
      <c r="C71" s="7">
        <f t="shared" si="47"/>
        <v>140</v>
      </c>
      <c r="D71" s="7">
        <f t="shared" si="48"/>
        <v>143</v>
      </c>
      <c r="E71" s="7">
        <f t="shared" si="49"/>
        <v>142</v>
      </c>
      <c r="F71" s="7">
        <f t="shared" si="50"/>
        <v>141</v>
      </c>
      <c r="G71" s="7">
        <f t="shared" si="51"/>
        <v>64</v>
      </c>
      <c r="H71" s="7">
        <f t="shared" si="52"/>
        <v>61</v>
      </c>
      <c r="I71" s="7">
        <f t="shared" si="53"/>
        <v>63</v>
      </c>
      <c r="J71" s="7">
        <f t="shared" si="54"/>
        <v>66</v>
      </c>
      <c r="K71" s="7">
        <f t="shared" si="55"/>
        <v>63</v>
      </c>
      <c r="L71" s="7">
        <f t="shared" si="56"/>
        <v>62</v>
      </c>
      <c r="M71" s="7">
        <f t="shared" si="57"/>
        <v>62</v>
      </c>
      <c r="N71" s="7">
        <f t="shared" si="58"/>
        <v>64</v>
      </c>
      <c r="O71" s="7">
        <f t="shared" si="59"/>
        <v>62</v>
      </c>
      <c r="P71" s="7">
        <f t="shared" si="60"/>
        <v>63</v>
      </c>
      <c r="Q71" s="7">
        <f t="shared" si="61"/>
        <v>63</v>
      </c>
      <c r="R71" s="7">
        <f t="shared" si="62"/>
        <v>64</v>
      </c>
      <c r="S71" s="7">
        <f t="shared" si="63"/>
        <v>63</v>
      </c>
      <c r="T71" s="7">
        <f t="shared" si="64"/>
        <v>63</v>
      </c>
      <c r="U71" s="7">
        <f t="shared" si="65"/>
        <v>63</v>
      </c>
      <c r="V71" s="7">
        <f t="shared" si="66"/>
        <v>61</v>
      </c>
      <c r="W71" s="7">
        <f t="shared" si="67"/>
        <v>61</v>
      </c>
      <c r="X71" s="44">
        <f t="shared" si="68"/>
        <v>63.752080157445384</v>
      </c>
      <c r="Y71" s="44">
        <f t="shared" si="69"/>
        <v>62.618356899073625</v>
      </c>
      <c r="Z71" s="44">
        <f t="shared" si="70"/>
        <v>63.79774547204179</v>
      </c>
      <c r="AA71" s="44">
        <f t="shared" si="71"/>
        <v>62.064289683484731</v>
      </c>
      <c r="AB71" s="7">
        <v>42</v>
      </c>
      <c r="AC71" s="44" t="str">
        <f t="shared" si="72"/>
        <v>1</v>
      </c>
      <c r="AD71" s="44" t="str">
        <f t="shared" si="73"/>
        <v>1</v>
      </c>
      <c r="AE71" s="44" t="str">
        <f t="shared" si="74"/>
        <v>1</v>
      </c>
      <c r="AF71" s="44" t="str">
        <f t="shared" si="75"/>
        <v>1</v>
      </c>
      <c r="AG71" s="44" t="str">
        <f t="shared" si="76"/>
        <v>1</v>
      </c>
      <c r="AH71" s="44" t="str">
        <f t="shared" si="77"/>
        <v>2</v>
      </c>
      <c r="AI71" s="44" t="str">
        <f t="shared" si="78"/>
        <v>2컷원점</v>
      </c>
      <c r="AJ71" s="44" t="str">
        <f t="shared" si="79"/>
        <v>2</v>
      </c>
      <c r="AK71" s="44" t="str">
        <f t="shared" si="80"/>
        <v>2</v>
      </c>
      <c r="AL71" s="44" t="str">
        <f t="shared" si="81"/>
        <v>2컷원점</v>
      </c>
      <c r="AM71" s="44" t="str">
        <f t="shared" si="82"/>
        <v>3</v>
      </c>
      <c r="AN71" s="44" t="str">
        <f t="shared" si="83"/>
        <v>3</v>
      </c>
      <c r="AO71" s="44" t="str">
        <f t="shared" si="84"/>
        <v>2</v>
      </c>
      <c r="AP71" s="44" t="str">
        <f t="shared" si="85"/>
        <v>3</v>
      </c>
      <c r="AQ71" s="44" t="str">
        <f t="shared" si="86"/>
        <v>3</v>
      </c>
      <c r="AR71" s="44" t="str">
        <f t="shared" si="87"/>
        <v>3</v>
      </c>
      <c r="AS71" s="44" t="str">
        <f t="shared" si="88"/>
        <v>3</v>
      </c>
      <c r="AT71" s="44" t="str">
        <f t="shared" si="89"/>
        <v>3</v>
      </c>
      <c r="AU71" s="44" t="str">
        <f t="shared" si="90"/>
        <v>3</v>
      </c>
      <c r="AV71" s="44" t="str">
        <f t="shared" si="91"/>
        <v>3</v>
      </c>
      <c r="AW71" s="44" t="str">
        <f t="shared" si="92"/>
        <v>3</v>
      </c>
      <c r="AX71" s="44" t="str">
        <f t="shared" si="93"/>
        <v>3</v>
      </c>
      <c r="AY71" s="7">
        <v>1</v>
      </c>
      <c r="AZ71" s="7">
        <v>1</v>
      </c>
    </row>
    <row r="72" spans="1:52" hidden="1" x14ac:dyDescent="0.3">
      <c r="A72" s="7">
        <v>91</v>
      </c>
      <c r="B72" s="7">
        <f t="shared" si="46"/>
        <v>140</v>
      </c>
      <c r="C72" s="7">
        <f t="shared" si="47"/>
        <v>139</v>
      </c>
      <c r="D72" s="7">
        <f t="shared" si="48"/>
        <v>143</v>
      </c>
      <c r="E72" s="7">
        <f t="shared" si="49"/>
        <v>142</v>
      </c>
      <c r="F72" s="7">
        <f t="shared" si="50"/>
        <v>141</v>
      </c>
      <c r="G72" s="7">
        <f t="shared" si="51"/>
        <v>64</v>
      </c>
      <c r="H72" s="7">
        <f t="shared" si="52"/>
        <v>60</v>
      </c>
      <c r="I72" s="7">
        <f t="shared" si="53"/>
        <v>63</v>
      </c>
      <c r="J72" s="7">
        <f t="shared" si="54"/>
        <v>66</v>
      </c>
      <c r="K72" s="7">
        <f t="shared" si="55"/>
        <v>62</v>
      </c>
      <c r="L72" s="7">
        <f t="shared" si="56"/>
        <v>62</v>
      </c>
      <c r="M72" s="7">
        <f t="shared" si="57"/>
        <v>61</v>
      </c>
      <c r="N72" s="7">
        <f t="shared" si="58"/>
        <v>64</v>
      </c>
      <c r="O72" s="7">
        <f t="shared" si="59"/>
        <v>61</v>
      </c>
      <c r="P72" s="7">
        <f t="shared" si="60"/>
        <v>63</v>
      </c>
      <c r="Q72" s="7">
        <f t="shared" si="61"/>
        <v>62</v>
      </c>
      <c r="R72" s="7">
        <f t="shared" si="62"/>
        <v>63</v>
      </c>
      <c r="S72" s="7">
        <f t="shared" si="63"/>
        <v>63</v>
      </c>
      <c r="T72" s="7">
        <f t="shared" si="64"/>
        <v>63</v>
      </c>
      <c r="U72" s="7">
        <f t="shared" si="65"/>
        <v>62</v>
      </c>
      <c r="V72" s="7">
        <f t="shared" si="66"/>
        <v>61</v>
      </c>
      <c r="W72" s="7">
        <f t="shared" si="67"/>
        <v>61</v>
      </c>
      <c r="X72" s="44">
        <f t="shared" si="68"/>
        <v>63.555974287696515</v>
      </c>
      <c r="Y72" s="44">
        <f t="shared" si="69"/>
        <v>62.03809117503657</v>
      </c>
      <c r="Z72" s="44">
        <f t="shared" si="70"/>
        <v>63.617113202637483</v>
      </c>
      <c r="AA72" s="44">
        <f t="shared" si="71"/>
        <v>61.575733451275248</v>
      </c>
      <c r="AB72" s="7">
        <v>41</v>
      </c>
      <c r="AC72" s="44" t="str">
        <f t="shared" si="72"/>
        <v>1</v>
      </c>
      <c r="AD72" s="44" t="str">
        <f t="shared" si="73"/>
        <v>1</v>
      </c>
      <c r="AE72" s="44" t="str">
        <f t="shared" si="74"/>
        <v>1</v>
      </c>
      <c r="AF72" s="44" t="str">
        <f t="shared" si="75"/>
        <v>1</v>
      </c>
      <c r="AG72" s="44" t="str">
        <f t="shared" si="76"/>
        <v>1</v>
      </c>
      <c r="AH72" s="44" t="str">
        <f t="shared" si="77"/>
        <v>2</v>
      </c>
      <c r="AI72" s="44" t="str">
        <f t="shared" si="78"/>
        <v>3</v>
      </c>
      <c r="AJ72" s="44" t="str">
        <f t="shared" si="79"/>
        <v>2</v>
      </c>
      <c r="AK72" s="44" t="str">
        <f t="shared" si="80"/>
        <v>2</v>
      </c>
      <c r="AL72" s="44" t="str">
        <f t="shared" si="81"/>
        <v>3</v>
      </c>
      <c r="AM72" s="44" t="str">
        <f t="shared" si="82"/>
        <v>3</v>
      </c>
      <c r="AN72" s="44" t="str">
        <f t="shared" si="83"/>
        <v>3</v>
      </c>
      <c r="AO72" s="44" t="str">
        <f t="shared" si="84"/>
        <v>2</v>
      </c>
      <c r="AP72" s="44" t="str">
        <f t="shared" si="85"/>
        <v>3</v>
      </c>
      <c r="AQ72" s="44" t="str">
        <f t="shared" si="86"/>
        <v>3</v>
      </c>
      <c r="AR72" s="44" t="str">
        <f t="shared" si="87"/>
        <v>3</v>
      </c>
      <c r="AS72" s="44" t="str">
        <f t="shared" si="88"/>
        <v>3</v>
      </c>
      <c r="AT72" s="44" t="str">
        <f t="shared" si="89"/>
        <v>3</v>
      </c>
      <c r="AU72" s="44" t="str">
        <f t="shared" si="90"/>
        <v>3</v>
      </c>
      <c r="AV72" s="44" t="str">
        <f t="shared" si="91"/>
        <v>3</v>
      </c>
      <c r="AW72" s="44" t="str">
        <f t="shared" si="92"/>
        <v>3</v>
      </c>
      <c r="AX72" s="44" t="str">
        <f t="shared" si="93"/>
        <v>3</v>
      </c>
      <c r="AY72" s="7">
        <v>1</v>
      </c>
      <c r="AZ72" s="7">
        <v>1</v>
      </c>
    </row>
    <row r="73" spans="1:52" hidden="1" x14ac:dyDescent="0.3">
      <c r="A73" s="7">
        <v>90</v>
      </c>
      <c r="B73" s="7">
        <f t="shared" si="46"/>
        <v>139</v>
      </c>
      <c r="C73" s="7">
        <f t="shared" si="47"/>
        <v>138</v>
      </c>
      <c r="D73" s="7">
        <f t="shared" si="48"/>
        <v>142</v>
      </c>
      <c r="E73" s="7">
        <f t="shared" si="49"/>
        <v>141</v>
      </c>
      <c r="F73" s="7">
        <f t="shared" si="50"/>
        <v>140</v>
      </c>
      <c r="G73" s="7">
        <f t="shared" si="51"/>
        <v>63</v>
      </c>
      <c r="H73" s="7">
        <f t="shared" si="52"/>
        <v>60</v>
      </c>
      <c r="I73" s="7">
        <f t="shared" si="53"/>
        <v>62</v>
      </c>
      <c r="J73" s="7">
        <f t="shared" si="54"/>
        <v>65</v>
      </c>
      <c r="K73" s="7">
        <f t="shared" si="55"/>
        <v>61</v>
      </c>
      <c r="L73" s="7">
        <f t="shared" si="56"/>
        <v>61</v>
      </c>
      <c r="M73" s="7">
        <f t="shared" si="57"/>
        <v>61</v>
      </c>
      <c r="N73" s="7">
        <f t="shared" si="58"/>
        <v>63</v>
      </c>
      <c r="O73" s="7">
        <f t="shared" si="59"/>
        <v>61</v>
      </c>
      <c r="P73" s="7">
        <f t="shared" si="60"/>
        <v>62</v>
      </c>
      <c r="Q73" s="7">
        <f t="shared" si="61"/>
        <v>62</v>
      </c>
      <c r="R73" s="7">
        <f t="shared" si="62"/>
        <v>63</v>
      </c>
      <c r="S73" s="7">
        <f t="shared" si="63"/>
        <v>62</v>
      </c>
      <c r="T73" s="7">
        <f t="shared" si="64"/>
        <v>62</v>
      </c>
      <c r="U73" s="7">
        <f t="shared" si="65"/>
        <v>62</v>
      </c>
      <c r="V73" s="7">
        <f t="shared" si="66"/>
        <v>61</v>
      </c>
      <c r="W73" s="7">
        <f t="shared" si="67"/>
        <v>60</v>
      </c>
      <c r="X73" s="44">
        <f t="shared" si="68"/>
        <v>62.744986619974235</v>
      </c>
      <c r="Y73" s="44">
        <f t="shared" si="69"/>
        <v>61.435153583617748</v>
      </c>
      <c r="Z73" s="44">
        <f t="shared" si="70"/>
        <v>62.79774547204179</v>
      </c>
      <c r="AA73" s="44">
        <f t="shared" si="71"/>
        <v>61.12327651708457</v>
      </c>
      <c r="AB73" s="7">
        <v>40</v>
      </c>
      <c r="AC73" s="44" t="str">
        <f t="shared" si="72"/>
        <v>1</v>
      </c>
      <c r="AD73" s="44" t="str">
        <f t="shared" si="73"/>
        <v>1</v>
      </c>
      <c r="AE73" s="44" t="str">
        <f t="shared" si="74"/>
        <v>1</v>
      </c>
      <c r="AF73" s="44" t="str">
        <f t="shared" si="75"/>
        <v>1</v>
      </c>
      <c r="AG73" s="44" t="str">
        <f t="shared" si="76"/>
        <v>1</v>
      </c>
      <c r="AH73" s="44" t="str">
        <f t="shared" si="77"/>
        <v>2컷원점</v>
      </c>
      <c r="AI73" s="44" t="str">
        <f t="shared" si="78"/>
        <v>3</v>
      </c>
      <c r="AJ73" s="44" t="str">
        <f t="shared" si="79"/>
        <v>2컷원점</v>
      </c>
      <c r="AK73" s="44" t="str">
        <f t="shared" si="80"/>
        <v>2</v>
      </c>
      <c r="AL73" s="44" t="str">
        <f t="shared" si="81"/>
        <v>3</v>
      </c>
      <c r="AM73" s="44" t="str">
        <f t="shared" si="82"/>
        <v>3</v>
      </c>
      <c r="AN73" s="44" t="str">
        <f t="shared" si="83"/>
        <v>3</v>
      </c>
      <c r="AO73" s="44" t="str">
        <f t="shared" si="84"/>
        <v>2컷원점</v>
      </c>
      <c r="AP73" s="44" t="str">
        <f t="shared" si="85"/>
        <v>3</v>
      </c>
      <c r="AQ73" s="44" t="str">
        <f t="shared" si="86"/>
        <v>3</v>
      </c>
      <c r="AR73" s="44" t="str">
        <f t="shared" si="87"/>
        <v>3</v>
      </c>
      <c r="AS73" s="44" t="str">
        <f t="shared" si="88"/>
        <v>3</v>
      </c>
      <c r="AT73" s="44" t="str">
        <f t="shared" si="89"/>
        <v>3</v>
      </c>
      <c r="AU73" s="44" t="str">
        <f t="shared" si="90"/>
        <v>3</v>
      </c>
      <c r="AV73" s="44" t="str">
        <f t="shared" si="91"/>
        <v>3</v>
      </c>
      <c r="AW73" s="44" t="str">
        <f t="shared" si="92"/>
        <v>3</v>
      </c>
      <c r="AX73" s="44" t="str">
        <f t="shared" si="93"/>
        <v>3</v>
      </c>
      <c r="AY73" s="7">
        <v>1</v>
      </c>
      <c r="AZ73" s="7">
        <v>1</v>
      </c>
    </row>
    <row r="74" spans="1:52" hidden="1" x14ac:dyDescent="0.3">
      <c r="A74" s="7">
        <v>89</v>
      </c>
      <c r="B74" s="7">
        <f t="shared" si="46"/>
        <v>138</v>
      </c>
      <c r="C74" s="7">
        <f t="shared" si="47"/>
        <v>137</v>
      </c>
      <c r="D74" s="7">
        <f t="shared" si="48"/>
        <v>142</v>
      </c>
      <c r="E74" s="7">
        <f t="shared" si="49"/>
        <v>140</v>
      </c>
      <c r="F74" s="7">
        <f t="shared" si="50"/>
        <v>139</v>
      </c>
      <c r="G74" s="7">
        <f t="shared" si="51"/>
        <v>62</v>
      </c>
      <c r="H74" s="7">
        <f t="shared" si="52"/>
        <v>59</v>
      </c>
      <c r="I74" s="7">
        <f t="shared" si="53"/>
        <v>61</v>
      </c>
      <c r="J74" s="7">
        <f t="shared" si="54"/>
        <v>64</v>
      </c>
      <c r="K74" s="7">
        <f t="shared" si="55"/>
        <v>61</v>
      </c>
      <c r="L74" s="7">
        <f t="shared" si="56"/>
        <v>60</v>
      </c>
      <c r="M74" s="7">
        <f t="shared" si="57"/>
        <v>60</v>
      </c>
      <c r="N74" s="7">
        <f t="shared" si="58"/>
        <v>62</v>
      </c>
      <c r="O74" s="7">
        <f t="shared" si="59"/>
        <v>61</v>
      </c>
      <c r="P74" s="7">
        <f t="shared" si="60"/>
        <v>61</v>
      </c>
      <c r="Q74" s="7">
        <f t="shared" si="61"/>
        <v>61</v>
      </c>
      <c r="R74" s="7">
        <f t="shared" si="62"/>
        <v>62</v>
      </c>
      <c r="S74" s="7">
        <f t="shared" si="63"/>
        <v>61</v>
      </c>
      <c r="T74" s="7">
        <f t="shared" si="64"/>
        <v>62</v>
      </c>
      <c r="U74" s="7">
        <f t="shared" si="65"/>
        <v>61</v>
      </c>
      <c r="V74" s="7">
        <f t="shared" si="66"/>
        <v>61</v>
      </c>
      <c r="W74" s="7">
        <f t="shared" si="67"/>
        <v>60</v>
      </c>
      <c r="X74" s="44">
        <f t="shared" si="68"/>
        <v>61.752080157445384</v>
      </c>
      <c r="Y74" s="44">
        <f t="shared" si="69"/>
        <v>60.618356899073625</v>
      </c>
      <c r="Z74" s="44">
        <f t="shared" si="70"/>
        <v>61.79774547204179</v>
      </c>
      <c r="AA74" s="44">
        <f t="shared" si="71"/>
        <v>60.821479036958912</v>
      </c>
      <c r="AB74" s="7">
        <v>39</v>
      </c>
      <c r="AC74" s="44" t="str">
        <f t="shared" si="72"/>
        <v>1</v>
      </c>
      <c r="AD74" s="44" t="str">
        <f t="shared" si="73"/>
        <v>1</v>
      </c>
      <c r="AE74" s="44" t="str">
        <f t="shared" si="74"/>
        <v>1</v>
      </c>
      <c r="AF74" s="44" t="str">
        <f t="shared" si="75"/>
        <v>1</v>
      </c>
      <c r="AG74" s="44" t="str">
        <f t="shared" si="76"/>
        <v>1</v>
      </c>
      <c r="AH74" s="44" t="str">
        <f t="shared" si="77"/>
        <v>3</v>
      </c>
      <c r="AI74" s="44" t="str">
        <f t="shared" si="78"/>
        <v>3컷원점</v>
      </c>
      <c r="AJ74" s="44" t="str">
        <f t="shared" si="79"/>
        <v>3</v>
      </c>
      <c r="AK74" s="44" t="str">
        <f t="shared" si="80"/>
        <v>2</v>
      </c>
      <c r="AL74" s="44" t="str">
        <f t="shared" si="81"/>
        <v>3</v>
      </c>
      <c r="AM74" s="44" t="str">
        <f t="shared" si="82"/>
        <v>3</v>
      </c>
      <c r="AN74" s="44" t="str">
        <f t="shared" si="83"/>
        <v>3컷원점</v>
      </c>
      <c r="AO74" s="44" t="str">
        <f t="shared" si="84"/>
        <v>3</v>
      </c>
      <c r="AP74" s="44" t="str">
        <f t="shared" si="85"/>
        <v>3</v>
      </c>
      <c r="AQ74" s="44" t="str">
        <f t="shared" si="86"/>
        <v>3</v>
      </c>
      <c r="AR74" s="44" t="str">
        <f t="shared" si="87"/>
        <v>3</v>
      </c>
      <c r="AS74" s="44" t="str">
        <f t="shared" si="88"/>
        <v>3</v>
      </c>
      <c r="AT74" s="44" t="str">
        <f t="shared" si="89"/>
        <v>3</v>
      </c>
      <c r="AU74" s="44" t="str">
        <f t="shared" si="90"/>
        <v>3</v>
      </c>
      <c r="AV74" s="44" t="str">
        <f t="shared" si="91"/>
        <v>3</v>
      </c>
      <c r="AW74" s="44" t="str">
        <f t="shared" si="92"/>
        <v>3</v>
      </c>
      <c r="AX74" s="44" t="str">
        <f t="shared" si="93"/>
        <v>3</v>
      </c>
      <c r="AY74" s="7">
        <v>2</v>
      </c>
      <c r="AZ74" s="7">
        <v>2</v>
      </c>
    </row>
    <row r="75" spans="1:52" hidden="1" x14ac:dyDescent="0.3">
      <c r="A75" s="7">
        <v>88</v>
      </c>
      <c r="B75" s="7">
        <f t="shared" si="46"/>
        <v>137</v>
      </c>
      <c r="C75" s="7">
        <f t="shared" si="47"/>
        <v>136</v>
      </c>
      <c r="D75" s="7">
        <f t="shared" si="48"/>
        <v>141</v>
      </c>
      <c r="E75" s="7">
        <f t="shared" si="49"/>
        <v>140</v>
      </c>
      <c r="F75" s="7">
        <f t="shared" si="50"/>
        <v>139</v>
      </c>
      <c r="G75" s="7">
        <f t="shared" si="51"/>
        <v>62</v>
      </c>
      <c r="H75" s="7">
        <f t="shared" si="52"/>
        <v>58</v>
      </c>
      <c r="I75" s="7">
        <f t="shared" si="53"/>
        <v>61</v>
      </c>
      <c r="J75" s="7">
        <f t="shared" si="54"/>
        <v>63</v>
      </c>
      <c r="K75" s="7">
        <f t="shared" si="55"/>
        <v>60</v>
      </c>
      <c r="L75" s="7">
        <f t="shared" si="56"/>
        <v>59</v>
      </c>
      <c r="M75" s="7">
        <f t="shared" si="57"/>
        <v>59</v>
      </c>
      <c r="N75" s="7">
        <f t="shared" si="58"/>
        <v>62</v>
      </c>
      <c r="O75" s="7">
        <f t="shared" si="59"/>
        <v>61</v>
      </c>
      <c r="P75" s="7">
        <f t="shared" si="60"/>
        <v>61</v>
      </c>
      <c r="Q75" s="7">
        <f t="shared" si="61"/>
        <v>61</v>
      </c>
      <c r="R75" s="7">
        <f t="shared" si="62"/>
        <v>62</v>
      </c>
      <c r="S75" s="7">
        <f t="shared" si="63"/>
        <v>61</v>
      </c>
      <c r="T75" s="7">
        <f t="shared" si="64"/>
        <v>62</v>
      </c>
      <c r="U75" s="7">
        <f t="shared" si="65"/>
        <v>60</v>
      </c>
      <c r="V75" s="7">
        <f t="shared" si="66"/>
        <v>60</v>
      </c>
      <c r="W75" s="7">
        <f t="shared" si="67"/>
        <v>60</v>
      </c>
      <c r="X75" s="44">
        <f t="shared" si="68"/>
        <v>61.225938371648503</v>
      </c>
      <c r="Y75" s="44">
        <f t="shared" si="69"/>
        <v>59.835933690882499</v>
      </c>
      <c r="Z75" s="44">
        <f t="shared" si="70"/>
        <v>61.281926462718296</v>
      </c>
      <c r="AA75" s="44">
        <f t="shared" si="71"/>
        <v>60.750028918449971</v>
      </c>
      <c r="AB75" s="7">
        <v>38</v>
      </c>
      <c r="AC75" s="44" t="str">
        <f t="shared" si="72"/>
        <v>1</v>
      </c>
      <c r="AD75" s="44" t="str">
        <f t="shared" si="73"/>
        <v>1</v>
      </c>
      <c r="AE75" s="44" t="str">
        <f t="shared" si="74"/>
        <v>1</v>
      </c>
      <c r="AF75" s="44" t="str">
        <f t="shared" si="75"/>
        <v>1</v>
      </c>
      <c r="AG75" s="44" t="str">
        <f t="shared" si="76"/>
        <v>1</v>
      </c>
      <c r="AH75" s="44" t="str">
        <f t="shared" si="77"/>
        <v>3</v>
      </c>
      <c r="AI75" s="44" t="str">
        <f t="shared" si="78"/>
        <v>4</v>
      </c>
      <c r="AJ75" s="44" t="str">
        <f t="shared" si="79"/>
        <v>3</v>
      </c>
      <c r="AK75" s="44" t="str">
        <f t="shared" si="80"/>
        <v>2컷원점</v>
      </c>
      <c r="AL75" s="44" t="str">
        <f t="shared" si="81"/>
        <v>3컷원점</v>
      </c>
      <c r="AM75" s="44" t="str">
        <f t="shared" si="82"/>
        <v>3컷원점</v>
      </c>
      <c r="AN75" s="44" t="str">
        <f t="shared" si="83"/>
        <v>4</v>
      </c>
      <c r="AO75" s="44" t="str">
        <f t="shared" si="84"/>
        <v>3</v>
      </c>
      <c r="AP75" s="44" t="str">
        <f t="shared" si="85"/>
        <v>3</v>
      </c>
      <c r="AQ75" s="44" t="str">
        <f t="shared" si="86"/>
        <v>3</v>
      </c>
      <c r="AR75" s="44" t="str">
        <f t="shared" si="87"/>
        <v>3</v>
      </c>
      <c r="AS75" s="44" t="str">
        <f t="shared" si="88"/>
        <v>3</v>
      </c>
      <c r="AT75" s="44" t="str">
        <f t="shared" si="89"/>
        <v>3</v>
      </c>
      <c r="AU75" s="44" t="str">
        <f t="shared" si="90"/>
        <v>3</v>
      </c>
      <c r="AV75" s="44" t="str">
        <f t="shared" si="91"/>
        <v>3</v>
      </c>
      <c r="AW75" s="44" t="str">
        <f t="shared" si="92"/>
        <v>3</v>
      </c>
      <c r="AX75" s="44" t="str">
        <f t="shared" si="93"/>
        <v>3</v>
      </c>
      <c r="AY75" s="7">
        <v>2</v>
      </c>
      <c r="AZ75" s="7">
        <v>2</v>
      </c>
    </row>
    <row r="76" spans="1:52" hidden="1" x14ac:dyDescent="0.3">
      <c r="A76" s="7">
        <v>87</v>
      </c>
      <c r="B76" s="7">
        <f t="shared" si="46"/>
        <v>136</v>
      </c>
      <c r="C76" s="7">
        <f t="shared" si="47"/>
        <v>135</v>
      </c>
      <c r="D76" s="7">
        <f t="shared" si="48"/>
        <v>141</v>
      </c>
      <c r="E76" s="7">
        <f t="shared" si="49"/>
        <v>139</v>
      </c>
      <c r="F76" s="7">
        <f t="shared" si="50"/>
        <v>138</v>
      </c>
      <c r="G76" s="7">
        <f t="shared" si="51"/>
        <v>61</v>
      </c>
      <c r="H76" s="7">
        <f t="shared" si="52"/>
        <v>58</v>
      </c>
      <c r="I76" s="7">
        <f t="shared" si="53"/>
        <v>60</v>
      </c>
      <c r="J76" s="7">
        <f t="shared" si="54"/>
        <v>62</v>
      </c>
      <c r="K76" s="7">
        <f t="shared" si="55"/>
        <v>59</v>
      </c>
      <c r="L76" s="7">
        <f t="shared" si="56"/>
        <v>58</v>
      </c>
      <c r="M76" s="7">
        <f t="shared" si="57"/>
        <v>59</v>
      </c>
      <c r="N76" s="7">
        <f t="shared" si="58"/>
        <v>61</v>
      </c>
      <c r="O76" s="7">
        <f t="shared" si="59"/>
        <v>60</v>
      </c>
      <c r="P76" s="7">
        <f t="shared" si="60"/>
        <v>60</v>
      </c>
      <c r="Q76" s="7">
        <f t="shared" si="61"/>
        <v>60</v>
      </c>
      <c r="R76" s="7">
        <f t="shared" si="62"/>
        <v>61</v>
      </c>
      <c r="S76" s="7">
        <f t="shared" si="63"/>
        <v>60</v>
      </c>
      <c r="T76" s="7">
        <f t="shared" si="64"/>
        <v>61</v>
      </c>
      <c r="U76" s="7">
        <f t="shared" si="65"/>
        <v>60</v>
      </c>
      <c r="V76" s="7">
        <f t="shared" si="66"/>
        <v>60</v>
      </c>
      <c r="W76" s="7">
        <f t="shared" si="67"/>
        <v>59</v>
      </c>
      <c r="X76" s="44">
        <f t="shared" si="68"/>
        <v>60.414950703926223</v>
      </c>
      <c r="Y76" s="44">
        <f t="shared" si="69"/>
        <v>59.232996099463676</v>
      </c>
      <c r="Z76" s="44">
        <f t="shared" si="70"/>
        <v>60.462558732122602</v>
      </c>
      <c r="AA76" s="44">
        <f t="shared" si="71"/>
        <v>59.821479036958912</v>
      </c>
      <c r="AB76" s="7">
        <v>37</v>
      </c>
      <c r="AC76" s="44" t="str">
        <f t="shared" si="72"/>
        <v>1</v>
      </c>
      <c r="AD76" s="44" t="str">
        <f t="shared" si="73"/>
        <v>1</v>
      </c>
      <c r="AE76" s="44" t="str">
        <f t="shared" si="74"/>
        <v>1</v>
      </c>
      <c r="AF76" s="44" t="str">
        <f t="shared" si="75"/>
        <v>1</v>
      </c>
      <c r="AG76" s="44" t="str">
        <f t="shared" si="76"/>
        <v>1</v>
      </c>
      <c r="AH76" s="44" t="str">
        <f t="shared" si="77"/>
        <v>3</v>
      </c>
      <c r="AI76" s="44" t="str">
        <f t="shared" si="78"/>
        <v>4</v>
      </c>
      <c r="AJ76" s="44" t="str">
        <f t="shared" si="79"/>
        <v>3</v>
      </c>
      <c r="AK76" s="44" t="str">
        <f t="shared" si="80"/>
        <v>3</v>
      </c>
      <c r="AL76" s="44" t="str">
        <f t="shared" si="81"/>
        <v>4</v>
      </c>
      <c r="AM76" s="44" t="str">
        <f t="shared" si="82"/>
        <v>4</v>
      </c>
      <c r="AN76" s="44" t="str">
        <f t="shared" si="83"/>
        <v>4</v>
      </c>
      <c r="AO76" s="44" t="str">
        <f t="shared" si="84"/>
        <v>3</v>
      </c>
      <c r="AP76" s="44" t="str">
        <f t="shared" si="85"/>
        <v>3컷원점</v>
      </c>
      <c r="AQ76" s="44" t="str">
        <f t="shared" si="86"/>
        <v>3컷원점</v>
      </c>
      <c r="AR76" s="44" t="str">
        <f t="shared" si="87"/>
        <v>3컷원점</v>
      </c>
      <c r="AS76" s="44" t="str">
        <f t="shared" si="88"/>
        <v>3컷원점</v>
      </c>
      <c r="AT76" s="44" t="str">
        <f t="shared" si="89"/>
        <v>3컷원점</v>
      </c>
      <c r="AU76" s="44" t="str">
        <f t="shared" si="90"/>
        <v>3컷원점</v>
      </c>
      <c r="AV76" s="44" t="str">
        <f t="shared" si="91"/>
        <v>3컷원점</v>
      </c>
      <c r="AW76" s="44" t="str">
        <f t="shared" si="92"/>
        <v>3컷원점</v>
      </c>
      <c r="AX76" s="44" t="str">
        <f t="shared" si="93"/>
        <v>3컷원점</v>
      </c>
      <c r="AY76" s="7">
        <v>2</v>
      </c>
      <c r="AZ76" s="7">
        <v>2</v>
      </c>
    </row>
    <row r="77" spans="1:52" hidden="1" x14ac:dyDescent="0.3">
      <c r="A77" s="7">
        <v>86</v>
      </c>
      <c r="B77" s="7">
        <f t="shared" si="46"/>
        <v>135</v>
      </c>
      <c r="C77" s="7">
        <f t="shared" si="47"/>
        <v>134</v>
      </c>
      <c r="D77" s="7">
        <f t="shared" si="48"/>
        <v>140</v>
      </c>
      <c r="E77" s="7">
        <f t="shared" si="49"/>
        <v>139</v>
      </c>
      <c r="F77" s="7">
        <f t="shared" si="50"/>
        <v>137</v>
      </c>
      <c r="G77" s="7">
        <f t="shared" si="51"/>
        <v>60</v>
      </c>
      <c r="H77" s="7">
        <f t="shared" si="52"/>
        <v>57</v>
      </c>
      <c r="I77" s="7">
        <f t="shared" si="53"/>
        <v>60</v>
      </c>
      <c r="J77" s="7">
        <f t="shared" si="54"/>
        <v>61</v>
      </c>
      <c r="K77" s="7">
        <f t="shared" si="55"/>
        <v>58</v>
      </c>
      <c r="L77" s="7">
        <f t="shared" si="56"/>
        <v>57</v>
      </c>
      <c r="M77" s="7">
        <f t="shared" si="57"/>
        <v>58</v>
      </c>
      <c r="N77" s="7">
        <f t="shared" si="58"/>
        <v>60</v>
      </c>
      <c r="O77" s="7">
        <f t="shared" si="59"/>
        <v>59</v>
      </c>
      <c r="P77" s="7">
        <f t="shared" si="60"/>
        <v>59</v>
      </c>
      <c r="Q77" s="7">
        <f t="shared" si="61"/>
        <v>59</v>
      </c>
      <c r="R77" s="7">
        <f t="shared" si="62"/>
        <v>60</v>
      </c>
      <c r="S77" s="7">
        <f t="shared" si="63"/>
        <v>59</v>
      </c>
      <c r="T77" s="7">
        <f t="shared" si="64"/>
        <v>60</v>
      </c>
      <c r="U77" s="7">
        <f t="shared" si="65"/>
        <v>59</v>
      </c>
      <c r="V77" s="7">
        <f t="shared" si="66"/>
        <v>59</v>
      </c>
      <c r="W77" s="7">
        <f t="shared" si="67"/>
        <v>58</v>
      </c>
      <c r="X77" s="44">
        <f t="shared" si="68"/>
        <v>59.732876162787953</v>
      </c>
      <c r="Y77" s="44">
        <f t="shared" si="69"/>
        <v>58.232996099463676</v>
      </c>
      <c r="Z77" s="44">
        <f t="shared" si="70"/>
        <v>59.793289931706262</v>
      </c>
      <c r="AA77" s="44">
        <f t="shared" si="71"/>
        <v>58.821479036958912</v>
      </c>
      <c r="AB77" s="7">
        <v>36</v>
      </c>
      <c r="AC77" s="44" t="str">
        <f t="shared" si="72"/>
        <v>1</v>
      </c>
      <c r="AD77" s="44" t="str">
        <f t="shared" si="73"/>
        <v>1</v>
      </c>
      <c r="AE77" s="44" t="str">
        <f t="shared" si="74"/>
        <v>1</v>
      </c>
      <c r="AF77" s="44" t="str">
        <f t="shared" si="75"/>
        <v>1</v>
      </c>
      <c r="AG77" s="44" t="str">
        <f t="shared" si="76"/>
        <v>1</v>
      </c>
      <c r="AH77" s="44" t="str">
        <f t="shared" si="77"/>
        <v>3</v>
      </c>
      <c r="AI77" s="44" t="str">
        <f t="shared" si="78"/>
        <v>4</v>
      </c>
      <c r="AJ77" s="44" t="str">
        <f t="shared" si="79"/>
        <v>3</v>
      </c>
      <c r="AK77" s="44" t="str">
        <f t="shared" si="80"/>
        <v>3</v>
      </c>
      <c r="AL77" s="44" t="str">
        <f t="shared" si="81"/>
        <v>4</v>
      </c>
      <c r="AM77" s="44" t="str">
        <f t="shared" si="82"/>
        <v>4</v>
      </c>
      <c r="AN77" s="44" t="str">
        <f t="shared" si="83"/>
        <v>4</v>
      </c>
      <c r="AO77" s="44" t="str">
        <f t="shared" si="84"/>
        <v>3</v>
      </c>
      <c r="AP77" s="44" t="str">
        <f t="shared" si="85"/>
        <v>4</v>
      </c>
      <c r="AQ77" s="44" t="str">
        <f t="shared" si="86"/>
        <v>4</v>
      </c>
      <c r="AR77" s="44" t="str">
        <f t="shared" si="87"/>
        <v>4</v>
      </c>
      <c r="AS77" s="44" t="str">
        <f t="shared" si="88"/>
        <v>4</v>
      </c>
      <c r="AT77" s="44" t="str">
        <f t="shared" si="89"/>
        <v>4</v>
      </c>
      <c r="AU77" s="44" t="str">
        <f t="shared" si="90"/>
        <v>4</v>
      </c>
      <c r="AV77" s="44" t="str">
        <f t="shared" si="91"/>
        <v>4</v>
      </c>
      <c r="AW77" s="44" t="str">
        <f t="shared" si="92"/>
        <v>4</v>
      </c>
      <c r="AX77" s="44" t="str">
        <f t="shared" si="93"/>
        <v>4</v>
      </c>
      <c r="AY77" s="7">
        <v>2</v>
      </c>
      <c r="AZ77" s="7">
        <v>2</v>
      </c>
    </row>
    <row r="78" spans="1:52" hidden="1" x14ac:dyDescent="0.3">
      <c r="A78" s="7">
        <v>85</v>
      </c>
      <c r="B78" s="7">
        <f t="shared" si="46"/>
        <v>134</v>
      </c>
      <c r="C78" s="7">
        <f t="shared" si="47"/>
        <v>133</v>
      </c>
      <c r="D78" s="7">
        <f t="shared" si="48"/>
        <v>140</v>
      </c>
      <c r="E78" s="7">
        <f t="shared" si="49"/>
        <v>138</v>
      </c>
      <c r="F78" s="7">
        <f t="shared" si="50"/>
        <v>137</v>
      </c>
      <c r="G78" s="7">
        <f t="shared" si="51"/>
        <v>60</v>
      </c>
      <c r="H78" s="7">
        <f t="shared" si="52"/>
        <v>57</v>
      </c>
      <c r="I78" s="7">
        <f t="shared" si="53"/>
        <v>59</v>
      </c>
      <c r="J78" s="7">
        <f t="shared" si="54"/>
        <v>61</v>
      </c>
      <c r="K78" s="7">
        <f t="shared" si="55"/>
        <v>58</v>
      </c>
      <c r="L78" s="7">
        <f t="shared" si="56"/>
        <v>57</v>
      </c>
      <c r="M78" s="7">
        <f t="shared" si="57"/>
        <v>58</v>
      </c>
      <c r="N78" s="7">
        <f t="shared" si="58"/>
        <v>60</v>
      </c>
      <c r="O78" s="7">
        <f t="shared" si="59"/>
        <v>59</v>
      </c>
      <c r="P78" s="7">
        <f t="shared" si="60"/>
        <v>59</v>
      </c>
      <c r="Q78" s="7">
        <f t="shared" si="61"/>
        <v>59</v>
      </c>
      <c r="R78" s="7">
        <f t="shared" si="62"/>
        <v>59</v>
      </c>
      <c r="S78" s="7">
        <f t="shared" si="63"/>
        <v>59</v>
      </c>
      <c r="T78" s="7">
        <f t="shared" si="64"/>
        <v>58</v>
      </c>
      <c r="U78" s="7">
        <f t="shared" si="65"/>
        <v>58</v>
      </c>
      <c r="V78" s="7">
        <f t="shared" si="66"/>
        <v>59</v>
      </c>
      <c r="W78" s="7">
        <f t="shared" si="67"/>
        <v>58</v>
      </c>
      <c r="X78" s="44">
        <f t="shared" si="68"/>
        <v>59.414950703926223</v>
      </c>
      <c r="Y78" s="44">
        <f t="shared" si="69"/>
        <v>58.232996099463676</v>
      </c>
      <c r="Z78" s="44">
        <f t="shared" si="70"/>
        <v>59.462558732122602</v>
      </c>
      <c r="AA78" s="44">
        <f t="shared" si="71"/>
        <v>58.658583109357103</v>
      </c>
      <c r="AB78" s="7">
        <v>35</v>
      </c>
      <c r="AC78" s="44" t="str">
        <f t="shared" si="72"/>
        <v>1</v>
      </c>
      <c r="AD78" s="44" t="str">
        <f t="shared" si="73"/>
        <v>1</v>
      </c>
      <c r="AE78" s="44" t="str">
        <f t="shared" si="74"/>
        <v>1</v>
      </c>
      <c r="AF78" s="44" t="str">
        <f t="shared" si="75"/>
        <v>1</v>
      </c>
      <c r="AG78" s="44" t="str">
        <f t="shared" si="76"/>
        <v>1컷원점</v>
      </c>
      <c r="AH78" s="44" t="str">
        <f t="shared" si="77"/>
        <v>3</v>
      </c>
      <c r="AI78" s="44" t="str">
        <f t="shared" si="78"/>
        <v>4</v>
      </c>
      <c r="AJ78" s="44" t="str">
        <f t="shared" si="79"/>
        <v>3컷원점</v>
      </c>
      <c r="AK78" s="44" t="str">
        <f t="shared" si="80"/>
        <v>3</v>
      </c>
      <c r="AL78" s="44" t="str">
        <f t="shared" si="81"/>
        <v>4</v>
      </c>
      <c r="AM78" s="44" t="str">
        <f t="shared" si="82"/>
        <v>4</v>
      </c>
      <c r="AN78" s="44" t="str">
        <f t="shared" si="83"/>
        <v>4</v>
      </c>
      <c r="AO78" s="44" t="str">
        <f t="shared" si="84"/>
        <v>3</v>
      </c>
      <c r="AP78" s="44" t="str">
        <f t="shared" si="85"/>
        <v>4</v>
      </c>
      <c r="AQ78" s="44" t="str">
        <f t="shared" si="86"/>
        <v>4</v>
      </c>
      <c r="AR78" s="44" t="str">
        <f t="shared" si="87"/>
        <v>4</v>
      </c>
      <c r="AS78" s="44" t="str">
        <f t="shared" si="88"/>
        <v>4</v>
      </c>
      <c r="AT78" s="44" t="str">
        <f t="shared" si="89"/>
        <v>4</v>
      </c>
      <c r="AU78" s="44" t="str">
        <f t="shared" si="90"/>
        <v>4</v>
      </c>
      <c r="AV78" s="44" t="str">
        <f t="shared" si="91"/>
        <v>4</v>
      </c>
      <c r="AW78" s="44" t="str">
        <f t="shared" si="92"/>
        <v>4</v>
      </c>
      <c r="AX78" s="44" t="str">
        <f t="shared" si="93"/>
        <v>4</v>
      </c>
      <c r="AY78" s="7">
        <v>2</v>
      </c>
      <c r="AZ78" s="7">
        <v>2</v>
      </c>
    </row>
    <row r="79" spans="1:52" hidden="1" x14ac:dyDescent="0.3">
      <c r="A79" s="7">
        <v>84</v>
      </c>
      <c r="B79" s="7">
        <f t="shared" si="46"/>
        <v>133</v>
      </c>
      <c r="C79" s="7">
        <f t="shared" si="47"/>
        <v>131</v>
      </c>
      <c r="D79" s="7">
        <f t="shared" si="48"/>
        <v>139</v>
      </c>
      <c r="E79" s="7">
        <f t="shared" si="49"/>
        <v>137</v>
      </c>
      <c r="F79" s="7">
        <f t="shared" si="50"/>
        <v>136</v>
      </c>
      <c r="G79" s="7">
        <f t="shared" si="51"/>
        <v>59</v>
      </c>
      <c r="H79" s="7">
        <f t="shared" si="52"/>
        <v>56</v>
      </c>
      <c r="I79" s="7">
        <f t="shared" si="53"/>
        <v>58</v>
      </c>
      <c r="J79" s="7">
        <f t="shared" si="54"/>
        <v>60</v>
      </c>
      <c r="K79" s="7">
        <f t="shared" si="55"/>
        <v>57</v>
      </c>
      <c r="L79" s="7">
        <f t="shared" si="56"/>
        <v>56</v>
      </c>
      <c r="M79" s="7">
        <f t="shared" si="57"/>
        <v>57</v>
      </c>
      <c r="N79" s="7">
        <f t="shared" si="58"/>
        <v>59</v>
      </c>
      <c r="O79" s="7">
        <f t="shared" si="59"/>
        <v>58</v>
      </c>
      <c r="P79" s="7">
        <f t="shared" si="60"/>
        <v>58</v>
      </c>
      <c r="Q79" s="7">
        <f t="shared" si="61"/>
        <v>58</v>
      </c>
      <c r="R79" s="7">
        <f t="shared" si="62"/>
        <v>59</v>
      </c>
      <c r="S79" s="7">
        <f t="shared" si="63"/>
        <v>58</v>
      </c>
      <c r="T79" s="7">
        <f t="shared" si="64"/>
        <v>57</v>
      </c>
      <c r="U79" s="7">
        <f t="shared" si="65"/>
        <v>56</v>
      </c>
      <c r="V79" s="7">
        <f t="shared" si="66"/>
        <v>58</v>
      </c>
      <c r="W79" s="7">
        <f t="shared" si="67"/>
        <v>57</v>
      </c>
      <c r="X79" s="44">
        <f t="shared" si="68"/>
        <v>58.414950703926223</v>
      </c>
      <c r="Y79" s="44">
        <f t="shared" si="69"/>
        <v>57.232996099463676</v>
      </c>
      <c r="Z79" s="44">
        <f t="shared" si="70"/>
        <v>58.462558732122602</v>
      </c>
      <c r="AA79" s="44">
        <f t="shared" si="71"/>
        <v>57.716932603000714</v>
      </c>
      <c r="AB79" s="7">
        <v>34</v>
      </c>
      <c r="AC79" s="44" t="str">
        <f t="shared" si="72"/>
        <v>1</v>
      </c>
      <c r="AD79" s="44" t="str">
        <f t="shared" si="73"/>
        <v>1</v>
      </c>
      <c r="AE79" s="44" t="str">
        <f t="shared" si="74"/>
        <v>1</v>
      </c>
      <c r="AF79" s="44" t="str">
        <f t="shared" si="75"/>
        <v>1컷원점</v>
      </c>
      <c r="AG79" s="44" t="str">
        <f t="shared" si="76"/>
        <v>2</v>
      </c>
      <c r="AH79" s="44" t="str">
        <f t="shared" si="77"/>
        <v>3컷원점</v>
      </c>
      <c r="AI79" s="44" t="str">
        <f t="shared" si="78"/>
        <v>4</v>
      </c>
      <c r="AJ79" s="44" t="str">
        <f t="shared" si="79"/>
        <v>4</v>
      </c>
      <c r="AK79" s="44" t="str">
        <f t="shared" si="80"/>
        <v>3</v>
      </c>
      <c r="AL79" s="44" t="str">
        <f t="shared" si="81"/>
        <v>4</v>
      </c>
      <c r="AM79" s="44" t="str">
        <f t="shared" si="82"/>
        <v>4</v>
      </c>
      <c r="AN79" s="44" t="str">
        <f t="shared" si="83"/>
        <v>4</v>
      </c>
      <c r="AO79" s="44" t="str">
        <f t="shared" si="84"/>
        <v>3컷원점</v>
      </c>
      <c r="AP79" s="44" t="str">
        <f t="shared" si="85"/>
        <v>4</v>
      </c>
      <c r="AQ79" s="44" t="str">
        <f t="shared" si="86"/>
        <v>4</v>
      </c>
      <c r="AR79" s="44" t="str">
        <f t="shared" si="87"/>
        <v>4</v>
      </c>
      <c r="AS79" s="44" t="str">
        <f t="shared" si="88"/>
        <v>4</v>
      </c>
      <c r="AT79" s="44" t="str">
        <f t="shared" si="89"/>
        <v>4</v>
      </c>
      <c r="AU79" s="44" t="str">
        <f t="shared" si="90"/>
        <v>4</v>
      </c>
      <c r="AV79" s="44" t="str">
        <f t="shared" si="91"/>
        <v>4</v>
      </c>
      <c r="AW79" s="44" t="str">
        <f t="shared" si="92"/>
        <v>4</v>
      </c>
      <c r="AX79" s="44" t="str">
        <f t="shared" si="93"/>
        <v>4</v>
      </c>
      <c r="AY79" s="7">
        <v>2</v>
      </c>
      <c r="AZ79" s="7">
        <v>3</v>
      </c>
    </row>
    <row r="80" spans="1:52" hidden="1" x14ac:dyDescent="0.3">
      <c r="A80" s="7">
        <v>83</v>
      </c>
      <c r="B80" s="7">
        <f t="shared" si="46"/>
        <v>132</v>
      </c>
      <c r="C80" s="7">
        <f t="shared" si="47"/>
        <v>131</v>
      </c>
      <c r="D80" s="7">
        <f t="shared" si="48"/>
        <v>139</v>
      </c>
      <c r="E80" s="7">
        <f t="shared" si="49"/>
        <v>136</v>
      </c>
      <c r="F80" s="7">
        <f t="shared" si="50"/>
        <v>135</v>
      </c>
      <c r="G80" s="7">
        <f t="shared" si="51"/>
        <v>58</v>
      </c>
      <c r="H80" s="7">
        <f t="shared" si="52"/>
        <v>55</v>
      </c>
      <c r="I80" s="7">
        <f t="shared" si="53"/>
        <v>58</v>
      </c>
      <c r="J80" s="7">
        <f t="shared" si="54"/>
        <v>59</v>
      </c>
      <c r="K80" s="7">
        <f t="shared" si="55"/>
        <v>56</v>
      </c>
      <c r="L80" s="7">
        <f t="shared" si="56"/>
        <v>55</v>
      </c>
      <c r="M80" s="7">
        <f t="shared" si="57"/>
        <v>56</v>
      </c>
      <c r="N80" s="7">
        <f t="shared" si="58"/>
        <v>58</v>
      </c>
      <c r="O80" s="7">
        <f t="shared" si="59"/>
        <v>57</v>
      </c>
      <c r="P80" s="7">
        <f t="shared" si="60"/>
        <v>58</v>
      </c>
      <c r="Q80" s="7">
        <f t="shared" si="61"/>
        <v>57</v>
      </c>
      <c r="R80" s="7">
        <f t="shared" si="62"/>
        <v>58</v>
      </c>
      <c r="S80" s="7">
        <f t="shared" si="63"/>
        <v>57</v>
      </c>
      <c r="T80" s="7">
        <f t="shared" si="64"/>
        <v>56</v>
      </c>
      <c r="U80" s="7">
        <f t="shared" si="65"/>
        <v>55</v>
      </c>
      <c r="V80" s="7">
        <f t="shared" si="66"/>
        <v>57</v>
      </c>
      <c r="W80" s="7">
        <f t="shared" si="67"/>
        <v>56</v>
      </c>
      <c r="X80" s="44">
        <f t="shared" si="68"/>
        <v>57.732876162787953</v>
      </c>
      <c r="Y80" s="44">
        <f t="shared" si="69"/>
        <v>56.232996099463676</v>
      </c>
      <c r="Z80" s="44">
        <f t="shared" si="70"/>
        <v>57.793289931706262</v>
      </c>
      <c r="AA80" s="44">
        <f t="shared" si="71"/>
        <v>56.788149105796165</v>
      </c>
      <c r="AB80" s="7">
        <v>33</v>
      </c>
      <c r="AC80" s="44" t="str">
        <f t="shared" si="72"/>
        <v>1</v>
      </c>
      <c r="AD80" s="44" t="str">
        <f t="shared" si="73"/>
        <v>1컷원점</v>
      </c>
      <c r="AE80" s="44" t="str">
        <f t="shared" si="74"/>
        <v>1</v>
      </c>
      <c r="AF80" s="44" t="str">
        <f t="shared" si="75"/>
        <v>2</v>
      </c>
      <c r="AG80" s="44" t="str">
        <f t="shared" si="76"/>
        <v>2</v>
      </c>
      <c r="AH80" s="44" t="str">
        <f t="shared" si="77"/>
        <v>4</v>
      </c>
      <c r="AI80" s="44" t="str">
        <f t="shared" si="78"/>
        <v>4</v>
      </c>
      <c r="AJ80" s="44" t="str">
        <f t="shared" si="79"/>
        <v>4</v>
      </c>
      <c r="AK80" s="44" t="str">
        <f t="shared" si="80"/>
        <v>3컷원점</v>
      </c>
      <c r="AL80" s="44" t="str">
        <f t="shared" si="81"/>
        <v>4</v>
      </c>
      <c r="AM80" s="44" t="str">
        <f t="shared" si="82"/>
        <v>4</v>
      </c>
      <c r="AN80" s="44" t="str">
        <f t="shared" si="83"/>
        <v>4</v>
      </c>
      <c r="AO80" s="44" t="str">
        <f t="shared" si="84"/>
        <v>4</v>
      </c>
      <c r="AP80" s="44" t="str">
        <f t="shared" si="85"/>
        <v>4</v>
      </c>
      <c r="AQ80" s="44" t="str">
        <f t="shared" si="86"/>
        <v>4</v>
      </c>
      <c r="AR80" s="44" t="str">
        <f t="shared" si="87"/>
        <v>4</v>
      </c>
      <c r="AS80" s="44" t="str">
        <f t="shared" si="88"/>
        <v>4</v>
      </c>
      <c r="AT80" s="44" t="str">
        <f t="shared" si="89"/>
        <v>4</v>
      </c>
      <c r="AU80" s="44" t="str">
        <f t="shared" si="90"/>
        <v>4</v>
      </c>
      <c r="AV80" s="44" t="str">
        <f t="shared" si="91"/>
        <v>4</v>
      </c>
      <c r="AW80" s="44" t="str">
        <f t="shared" si="92"/>
        <v>4</v>
      </c>
      <c r="AX80" s="44" t="str">
        <f t="shared" si="93"/>
        <v>4</v>
      </c>
      <c r="AY80" s="7">
        <v>2</v>
      </c>
      <c r="AZ80" s="7">
        <v>3</v>
      </c>
    </row>
    <row r="81" spans="1:52" hidden="1" x14ac:dyDescent="0.3">
      <c r="A81" s="7">
        <v>82</v>
      </c>
      <c r="B81" s="7">
        <f t="shared" si="46"/>
        <v>131</v>
      </c>
      <c r="C81" s="7">
        <f t="shared" si="47"/>
        <v>130</v>
      </c>
      <c r="D81" s="7">
        <f t="shared" si="48"/>
        <v>138</v>
      </c>
      <c r="E81" s="7">
        <f t="shared" si="49"/>
        <v>135</v>
      </c>
      <c r="F81" s="7">
        <f t="shared" si="50"/>
        <v>134</v>
      </c>
      <c r="G81" s="7">
        <f t="shared" si="51"/>
        <v>57</v>
      </c>
      <c r="H81" s="7">
        <f t="shared" si="52"/>
        <v>55</v>
      </c>
      <c r="I81" s="7">
        <f t="shared" si="53"/>
        <v>57</v>
      </c>
      <c r="J81" s="7">
        <f t="shared" si="54"/>
        <v>58</v>
      </c>
      <c r="K81" s="7">
        <f t="shared" si="55"/>
        <v>55</v>
      </c>
      <c r="L81" s="7">
        <f t="shared" si="56"/>
        <v>54</v>
      </c>
      <c r="M81" s="7">
        <f t="shared" si="57"/>
        <v>56</v>
      </c>
      <c r="N81" s="7">
        <f t="shared" si="58"/>
        <v>58</v>
      </c>
      <c r="O81" s="7">
        <f t="shared" si="59"/>
        <v>57</v>
      </c>
      <c r="P81" s="7">
        <f t="shared" si="60"/>
        <v>57</v>
      </c>
      <c r="Q81" s="7">
        <f t="shared" si="61"/>
        <v>57</v>
      </c>
      <c r="R81" s="7">
        <f t="shared" si="62"/>
        <v>57</v>
      </c>
      <c r="S81" s="7">
        <f t="shared" si="63"/>
        <v>57</v>
      </c>
      <c r="T81" s="7">
        <f t="shared" si="64"/>
        <v>55</v>
      </c>
      <c r="U81" s="7">
        <f t="shared" si="65"/>
        <v>54</v>
      </c>
      <c r="V81" s="7">
        <f t="shared" si="66"/>
        <v>57</v>
      </c>
      <c r="W81" s="7">
        <f t="shared" si="67"/>
        <v>56</v>
      </c>
      <c r="X81" s="44">
        <f t="shared" si="68"/>
        <v>56.930312955735005</v>
      </c>
      <c r="Y81" s="44">
        <f t="shared" si="69"/>
        <v>55.847635299853728</v>
      </c>
      <c r="Z81" s="44">
        <f t="shared" si="70"/>
        <v>56.973922201110568</v>
      </c>
      <c r="AA81" s="44">
        <f t="shared" si="71"/>
        <v>56.593846607468898</v>
      </c>
      <c r="AB81" s="7">
        <v>32</v>
      </c>
      <c r="AC81" s="44" t="str">
        <f t="shared" si="72"/>
        <v>1컷원점</v>
      </c>
      <c r="AD81" s="44" t="str">
        <f t="shared" si="73"/>
        <v>2</v>
      </c>
      <c r="AE81" s="44" t="str">
        <f t="shared" si="74"/>
        <v>1</v>
      </c>
      <c r="AF81" s="44" t="str">
        <f t="shared" si="75"/>
        <v>2</v>
      </c>
      <c r="AG81" s="44" t="str">
        <f t="shared" si="76"/>
        <v>2</v>
      </c>
      <c r="AH81" s="44" t="str">
        <f t="shared" si="77"/>
        <v>4</v>
      </c>
      <c r="AI81" s="44" t="str">
        <f t="shared" si="78"/>
        <v>4컷원점</v>
      </c>
      <c r="AJ81" s="44" t="str">
        <f t="shared" si="79"/>
        <v>4</v>
      </c>
      <c r="AK81" s="44" t="str">
        <f t="shared" si="80"/>
        <v>4</v>
      </c>
      <c r="AL81" s="44" t="str">
        <f t="shared" si="81"/>
        <v>4</v>
      </c>
      <c r="AM81" s="44" t="str">
        <f t="shared" si="82"/>
        <v>4</v>
      </c>
      <c r="AN81" s="44" t="str">
        <f t="shared" si="83"/>
        <v>4</v>
      </c>
      <c r="AO81" s="44" t="str">
        <f t="shared" si="84"/>
        <v>4</v>
      </c>
      <c r="AP81" s="44" t="str">
        <f t="shared" si="85"/>
        <v>4</v>
      </c>
      <c r="AQ81" s="44" t="str">
        <f t="shared" si="86"/>
        <v>4</v>
      </c>
      <c r="AR81" s="44" t="str">
        <f t="shared" si="87"/>
        <v>4</v>
      </c>
      <c r="AS81" s="44" t="str">
        <f t="shared" si="88"/>
        <v>4</v>
      </c>
      <c r="AT81" s="44" t="str">
        <f t="shared" si="89"/>
        <v>4</v>
      </c>
      <c r="AU81" s="44" t="str">
        <f t="shared" si="90"/>
        <v>4</v>
      </c>
      <c r="AV81" s="44" t="str">
        <f t="shared" si="91"/>
        <v>4</v>
      </c>
      <c r="AW81" s="44" t="str">
        <f t="shared" si="92"/>
        <v>4</v>
      </c>
      <c r="AX81" s="44" t="str">
        <f t="shared" si="93"/>
        <v>4</v>
      </c>
      <c r="AY81" s="7">
        <v>2</v>
      </c>
      <c r="AZ81" s="7">
        <v>3</v>
      </c>
    </row>
    <row r="82" spans="1:52" hidden="1" x14ac:dyDescent="0.3">
      <c r="A82" s="7">
        <v>81</v>
      </c>
      <c r="B82" s="7">
        <f t="shared" si="46"/>
        <v>130</v>
      </c>
      <c r="C82" s="7">
        <f t="shared" si="47"/>
        <v>129</v>
      </c>
      <c r="D82" s="7">
        <f t="shared" si="48"/>
        <v>137</v>
      </c>
      <c r="E82" s="7">
        <f t="shared" si="49"/>
        <v>134</v>
      </c>
      <c r="F82" s="7">
        <f t="shared" si="50"/>
        <v>133</v>
      </c>
      <c r="G82" s="7">
        <f t="shared" si="51"/>
        <v>56</v>
      </c>
      <c r="H82" s="7">
        <f t="shared" si="52"/>
        <v>54</v>
      </c>
      <c r="I82" s="7">
        <f t="shared" si="53"/>
        <v>56</v>
      </c>
      <c r="J82" s="7">
        <f t="shared" si="54"/>
        <v>57</v>
      </c>
      <c r="K82" s="7">
        <f t="shared" si="55"/>
        <v>54</v>
      </c>
      <c r="L82" s="7">
        <f t="shared" si="56"/>
        <v>53</v>
      </c>
      <c r="M82" s="7">
        <f t="shared" si="57"/>
        <v>55</v>
      </c>
      <c r="N82" s="7">
        <f t="shared" si="58"/>
        <v>57</v>
      </c>
      <c r="O82" s="7">
        <f t="shared" si="59"/>
        <v>56</v>
      </c>
      <c r="P82" s="7">
        <f t="shared" si="60"/>
        <v>56</v>
      </c>
      <c r="Q82" s="7">
        <f t="shared" si="61"/>
        <v>56</v>
      </c>
      <c r="R82" s="7">
        <f t="shared" si="62"/>
        <v>56</v>
      </c>
      <c r="S82" s="7">
        <f t="shared" si="63"/>
        <v>56</v>
      </c>
      <c r="T82" s="7">
        <f t="shared" si="64"/>
        <v>53</v>
      </c>
      <c r="U82" s="7">
        <f t="shared" si="65"/>
        <v>53</v>
      </c>
      <c r="V82" s="7">
        <f t="shared" si="66"/>
        <v>56</v>
      </c>
      <c r="W82" s="7">
        <f t="shared" si="67"/>
        <v>55</v>
      </c>
      <c r="X82" s="44">
        <f t="shared" si="68"/>
        <v>55.930312955735005</v>
      </c>
      <c r="Y82" s="44">
        <f t="shared" si="69"/>
        <v>54.847635299853728</v>
      </c>
      <c r="Z82" s="44">
        <f t="shared" si="70"/>
        <v>55.973922201110568</v>
      </c>
      <c r="AA82" s="44">
        <f t="shared" si="71"/>
        <v>55.554036675398905</v>
      </c>
      <c r="AB82" s="7">
        <v>31</v>
      </c>
      <c r="AC82" s="44" t="str">
        <f t="shared" si="72"/>
        <v>2</v>
      </c>
      <c r="AD82" s="44" t="str">
        <f t="shared" si="73"/>
        <v>2</v>
      </c>
      <c r="AE82" s="44" t="str">
        <f t="shared" si="74"/>
        <v>1컷원점</v>
      </c>
      <c r="AF82" s="44" t="str">
        <f t="shared" si="75"/>
        <v>2</v>
      </c>
      <c r="AG82" s="44" t="str">
        <f t="shared" si="76"/>
        <v>2</v>
      </c>
      <c r="AH82" s="44" t="str">
        <f t="shared" si="77"/>
        <v>4</v>
      </c>
      <c r="AI82" s="44" t="str">
        <f t="shared" si="78"/>
        <v>5</v>
      </c>
      <c r="AJ82" s="44" t="str">
        <f t="shared" si="79"/>
        <v>4</v>
      </c>
      <c r="AK82" s="44" t="str">
        <f t="shared" si="80"/>
        <v>4</v>
      </c>
      <c r="AL82" s="44" t="str">
        <f t="shared" si="81"/>
        <v>4</v>
      </c>
      <c r="AM82" s="44" t="str">
        <f t="shared" si="82"/>
        <v>4</v>
      </c>
      <c r="AN82" s="44" t="str">
        <f t="shared" si="83"/>
        <v>4</v>
      </c>
      <c r="AO82" s="44" t="str">
        <f t="shared" si="84"/>
        <v>4</v>
      </c>
      <c r="AP82" s="44" t="str">
        <f t="shared" si="85"/>
        <v>4</v>
      </c>
      <c r="AQ82" s="44" t="str">
        <f t="shared" si="86"/>
        <v>4</v>
      </c>
      <c r="AR82" s="44" t="str">
        <f t="shared" si="87"/>
        <v>4</v>
      </c>
      <c r="AS82" s="44" t="str">
        <f t="shared" si="88"/>
        <v>4</v>
      </c>
      <c r="AT82" s="44" t="str">
        <f t="shared" si="89"/>
        <v>4</v>
      </c>
      <c r="AU82" s="44" t="str">
        <f t="shared" si="90"/>
        <v>4컷원점</v>
      </c>
      <c r="AV82" s="44" t="str">
        <f t="shared" si="91"/>
        <v>4컷원점</v>
      </c>
      <c r="AW82" s="44" t="str">
        <f t="shared" si="92"/>
        <v>4컷원점</v>
      </c>
      <c r="AX82" s="44" t="str">
        <f t="shared" si="93"/>
        <v>4컷원점</v>
      </c>
      <c r="AY82" s="7">
        <v>2</v>
      </c>
      <c r="AZ82" s="7">
        <v>3</v>
      </c>
    </row>
    <row r="83" spans="1:52" hidden="1" x14ac:dyDescent="0.3">
      <c r="A83" s="7">
        <v>80</v>
      </c>
      <c r="B83" s="7">
        <f t="shared" si="46"/>
        <v>129</v>
      </c>
      <c r="C83" s="7">
        <f t="shared" si="47"/>
        <v>128</v>
      </c>
      <c r="D83" s="7">
        <f t="shared" si="48"/>
        <v>136</v>
      </c>
      <c r="E83" s="7">
        <f t="shared" si="49"/>
        <v>133</v>
      </c>
      <c r="F83" s="7">
        <f t="shared" si="50"/>
        <v>132</v>
      </c>
      <c r="G83" s="7">
        <f t="shared" si="51"/>
        <v>55</v>
      </c>
      <c r="H83" s="7">
        <f t="shared" si="52"/>
        <v>54</v>
      </c>
      <c r="I83" s="7">
        <f t="shared" si="53"/>
        <v>56</v>
      </c>
      <c r="J83" s="7">
        <f t="shared" si="54"/>
        <v>55</v>
      </c>
      <c r="K83" s="7">
        <f t="shared" si="55"/>
        <v>54</v>
      </c>
      <c r="L83" s="7">
        <f t="shared" si="56"/>
        <v>53</v>
      </c>
      <c r="M83" s="7">
        <f t="shared" si="57"/>
        <v>55</v>
      </c>
      <c r="N83" s="7">
        <f t="shared" si="58"/>
        <v>57</v>
      </c>
      <c r="O83" s="7">
        <f t="shared" si="59"/>
        <v>55</v>
      </c>
      <c r="P83" s="7">
        <f t="shared" si="60"/>
        <v>56</v>
      </c>
      <c r="Q83" s="7">
        <f t="shared" si="61"/>
        <v>55</v>
      </c>
      <c r="R83" s="7">
        <f t="shared" si="62"/>
        <v>55</v>
      </c>
      <c r="S83" s="7">
        <f t="shared" si="63"/>
        <v>55</v>
      </c>
      <c r="T83" s="7">
        <f t="shared" si="64"/>
        <v>52</v>
      </c>
      <c r="U83" s="7">
        <f t="shared" si="65"/>
        <v>52</v>
      </c>
      <c r="V83" s="7">
        <f t="shared" si="66"/>
        <v>55</v>
      </c>
      <c r="W83" s="7">
        <f t="shared" si="67"/>
        <v>54</v>
      </c>
      <c r="X83" s="44">
        <f t="shared" si="68"/>
        <v>55.138387695095879</v>
      </c>
      <c r="Y83" s="44">
        <f t="shared" si="69"/>
        <v>54.847635299853728</v>
      </c>
      <c r="Z83" s="44">
        <f t="shared" si="70"/>
        <v>55.150098930179354</v>
      </c>
      <c r="AA83" s="44">
        <f t="shared" si="71"/>
        <v>54.625253178194356</v>
      </c>
      <c r="AB83" s="7">
        <v>30</v>
      </c>
      <c r="AC83" s="44" t="str">
        <f t="shared" si="72"/>
        <v>2</v>
      </c>
      <c r="AD83" s="44" t="str">
        <f t="shared" si="73"/>
        <v>2</v>
      </c>
      <c r="AE83" s="44" t="str">
        <f t="shared" si="74"/>
        <v>2</v>
      </c>
      <c r="AF83" s="44" t="str">
        <f t="shared" si="75"/>
        <v>2</v>
      </c>
      <c r="AG83" s="44" t="str">
        <f t="shared" si="76"/>
        <v>2</v>
      </c>
      <c r="AH83" s="44" t="str">
        <f t="shared" si="77"/>
        <v>4</v>
      </c>
      <c r="AI83" s="44" t="str">
        <f t="shared" si="78"/>
        <v>5</v>
      </c>
      <c r="AJ83" s="44" t="str">
        <f t="shared" si="79"/>
        <v>4</v>
      </c>
      <c r="AK83" s="44" t="str">
        <f t="shared" si="80"/>
        <v>4</v>
      </c>
      <c r="AL83" s="44" t="str">
        <f t="shared" si="81"/>
        <v>4컷원점</v>
      </c>
      <c r="AM83" s="44" t="str">
        <f t="shared" si="82"/>
        <v>4컷원점</v>
      </c>
      <c r="AN83" s="44" t="str">
        <f t="shared" si="83"/>
        <v>4컷원점</v>
      </c>
      <c r="AO83" s="44" t="str">
        <f t="shared" si="84"/>
        <v>4</v>
      </c>
      <c r="AP83" s="44" t="str">
        <f t="shared" si="85"/>
        <v>4</v>
      </c>
      <c r="AQ83" s="44" t="str">
        <f t="shared" si="86"/>
        <v>4</v>
      </c>
      <c r="AR83" s="44" t="str">
        <f t="shared" si="87"/>
        <v>4</v>
      </c>
      <c r="AS83" s="44" t="str">
        <f t="shared" si="88"/>
        <v>4</v>
      </c>
      <c r="AT83" s="44" t="str">
        <f t="shared" si="89"/>
        <v>4</v>
      </c>
      <c r="AU83" s="44" t="str">
        <f t="shared" si="90"/>
        <v>5</v>
      </c>
      <c r="AV83" s="44" t="str">
        <f t="shared" si="91"/>
        <v>5</v>
      </c>
      <c r="AW83" s="44" t="str">
        <f t="shared" si="92"/>
        <v>5</v>
      </c>
      <c r="AX83" s="44" t="str">
        <f t="shared" si="93"/>
        <v>5</v>
      </c>
      <c r="AY83" s="7">
        <v>2</v>
      </c>
      <c r="AZ83" s="7">
        <v>3</v>
      </c>
    </row>
    <row r="84" spans="1:52" hidden="1" x14ac:dyDescent="0.3">
      <c r="A84" s="7">
        <v>79</v>
      </c>
      <c r="B84" s="7">
        <f t="shared" si="46"/>
        <v>128</v>
      </c>
      <c r="C84" s="7">
        <f t="shared" si="47"/>
        <v>127</v>
      </c>
      <c r="D84" s="7">
        <f t="shared" si="48"/>
        <v>135</v>
      </c>
      <c r="E84" s="7">
        <f t="shared" si="49"/>
        <v>132</v>
      </c>
      <c r="F84" s="7">
        <f t="shared" si="50"/>
        <v>131</v>
      </c>
      <c r="G84" s="7">
        <f t="shared" si="51"/>
        <v>54</v>
      </c>
      <c r="H84" s="7">
        <f t="shared" si="52"/>
        <v>53</v>
      </c>
      <c r="I84" s="7">
        <f t="shared" si="53"/>
        <v>55</v>
      </c>
      <c r="J84" s="7">
        <f t="shared" si="54"/>
        <v>54</v>
      </c>
      <c r="K84" s="7">
        <f t="shared" si="55"/>
        <v>53</v>
      </c>
      <c r="L84" s="7">
        <f t="shared" si="56"/>
        <v>52</v>
      </c>
      <c r="M84" s="7">
        <f t="shared" si="57"/>
        <v>54</v>
      </c>
      <c r="N84" s="7">
        <f t="shared" si="58"/>
        <v>56</v>
      </c>
      <c r="O84" s="7">
        <f t="shared" si="59"/>
        <v>54</v>
      </c>
      <c r="P84" s="7">
        <f t="shared" si="60"/>
        <v>55</v>
      </c>
      <c r="Q84" s="7">
        <f t="shared" si="61"/>
        <v>54</v>
      </c>
      <c r="R84" s="7">
        <f t="shared" si="62"/>
        <v>55</v>
      </c>
      <c r="S84" s="7">
        <f t="shared" si="63"/>
        <v>54</v>
      </c>
      <c r="T84" s="7">
        <f t="shared" si="64"/>
        <v>51</v>
      </c>
      <c r="U84" s="7">
        <f t="shared" si="65"/>
        <v>51</v>
      </c>
      <c r="V84" s="7">
        <f t="shared" si="66"/>
        <v>54</v>
      </c>
      <c r="W84" s="7">
        <f t="shared" si="67"/>
        <v>53</v>
      </c>
      <c r="X84" s="44">
        <f t="shared" si="68"/>
        <v>54.138387695095879</v>
      </c>
      <c r="Y84" s="44">
        <f t="shared" si="69"/>
        <v>53.847635299853728</v>
      </c>
      <c r="Z84" s="44">
        <f t="shared" si="70"/>
        <v>54.150098930179354</v>
      </c>
      <c r="AA84" s="44">
        <f t="shared" si="71"/>
        <v>53.69606595674707</v>
      </c>
      <c r="AB84" s="7">
        <v>29</v>
      </c>
      <c r="AC84" s="44" t="str">
        <f t="shared" si="72"/>
        <v>2</v>
      </c>
      <c r="AD84" s="44" t="str">
        <f t="shared" si="73"/>
        <v>2</v>
      </c>
      <c r="AE84" s="44" t="str">
        <f t="shared" si="74"/>
        <v>2</v>
      </c>
      <c r="AF84" s="44" t="str">
        <f t="shared" si="75"/>
        <v>2</v>
      </c>
      <c r="AG84" s="44" t="str">
        <f t="shared" si="76"/>
        <v>2</v>
      </c>
      <c r="AH84" s="44" t="str">
        <f t="shared" si="77"/>
        <v>4컷원점</v>
      </c>
      <c r="AI84" s="44" t="str">
        <f t="shared" si="78"/>
        <v>5</v>
      </c>
      <c r="AJ84" s="44" t="str">
        <f t="shared" si="79"/>
        <v>4</v>
      </c>
      <c r="AK84" s="44" t="str">
        <f t="shared" si="80"/>
        <v>4</v>
      </c>
      <c r="AL84" s="44" t="str">
        <f t="shared" si="81"/>
        <v>5</v>
      </c>
      <c r="AM84" s="44" t="str">
        <f t="shared" si="82"/>
        <v>5</v>
      </c>
      <c r="AN84" s="44" t="str">
        <f t="shared" si="83"/>
        <v>5</v>
      </c>
      <c r="AO84" s="44" t="str">
        <f t="shared" si="84"/>
        <v>4</v>
      </c>
      <c r="AP84" s="44" t="str">
        <f t="shared" si="85"/>
        <v>4</v>
      </c>
      <c r="AQ84" s="44" t="str">
        <f t="shared" si="86"/>
        <v>4</v>
      </c>
      <c r="AR84" s="44" t="str">
        <f t="shared" si="87"/>
        <v>4</v>
      </c>
      <c r="AS84" s="44" t="str">
        <f t="shared" si="88"/>
        <v>4</v>
      </c>
      <c r="AT84" s="44" t="str">
        <f t="shared" si="89"/>
        <v>4</v>
      </c>
      <c r="AU84" s="44" t="str">
        <f t="shared" si="90"/>
        <v>5</v>
      </c>
      <c r="AV84" s="44" t="str">
        <f t="shared" si="91"/>
        <v>5</v>
      </c>
      <c r="AW84" s="44" t="str">
        <f t="shared" si="92"/>
        <v>5</v>
      </c>
      <c r="AX84" s="44" t="str">
        <f t="shared" si="93"/>
        <v>5</v>
      </c>
      <c r="AY84" s="7">
        <v>3</v>
      </c>
      <c r="AZ84" s="7">
        <v>4</v>
      </c>
    </row>
    <row r="85" spans="1:52" hidden="1" x14ac:dyDescent="0.3">
      <c r="A85" s="7">
        <v>78</v>
      </c>
      <c r="B85" s="7">
        <f t="shared" si="46"/>
        <v>127</v>
      </c>
      <c r="C85" s="7">
        <f t="shared" si="47"/>
        <v>126</v>
      </c>
      <c r="D85" s="7">
        <f t="shared" si="48"/>
        <v>134</v>
      </c>
      <c r="E85" s="7">
        <f t="shared" si="49"/>
        <v>131</v>
      </c>
      <c r="F85" s="7">
        <f t="shared" si="50"/>
        <v>130</v>
      </c>
      <c r="G85" s="7">
        <f t="shared" si="51"/>
        <v>53</v>
      </c>
      <c r="H85" s="7">
        <f t="shared" si="52"/>
        <v>52</v>
      </c>
      <c r="I85" s="7">
        <f t="shared" si="53"/>
        <v>54</v>
      </c>
      <c r="J85" s="7">
        <f t="shared" si="54"/>
        <v>53</v>
      </c>
      <c r="K85" s="7">
        <f t="shared" si="55"/>
        <v>52</v>
      </c>
      <c r="L85" s="7">
        <f t="shared" si="56"/>
        <v>52</v>
      </c>
      <c r="M85" s="7">
        <f t="shared" si="57"/>
        <v>53</v>
      </c>
      <c r="N85" s="7">
        <f t="shared" si="58"/>
        <v>55</v>
      </c>
      <c r="O85" s="7">
        <f t="shared" si="59"/>
        <v>54</v>
      </c>
      <c r="P85" s="7">
        <f t="shared" si="60"/>
        <v>55</v>
      </c>
      <c r="Q85" s="7">
        <f t="shared" si="61"/>
        <v>54</v>
      </c>
      <c r="R85" s="7">
        <f t="shared" si="62"/>
        <v>54</v>
      </c>
      <c r="S85" s="7">
        <f t="shared" si="63"/>
        <v>54</v>
      </c>
      <c r="T85" s="7">
        <f t="shared" si="64"/>
        <v>50</v>
      </c>
      <c r="U85" s="7">
        <f t="shared" si="65"/>
        <v>50</v>
      </c>
      <c r="V85" s="7">
        <f t="shared" si="66"/>
        <v>53</v>
      </c>
      <c r="W85" s="7">
        <f t="shared" si="67"/>
        <v>52</v>
      </c>
      <c r="X85" s="44">
        <f t="shared" si="68"/>
        <v>53.14621512816035</v>
      </c>
      <c r="Y85" s="44">
        <f t="shared" si="69"/>
        <v>53.049792784007799</v>
      </c>
      <c r="Z85" s="44">
        <f t="shared" si="70"/>
        <v>53.150098930179354</v>
      </c>
      <c r="AA85" s="44">
        <f t="shared" si="71"/>
        <v>53.22484945395162</v>
      </c>
      <c r="AB85" s="7">
        <v>28</v>
      </c>
      <c r="AC85" s="44" t="str">
        <f t="shared" si="72"/>
        <v>2</v>
      </c>
      <c r="AD85" s="44" t="str">
        <f t="shared" si="73"/>
        <v>2</v>
      </c>
      <c r="AE85" s="44" t="str">
        <f t="shared" si="74"/>
        <v>2</v>
      </c>
      <c r="AF85" s="44" t="str">
        <f t="shared" si="75"/>
        <v>2</v>
      </c>
      <c r="AG85" s="44" t="str">
        <f t="shared" si="76"/>
        <v>2</v>
      </c>
      <c r="AH85" s="44" t="str">
        <f t="shared" si="77"/>
        <v>5</v>
      </c>
      <c r="AI85" s="44" t="str">
        <f t="shared" si="78"/>
        <v>5</v>
      </c>
      <c r="AJ85" s="44" t="str">
        <f t="shared" si="79"/>
        <v>4컷원점</v>
      </c>
      <c r="AK85" s="44" t="str">
        <f t="shared" si="80"/>
        <v>4컷원점</v>
      </c>
      <c r="AL85" s="44" t="str">
        <f t="shared" si="81"/>
        <v>5</v>
      </c>
      <c r="AM85" s="44" t="str">
        <f t="shared" si="82"/>
        <v>5</v>
      </c>
      <c r="AN85" s="44" t="str">
        <f t="shared" si="83"/>
        <v>5</v>
      </c>
      <c r="AO85" s="44" t="str">
        <f t="shared" si="84"/>
        <v>4</v>
      </c>
      <c r="AP85" s="44" t="str">
        <f t="shared" si="85"/>
        <v>4컷원점</v>
      </c>
      <c r="AQ85" s="44" t="str">
        <f t="shared" si="86"/>
        <v>4컷원점</v>
      </c>
      <c r="AR85" s="44" t="str">
        <f t="shared" si="87"/>
        <v>4컷원점</v>
      </c>
      <c r="AS85" s="44" t="str">
        <f t="shared" si="88"/>
        <v>4컷원점</v>
      </c>
      <c r="AT85" s="44" t="str">
        <f t="shared" si="89"/>
        <v>4컷원점</v>
      </c>
      <c r="AU85" s="44" t="str">
        <f t="shared" si="90"/>
        <v>5</v>
      </c>
      <c r="AV85" s="44" t="str">
        <f t="shared" si="91"/>
        <v>5</v>
      </c>
      <c r="AW85" s="44" t="str">
        <f t="shared" si="92"/>
        <v>5</v>
      </c>
      <c r="AX85" s="44" t="str">
        <f t="shared" si="93"/>
        <v>5</v>
      </c>
      <c r="AY85" s="7">
        <v>3</v>
      </c>
      <c r="AZ85" s="7">
        <v>4</v>
      </c>
    </row>
    <row r="86" spans="1:52" hidden="1" x14ac:dyDescent="0.3">
      <c r="A86" s="7">
        <v>77</v>
      </c>
      <c r="B86" s="7">
        <f t="shared" si="46"/>
        <v>126</v>
      </c>
      <c r="C86" s="7">
        <f t="shared" si="47"/>
        <v>125</v>
      </c>
      <c r="D86" s="7">
        <f t="shared" si="48"/>
        <v>133</v>
      </c>
      <c r="E86" s="7">
        <f t="shared" si="49"/>
        <v>130</v>
      </c>
      <c r="F86" s="7">
        <f t="shared" si="50"/>
        <v>129</v>
      </c>
      <c r="G86" s="7">
        <f t="shared" si="51"/>
        <v>52</v>
      </c>
      <c r="H86" s="7">
        <f t="shared" si="52"/>
        <v>52</v>
      </c>
      <c r="I86" s="7">
        <f t="shared" si="53"/>
        <v>53</v>
      </c>
      <c r="J86" s="7">
        <f t="shared" si="54"/>
        <v>52</v>
      </c>
      <c r="K86" s="7">
        <f t="shared" si="55"/>
        <v>52</v>
      </c>
      <c r="L86" s="7">
        <f t="shared" si="56"/>
        <v>51</v>
      </c>
      <c r="M86" s="7">
        <f t="shared" si="57"/>
        <v>53</v>
      </c>
      <c r="N86" s="7">
        <f t="shared" si="58"/>
        <v>55</v>
      </c>
      <c r="O86" s="7">
        <f t="shared" si="59"/>
        <v>53</v>
      </c>
      <c r="P86" s="7">
        <f t="shared" si="60"/>
        <v>54</v>
      </c>
      <c r="Q86" s="7">
        <f t="shared" si="61"/>
        <v>53</v>
      </c>
      <c r="R86" s="7">
        <f t="shared" si="62"/>
        <v>53</v>
      </c>
      <c r="S86" s="7">
        <f t="shared" si="63"/>
        <v>53</v>
      </c>
      <c r="T86" s="7">
        <f t="shared" si="64"/>
        <v>49</v>
      </c>
      <c r="U86" s="7">
        <f t="shared" si="65"/>
        <v>49</v>
      </c>
      <c r="V86" s="7">
        <f t="shared" si="66"/>
        <v>52</v>
      </c>
      <c r="W86" s="7">
        <f t="shared" si="67"/>
        <v>51</v>
      </c>
      <c r="X86" s="44">
        <f t="shared" si="68"/>
        <v>52.350745458578558</v>
      </c>
      <c r="Y86" s="44">
        <f t="shared" si="69"/>
        <v>52.847635299853728</v>
      </c>
      <c r="Z86" s="44">
        <f t="shared" si="70"/>
        <v>52.33073119958366</v>
      </c>
      <c r="AA86" s="44">
        <f t="shared" si="71"/>
        <v>52.22484945395162</v>
      </c>
      <c r="AB86" s="7">
        <v>27</v>
      </c>
      <c r="AC86" s="44" t="str">
        <f t="shared" si="72"/>
        <v>2</v>
      </c>
      <c r="AD86" s="44" t="str">
        <f t="shared" si="73"/>
        <v>2</v>
      </c>
      <c r="AE86" s="44" t="str">
        <f t="shared" si="74"/>
        <v>2</v>
      </c>
      <c r="AF86" s="44" t="str">
        <f t="shared" si="75"/>
        <v>2</v>
      </c>
      <c r="AG86" s="44" t="str">
        <f t="shared" si="76"/>
        <v>2</v>
      </c>
      <c r="AH86" s="44" t="str">
        <f t="shared" si="77"/>
        <v>5</v>
      </c>
      <c r="AI86" s="44" t="str">
        <f t="shared" si="78"/>
        <v>5</v>
      </c>
      <c r="AJ86" s="44" t="str">
        <f t="shared" si="79"/>
        <v>5</v>
      </c>
      <c r="AK86" s="44" t="str">
        <f t="shared" si="80"/>
        <v>5</v>
      </c>
      <c r="AL86" s="44" t="str">
        <f t="shared" si="81"/>
        <v>5</v>
      </c>
      <c r="AM86" s="44" t="str">
        <f t="shared" si="82"/>
        <v>5</v>
      </c>
      <c r="AN86" s="44" t="str">
        <f t="shared" si="83"/>
        <v>5</v>
      </c>
      <c r="AO86" s="44" t="str">
        <f t="shared" si="84"/>
        <v>4</v>
      </c>
      <c r="AP86" s="44" t="str">
        <f t="shared" si="85"/>
        <v>5</v>
      </c>
      <c r="AQ86" s="44" t="str">
        <f t="shared" si="86"/>
        <v>5</v>
      </c>
      <c r="AR86" s="44" t="str">
        <f t="shared" si="87"/>
        <v>5</v>
      </c>
      <c r="AS86" s="44" t="str">
        <f t="shared" si="88"/>
        <v>5</v>
      </c>
      <c r="AT86" s="44" t="str">
        <f t="shared" si="89"/>
        <v>5</v>
      </c>
      <c r="AU86" s="44" t="str">
        <f t="shared" si="90"/>
        <v>5</v>
      </c>
      <c r="AV86" s="44" t="str">
        <f t="shared" si="91"/>
        <v>5</v>
      </c>
      <c r="AW86" s="44" t="str">
        <f t="shared" si="92"/>
        <v>5</v>
      </c>
      <c r="AX86" s="44" t="str">
        <f t="shared" si="93"/>
        <v>5</v>
      </c>
      <c r="AY86" s="7">
        <v>3</v>
      </c>
      <c r="AZ86" s="7">
        <v>4</v>
      </c>
    </row>
    <row r="87" spans="1:52" hidden="1" x14ac:dyDescent="0.3">
      <c r="A87" s="7">
        <v>76</v>
      </c>
      <c r="B87" s="7">
        <f t="shared" si="46"/>
        <v>125</v>
      </c>
      <c r="C87" s="7">
        <f t="shared" si="47"/>
        <v>124</v>
      </c>
      <c r="D87" s="7">
        <f t="shared" si="48"/>
        <v>132</v>
      </c>
      <c r="E87" s="7">
        <f t="shared" si="49"/>
        <v>129</v>
      </c>
      <c r="F87" s="7">
        <f t="shared" si="50"/>
        <v>128</v>
      </c>
      <c r="G87" s="7">
        <f t="shared" si="51"/>
        <v>51</v>
      </c>
      <c r="H87" s="7">
        <f t="shared" si="52"/>
        <v>51</v>
      </c>
      <c r="I87" s="7">
        <f t="shared" si="53"/>
        <v>52</v>
      </c>
      <c r="J87" s="7">
        <f t="shared" si="54"/>
        <v>51</v>
      </c>
      <c r="K87" s="7">
        <f t="shared" si="55"/>
        <v>51</v>
      </c>
      <c r="L87" s="7">
        <f t="shared" si="56"/>
        <v>51</v>
      </c>
      <c r="M87" s="7">
        <f t="shared" si="57"/>
        <v>52</v>
      </c>
      <c r="N87" s="7">
        <f t="shared" si="58"/>
        <v>54</v>
      </c>
      <c r="O87" s="7">
        <f t="shared" si="59"/>
        <v>53</v>
      </c>
      <c r="P87" s="7">
        <f t="shared" si="60"/>
        <v>53</v>
      </c>
      <c r="Q87" s="7">
        <f t="shared" si="61"/>
        <v>52</v>
      </c>
      <c r="R87" s="7">
        <f t="shared" si="62"/>
        <v>52</v>
      </c>
      <c r="S87" s="7">
        <f t="shared" si="63"/>
        <v>52</v>
      </c>
      <c r="T87" s="7">
        <f t="shared" si="64"/>
        <v>48</v>
      </c>
      <c r="U87" s="7">
        <f t="shared" si="65"/>
        <v>49</v>
      </c>
      <c r="V87" s="7">
        <f t="shared" si="66"/>
        <v>51</v>
      </c>
      <c r="W87" s="7">
        <f t="shared" si="67"/>
        <v>51</v>
      </c>
      <c r="X87" s="44">
        <f t="shared" si="68"/>
        <v>51.358572891643028</v>
      </c>
      <c r="Y87" s="44">
        <f t="shared" si="69"/>
        <v>52.049792784007799</v>
      </c>
      <c r="Z87" s="44">
        <f t="shared" si="70"/>
        <v>51.33073119958366</v>
      </c>
      <c r="AA87" s="44">
        <f t="shared" si="71"/>
        <v>51.836718493065241</v>
      </c>
      <c r="AB87" s="7">
        <v>26</v>
      </c>
      <c r="AC87" s="44" t="str">
        <f t="shared" si="72"/>
        <v>2</v>
      </c>
      <c r="AD87" s="44" t="str">
        <f t="shared" si="73"/>
        <v>2컷원점</v>
      </c>
      <c r="AE87" s="44" t="str">
        <f t="shared" si="74"/>
        <v>2</v>
      </c>
      <c r="AF87" s="44" t="str">
        <f t="shared" si="75"/>
        <v>2</v>
      </c>
      <c r="AG87" s="44" t="str">
        <f t="shared" si="76"/>
        <v>2</v>
      </c>
      <c r="AH87" s="44" t="str">
        <f t="shared" si="77"/>
        <v>5</v>
      </c>
      <c r="AI87" s="44" t="str">
        <f t="shared" si="78"/>
        <v>5</v>
      </c>
      <c r="AJ87" s="44" t="str">
        <f t="shared" si="79"/>
        <v>5</v>
      </c>
      <c r="AK87" s="44" t="str">
        <f t="shared" si="80"/>
        <v>5</v>
      </c>
      <c r="AL87" s="44" t="str">
        <f t="shared" si="81"/>
        <v>5</v>
      </c>
      <c r="AM87" s="44" t="str">
        <f t="shared" si="82"/>
        <v>5</v>
      </c>
      <c r="AN87" s="44" t="str">
        <f t="shared" si="83"/>
        <v>5</v>
      </c>
      <c r="AO87" s="44" t="str">
        <f t="shared" si="84"/>
        <v>4</v>
      </c>
      <c r="AP87" s="44" t="str">
        <f t="shared" si="85"/>
        <v>5</v>
      </c>
      <c r="AQ87" s="44" t="str">
        <f t="shared" si="86"/>
        <v>5</v>
      </c>
      <c r="AR87" s="44" t="str">
        <f t="shared" si="87"/>
        <v>5</v>
      </c>
      <c r="AS87" s="44" t="str">
        <f t="shared" si="88"/>
        <v>5</v>
      </c>
      <c r="AT87" s="44" t="str">
        <f t="shared" si="89"/>
        <v>5</v>
      </c>
      <c r="AU87" s="44" t="str">
        <f t="shared" si="90"/>
        <v>5</v>
      </c>
      <c r="AV87" s="44" t="str">
        <f t="shared" si="91"/>
        <v>5</v>
      </c>
      <c r="AW87" s="44" t="str">
        <f t="shared" si="92"/>
        <v>5</v>
      </c>
      <c r="AX87" s="44" t="str">
        <f t="shared" si="93"/>
        <v>5</v>
      </c>
      <c r="AY87" s="7">
        <v>3</v>
      </c>
      <c r="AZ87" s="7">
        <v>4</v>
      </c>
    </row>
    <row r="88" spans="1:52" hidden="1" x14ac:dyDescent="0.3">
      <c r="A88" s="7">
        <v>75</v>
      </c>
      <c r="B88" s="7">
        <f t="shared" si="46"/>
        <v>124</v>
      </c>
      <c r="C88" s="7">
        <f t="shared" si="47"/>
        <v>123</v>
      </c>
      <c r="D88" s="7">
        <f t="shared" si="48"/>
        <v>131</v>
      </c>
      <c r="E88" s="7">
        <f t="shared" si="49"/>
        <v>128</v>
      </c>
      <c r="F88" s="7">
        <f t="shared" si="50"/>
        <v>127</v>
      </c>
      <c r="G88" s="7">
        <f t="shared" si="51"/>
        <v>50</v>
      </c>
      <c r="H88" s="7">
        <f t="shared" si="52"/>
        <v>50</v>
      </c>
      <c r="I88" s="7">
        <f t="shared" si="53"/>
        <v>51</v>
      </c>
      <c r="J88" s="7">
        <f t="shared" si="54"/>
        <v>50</v>
      </c>
      <c r="K88" s="7">
        <f t="shared" si="55"/>
        <v>50</v>
      </c>
      <c r="L88" s="7">
        <f t="shared" si="56"/>
        <v>50</v>
      </c>
      <c r="M88" s="7">
        <f t="shared" si="57"/>
        <v>51</v>
      </c>
      <c r="N88" s="7">
        <f t="shared" si="58"/>
        <v>54</v>
      </c>
      <c r="O88" s="7">
        <f t="shared" si="59"/>
        <v>52</v>
      </c>
      <c r="P88" s="7">
        <f t="shared" si="60"/>
        <v>52</v>
      </c>
      <c r="Q88" s="7">
        <f t="shared" si="61"/>
        <v>52</v>
      </c>
      <c r="R88" s="7">
        <f t="shared" si="62"/>
        <v>51</v>
      </c>
      <c r="S88" s="7">
        <f t="shared" si="63"/>
        <v>52</v>
      </c>
      <c r="T88" s="7">
        <f t="shared" si="64"/>
        <v>47</v>
      </c>
      <c r="U88" s="7">
        <f t="shared" si="65"/>
        <v>48</v>
      </c>
      <c r="V88" s="7">
        <f t="shared" si="66"/>
        <v>49</v>
      </c>
      <c r="W88" s="7">
        <f t="shared" si="67"/>
        <v>50</v>
      </c>
      <c r="X88" s="44">
        <f t="shared" si="68"/>
        <v>50.36699735231236</v>
      </c>
      <c r="Y88" s="44">
        <f t="shared" si="69"/>
        <v>51.267369575816673</v>
      </c>
      <c r="Z88" s="44">
        <f t="shared" si="70"/>
        <v>50.33073119958366</v>
      </c>
      <c r="AA88" s="44">
        <f t="shared" si="71"/>
        <v>50.925036573333784</v>
      </c>
      <c r="AB88" s="7">
        <v>25</v>
      </c>
      <c r="AC88" s="44" t="str">
        <f t="shared" si="72"/>
        <v>2컷원점</v>
      </c>
      <c r="AD88" s="44" t="str">
        <f t="shared" si="73"/>
        <v>3</v>
      </c>
      <c r="AE88" s="44" t="str">
        <f t="shared" si="74"/>
        <v>2</v>
      </c>
      <c r="AF88" s="44" t="str">
        <f t="shared" si="75"/>
        <v>2</v>
      </c>
      <c r="AG88" s="44" t="str">
        <f t="shared" si="76"/>
        <v>2컷원점</v>
      </c>
      <c r="AH88" s="44" t="str">
        <f t="shared" si="77"/>
        <v>5</v>
      </c>
      <c r="AI88" s="44" t="str">
        <f t="shared" si="78"/>
        <v>5</v>
      </c>
      <c r="AJ88" s="44" t="str">
        <f t="shared" si="79"/>
        <v>5</v>
      </c>
      <c r="AK88" s="44" t="str">
        <f t="shared" si="80"/>
        <v>5</v>
      </c>
      <c r="AL88" s="44" t="str">
        <f t="shared" si="81"/>
        <v>5</v>
      </c>
      <c r="AM88" s="44" t="str">
        <f t="shared" si="82"/>
        <v>5</v>
      </c>
      <c r="AN88" s="44" t="str">
        <f t="shared" si="83"/>
        <v>5</v>
      </c>
      <c r="AO88" s="44" t="str">
        <f t="shared" si="84"/>
        <v>4</v>
      </c>
      <c r="AP88" s="44" t="str">
        <f t="shared" si="85"/>
        <v>5</v>
      </c>
      <c r="AQ88" s="44" t="str">
        <f t="shared" si="86"/>
        <v>5</v>
      </c>
      <c r="AR88" s="44" t="str">
        <f t="shared" si="87"/>
        <v>5</v>
      </c>
      <c r="AS88" s="44" t="str">
        <f t="shared" si="88"/>
        <v>5</v>
      </c>
      <c r="AT88" s="44" t="str">
        <f t="shared" si="89"/>
        <v>5</v>
      </c>
      <c r="AU88" s="44" t="str">
        <f t="shared" si="90"/>
        <v>5</v>
      </c>
      <c r="AV88" s="44" t="str">
        <f t="shared" si="91"/>
        <v>5</v>
      </c>
      <c r="AW88" s="44" t="str">
        <f t="shared" si="92"/>
        <v>5</v>
      </c>
      <c r="AX88" s="44" t="str">
        <f t="shared" si="93"/>
        <v>5</v>
      </c>
      <c r="AY88" s="7">
        <v>3</v>
      </c>
      <c r="AZ88" s="7">
        <v>4</v>
      </c>
    </row>
    <row r="89" spans="1:52" hidden="1" x14ac:dyDescent="0.3">
      <c r="A89" s="7">
        <v>74</v>
      </c>
      <c r="B89" s="7">
        <f t="shared" si="46"/>
        <v>123</v>
      </c>
      <c r="C89" s="7">
        <f t="shared" si="47"/>
        <v>122</v>
      </c>
      <c r="D89" s="7">
        <f t="shared" si="48"/>
        <v>130</v>
      </c>
      <c r="E89" s="7">
        <f t="shared" si="49"/>
        <v>127</v>
      </c>
      <c r="F89" s="7">
        <f t="shared" si="50"/>
        <v>126</v>
      </c>
      <c r="G89" s="7">
        <f t="shared" si="51"/>
        <v>49</v>
      </c>
      <c r="H89" s="7">
        <f t="shared" si="52"/>
        <v>49</v>
      </c>
      <c r="I89" s="7">
        <f t="shared" si="53"/>
        <v>50</v>
      </c>
      <c r="J89" s="7">
        <f t="shared" si="54"/>
        <v>49</v>
      </c>
      <c r="K89" s="7">
        <f t="shared" si="55"/>
        <v>49</v>
      </c>
      <c r="L89" s="7">
        <f t="shared" si="56"/>
        <v>49</v>
      </c>
      <c r="M89" s="7">
        <f t="shared" si="57"/>
        <v>50</v>
      </c>
      <c r="N89" s="7">
        <f t="shared" si="58"/>
        <v>53</v>
      </c>
      <c r="O89" s="7">
        <f t="shared" si="59"/>
        <v>51</v>
      </c>
      <c r="P89" s="7">
        <f t="shared" si="60"/>
        <v>51</v>
      </c>
      <c r="Q89" s="7">
        <f t="shared" si="61"/>
        <v>51</v>
      </c>
      <c r="R89" s="7">
        <f t="shared" si="62"/>
        <v>50</v>
      </c>
      <c r="S89" s="7">
        <f t="shared" si="63"/>
        <v>51</v>
      </c>
      <c r="T89" s="7">
        <f t="shared" si="64"/>
        <v>46</v>
      </c>
      <c r="U89" s="7">
        <f t="shared" si="65"/>
        <v>47</v>
      </c>
      <c r="V89" s="7">
        <f t="shared" si="66"/>
        <v>48</v>
      </c>
      <c r="W89" s="7">
        <f t="shared" si="67"/>
        <v>49</v>
      </c>
      <c r="X89" s="44">
        <f t="shared" si="68"/>
        <v>49.36699735231236</v>
      </c>
      <c r="Y89" s="44">
        <f t="shared" si="69"/>
        <v>50.267369575816673</v>
      </c>
      <c r="Z89" s="44">
        <f t="shared" si="70"/>
        <v>49.33073119958366</v>
      </c>
      <c r="AA89" s="44">
        <f t="shared" si="71"/>
        <v>49.925036573333784</v>
      </c>
      <c r="AB89" s="7">
        <v>24</v>
      </c>
      <c r="AC89" s="44" t="str">
        <f t="shared" si="72"/>
        <v>3</v>
      </c>
      <c r="AD89" s="44" t="str">
        <f t="shared" si="73"/>
        <v>3</v>
      </c>
      <c r="AE89" s="44" t="str">
        <f t="shared" si="74"/>
        <v>2</v>
      </c>
      <c r="AF89" s="44" t="str">
        <f t="shared" si="75"/>
        <v>2컷원점</v>
      </c>
      <c r="AG89" s="44" t="str">
        <f t="shared" si="76"/>
        <v>3</v>
      </c>
      <c r="AH89" s="44" t="str">
        <f t="shared" si="77"/>
        <v>5</v>
      </c>
      <c r="AI89" s="44" t="str">
        <f t="shared" si="78"/>
        <v>5</v>
      </c>
      <c r="AJ89" s="44" t="str">
        <f t="shared" si="79"/>
        <v>5</v>
      </c>
      <c r="AK89" s="44" t="str">
        <f t="shared" si="80"/>
        <v>5</v>
      </c>
      <c r="AL89" s="44" t="str">
        <f t="shared" si="81"/>
        <v>5</v>
      </c>
      <c r="AM89" s="44" t="str">
        <f t="shared" si="82"/>
        <v>5</v>
      </c>
      <c r="AN89" s="44" t="str">
        <f t="shared" si="83"/>
        <v>5</v>
      </c>
      <c r="AO89" s="44" t="str">
        <f t="shared" si="84"/>
        <v>4컷원점</v>
      </c>
      <c r="AP89" s="44" t="str">
        <f t="shared" si="85"/>
        <v>5</v>
      </c>
      <c r="AQ89" s="44" t="str">
        <f t="shared" si="86"/>
        <v>5</v>
      </c>
      <c r="AR89" s="44" t="str">
        <f t="shared" si="87"/>
        <v>5</v>
      </c>
      <c r="AS89" s="44" t="str">
        <f t="shared" si="88"/>
        <v>5</v>
      </c>
      <c r="AT89" s="44" t="str">
        <f t="shared" si="89"/>
        <v>5</v>
      </c>
      <c r="AU89" s="44" t="str">
        <f t="shared" si="90"/>
        <v>5</v>
      </c>
      <c r="AV89" s="44" t="str">
        <f t="shared" si="91"/>
        <v>5</v>
      </c>
      <c r="AW89" s="44" t="str">
        <f t="shared" si="92"/>
        <v>5</v>
      </c>
      <c r="AX89" s="44" t="str">
        <f t="shared" si="93"/>
        <v>5</v>
      </c>
      <c r="AY89" s="7">
        <v>3</v>
      </c>
      <c r="AZ89" s="7">
        <v>5</v>
      </c>
    </row>
    <row r="90" spans="1:52" hidden="1" x14ac:dyDescent="0.3">
      <c r="A90" s="7">
        <v>73</v>
      </c>
      <c r="B90" s="7">
        <f t="shared" si="46"/>
        <v>122</v>
      </c>
      <c r="C90" s="7">
        <f t="shared" si="47"/>
        <v>121</v>
      </c>
      <c r="D90" s="7">
        <f t="shared" si="48"/>
        <v>129</v>
      </c>
      <c r="E90" s="7">
        <f t="shared" si="49"/>
        <v>126</v>
      </c>
      <c r="F90" s="7">
        <f t="shared" si="50"/>
        <v>125</v>
      </c>
      <c r="G90" s="7">
        <f t="shared" si="51"/>
        <v>47</v>
      </c>
      <c r="H90" s="7">
        <f t="shared" si="52"/>
        <v>49</v>
      </c>
      <c r="I90" s="7">
        <f t="shared" si="53"/>
        <v>50</v>
      </c>
      <c r="J90" s="7">
        <f t="shared" si="54"/>
        <v>49</v>
      </c>
      <c r="K90" s="7">
        <f t="shared" si="55"/>
        <v>48</v>
      </c>
      <c r="L90" s="7">
        <f t="shared" si="56"/>
        <v>49</v>
      </c>
      <c r="M90" s="7">
        <f t="shared" si="57"/>
        <v>49</v>
      </c>
      <c r="N90" s="7">
        <f t="shared" si="58"/>
        <v>52</v>
      </c>
      <c r="O90" s="7">
        <f t="shared" si="59"/>
        <v>51</v>
      </c>
      <c r="P90" s="7">
        <f t="shared" si="60"/>
        <v>50</v>
      </c>
      <c r="Q90" s="7">
        <f t="shared" si="61"/>
        <v>50</v>
      </c>
      <c r="R90" s="7">
        <f t="shared" si="62"/>
        <v>50</v>
      </c>
      <c r="S90" s="7">
        <f t="shared" si="63"/>
        <v>50</v>
      </c>
      <c r="T90" s="7">
        <f t="shared" si="64"/>
        <v>45</v>
      </c>
      <c r="U90" s="7">
        <f t="shared" si="65"/>
        <v>46</v>
      </c>
      <c r="V90" s="7">
        <f t="shared" si="66"/>
        <v>47</v>
      </c>
      <c r="W90" s="7">
        <f t="shared" si="67"/>
        <v>48</v>
      </c>
      <c r="X90" s="44">
        <f t="shared" si="68"/>
        <v>49.041088714054453</v>
      </c>
      <c r="Y90" s="44">
        <f t="shared" si="69"/>
        <v>49.469527059970744</v>
      </c>
      <c r="Z90" s="44">
        <f t="shared" si="70"/>
        <v>49.023831617397967</v>
      </c>
      <c r="AA90" s="44">
        <f t="shared" si="71"/>
        <v>49.306111432427222</v>
      </c>
      <c r="AB90" s="7">
        <v>23</v>
      </c>
      <c r="AC90" s="44" t="str">
        <f t="shared" si="72"/>
        <v>3</v>
      </c>
      <c r="AD90" s="44" t="str">
        <f t="shared" si="73"/>
        <v>3</v>
      </c>
      <c r="AE90" s="44" t="str">
        <f t="shared" si="74"/>
        <v>2</v>
      </c>
      <c r="AF90" s="44" t="str">
        <f t="shared" si="75"/>
        <v>3</v>
      </c>
      <c r="AG90" s="44" t="str">
        <f t="shared" si="76"/>
        <v>3</v>
      </c>
      <c r="AH90" s="44" t="str">
        <f t="shared" si="77"/>
        <v>5</v>
      </c>
      <c r="AI90" s="44" t="str">
        <f t="shared" si="78"/>
        <v>5컷원점</v>
      </c>
      <c r="AJ90" s="44" t="str">
        <f t="shared" si="79"/>
        <v>5</v>
      </c>
      <c r="AK90" s="44" t="str">
        <f t="shared" si="80"/>
        <v>5</v>
      </c>
      <c r="AL90" s="44" t="str">
        <f t="shared" si="81"/>
        <v>5</v>
      </c>
      <c r="AM90" s="44" t="str">
        <f t="shared" si="82"/>
        <v>5</v>
      </c>
      <c r="AN90" s="44" t="str">
        <f t="shared" si="83"/>
        <v>5</v>
      </c>
      <c r="AO90" s="44" t="str">
        <f t="shared" si="84"/>
        <v>5</v>
      </c>
      <c r="AP90" s="44" t="str">
        <f t="shared" si="85"/>
        <v>5</v>
      </c>
      <c r="AQ90" s="44" t="str">
        <f t="shared" si="86"/>
        <v>5</v>
      </c>
      <c r="AR90" s="44" t="str">
        <f t="shared" si="87"/>
        <v>5</v>
      </c>
      <c r="AS90" s="44" t="str">
        <f t="shared" si="88"/>
        <v>5</v>
      </c>
      <c r="AT90" s="44" t="str">
        <f t="shared" si="89"/>
        <v>5</v>
      </c>
      <c r="AU90" s="44" t="str">
        <f t="shared" si="90"/>
        <v>5컷원점</v>
      </c>
      <c r="AV90" s="44" t="str">
        <f t="shared" si="91"/>
        <v>5컷원점</v>
      </c>
      <c r="AW90" s="44" t="str">
        <f t="shared" si="92"/>
        <v>5컷원점</v>
      </c>
      <c r="AX90" s="44" t="str">
        <f t="shared" si="93"/>
        <v>5컷원점</v>
      </c>
      <c r="AY90" s="7">
        <v>3</v>
      </c>
      <c r="AZ90" s="7">
        <v>5</v>
      </c>
    </row>
    <row r="91" spans="1:52" hidden="1" x14ac:dyDescent="0.3">
      <c r="A91" s="7">
        <v>72</v>
      </c>
      <c r="B91" s="7">
        <f t="shared" si="46"/>
        <v>121</v>
      </c>
      <c r="C91" s="7">
        <f t="shared" si="47"/>
        <v>120</v>
      </c>
      <c r="D91" s="7">
        <f t="shared" si="48"/>
        <v>128</v>
      </c>
      <c r="E91" s="7">
        <f t="shared" si="49"/>
        <v>125</v>
      </c>
      <c r="F91" s="7">
        <f t="shared" si="50"/>
        <v>124</v>
      </c>
      <c r="G91" s="7">
        <f t="shared" si="51"/>
        <v>46</v>
      </c>
      <c r="H91" s="7">
        <f t="shared" si="52"/>
        <v>48</v>
      </c>
      <c r="I91" s="7">
        <f t="shared" si="53"/>
        <v>49</v>
      </c>
      <c r="J91" s="7">
        <f t="shared" si="54"/>
        <v>48</v>
      </c>
      <c r="K91" s="7">
        <f t="shared" si="55"/>
        <v>48</v>
      </c>
      <c r="L91" s="7">
        <f t="shared" si="56"/>
        <v>48</v>
      </c>
      <c r="M91" s="7">
        <f t="shared" si="57"/>
        <v>49</v>
      </c>
      <c r="N91" s="7">
        <f t="shared" si="58"/>
        <v>51</v>
      </c>
      <c r="O91" s="7">
        <f t="shared" si="59"/>
        <v>50</v>
      </c>
      <c r="P91" s="7">
        <f t="shared" si="60"/>
        <v>49</v>
      </c>
      <c r="Q91" s="7">
        <f t="shared" si="61"/>
        <v>49</v>
      </c>
      <c r="R91" s="7">
        <f t="shared" si="62"/>
        <v>49</v>
      </c>
      <c r="S91" s="7">
        <f t="shared" si="63"/>
        <v>49</v>
      </c>
      <c r="T91" s="7">
        <f t="shared" si="64"/>
        <v>44</v>
      </c>
      <c r="U91" s="7">
        <f t="shared" si="65"/>
        <v>45</v>
      </c>
      <c r="V91" s="7">
        <f t="shared" si="66"/>
        <v>46</v>
      </c>
      <c r="W91" s="7">
        <f t="shared" si="67"/>
        <v>47</v>
      </c>
      <c r="X91" s="44">
        <f t="shared" si="68"/>
        <v>48.063556302298913</v>
      </c>
      <c r="Y91" s="44">
        <f t="shared" si="69"/>
        <v>49.049792784007799</v>
      </c>
      <c r="Z91" s="44">
        <f t="shared" si="70"/>
        <v>48.023831617397967</v>
      </c>
      <c r="AA91" s="44">
        <f t="shared" si="71"/>
        <v>48.306111432427222</v>
      </c>
      <c r="AB91" s="7">
        <v>22</v>
      </c>
      <c r="AC91" s="44" t="str">
        <f t="shared" si="72"/>
        <v>3</v>
      </c>
      <c r="AD91" s="44" t="str">
        <f t="shared" si="73"/>
        <v>3</v>
      </c>
      <c r="AE91" s="44" t="str">
        <f t="shared" si="74"/>
        <v>2</v>
      </c>
      <c r="AF91" s="44" t="str">
        <f t="shared" si="75"/>
        <v>3</v>
      </c>
      <c r="AG91" s="44" t="str">
        <f t="shared" si="76"/>
        <v>3</v>
      </c>
      <c r="AH91" s="44" t="str">
        <f t="shared" si="77"/>
        <v>5컷원점</v>
      </c>
      <c r="AI91" s="44" t="str">
        <f t="shared" si="78"/>
        <v>6</v>
      </c>
      <c r="AJ91" s="44" t="str">
        <f t="shared" si="79"/>
        <v>5</v>
      </c>
      <c r="AK91" s="44" t="str">
        <f t="shared" si="80"/>
        <v>5</v>
      </c>
      <c r="AL91" s="44" t="str">
        <f t="shared" si="81"/>
        <v>5</v>
      </c>
      <c r="AM91" s="44" t="str">
        <f t="shared" si="82"/>
        <v>5</v>
      </c>
      <c r="AN91" s="44" t="str">
        <f t="shared" si="83"/>
        <v>5</v>
      </c>
      <c r="AO91" s="44" t="str">
        <f t="shared" si="84"/>
        <v>5</v>
      </c>
      <c r="AP91" s="44" t="str">
        <f t="shared" si="85"/>
        <v>5</v>
      </c>
      <c r="AQ91" s="44" t="str">
        <f t="shared" si="86"/>
        <v>5</v>
      </c>
      <c r="AR91" s="44" t="str">
        <f t="shared" si="87"/>
        <v>5</v>
      </c>
      <c r="AS91" s="44" t="str">
        <f t="shared" si="88"/>
        <v>5</v>
      </c>
      <c r="AT91" s="44" t="str">
        <f t="shared" si="89"/>
        <v>5</v>
      </c>
      <c r="AU91" s="44" t="str">
        <f t="shared" si="90"/>
        <v>6</v>
      </c>
      <c r="AV91" s="44" t="str">
        <f t="shared" si="91"/>
        <v>6</v>
      </c>
      <c r="AW91" s="44" t="str">
        <f t="shared" si="92"/>
        <v>6</v>
      </c>
      <c r="AX91" s="44" t="str">
        <f t="shared" si="93"/>
        <v>6</v>
      </c>
      <c r="AY91" s="7">
        <v>3</v>
      </c>
      <c r="AZ91" s="7">
        <v>5</v>
      </c>
    </row>
    <row r="92" spans="1:52" hidden="1" x14ac:dyDescent="0.3">
      <c r="A92" s="7">
        <v>71</v>
      </c>
      <c r="B92" s="7">
        <f t="shared" si="46"/>
        <v>120</v>
      </c>
      <c r="C92" s="7">
        <f t="shared" si="47"/>
        <v>119</v>
      </c>
      <c r="D92" s="7">
        <f t="shared" si="48"/>
        <v>127</v>
      </c>
      <c r="E92" s="7">
        <f t="shared" si="49"/>
        <v>124</v>
      </c>
      <c r="F92" s="7">
        <f t="shared" si="50"/>
        <v>123</v>
      </c>
      <c r="G92" s="7">
        <f t="shared" si="51"/>
        <v>45</v>
      </c>
      <c r="H92" s="7">
        <f t="shared" si="52"/>
        <v>47</v>
      </c>
      <c r="I92" s="7">
        <f t="shared" si="53"/>
        <v>48</v>
      </c>
      <c r="J92" s="7">
        <f t="shared" si="54"/>
        <v>47</v>
      </c>
      <c r="K92" s="7">
        <f t="shared" si="55"/>
        <v>47</v>
      </c>
      <c r="L92" s="7">
        <f t="shared" si="56"/>
        <v>48</v>
      </c>
      <c r="M92" s="7">
        <f t="shared" si="57"/>
        <v>48</v>
      </c>
      <c r="N92" s="7">
        <f t="shared" si="58"/>
        <v>50</v>
      </c>
      <c r="O92" s="7">
        <f t="shared" si="59"/>
        <v>49</v>
      </c>
      <c r="P92" s="7">
        <f t="shared" si="60"/>
        <v>48</v>
      </c>
      <c r="Q92" s="7">
        <f t="shared" si="61"/>
        <v>48</v>
      </c>
      <c r="R92" s="7">
        <f t="shared" si="62"/>
        <v>48</v>
      </c>
      <c r="S92" s="7">
        <f t="shared" si="63"/>
        <v>48</v>
      </c>
      <c r="T92" s="7">
        <f t="shared" si="64"/>
        <v>44</v>
      </c>
      <c r="U92" s="7">
        <f t="shared" si="65"/>
        <v>45</v>
      </c>
      <c r="V92" s="7">
        <f t="shared" si="66"/>
        <v>45</v>
      </c>
      <c r="W92" s="7">
        <f t="shared" si="67"/>
        <v>46</v>
      </c>
      <c r="X92" s="44">
        <f t="shared" si="68"/>
        <v>47.071383735363383</v>
      </c>
      <c r="Y92" s="44">
        <f t="shared" si="69"/>
        <v>48.25195026816187</v>
      </c>
      <c r="Z92" s="44">
        <f t="shared" si="70"/>
        <v>47.023831617397967</v>
      </c>
      <c r="AA92" s="44">
        <f t="shared" si="71"/>
        <v>47.358384649406318</v>
      </c>
      <c r="AB92" s="7">
        <v>21</v>
      </c>
      <c r="AC92" s="44" t="str">
        <f t="shared" si="72"/>
        <v>3</v>
      </c>
      <c r="AD92" s="44" t="str">
        <f t="shared" si="73"/>
        <v>3</v>
      </c>
      <c r="AE92" s="44" t="str">
        <f t="shared" si="74"/>
        <v>2컷원점</v>
      </c>
      <c r="AF92" s="44" t="str">
        <f t="shared" si="75"/>
        <v>3</v>
      </c>
      <c r="AG92" s="44" t="str">
        <f t="shared" si="76"/>
        <v>3</v>
      </c>
      <c r="AH92" s="44" t="str">
        <f t="shared" si="77"/>
        <v>6</v>
      </c>
      <c r="AI92" s="44" t="str">
        <f t="shared" si="78"/>
        <v>6</v>
      </c>
      <c r="AJ92" s="44" t="str">
        <f t="shared" si="79"/>
        <v>5</v>
      </c>
      <c r="AK92" s="44" t="str">
        <f t="shared" si="80"/>
        <v>5</v>
      </c>
      <c r="AL92" s="44" t="str">
        <f t="shared" si="81"/>
        <v>5</v>
      </c>
      <c r="AM92" s="44" t="str">
        <f t="shared" si="82"/>
        <v>5</v>
      </c>
      <c r="AN92" s="44" t="str">
        <f t="shared" si="83"/>
        <v>5</v>
      </c>
      <c r="AO92" s="44" t="str">
        <f t="shared" si="84"/>
        <v>5</v>
      </c>
      <c r="AP92" s="44" t="str">
        <f t="shared" si="85"/>
        <v>5</v>
      </c>
      <c r="AQ92" s="44" t="str">
        <f t="shared" si="86"/>
        <v>5</v>
      </c>
      <c r="AR92" s="44" t="str">
        <f t="shared" si="87"/>
        <v>5</v>
      </c>
      <c r="AS92" s="44" t="str">
        <f t="shared" si="88"/>
        <v>5</v>
      </c>
      <c r="AT92" s="44" t="str">
        <f t="shared" si="89"/>
        <v>5</v>
      </c>
      <c r="AU92" s="44" t="str">
        <f t="shared" si="90"/>
        <v>6</v>
      </c>
      <c r="AV92" s="44" t="str">
        <f t="shared" si="91"/>
        <v>6</v>
      </c>
      <c r="AW92" s="44" t="str">
        <f t="shared" si="92"/>
        <v>6</v>
      </c>
      <c r="AX92" s="44" t="str">
        <f t="shared" si="93"/>
        <v>6</v>
      </c>
      <c r="AY92" s="7">
        <v>3</v>
      </c>
      <c r="AZ92" s="7">
        <v>5</v>
      </c>
    </row>
    <row r="93" spans="1:52" hidden="1" x14ac:dyDescent="0.3">
      <c r="A93" s="7">
        <v>70</v>
      </c>
      <c r="B93" s="7">
        <f t="shared" si="46"/>
        <v>119</v>
      </c>
      <c r="C93" s="7">
        <f t="shared" si="47"/>
        <v>118</v>
      </c>
      <c r="D93" s="7">
        <f t="shared" si="48"/>
        <v>126</v>
      </c>
      <c r="E93" s="7">
        <f t="shared" si="49"/>
        <v>123</v>
      </c>
      <c r="F93" s="7">
        <f t="shared" si="50"/>
        <v>122</v>
      </c>
      <c r="G93" s="7">
        <f t="shared" si="51"/>
        <v>44</v>
      </c>
      <c r="H93" s="7">
        <f t="shared" si="52"/>
        <v>46</v>
      </c>
      <c r="I93" s="7">
        <f t="shared" si="53"/>
        <v>47</v>
      </c>
      <c r="J93" s="7">
        <f t="shared" si="54"/>
        <v>46</v>
      </c>
      <c r="K93" s="7">
        <f t="shared" si="55"/>
        <v>46</v>
      </c>
      <c r="L93" s="7">
        <f t="shared" si="56"/>
        <v>47</v>
      </c>
      <c r="M93" s="7">
        <f t="shared" si="57"/>
        <v>47</v>
      </c>
      <c r="N93" s="7">
        <f t="shared" si="58"/>
        <v>49</v>
      </c>
      <c r="O93" s="7">
        <f t="shared" si="59"/>
        <v>48</v>
      </c>
      <c r="P93" s="7">
        <f t="shared" si="60"/>
        <v>47</v>
      </c>
      <c r="Q93" s="7">
        <f t="shared" si="61"/>
        <v>48</v>
      </c>
      <c r="R93" s="7">
        <f t="shared" si="62"/>
        <v>47</v>
      </c>
      <c r="S93" s="7">
        <f t="shared" si="63"/>
        <v>48</v>
      </c>
      <c r="T93" s="7">
        <f t="shared" si="64"/>
        <v>43</v>
      </c>
      <c r="U93" s="7">
        <f t="shared" si="65"/>
        <v>44</v>
      </c>
      <c r="V93" s="7">
        <f t="shared" si="66"/>
        <v>44</v>
      </c>
      <c r="W93" s="7">
        <f t="shared" si="67"/>
        <v>45</v>
      </c>
      <c r="X93" s="44">
        <f t="shared" si="68"/>
        <v>46.071383735363383</v>
      </c>
      <c r="Y93" s="44">
        <f t="shared" si="69"/>
        <v>47.25195026816187</v>
      </c>
      <c r="Z93" s="44">
        <f t="shared" si="70"/>
        <v>46.023831617397967</v>
      </c>
      <c r="AA93" s="44">
        <f t="shared" si="71"/>
        <v>46.5056895632747</v>
      </c>
      <c r="AB93" s="7">
        <v>20</v>
      </c>
      <c r="AC93" s="44" t="str">
        <f t="shared" si="72"/>
        <v>3</v>
      </c>
      <c r="AD93" s="44" t="str">
        <f t="shared" si="73"/>
        <v>3</v>
      </c>
      <c r="AE93" s="44" t="str">
        <f t="shared" si="74"/>
        <v>3</v>
      </c>
      <c r="AF93" s="44" t="str">
        <f t="shared" si="75"/>
        <v>3</v>
      </c>
      <c r="AG93" s="44" t="str">
        <f t="shared" si="76"/>
        <v>3</v>
      </c>
      <c r="AH93" s="44" t="str">
        <f t="shared" si="77"/>
        <v>6</v>
      </c>
      <c r="AI93" s="44" t="str">
        <f t="shared" si="78"/>
        <v>6</v>
      </c>
      <c r="AJ93" s="44" t="str">
        <f t="shared" si="79"/>
        <v>5컷원점</v>
      </c>
      <c r="AK93" s="44" t="str">
        <f t="shared" si="80"/>
        <v>5컷원점</v>
      </c>
      <c r="AL93" s="44" t="str">
        <f t="shared" si="81"/>
        <v>5</v>
      </c>
      <c r="AM93" s="44" t="str">
        <f t="shared" si="82"/>
        <v>5</v>
      </c>
      <c r="AN93" s="44" t="str">
        <f t="shared" si="83"/>
        <v>5</v>
      </c>
      <c r="AO93" s="44" t="str">
        <f t="shared" si="84"/>
        <v>5</v>
      </c>
      <c r="AP93" s="44" t="str">
        <f t="shared" si="85"/>
        <v>5</v>
      </c>
      <c r="AQ93" s="44" t="str">
        <f t="shared" si="86"/>
        <v>5</v>
      </c>
      <c r="AR93" s="44" t="str">
        <f t="shared" si="87"/>
        <v>5</v>
      </c>
      <c r="AS93" s="44" t="str">
        <f t="shared" si="88"/>
        <v>5</v>
      </c>
      <c r="AT93" s="44" t="str">
        <f t="shared" si="89"/>
        <v>5</v>
      </c>
      <c r="AU93" s="44" t="str">
        <f t="shared" si="90"/>
        <v>6</v>
      </c>
      <c r="AV93" s="44" t="str">
        <f t="shared" si="91"/>
        <v>6</v>
      </c>
      <c r="AW93" s="44" t="str">
        <f t="shared" si="92"/>
        <v>6</v>
      </c>
      <c r="AX93" s="44" t="str">
        <f t="shared" si="93"/>
        <v>6</v>
      </c>
      <c r="AY93" s="7">
        <v>3</v>
      </c>
      <c r="AZ93" s="7">
        <v>5</v>
      </c>
    </row>
    <row r="94" spans="1:52" hidden="1" x14ac:dyDescent="0.3">
      <c r="A94" s="7">
        <v>69</v>
      </c>
      <c r="B94" s="7">
        <f t="shared" si="46"/>
        <v>118</v>
      </c>
      <c r="C94" s="7">
        <f t="shared" si="47"/>
        <v>117</v>
      </c>
      <c r="D94" s="7">
        <f t="shared" si="48"/>
        <v>125</v>
      </c>
      <c r="E94" s="7">
        <f t="shared" si="49"/>
        <v>123</v>
      </c>
      <c r="F94" s="7">
        <f t="shared" si="50"/>
        <v>120</v>
      </c>
      <c r="G94" s="7">
        <f t="shared" si="51"/>
        <v>44</v>
      </c>
      <c r="H94" s="7">
        <f t="shared" si="52"/>
        <v>45</v>
      </c>
      <c r="I94" s="7">
        <f t="shared" si="53"/>
        <v>46</v>
      </c>
      <c r="J94" s="7">
        <f t="shared" si="54"/>
        <v>45</v>
      </c>
      <c r="K94" s="7">
        <f t="shared" si="55"/>
        <v>45</v>
      </c>
      <c r="L94" s="7">
        <f t="shared" si="56"/>
        <v>46</v>
      </c>
      <c r="M94" s="7">
        <f t="shared" si="57"/>
        <v>46</v>
      </c>
      <c r="N94" s="7">
        <f t="shared" si="58"/>
        <v>49</v>
      </c>
      <c r="O94" s="7">
        <f t="shared" si="59"/>
        <v>48</v>
      </c>
      <c r="P94" s="7">
        <f t="shared" si="60"/>
        <v>46</v>
      </c>
      <c r="Q94" s="7">
        <f t="shared" si="61"/>
        <v>47</v>
      </c>
      <c r="R94" s="7">
        <f t="shared" si="62"/>
        <v>46</v>
      </c>
      <c r="S94" s="7">
        <f t="shared" si="63"/>
        <v>47</v>
      </c>
      <c r="T94" s="7">
        <f t="shared" si="64"/>
        <v>42</v>
      </c>
      <c r="U94" s="7">
        <f t="shared" si="65"/>
        <v>43</v>
      </c>
      <c r="V94" s="7">
        <f t="shared" si="66"/>
        <v>43</v>
      </c>
      <c r="W94" s="7">
        <f t="shared" si="67"/>
        <v>44</v>
      </c>
      <c r="X94" s="44">
        <f t="shared" si="68"/>
        <v>45.227316490704773</v>
      </c>
      <c r="Y94" s="44">
        <f t="shared" si="69"/>
        <v>46.469527059970744</v>
      </c>
      <c r="Z94" s="44">
        <f t="shared" si="70"/>
        <v>45.177281408490813</v>
      </c>
      <c r="AA94" s="44">
        <f t="shared" si="71"/>
        <v>45.815951643815424</v>
      </c>
      <c r="AB94" s="7">
        <v>19</v>
      </c>
      <c r="AC94" s="44" t="str">
        <f t="shared" si="72"/>
        <v>3</v>
      </c>
      <c r="AD94" s="44" t="str">
        <f t="shared" si="73"/>
        <v>3</v>
      </c>
      <c r="AE94" s="44" t="str">
        <f t="shared" si="74"/>
        <v>3</v>
      </c>
      <c r="AF94" s="44" t="str">
        <f t="shared" si="75"/>
        <v>3</v>
      </c>
      <c r="AG94" s="44" t="str">
        <f t="shared" si="76"/>
        <v>3</v>
      </c>
      <c r="AH94" s="44" t="str">
        <f t="shared" si="77"/>
        <v>6</v>
      </c>
      <c r="AI94" s="44" t="str">
        <f t="shared" si="78"/>
        <v>6</v>
      </c>
      <c r="AJ94" s="44" t="str">
        <f t="shared" si="79"/>
        <v>6</v>
      </c>
      <c r="AK94" s="44" t="str">
        <f t="shared" si="80"/>
        <v>6</v>
      </c>
      <c r="AL94" s="44" t="str">
        <f t="shared" si="81"/>
        <v>5컷원점</v>
      </c>
      <c r="AM94" s="44" t="str">
        <f t="shared" si="82"/>
        <v>5컷원점</v>
      </c>
      <c r="AN94" s="44" t="str">
        <f t="shared" si="83"/>
        <v>5</v>
      </c>
      <c r="AO94" s="44" t="str">
        <f t="shared" si="84"/>
        <v>5</v>
      </c>
      <c r="AP94" s="44" t="str">
        <f t="shared" si="85"/>
        <v>5</v>
      </c>
      <c r="AQ94" s="44" t="str">
        <f t="shared" si="86"/>
        <v>5</v>
      </c>
      <c r="AR94" s="44" t="str">
        <f t="shared" si="87"/>
        <v>5</v>
      </c>
      <c r="AS94" s="44" t="str">
        <f t="shared" si="88"/>
        <v>5</v>
      </c>
      <c r="AT94" s="44" t="str">
        <f t="shared" si="89"/>
        <v>5</v>
      </c>
      <c r="AU94" s="44" t="str">
        <f t="shared" si="90"/>
        <v>6</v>
      </c>
      <c r="AV94" s="44" t="str">
        <f t="shared" si="91"/>
        <v>6</v>
      </c>
      <c r="AW94" s="44" t="str">
        <f t="shared" si="92"/>
        <v>6</v>
      </c>
      <c r="AX94" s="44" t="str">
        <f t="shared" si="93"/>
        <v>6</v>
      </c>
      <c r="AY94" s="7">
        <v>4</v>
      </c>
      <c r="AZ94" s="7">
        <v>6</v>
      </c>
    </row>
    <row r="95" spans="1:52" hidden="1" x14ac:dyDescent="0.3">
      <c r="A95" s="7">
        <v>68</v>
      </c>
      <c r="B95" s="7">
        <f t="shared" si="46"/>
        <v>117</v>
      </c>
      <c r="C95" s="7">
        <f t="shared" si="47"/>
        <v>116</v>
      </c>
      <c r="D95" s="7">
        <f t="shared" si="48"/>
        <v>124</v>
      </c>
      <c r="E95" s="7">
        <f t="shared" si="49"/>
        <v>122</v>
      </c>
      <c r="F95" s="7">
        <f t="shared" si="50"/>
        <v>119</v>
      </c>
      <c r="G95" s="7">
        <f t="shared" si="51"/>
        <v>43</v>
      </c>
      <c r="H95" s="7">
        <f t="shared" si="52"/>
        <v>44</v>
      </c>
      <c r="I95" s="7">
        <f t="shared" si="53"/>
        <v>45</v>
      </c>
      <c r="J95" s="7">
        <f t="shared" si="54"/>
        <v>43</v>
      </c>
      <c r="K95" s="7">
        <f t="shared" si="55"/>
        <v>44</v>
      </c>
      <c r="L95" s="7">
        <f t="shared" si="56"/>
        <v>45</v>
      </c>
      <c r="M95" s="7">
        <f t="shared" si="57"/>
        <v>46</v>
      </c>
      <c r="N95" s="7">
        <f t="shared" si="58"/>
        <v>48</v>
      </c>
      <c r="O95" s="7">
        <f t="shared" si="59"/>
        <v>47</v>
      </c>
      <c r="P95" s="7">
        <f t="shared" si="60"/>
        <v>45</v>
      </c>
      <c r="Q95" s="7">
        <f t="shared" si="61"/>
        <v>46</v>
      </c>
      <c r="R95" s="7">
        <f t="shared" si="62"/>
        <v>45</v>
      </c>
      <c r="S95" s="7">
        <f t="shared" si="63"/>
        <v>46</v>
      </c>
      <c r="T95" s="7">
        <f t="shared" si="64"/>
        <v>42</v>
      </c>
      <c r="U95" s="7">
        <f t="shared" si="65"/>
        <v>43</v>
      </c>
      <c r="V95" s="7">
        <f t="shared" si="66"/>
        <v>42</v>
      </c>
      <c r="W95" s="7">
        <f t="shared" si="67"/>
        <v>43</v>
      </c>
      <c r="X95" s="44">
        <f t="shared" si="68"/>
        <v>43.920482058494549</v>
      </c>
      <c r="Y95" s="44">
        <f t="shared" si="69"/>
        <v>45.866589468551929</v>
      </c>
      <c r="Z95" s="44">
        <f t="shared" si="70"/>
        <v>43.842094668571626</v>
      </c>
      <c r="AA95" s="44">
        <f t="shared" si="71"/>
        <v>44.86822486079452</v>
      </c>
      <c r="AB95" s="7">
        <v>18</v>
      </c>
      <c r="AC95" s="44" t="str">
        <f t="shared" si="72"/>
        <v>3</v>
      </c>
      <c r="AD95" s="44" t="str">
        <f t="shared" si="73"/>
        <v>3컷원점</v>
      </c>
      <c r="AE95" s="44" t="str">
        <f t="shared" si="74"/>
        <v>3</v>
      </c>
      <c r="AF95" s="44" t="str">
        <f t="shared" si="75"/>
        <v>3</v>
      </c>
      <c r="AG95" s="44" t="str">
        <f t="shared" si="76"/>
        <v>3</v>
      </c>
      <c r="AH95" s="44" t="str">
        <f t="shared" si="77"/>
        <v>6</v>
      </c>
      <c r="AI95" s="44" t="str">
        <f t="shared" si="78"/>
        <v>6</v>
      </c>
      <c r="AJ95" s="44" t="str">
        <f t="shared" si="79"/>
        <v>6</v>
      </c>
      <c r="AK95" s="44" t="str">
        <f t="shared" si="80"/>
        <v>6</v>
      </c>
      <c r="AL95" s="44" t="str">
        <f t="shared" si="81"/>
        <v>6</v>
      </c>
      <c r="AM95" s="44" t="str">
        <f t="shared" si="82"/>
        <v>6</v>
      </c>
      <c r="AN95" s="44" t="str">
        <f t="shared" si="83"/>
        <v>5컷원점</v>
      </c>
      <c r="AO95" s="44" t="str">
        <f t="shared" si="84"/>
        <v>5</v>
      </c>
      <c r="AP95" s="44" t="str">
        <f t="shared" si="85"/>
        <v>5컷원점</v>
      </c>
      <c r="AQ95" s="44" t="str">
        <f t="shared" si="86"/>
        <v>5컷원점</v>
      </c>
      <c r="AR95" s="44" t="str">
        <f t="shared" si="87"/>
        <v>5컷원점</v>
      </c>
      <c r="AS95" s="44" t="str">
        <f t="shared" si="88"/>
        <v>5컷원점</v>
      </c>
      <c r="AT95" s="44" t="str">
        <f t="shared" si="89"/>
        <v>5컷원점</v>
      </c>
      <c r="AU95" s="44" t="str">
        <f t="shared" si="90"/>
        <v>6</v>
      </c>
      <c r="AV95" s="44" t="str">
        <f t="shared" si="91"/>
        <v>6</v>
      </c>
      <c r="AW95" s="44" t="str">
        <f t="shared" si="92"/>
        <v>6</v>
      </c>
      <c r="AX95" s="44" t="str">
        <f t="shared" si="93"/>
        <v>6</v>
      </c>
      <c r="AY95" s="7">
        <v>4</v>
      </c>
      <c r="AZ95" s="7">
        <v>6</v>
      </c>
    </row>
    <row r="96" spans="1:52" hidden="1" x14ac:dyDescent="0.3">
      <c r="A96" s="7">
        <v>67</v>
      </c>
      <c r="B96" s="7">
        <f t="shared" ref="B96:B127" si="94">IF(LEN(AC96)=LEN($A$32),INDEX(B$42:B$49,MATCH(AC96,$AA$42:$AA$49,0)),IF(AC96=$AB$31,ROUND(B$41-(B$31-$A96)*AC$41,0),IF(AC96=$AB$32,ROUND(B$42-(B$32-$A96)*AC$42,0),IF(AC96=$AB$33,ROUND(B$43-(B$33-$A96)*AC$43,0),IF(AC96=$AB$34,ROUND(B$44-(B$34-$A96)*AC$44,0),IF(AC96=$AB$35,ROUND(B$45-(B$35-$A96)*AC$45,0),IF(AC96=$AB$36,ROUND(B$46-(B$36-$A96)*AC$46,0),IF(AC96=$AB$37,ROUND(B$47-(B$37-$A96)*AC$47,0),IF(AC96=$AB$38,ROUND(B$48-(B$38-$A96)*AC$48,0),IF(AC96=$AB$39,ROUND(B$49-(B$39-$A96)*AC$49,0)))))))))))</f>
        <v>116</v>
      </c>
      <c r="C96" s="7">
        <f t="shared" ref="C96:C127" si="95">IF(LEN(AD96)=LEN($A$32),INDEX(C$42:C$49,MATCH(AD96,$AA$42:$AA$49,0)),IF(AD96=$AB$31,ROUND(C$41-(C$31-$A96)*AD$41,0),IF(AD96=$AB$32,ROUND(C$42-(C$32-$A96)*AD$42,0),IF(AD96=$AB$33,ROUND(C$43-(C$33-$A96)*AD$43,0),IF(AD96=$AB$34,ROUND(C$44-(C$34-$A96)*AD$44,0),IF(AD96=$AB$35,ROUND(C$45-(C$35-$A96)*AD$45,0),IF(AD96=$AB$36,ROUND(C$46-(C$36-$A96)*AD$46,0),IF(AD96=$AB$37,ROUND(C$47-(C$37-$A96)*AD$47,0),IF(AD96=$AB$38,ROUND(C$48-(C$38-$A96)*AD$48,0),IF(AD96=$AB$39,ROUND(C$49-(C$39-$A96)*AD$49,0)))))))))))</f>
        <v>115</v>
      </c>
      <c r="D96" s="7">
        <f t="shared" ref="D96:D127" si="96">IF(LEN(AE96)=LEN($A$32),INDEX(D$42:D$49,MATCH(AE96,$AA$42:$AA$49,0)),IF(AE96=$AB$31,ROUND(D$41-(D$31-$A96)*AE$41,0),IF(AE96=$AB$32,ROUND(D$42-(D$32-$A96)*AE$42,0),IF(AE96=$AB$33,ROUND(D$43-(D$33-$A96)*AE$43,0),IF(AE96=$AB$34,ROUND(D$44-(D$34-$A96)*AE$44,0),IF(AE96=$AB$35,ROUND(D$45-(D$35-$A96)*AE$45,0),IF(AE96=$AB$36,ROUND(D$46-(D$36-$A96)*AE$46,0),IF(AE96=$AB$37,ROUND(D$47-(D$37-$A96)*AE$47,0),IF(AE96=$AB$38,ROUND(D$48-(D$38-$A96)*AE$48,0),IF(AE96=$AB$39,ROUND(D$49-(D$39-$A96)*AE$49,0)))))))))))</f>
        <v>123</v>
      </c>
      <c r="E96" s="7">
        <f t="shared" ref="E96:E127" si="97">IF(LEN(AF96)=LEN($A$32),INDEX(E$42:E$49,MATCH(AF96,$AA$42:$AA$49,0)),IF(AF96=$AB$31,ROUND(E$41-(E$31-$A96)*AF$41,0),IF(AF96=$AB$32,ROUND(E$42-(E$32-$A96)*AF$42,0),IF(AF96=$AB$33,ROUND(E$43-(E$33-$A96)*AF$43,0),IF(AF96=$AB$34,ROUND(E$44-(E$34-$A96)*AF$44,0),IF(AF96=$AB$35,ROUND(E$45-(E$35-$A96)*AF$45,0),IF(AF96=$AB$36,ROUND(E$46-(E$36-$A96)*AF$46,0),IF(AF96=$AB$37,ROUND(E$47-(E$37-$A96)*AF$47,0),IF(AF96=$AB$38,ROUND(E$48-(E$38-$A96)*AF$48,0),IF(AF96=$AB$39,ROUND(E$49-(E$39-$A96)*AF$49,0)))))))))))</f>
        <v>121</v>
      </c>
      <c r="F96" s="7">
        <f t="shared" ref="F96:F127" si="98">IF(LEN(AG96)=LEN($A$32),INDEX(F$42:F$49,MATCH(AG96,$AA$42:$AA$49,0)),IF(AG96=$AB$31,ROUND(F$41-(F$31-$A96)*AG$41,0),IF(AG96=$AB$32,ROUND(F$42-(F$32-$A96)*AG$42,0),IF(AG96=$AB$33,ROUND(F$43-(F$33-$A96)*AG$43,0),IF(AG96=$AB$34,ROUND(F$44-(F$34-$A96)*AG$44,0),IF(AG96=$AB$35,ROUND(F$45-(F$35-$A96)*AG$45,0),IF(AG96=$AB$36,ROUND(F$46-(F$36-$A96)*AG$46,0),IF(AG96=$AB$37,ROUND(F$47-(F$37-$A96)*AG$47,0),IF(AG96=$AB$38,ROUND(F$48-(F$38-$A96)*AG$48,0),IF(AG96=$AB$39,ROUND(F$49-(F$39-$A96)*AG$49,0)))))))))))</f>
        <v>118</v>
      </c>
      <c r="G96" s="7">
        <f t="shared" ref="G96:G127" si="99">IF(LEN(AH96)=LEN($A$32),INDEX(G$42:G$49,MATCH(AH96,$AA$42:$AA$49,0)),IF(AH96=$AB$31,ROUND(G$41-(G$31-$AB96)*AH$41,0),IF(AH96=$AB$32,ROUND(G$42-(G$32-$AB96)*AH$42,0),IF(AH96=$AB$33,ROUND(G$43-(G$33-$AB96)*AH$43,0),IF(AH96=$AB$34,ROUND(G$44-(G$34-$AB96)*AH$44,0),IF(AH96=$AB$35,ROUND(G$45-(G$35-$AB96)*AH$45,0),IF(AH96=$AB$36,ROUND(G$46-(G$36-$AB96)*AH$46,0),IF(AH96=$AB$37,ROUND(G$47-(G$37-$AB96)*AH$47,0),IF(AH96=$AB$38,ROUND(G$48-(G$38-$AB96)*AH$48,0),IF(AH96=$AB$39,ROUND(G$49-(G$39-$AB96)*AH$49,0)))))))))))</f>
        <v>42</v>
      </c>
      <c r="H96" s="7">
        <f t="shared" ref="H96:H127" si="100">IF(LEN(AI96)=LEN($A$32),INDEX(H$42:H$49,MATCH(AI96,$AA$42:$AA$49,0)),IF(AI96=$AB$31,ROUND(H$41-(H$31-$AB96)*AI$41,0),IF(AI96=$AB$32,ROUND(H$42-(H$32-$AB96)*AI$42,0),IF(AI96=$AB$33,ROUND(H$43-(H$33-$AB96)*AI$43,0),IF(AI96=$AB$34,ROUND(H$44-(H$34-$AB96)*AI$44,0),IF(AI96=$AB$35,ROUND(H$45-(H$35-$AB96)*AI$45,0),IF(AI96=$AB$36,ROUND(H$46-(H$36-$AB96)*AI$46,0),IF(AI96=$AB$37,ROUND(H$47-(H$37-$AB96)*AI$47,0),IF(AI96=$AB$38,ROUND(H$48-(H$38-$AB96)*AI$48,0),IF(AI96=$AB$39,ROUND(H$49-(H$39-$AB96)*AI$49,0)))))))))))</f>
        <v>43</v>
      </c>
      <c r="I96" s="7">
        <f t="shared" ref="I96:I127" si="101">IF(LEN(AJ96)=LEN($A$32),INDEX(I$42:I$49,MATCH(AJ96,$AA$42:$AA$49,0)),IF(AJ96=$AB$31,ROUND(I$41-(I$31-$AB96)*AJ$41,0),IF(AJ96=$AB$32,ROUND(I$42-(I$32-$AB96)*AJ$42,0),IF(AJ96=$AB$33,ROUND(I$43-(I$33-$AB96)*AJ$43,0),IF(AJ96=$AB$34,ROUND(I$44-(I$34-$AB96)*AJ$44,0),IF(AJ96=$AB$35,ROUND(I$45-(I$35-$AB96)*AJ$45,0),IF(AJ96=$AB$36,ROUND(I$46-(I$36-$AB96)*AJ$46,0),IF(AJ96=$AB$37,ROUND(I$47-(I$37-$AB96)*AJ$47,0),IF(AJ96=$AB$38,ROUND(I$48-(I$38-$AB96)*AJ$48,0),IF(AJ96=$AB$39,ROUND(I$49-(I$39-$AB96)*AJ$49,0)))))))))))</f>
        <v>43</v>
      </c>
      <c r="J96" s="7">
        <f t="shared" ref="J96:J127" si="102">IF(LEN(AK96)=LEN($A$32),INDEX(J$42:J$49,MATCH(AK96,$AA$42:$AA$49,0)),IF(AK96=$AB$31,ROUND(J$41-(J$31-$AB96)*AK$41,0),IF(AK96=$AB$32,ROUND(J$42-(J$32-$AB96)*AK$42,0),IF(AK96=$AB$33,ROUND(J$43-(J$33-$AB96)*AK$43,0),IF(AK96=$AB$34,ROUND(J$44-(J$34-$AB96)*AK$44,0),IF(AK96=$AB$35,ROUND(J$45-(J$35-$AB96)*AK$45,0),IF(AK96=$AB$36,ROUND(J$46-(J$36-$AB96)*AK$46,0),IF(AK96=$AB$37,ROUND(J$47-(J$37-$AB96)*AK$47,0),IF(AK96=$AB$38,ROUND(J$48-(J$38-$AB96)*AK$48,0),IF(AK96=$AB$39,ROUND(J$49-(J$39-$AB96)*AK$49,0)))))))))))</f>
        <v>42</v>
      </c>
      <c r="K96" s="7">
        <f t="shared" ref="K96:K127" si="103">IF(LEN(AL96)=LEN($A$32),INDEX(K$42:K$49,MATCH(AL96,$AA$42:$AA$49,0)),IF(AL96=$AB$31,ROUND(K$41-(K$31-$AB96)*AL$41,0),IF(AL96=$AB$32,ROUND(K$42-(K$32-$AB96)*AL$42,0),IF(AL96=$AB$33,ROUND(K$43-(K$33-$AB96)*AL$43,0),IF(AL96=$AB$34,ROUND(K$44-(K$34-$AB96)*AL$44,0),IF(AL96=$AB$35,ROUND(K$45-(K$35-$AB96)*AL$45,0),IF(AL96=$AB$36,ROUND(K$46-(K$36-$AB96)*AL$46,0),IF(AL96=$AB$37,ROUND(K$47-(K$37-$AB96)*AL$47,0),IF(AL96=$AB$38,ROUND(K$48-(K$38-$AB96)*AL$48,0),IF(AL96=$AB$39,ROUND(K$49-(K$39-$AB96)*AL$49,0)))))))))))</f>
        <v>43</v>
      </c>
      <c r="L96" s="7">
        <f t="shared" ref="L96:L127" si="104">IF(LEN(AM96)=LEN($A$32),INDEX(L$42:L$49,MATCH(AM96,$AA$42:$AA$49,0)),IF(AM96=$AB$31,ROUND(L$41-(L$31-$AB96)*AM$41,0),IF(AM96=$AB$32,ROUND(L$42-(L$32-$AB96)*AM$42,0),IF(AM96=$AB$33,ROUND(L$43-(L$33-$AB96)*AM$43,0),IF(AM96=$AB$34,ROUND(L$44-(L$34-$AB96)*AM$44,0),IF(AM96=$AB$35,ROUND(L$45-(L$35-$AB96)*AM$45,0),IF(AM96=$AB$36,ROUND(L$46-(L$36-$AB96)*AM$46,0),IF(AM96=$AB$37,ROUND(L$47-(L$37-$AB96)*AM$47,0),IF(AM96=$AB$38,ROUND(L$48-(L$38-$AB96)*AM$48,0),IF(AM96=$AB$39,ROUND(L$49-(L$39-$AB96)*AM$49,0)))))))))))</f>
        <v>45</v>
      </c>
      <c r="M96" s="7">
        <f t="shared" ref="M96:M127" si="105">IF(LEN(AN96)=LEN($A$32),INDEX(M$42:M$49,MATCH(AN96,$AA$42:$AA$49,0)),IF(AN96=$AB$31,ROUND(M$41-(M$31-$AB96)*AN$41,0),IF(AN96=$AB$32,ROUND(M$42-(M$32-$AB96)*AN$42,0),IF(AN96=$AB$33,ROUND(M$43-(M$33-$AB96)*AN$43,0),IF(AN96=$AB$34,ROUND(M$44-(M$34-$AB96)*AN$44,0),IF(AN96=$AB$35,ROUND(M$45-(M$35-$AB96)*AN$45,0),IF(AN96=$AB$36,ROUND(M$46-(M$36-$AB96)*AN$46,0),IF(AN96=$AB$37,ROUND(M$47-(M$37-$AB96)*AN$47,0),IF(AN96=$AB$38,ROUND(M$48-(M$38-$AB96)*AN$48,0),IF(AN96=$AB$39,ROUND(M$49-(M$39-$AB96)*AN$49,0)))))))))))</f>
        <v>45</v>
      </c>
      <c r="N96" s="7">
        <f t="shared" ref="N96:N127" si="106">IF(LEN(AO96)=LEN($A$32),INDEX(N$42:N$49,MATCH(AO96,$AA$42:$AA$49,0)),IF(AO96=$AB$31,ROUND(N$41-(N$31-$AB96)*AO$41,0),IF(AO96=$AB$32,ROUND(N$42-(N$32-$AB96)*AO$42,0),IF(AO96=$AB$33,ROUND(N$43-(N$33-$AB96)*AO$43,0),IF(AO96=$AB$34,ROUND(N$44-(N$34-$AB96)*AO$44,0),IF(AO96=$AB$35,ROUND(N$45-(N$35-$AB96)*AO$45,0),IF(AO96=$AB$36,ROUND(N$46-(N$36-$AB96)*AO$46,0),IF(AO96=$AB$37,ROUND(N$47-(N$37-$AB96)*AO$47,0),IF(AO96=$AB$38,ROUND(N$48-(N$38-$AB96)*AO$48,0),IF(AO96=$AB$39,ROUND(N$49-(N$39-$AB96)*AO$49,0)))))))))))</f>
        <v>47</v>
      </c>
      <c r="O96" s="7">
        <f t="shared" ref="O96:O127" si="107">IF(LEN(AP96)=LEN($A$32),INDEX(O$42:O$49,MATCH(AP96,$AA$42:$AA$49,0)),IF(AP96=$AB$31,ROUND(O$41-(O$31-$AB96)*AP$41,0),IF(AP96=$AB$32,ROUND(O$42-(O$32-$AB96)*AP$42,0),IF(AP96=$AB$33,ROUND(O$43-(O$33-$AB96)*AP$43,0),IF(AP96=$AB$34,ROUND(O$44-(O$34-$AB96)*AP$44,0),IF(AP96=$AB$35,ROUND(O$45-(O$35-$AB96)*AP$45,0),IF(AP96=$AB$36,ROUND(O$46-(O$36-$AB96)*AP$46,0),IF(AP96=$AB$37,ROUND(O$47-(O$37-$AB96)*AP$47,0),IF(AP96=$AB$38,ROUND(O$48-(O$38-$AB96)*AP$48,0),IF(AP96=$AB$39,ROUND(O$49-(O$39-$AB96)*AP$49,0)))))))))))</f>
        <v>46</v>
      </c>
      <c r="P96" s="7">
        <f t="shared" ref="P96:P127" si="108">IF(LEN(AQ96)=LEN($A$32),INDEX(P$42:P$49,MATCH(AQ96,$AA$42:$AA$49,0)),IF(AQ96=$AB$31,ROUND(P$41-(P$31-$AB96)*AQ$41,0),IF(AQ96=$AB$32,ROUND(P$42-(P$32-$AB96)*AQ$42,0),IF(AQ96=$AB$33,ROUND(P$43-(P$33-$AB96)*AQ$43,0),IF(AQ96=$AB$34,ROUND(P$44-(P$34-$AB96)*AQ$44,0),IF(AQ96=$AB$35,ROUND(P$45-(P$35-$AB96)*AQ$45,0),IF(AQ96=$AB$36,ROUND(P$46-(P$36-$AB96)*AQ$46,0),IF(AQ96=$AB$37,ROUND(P$47-(P$37-$AB96)*AQ$47,0),IF(AQ96=$AB$38,ROUND(P$48-(P$38-$AB96)*AQ$48,0),IF(AQ96=$AB$39,ROUND(P$49-(P$39-$AB96)*AQ$49,0)))))))))))</f>
        <v>44</v>
      </c>
      <c r="Q96" s="7">
        <f t="shared" ref="Q96:Q127" si="109">IF(LEN(AR96)=LEN($A$32),INDEX(Q$42:Q$49,MATCH(AR96,$AA$42:$AA$49,0)),IF(AR96=$AB$31,ROUND(Q$41-(Q$31-$AB96)*AR$41,0),IF(AR96=$AB$32,ROUND(Q$42-(Q$32-$AB96)*AR$42,0),IF(AR96=$AB$33,ROUND(Q$43-(Q$33-$AB96)*AR$43,0),IF(AR96=$AB$34,ROUND(Q$44-(Q$34-$AB96)*AR$44,0),IF(AR96=$AB$35,ROUND(Q$45-(Q$35-$AB96)*AR$45,0),IF(AR96=$AB$36,ROUND(Q$46-(Q$36-$AB96)*AR$46,0),IF(AR96=$AB$37,ROUND(Q$47-(Q$37-$AB96)*AR$47,0),IF(AR96=$AB$38,ROUND(Q$48-(Q$38-$AB96)*AR$48,0),IF(AR96=$AB$39,ROUND(Q$49-(Q$39-$AB96)*AR$49,0)))))))))))</f>
        <v>45</v>
      </c>
      <c r="R96" s="7">
        <f t="shared" ref="R96:R127" si="110">IF(LEN(AS96)=LEN($A$32),INDEX(R$42:R$49,MATCH(AS96,$AA$42:$AA$49,0)),IF(AS96=$AB$31,ROUND(R$41-(R$31-$AB96)*AS$41,0),IF(AS96=$AB$32,ROUND(R$42-(R$32-$AB96)*AS$42,0),IF(AS96=$AB$33,ROUND(R$43-(R$33-$AB96)*AS$43,0),IF(AS96=$AB$34,ROUND(R$44-(R$34-$AB96)*AS$44,0),IF(AS96=$AB$35,ROUND(R$45-(R$35-$AB96)*AS$45,0),IF(AS96=$AB$36,ROUND(R$46-(R$36-$AB96)*AS$46,0),IF(AS96=$AB$37,ROUND(R$47-(R$37-$AB96)*AS$47,0),IF(AS96=$AB$38,ROUND(R$48-(R$38-$AB96)*AS$48,0),IF(AS96=$AB$39,ROUND(R$49-(R$39-$AB96)*AS$49,0)))))))))))</f>
        <v>44</v>
      </c>
      <c r="S96" s="7">
        <f t="shared" ref="S96:S127" si="111">IF(LEN(AT96)=LEN($A$32),INDEX(S$42:S$49,MATCH(AT96,$AA$42:$AA$49,0)),IF(AT96=$AB$31,ROUND(S$41-(S$31-$AB96)*AT$41,0),IF(AT96=$AB$32,ROUND(S$42-(S$32-$AB96)*AT$42,0),IF(AT96=$AB$33,ROUND(S$43-(S$33-$AB96)*AT$43,0),IF(AT96=$AB$34,ROUND(S$44-(S$34-$AB96)*AT$44,0),IF(AT96=$AB$35,ROUND(S$45-(S$35-$AB96)*AT$45,0),IF(AT96=$AB$36,ROUND(S$46-(S$36-$AB96)*AT$46,0),IF(AT96=$AB$37,ROUND(S$47-(S$37-$AB96)*AT$47,0),IF(AT96=$AB$38,ROUND(S$48-(S$38-$AB96)*AT$48,0),IF(AT96=$AB$39,ROUND(S$49-(S$39-$AB96)*AT$49,0)))))))))))</f>
        <v>45</v>
      </c>
      <c r="T96" s="7">
        <f t="shared" ref="T96:T127" si="112">IF(LEN(AU96)=LEN($A$32),INDEX(T$42:T$49,MATCH(AU96,$AA$42:$AA$49,0)),IF(AU96=$AB$31,ROUND(T$41-(T$31-$AB96)*AU$41,0),IF(AU96=$AB$32,ROUND(T$42-(T$32-$AB96)*AU$42,0),IF(AU96=$AB$33,ROUND(T$43-(T$33-$AB96)*AU$43,0),IF(AU96=$AB$34,ROUND(T$44-(T$34-$AB96)*AU$44,0),IF(AU96=$AB$35,ROUND(T$45-(T$35-$AB96)*AU$45,0),IF(AU96=$AB$36,ROUND(T$46-(T$36-$AB96)*AU$46,0),IF(AU96=$AB$37,ROUND(T$47-(T$37-$AB96)*AU$47,0),IF(AU96=$AB$38,ROUND(T$48-(T$38-$AB96)*AU$48,0),IF(AU96=$AB$39,ROUND(T$49-(T$39-$AB96)*AU$49,0)))))))))))</f>
        <v>41</v>
      </c>
      <c r="U96" s="7">
        <f t="shared" ref="U96:U127" si="113">IF(LEN(AV96)=LEN($A$32),INDEX(U$42:U$49,MATCH(AV96,$AA$42:$AA$49,0)),IF(AV96=$AB$31,ROUND(U$41-(U$31-$AB96)*AV$41,0),IF(AV96=$AB$32,ROUND(U$42-(U$32-$AB96)*AV$42,0),IF(AV96=$AB$33,ROUND(U$43-(U$33-$AB96)*AV$43,0),IF(AV96=$AB$34,ROUND(U$44-(U$34-$AB96)*AV$44,0),IF(AV96=$AB$35,ROUND(U$45-(U$35-$AB96)*AV$45,0),IF(AV96=$AB$36,ROUND(U$46-(U$36-$AB96)*AV$46,0),IF(AV96=$AB$37,ROUND(U$47-(U$37-$AB96)*AV$47,0),IF(AV96=$AB$38,ROUND(U$48-(U$38-$AB96)*AV$48,0),IF(AV96=$AB$39,ROUND(U$49-(U$39-$AB96)*AV$49,0)))))))))))</f>
        <v>42</v>
      </c>
      <c r="V96" s="7">
        <f t="shared" ref="V96:V127" si="114">IF(LEN(AW96)=LEN($A$32),INDEX(V$42:V$49,MATCH(AW96,$AA$42:$AA$49,0)),IF(AW96=$AB$31,ROUND(V$41-(V$31-$AB96)*AW$41,0),IF(AW96=$AB$32,ROUND(V$42-(V$32-$AB96)*AW$42,0),IF(AW96=$AB$33,ROUND(V$43-(V$33-$AB96)*AW$43,0),IF(AW96=$AB$34,ROUND(V$44-(V$34-$AB96)*AW$44,0),IF(AW96=$AB$35,ROUND(V$45-(V$35-$AB96)*AW$45,0),IF(AW96=$AB$36,ROUND(V$46-(V$36-$AB96)*AW$46,0),IF(AW96=$AB$37,ROUND(V$47-(V$37-$AB96)*AW$47,0),IF(AW96=$AB$38,ROUND(V$48-(V$38-$AB96)*AW$48,0),IF(AW96=$AB$39,ROUND(V$49-(V$39-$AB96)*AW$49,0)))))))))))</f>
        <v>40</v>
      </c>
      <c r="W96" s="7">
        <f t="shared" ref="W96:W127" si="115">IF(LEN(AX96)=LEN($A$32),INDEX(W$42:W$49,MATCH(AX96,$AA$42:$AA$49,0)),IF(AX96=$AB$31,ROUND(W$41-(W$31-$AB96)*AX$41,0),IF(AX96=$AB$32,ROUND(W$42-(W$32-$AB96)*AX$42,0),IF(AX96=$AB$33,ROUND(W$43-(W$33-$AB96)*AX$43,0),IF(AX96=$AB$34,ROUND(W$44-(W$34-$AB96)*AX$44,0),IF(AX96=$AB$35,ROUND(W$45-(W$35-$AB96)*AX$45,0),IF(AX96=$AB$36,ROUND(W$46-(W$36-$AB96)*AX$46,0),IF(AX96=$AB$37,ROUND(W$47-(W$37-$AB96)*AX$47,0),IF(AX96=$AB$38,ROUND(W$48-(W$38-$AB96)*AX$48,0),IF(AX96=$AB$39,ROUND(W$49-(W$39-$AB96)*AX$49,0)))))))))))</f>
        <v>41</v>
      </c>
      <c r="X96" s="44">
        <f t="shared" si="68"/>
        <v>42.61038403269729</v>
      </c>
      <c r="Y96" s="44">
        <f t="shared" si="69"/>
        <v>45.068746952706</v>
      </c>
      <c r="Z96" s="44">
        <f t="shared" si="70"/>
        <v>42.511363468987966</v>
      </c>
      <c r="AA96" s="44">
        <f t="shared" si="71"/>
        <v>43.520094353530887</v>
      </c>
      <c r="AB96" s="7">
        <v>17</v>
      </c>
      <c r="AC96" s="44" t="str">
        <f t="shared" si="72"/>
        <v>3컷원점</v>
      </c>
      <c r="AD96" s="44" t="str">
        <f t="shared" si="73"/>
        <v>4</v>
      </c>
      <c r="AE96" s="44" t="str">
        <f t="shared" si="74"/>
        <v>3</v>
      </c>
      <c r="AF96" s="44" t="str">
        <f t="shared" si="75"/>
        <v>3</v>
      </c>
      <c r="AG96" s="44" t="str">
        <f t="shared" si="76"/>
        <v>3</v>
      </c>
      <c r="AH96" s="44" t="str">
        <f t="shared" si="77"/>
        <v>6</v>
      </c>
      <c r="AI96" s="44" t="str">
        <f t="shared" si="78"/>
        <v>6</v>
      </c>
      <c r="AJ96" s="44" t="str">
        <f t="shared" si="79"/>
        <v>6</v>
      </c>
      <c r="AK96" s="44" t="str">
        <f t="shared" si="80"/>
        <v>6</v>
      </c>
      <c r="AL96" s="44" t="str">
        <f t="shared" si="81"/>
        <v>6</v>
      </c>
      <c r="AM96" s="44" t="str">
        <f t="shared" si="82"/>
        <v>6</v>
      </c>
      <c r="AN96" s="44" t="str">
        <f t="shared" si="83"/>
        <v>6</v>
      </c>
      <c r="AO96" s="44" t="str">
        <f t="shared" si="84"/>
        <v>5</v>
      </c>
      <c r="AP96" s="44" t="str">
        <f t="shared" si="85"/>
        <v>6</v>
      </c>
      <c r="AQ96" s="44" t="str">
        <f t="shared" si="86"/>
        <v>6</v>
      </c>
      <c r="AR96" s="44" t="str">
        <f t="shared" si="87"/>
        <v>6</v>
      </c>
      <c r="AS96" s="44" t="str">
        <f t="shared" si="88"/>
        <v>6</v>
      </c>
      <c r="AT96" s="44" t="str">
        <f t="shared" si="89"/>
        <v>6</v>
      </c>
      <c r="AU96" s="44" t="str">
        <f t="shared" si="90"/>
        <v>6</v>
      </c>
      <c r="AV96" s="44" t="str">
        <f t="shared" si="91"/>
        <v>6</v>
      </c>
      <c r="AW96" s="44" t="str">
        <f t="shared" si="92"/>
        <v>6</v>
      </c>
      <c r="AX96" s="44" t="str">
        <f t="shared" si="93"/>
        <v>6</v>
      </c>
      <c r="AY96" s="7">
        <v>4</v>
      </c>
      <c r="AZ96" s="7">
        <v>6</v>
      </c>
    </row>
    <row r="97" spans="1:52" hidden="1" x14ac:dyDescent="0.3">
      <c r="A97" s="7">
        <v>66</v>
      </c>
      <c r="B97" s="7">
        <f t="shared" si="94"/>
        <v>115</v>
      </c>
      <c r="C97" s="7">
        <f t="shared" si="95"/>
        <v>114</v>
      </c>
      <c r="D97" s="7">
        <f t="shared" si="96"/>
        <v>122</v>
      </c>
      <c r="E97" s="7">
        <f t="shared" si="97"/>
        <v>120</v>
      </c>
      <c r="F97" s="7">
        <f t="shared" si="98"/>
        <v>117</v>
      </c>
      <c r="G97" s="7">
        <f t="shared" si="99"/>
        <v>41</v>
      </c>
      <c r="H97" s="7">
        <f t="shared" si="100"/>
        <v>42</v>
      </c>
      <c r="I97" s="7">
        <f t="shared" si="101"/>
        <v>42</v>
      </c>
      <c r="J97" s="7">
        <f t="shared" si="102"/>
        <v>41</v>
      </c>
      <c r="K97" s="7">
        <f t="shared" si="103"/>
        <v>43</v>
      </c>
      <c r="L97" s="7">
        <f t="shared" si="104"/>
        <v>44</v>
      </c>
      <c r="M97" s="7">
        <f t="shared" si="105"/>
        <v>44</v>
      </c>
      <c r="N97" s="7">
        <f t="shared" si="106"/>
        <v>46</v>
      </c>
      <c r="O97" s="7">
        <f t="shared" si="107"/>
        <v>45</v>
      </c>
      <c r="P97" s="7">
        <f t="shared" si="108"/>
        <v>43</v>
      </c>
      <c r="Q97" s="7">
        <f t="shared" si="109"/>
        <v>44</v>
      </c>
      <c r="R97" s="7">
        <f t="shared" si="110"/>
        <v>43</v>
      </c>
      <c r="S97" s="7">
        <f t="shared" si="111"/>
        <v>44</v>
      </c>
      <c r="T97" s="7">
        <f t="shared" si="112"/>
        <v>40</v>
      </c>
      <c r="U97" s="7">
        <f t="shared" si="113"/>
        <v>41</v>
      </c>
      <c r="V97" s="7">
        <f t="shared" si="114"/>
        <v>39</v>
      </c>
      <c r="W97" s="7">
        <f t="shared" si="115"/>
        <v>40</v>
      </c>
      <c r="X97" s="44">
        <f t="shared" si="68"/>
        <v>41.61747757016844</v>
      </c>
      <c r="Y97" s="44">
        <f t="shared" si="69"/>
        <v>44.25195026816187</v>
      </c>
      <c r="Z97" s="44">
        <f t="shared" si="70"/>
        <v>41.511363468987966</v>
      </c>
      <c r="AA97" s="44">
        <f t="shared" si="71"/>
        <v>42.520094353530887</v>
      </c>
      <c r="AB97" s="7">
        <v>16</v>
      </c>
      <c r="AC97" s="44" t="str">
        <f t="shared" si="72"/>
        <v>4</v>
      </c>
      <c r="AD97" s="44" t="str">
        <f t="shared" si="73"/>
        <v>4</v>
      </c>
      <c r="AE97" s="44" t="str">
        <f t="shared" si="74"/>
        <v>3</v>
      </c>
      <c r="AF97" s="44" t="str">
        <f t="shared" si="75"/>
        <v>3</v>
      </c>
      <c r="AG97" s="44" t="str">
        <f t="shared" si="76"/>
        <v>3컷원점</v>
      </c>
      <c r="AH97" s="44" t="str">
        <f t="shared" si="77"/>
        <v>6컷원점</v>
      </c>
      <c r="AI97" s="44" t="str">
        <f t="shared" si="78"/>
        <v>6</v>
      </c>
      <c r="AJ97" s="44" t="str">
        <f t="shared" si="79"/>
        <v>6</v>
      </c>
      <c r="AK97" s="44" t="str">
        <f t="shared" si="80"/>
        <v>6컷원점</v>
      </c>
      <c r="AL97" s="44" t="str">
        <f t="shared" si="81"/>
        <v>6</v>
      </c>
      <c r="AM97" s="44" t="str">
        <f t="shared" si="82"/>
        <v>6</v>
      </c>
      <c r="AN97" s="44" t="str">
        <f t="shared" si="83"/>
        <v>6</v>
      </c>
      <c r="AO97" s="44" t="str">
        <f t="shared" si="84"/>
        <v>5컷원점</v>
      </c>
      <c r="AP97" s="44" t="str">
        <f t="shared" si="85"/>
        <v>6</v>
      </c>
      <c r="AQ97" s="44" t="str">
        <f t="shared" si="86"/>
        <v>6</v>
      </c>
      <c r="AR97" s="44" t="str">
        <f t="shared" si="87"/>
        <v>6</v>
      </c>
      <c r="AS97" s="44" t="str">
        <f t="shared" si="88"/>
        <v>6</v>
      </c>
      <c r="AT97" s="44" t="str">
        <f t="shared" si="89"/>
        <v>6</v>
      </c>
      <c r="AU97" s="44" t="str">
        <f t="shared" si="90"/>
        <v>6컷원점</v>
      </c>
      <c r="AV97" s="44" t="str">
        <f t="shared" si="91"/>
        <v>6컷원점</v>
      </c>
      <c r="AW97" s="44" t="str">
        <f t="shared" si="92"/>
        <v>6컷원점</v>
      </c>
      <c r="AX97" s="44" t="str">
        <f t="shared" si="93"/>
        <v>6컷원점</v>
      </c>
      <c r="AY97" s="7">
        <v>4</v>
      </c>
      <c r="AZ97" s="7">
        <v>6</v>
      </c>
    </row>
    <row r="98" spans="1:52" hidden="1" x14ac:dyDescent="0.3">
      <c r="A98" s="7">
        <v>65</v>
      </c>
      <c r="B98" s="7">
        <f t="shared" si="94"/>
        <v>114</v>
      </c>
      <c r="C98" s="7">
        <f t="shared" si="95"/>
        <v>113</v>
      </c>
      <c r="D98" s="7">
        <f t="shared" si="96"/>
        <v>120</v>
      </c>
      <c r="E98" s="7">
        <f t="shared" si="97"/>
        <v>119</v>
      </c>
      <c r="F98" s="7">
        <f t="shared" si="98"/>
        <v>116</v>
      </c>
      <c r="G98" s="7">
        <f t="shared" si="99"/>
        <v>40</v>
      </c>
      <c r="H98" s="7">
        <f t="shared" si="100"/>
        <v>41</v>
      </c>
      <c r="I98" s="7">
        <f t="shared" si="101"/>
        <v>41</v>
      </c>
      <c r="J98" s="7">
        <f t="shared" si="102"/>
        <v>41</v>
      </c>
      <c r="K98" s="7">
        <f t="shared" si="103"/>
        <v>42</v>
      </c>
      <c r="L98" s="7">
        <f t="shared" si="104"/>
        <v>43</v>
      </c>
      <c r="M98" s="7">
        <f t="shared" si="105"/>
        <v>43</v>
      </c>
      <c r="N98" s="7">
        <f t="shared" si="106"/>
        <v>45</v>
      </c>
      <c r="O98" s="7">
        <f t="shared" si="107"/>
        <v>43</v>
      </c>
      <c r="P98" s="7">
        <f t="shared" si="108"/>
        <v>42</v>
      </c>
      <c r="Q98" s="7">
        <f t="shared" si="109"/>
        <v>42</v>
      </c>
      <c r="R98" s="7">
        <f t="shared" si="110"/>
        <v>43</v>
      </c>
      <c r="S98" s="7">
        <f t="shared" si="111"/>
        <v>43</v>
      </c>
      <c r="T98" s="7">
        <f t="shared" si="112"/>
        <v>40</v>
      </c>
      <c r="U98" s="7">
        <f t="shared" si="113"/>
        <v>40</v>
      </c>
      <c r="V98" s="7">
        <f t="shared" si="114"/>
        <v>38</v>
      </c>
      <c r="W98" s="7">
        <f t="shared" si="115"/>
        <v>39</v>
      </c>
      <c r="X98" s="44">
        <f t="shared" si="68"/>
        <v>40.939686053151974</v>
      </c>
      <c r="Y98" s="44">
        <f t="shared" si="69"/>
        <v>43.25195026816187</v>
      </c>
      <c r="Z98" s="44">
        <f t="shared" si="70"/>
        <v>40.846550208907153</v>
      </c>
      <c r="AA98" s="44">
        <f t="shared" si="71"/>
        <v>41.225436895405934</v>
      </c>
      <c r="AB98" s="7">
        <v>15</v>
      </c>
      <c r="AC98" s="44" t="str">
        <f t="shared" si="72"/>
        <v>4</v>
      </c>
      <c r="AD98" s="44" t="str">
        <f t="shared" si="73"/>
        <v>4</v>
      </c>
      <c r="AE98" s="44" t="str">
        <f t="shared" si="74"/>
        <v>3</v>
      </c>
      <c r="AF98" s="44" t="str">
        <f t="shared" si="75"/>
        <v>3</v>
      </c>
      <c r="AG98" s="44" t="str">
        <f t="shared" si="76"/>
        <v>4</v>
      </c>
      <c r="AH98" s="44" t="str">
        <f t="shared" si="77"/>
        <v>7</v>
      </c>
      <c r="AI98" s="44" t="str">
        <f t="shared" si="78"/>
        <v>6컷원점</v>
      </c>
      <c r="AJ98" s="44" t="str">
        <f t="shared" si="79"/>
        <v>6</v>
      </c>
      <c r="AK98" s="44" t="str">
        <f t="shared" si="80"/>
        <v>7</v>
      </c>
      <c r="AL98" s="44" t="str">
        <f t="shared" si="81"/>
        <v>6</v>
      </c>
      <c r="AM98" s="44" t="str">
        <f t="shared" si="82"/>
        <v>6</v>
      </c>
      <c r="AN98" s="44" t="str">
        <f t="shared" si="83"/>
        <v>6</v>
      </c>
      <c r="AO98" s="44" t="str">
        <f t="shared" si="84"/>
        <v>6</v>
      </c>
      <c r="AP98" s="44" t="str">
        <f t="shared" si="85"/>
        <v>6</v>
      </c>
      <c r="AQ98" s="44" t="str">
        <f t="shared" si="86"/>
        <v>6</v>
      </c>
      <c r="AR98" s="44" t="str">
        <f t="shared" si="87"/>
        <v>6</v>
      </c>
      <c r="AS98" s="44" t="str">
        <f t="shared" si="88"/>
        <v>6</v>
      </c>
      <c r="AT98" s="44" t="str">
        <f t="shared" si="89"/>
        <v>6</v>
      </c>
      <c r="AU98" s="44" t="str">
        <f t="shared" si="90"/>
        <v>7</v>
      </c>
      <c r="AV98" s="44" t="str">
        <f t="shared" si="91"/>
        <v>7</v>
      </c>
      <c r="AW98" s="44" t="str">
        <f t="shared" si="92"/>
        <v>7</v>
      </c>
      <c r="AX98" s="44" t="str">
        <f t="shared" si="93"/>
        <v>7</v>
      </c>
      <c r="AY98" s="7">
        <v>4</v>
      </c>
      <c r="AZ98" s="7">
        <v>6</v>
      </c>
    </row>
    <row r="99" spans="1:52" hidden="1" x14ac:dyDescent="0.3">
      <c r="A99" s="7">
        <v>64</v>
      </c>
      <c r="B99" s="7">
        <f t="shared" si="94"/>
        <v>114</v>
      </c>
      <c r="C99" s="7">
        <f t="shared" si="95"/>
        <v>112</v>
      </c>
      <c r="D99" s="7">
        <f t="shared" si="96"/>
        <v>119</v>
      </c>
      <c r="E99" s="7">
        <f t="shared" si="97"/>
        <v>118</v>
      </c>
      <c r="F99" s="7">
        <f t="shared" si="98"/>
        <v>115</v>
      </c>
      <c r="G99" s="7">
        <f t="shared" si="99"/>
        <v>39</v>
      </c>
      <c r="H99" s="7">
        <f t="shared" si="100"/>
        <v>40</v>
      </c>
      <c r="I99" s="7">
        <f t="shared" si="101"/>
        <v>40</v>
      </c>
      <c r="J99" s="7">
        <f t="shared" si="102"/>
        <v>40</v>
      </c>
      <c r="K99" s="7">
        <f t="shared" si="103"/>
        <v>41</v>
      </c>
      <c r="L99" s="7">
        <f t="shared" si="104"/>
        <v>43</v>
      </c>
      <c r="M99" s="7">
        <f t="shared" si="105"/>
        <v>42</v>
      </c>
      <c r="N99" s="7">
        <f t="shared" si="106"/>
        <v>44</v>
      </c>
      <c r="O99" s="7">
        <f t="shared" si="107"/>
        <v>42</v>
      </c>
      <c r="P99" s="7">
        <f t="shared" si="108"/>
        <v>41</v>
      </c>
      <c r="Q99" s="7">
        <f t="shared" si="109"/>
        <v>41</v>
      </c>
      <c r="R99" s="7">
        <f t="shared" si="110"/>
        <v>42</v>
      </c>
      <c r="S99" s="7">
        <f t="shared" si="111"/>
        <v>42</v>
      </c>
      <c r="T99" s="7">
        <f t="shared" si="112"/>
        <v>39</v>
      </c>
      <c r="U99" s="7">
        <f t="shared" si="113"/>
        <v>40</v>
      </c>
      <c r="V99" s="7">
        <f t="shared" si="114"/>
        <v>38</v>
      </c>
      <c r="W99" s="7">
        <f t="shared" si="115"/>
        <v>38</v>
      </c>
      <c r="X99" s="44">
        <f t="shared" si="68"/>
        <v>39.947513486216451</v>
      </c>
      <c r="Y99" s="44">
        <f t="shared" si="69"/>
        <v>42.454107752315942</v>
      </c>
      <c r="Z99" s="44">
        <f t="shared" si="70"/>
        <v>39.846550208907153</v>
      </c>
      <c r="AA99" s="44">
        <f t="shared" si="71"/>
        <v>40.296887013914876</v>
      </c>
      <c r="AB99" s="7">
        <v>14</v>
      </c>
      <c r="AC99" s="44" t="str">
        <f t="shared" si="72"/>
        <v>4</v>
      </c>
      <c r="AD99" s="44" t="str">
        <f t="shared" si="73"/>
        <v>4</v>
      </c>
      <c r="AE99" s="44" t="str">
        <f t="shared" si="74"/>
        <v>3</v>
      </c>
      <c r="AF99" s="44" t="str">
        <f t="shared" si="75"/>
        <v>3</v>
      </c>
      <c r="AG99" s="44" t="str">
        <f t="shared" si="76"/>
        <v>4</v>
      </c>
      <c r="AH99" s="44" t="str">
        <f t="shared" si="77"/>
        <v>7</v>
      </c>
      <c r="AI99" s="44" t="str">
        <f t="shared" si="78"/>
        <v>7</v>
      </c>
      <c r="AJ99" s="44" t="str">
        <f t="shared" si="79"/>
        <v>6컷원점</v>
      </c>
      <c r="AK99" s="44" t="str">
        <f t="shared" si="80"/>
        <v>7</v>
      </c>
      <c r="AL99" s="44" t="str">
        <f t="shared" si="81"/>
        <v>6컷원점</v>
      </c>
      <c r="AM99" s="44" t="str">
        <f t="shared" si="82"/>
        <v>6</v>
      </c>
      <c r="AN99" s="44" t="str">
        <f t="shared" si="83"/>
        <v>6</v>
      </c>
      <c r="AO99" s="44" t="str">
        <f t="shared" si="84"/>
        <v>6</v>
      </c>
      <c r="AP99" s="44" t="str">
        <f t="shared" si="85"/>
        <v>6</v>
      </c>
      <c r="AQ99" s="44" t="str">
        <f t="shared" si="86"/>
        <v>6</v>
      </c>
      <c r="AR99" s="44" t="str">
        <f t="shared" si="87"/>
        <v>6</v>
      </c>
      <c r="AS99" s="44" t="str">
        <f t="shared" si="88"/>
        <v>6</v>
      </c>
      <c r="AT99" s="44" t="str">
        <f t="shared" si="89"/>
        <v>6</v>
      </c>
      <c r="AU99" s="44" t="str">
        <f t="shared" si="90"/>
        <v>7</v>
      </c>
      <c r="AV99" s="44" t="str">
        <f t="shared" si="91"/>
        <v>7</v>
      </c>
      <c r="AW99" s="44" t="str">
        <f t="shared" si="92"/>
        <v>7</v>
      </c>
      <c r="AX99" s="44" t="str">
        <f t="shared" si="93"/>
        <v>7</v>
      </c>
      <c r="AY99" s="7">
        <v>4</v>
      </c>
      <c r="AZ99" s="7">
        <v>7</v>
      </c>
    </row>
    <row r="100" spans="1:52" hidden="1" x14ac:dyDescent="0.3">
      <c r="A100" s="7">
        <v>63</v>
      </c>
      <c r="B100" s="7">
        <f t="shared" si="94"/>
        <v>113</v>
      </c>
      <c r="C100" s="7">
        <f t="shared" si="95"/>
        <v>112</v>
      </c>
      <c r="D100" s="7">
        <f t="shared" si="96"/>
        <v>118</v>
      </c>
      <c r="E100" s="7">
        <f t="shared" si="97"/>
        <v>117</v>
      </c>
      <c r="F100" s="7">
        <f t="shared" si="98"/>
        <v>114</v>
      </c>
      <c r="G100" s="7">
        <f t="shared" si="99"/>
        <v>39</v>
      </c>
      <c r="H100" s="7">
        <f t="shared" si="100"/>
        <v>39</v>
      </c>
      <c r="I100" s="7">
        <f t="shared" si="101"/>
        <v>39</v>
      </c>
      <c r="J100" s="7">
        <f t="shared" si="102"/>
        <v>40</v>
      </c>
      <c r="K100" s="7">
        <f t="shared" si="103"/>
        <v>40</v>
      </c>
      <c r="L100" s="7">
        <f t="shared" si="104"/>
        <v>42</v>
      </c>
      <c r="M100" s="7">
        <f t="shared" si="105"/>
        <v>41</v>
      </c>
      <c r="N100" s="7">
        <f t="shared" si="106"/>
        <v>43</v>
      </c>
      <c r="O100" s="7">
        <f t="shared" si="107"/>
        <v>41</v>
      </c>
      <c r="P100" s="7">
        <f t="shared" si="108"/>
        <v>40</v>
      </c>
      <c r="Q100" s="7">
        <f t="shared" si="109"/>
        <v>40</v>
      </c>
      <c r="R100" s="7">
        <f t="shared" si="110"/>
        <v>41</v>
      </c>
      <c r="S100" s="7">
        <f t="shared" si="111"/>
        <v>41</v>
      </c>
      <c r="T100" s="7">
        <f t="shared" si="112"/>
        <v>39</v>
      </c>
      <c r="U100" s="7">
        <f t="shared" si="113"/>
        <v>39</v>
      </c>
      <c r="V100" s="7">
        <f t="shared" si="114"/>
        <v>37</v>
      </c>
      <c r="W100" s="7">
        <f t="shared" si="115"/>
        <v>38</v>
      </c>
      <c r="X100" s="44">
        <f t="shared" si="68"/>
        <v>39.417230263872042</v>
      </c>
      <c r="Y100" s="44">
        <f t="shared" si="69"/>
        <v>41.454107752315942</v>
      </c>
      <c r="Z100" s="44">
        <f t="shared" si="70"/>
        <v>39.335186739919187</v>
      </c>
      <c r="AA100" s="44">
        <f t="shared" si="71"/>
        <v>39.62584061964867</v>
      </c>
      <c r="AB100" s="7">
        <v>13</v>
      </c>
      <c r="AC100" s="44" t="str">
        <f t="shared" si="72"/>
        <v>4</v>
      </c>
      <c r="AD100" s="44" t="str">
        <f t="shared" si="73"/>
        <v>4</v>
      </c>
      <c r="AE100" s="44" t="str">
        <f t="shared" si="74"/>
        <v>3</v>
      </c>
      <c r="AF100" s="44" t="str">
        <f t="shared" si="75"/>
        <v>3컷원점</v>
      </c>
      <c r="AG100" s="44" t="str">
        <f t="shared" si="76"/>
        <v>4</v>
      </c>
      <c r="AH100" s="44" t="str">
        <f t="shared" si="77"/>
        <v>7</v>
      </c>
      <c r="AI100" s="44" t="str">
        <f t="shared" si="78"/>
        <v>7</v>
      </c>
      <c r="AJ100" s="44" t="str">
        <f t="shared" si="79"/>
        <v>7</v>
      </c>
      <c r="AK100" s="44" t="str">
        <f t="shared" si="80"/>
        <v>7</v>
      </c>
      <c r="AL100" s="44" t="str">
        <f t="shared" si="81"/>
        <v>7</v>
      </c>
      <c r="AM100" s="44" t="str">
        <f t="shared" si="82"/>
        <v>6</v>
      </c>
      <c r="AN100" s="44" t="str">
        <f t="shared" si="83"/>
        <v>6</v>
      </c>
      <c r="AO100" s="44" t="str">
        <f t="shared" si="84"/>
        <v>6</v>
      </c>
      <c r="AP100" s="44" t="str">
        <f t="shared" si="85"/>
        <v>6컷원점</v>
      </c>
      <c r="AQ100" s="44" t="str">
        <f t="shared" si="86"/>
        <v>6컷원점</v>
      </c>
      <c r="AR100" s="44" t="str">
        <f t="shared" si="87"/>
        <v>6컷원점</v>
      </c>
      <c r="AS100" s="44" t="str">
        <f t="shared" si="88"/>
        <v>6컷원점</v>
      </c>
      <c r="AT100" s="44" t="str">
        <f t="shared" si="89"/>
        <v>6컷원점</v>
      </c>
      <c r="AU100" s="44" t="str">
        <f t="shared" si="90"/>
        <v>7</v>
      </c>
      <c r="AV100" s="44" t="str">
        <f t="shared" si="91"/>
        <v>7</v>
      </c>
      <c r="AW100" s="44" t="str">
        <f t="shared" si="92"/>
        <v>7</v>
      </c>
      <c r="AX100" s="44" t="str">
        <f t="shared" si="93"/>
        <v>7</v>
      </c>
      <c r="AY100" s="7">
        <v>4</v>
      </c>
      <c r="AZ100" s="7">
        <v>7</v>
      </c>
    </row>
    <row r="101" spans="1:52" hidden="1" x14ac:dyDescent="0.3">
      <c r="A101" s="7">
        <v>62</v>
      </c>
      <c r="B101" s="7">
        <f t="shared" si="94"/>
        <v>112</v>
      </c>
      <c r="C101" s="7">
        <f t="shared" si="95"/>
        <v>111</v>
      </c>
      <c r="D101" s="7">
        <f t="shared" si="96"/>
        <v>117</v>
      </c>
      <c r="E101" s="7">
        <f t="shared" si="97"/>
        <v>116</v>
      </c>
      <c r="F101" s="7">
        <f t="shared" si="98"/>
        <v>113</v>
      </c>
      <c r="G101" s="7">
        <f t="shared" si="99"/>
        <v>38</v>
      </c>
      <c r="H101" s="7">
        <f t="shared" si="100"/>
        <v>38</v>
      </c>
      <c r="I101" s="7">
        <f t="shared" si="101"/>
        <v>39</v>
      </c>
      <c r="J101" s="7">
        <f t="shared" si="102"/>
        <v>39</v>
      </c>
      <c r="K101" s="7">
        <f t="shared" si="103"/>
        <v>40</v>
      </c>
      <c r="L101" s="7">
        <f t="shared" si="104"/>
        <v>41</v>
      </c>
      <c r="M101" s="7">
        <f t="shared" si="105"/>
        <v>40</v>
      </c>
      <c r="N101" s="7">
        <f t="shared" si="106"/>
        <v>42</v>
      </c>
      <c r="O101" s="7">
        <f t="shared" si="107"/>
        <v>40</v>
      </c>
      <c r="P101" s="7">
        <f t="shared" si="108"/>
        <v>39</v>
      </c>
      <c r="Q101" s="7">
        <f t="shared" si="109"/>
        <v>39</v>
      </c>
      <c r="R101" s="7">
        <f t="shared" si="110"/>
        <v>40</v>
      </c>
      <c r="S101" s="7">
        <f t="shared" si="111"/>
        <v>40</v>
      </c>
      <c r="T101" s="7">
        <f t="shared" si="112"/>
        <v>38</v>
      </c>
      <c r="U101" s="7">
        <f t="shared" si="113"/>
        <v>39</v>
      </c>
      <c r="V101" s="7">
        <f t="shared" si="114"/>
        <v>37</v>
      </c>
      <c r="W101" s="7">
        <f t="shared" si="115"/>
        <v>37</v>
      </c>
      <c r="X101" s="44">
        <f t="shared" si="68"/>
        <v>38.742249260204922</v>
      </c>
      <c r="Y101" s="44">
        <f t="shared" si="69"/>
        <v>40.637311067771819</v>
      </c>
      <c r="Z101" s="44">
        <f t="shared" si="70"/>
        <v>38.665917939502847</v>
      </c>
      <c r="AA101" s="44">
        <f t="shared" si="71"/>
        <v>38.697290738157612</v>
      </c>
      <c r="AB101" s="7">
        <v>12</v>
      </c>
      <c r="AC101" s="44" t="str">
        <f t="shared" si="72"/>
        <v>4</v>
      </c>
      <c r="AD101" s="44" t="str">
        <f t="shared" si="73"/>
        <v>4</v>
      </c>
      <c r="AE101" s="44" t="str">
        <f t="shared" si="74"/>
        <v>3컷원점</v>
      </c>
      <c r="AF101" s="44" t="str">
        <f t="shared" si="75"/>
        <v>4</v>
      </c>
      <c r="AG101" s="44" t="str">
        <f t="shared" si="76"/>
        <v>4</v>
      </c>
      <c r="AH101" s="44" t="str">
        <f t="shared" si="77"/>
        <v>7</v>
      </c>
      <c r="AI101" s="44" t="str">
        <f t="shared" si="78"/>
        <v>7</v>
      </c>
      <c r="AJ101" s="44" t="str">
        <f t="shared" si="79"/>
        <v>7</v>
      </c>
      <c r="AK101" s="44" t="str">
        <f t="shared" si="80"/>
        <v>7</v>
      </c>
      <c r="AL101" s="44" t="str">
        <f t="shared" si="81"/>
        <v>7</v>
      </c>
      <c r="AM101" s="44" t="str">
        <f t="shared" si="82"/>
        <v>6컷원점</v>
      </c>
      <c r="AN101" s="44" t="str">
        <f t="shared" si="83"/>
        <v>6컷원점</v>
      </c>
      <c r="AO101" s="44" t="str">
        <f t="shared" si="84"/>
        <v>6</v>
      </c>
      <c r="AP101" s="44" t="str">
        <f t="shared" si="85"/>
        <v>7</v>
      </c>
      <c r="AQ101" s="44" t="str">
        <f t="shared" si="86"/>
        <v>7</v>
      </c>
      <c r="AR101" s="44" t="str">
        <f t="shared" si="87"/>
        <v>7</v>
      </c>
      <c r="AS101" s="44" t="str">
        <f t="shared" si="88"/>
        <v>7</v>
      </c>
      <c r="AT101" s="44" t="str">
        <f t="shared" si="89"/>
        <v>7</v>
      </c>
      <c r="AU101" s="44" t="str">
        <f t="shared" si="90"/>
        <v>7</v>
      </c>
      <c r="AV101" s="44" t="str">
        <f t="shared" si="91"/>
        <v>7</v>
      </c>
      <c r="AW101" s="44" t="str">
        <f t="shared" si="92"/>
        <v>7</v>
      </c>
      <c r="AX101" s="44" t="str">
        <f t="shared" si="93"/>
        <v>7</v>
      </c>
      <c r="AY101" s="7">
        <v>4</v>
      </c>
      <c r="AZ101" s="7">
        <v>7</v>
      </c>
    </row>
    <row r="102" spans="1:52" hidden="1" x14ac:dyDescent="0.3">
      <c r="A102" s="7">
        <v>61</v>
      </c>
      <c r="B102" s="7">
        <f t="shared" si="94"/>
        <v>111</v>
      </c>
      <c r="C102" s="7">
        <f t="shared" si="95"/>
        <v>110</v>
      </c>
      <c r="D102" s="7">
        <f t="shared" si="96"/>
        <v>116</v>
      </c>
      <c r="E102" s="7">
        <f t="shared" si="97"/>
        <v>115</v>
      </c>
      <c r="F102" s="7">
        <f t="shared" si="98"/>
        <v>113</v>
      </c>
      <c r="G102" s="7">
        <f t="shared" si="99"/>
        <v>37</v>
      </c>
      <c r="H102" s="7">
        <f t="shared" si="100"/>
        <v>37</v>
      </c>
      <c r="I102" s="7">
        <f t="shared" si="101"/>
        <v>38</v>
      </c>
      <c r="J102" s="7">
        <f t="shared" si="102"/>
        <v>39</v>
      </c>
      <c r="K102" s="7">
        <f t="shared" si="103"/>
        <v>39</v>
      </c>
      <c r="L102" s="7">
        <f t="shared" si="104"/>
        <v>40</v>
      </c>
      <c r="M102" s="7">
        <f t="shared" si="105"/>
        <v>39</v>
      </c>
      <c r="N102" s="7">
        <f t="shared" si="106"/>
        <v>41</v>
      </c>
      <c r="O102" s="7">
        <f t="shared" si="107"/>
        <v>38</v>
      </c>
      <c r="P102" s="7">
        <f t="shared" si="108"/>
        <v>38</v>
      </c>
      <c r="Q102" s="7">
        <f t="shared" si="109"/>
        <v>38</v>
      </c>
      <c r="R102" s="7">
        <f t="shared" si="110"/>
        <v>39</v>
      </c>
      <c r="S102" s="7">
        <f t="shared" si="111"/>
        <v>39</v>
      </c>
      <c r="T102" s="7">
        <f t="shared" si="112"/>
        <v>38</v>
      </c>
      <c r="U102" s="7">
        <f t="shared" si="113"/>
        <v>38</v>
      </c>
      <c r="V102" s="7">
        <f t="shared" si="114"/>
        <v>36</v>
      </c>
      <c r="W102" s="7">
        <f t="shared" si="115"/>
        <v>36</v>
      </c>
      <c r="X102" s="44">
        <f t="shared" si="68"/>
        <v>38.064457743188456</v>
      </c>
      <c r="Y102" s="44">
        <f t="shared" si="69"/>
        <v>39.637311067771819</v>
      </c>
      <c r="Z102" s="44">
        <f t="shared" si="70"/>
        <v>38.001104679422035</v>
      </c>
      <c r="AA102" s="44">
        <f t="shared" si="71"/>
        <v>37.426838589686888</v>
      </c>
      <c r="AB102" s="7">
        <v>11</v>
      </c>
      <c r="AC102" s="44" t="str">
        <f t="shared" si="72"/>
        <v>4</v>
      </c>
      <c r="AD102" s="44" t="str">
        <f t="shared" si="73"/>
        <v>4</v>
      </c>
      <c r="AE102" s="44" t="str">
        <f t="shared" si="74"/>
        <v>4</v>
      </c>
      <c r="AF102" s="44" t="str">
        <f t="shared" si="75"/>
        <v>4</v>
      </c>
      <c r="AG102" s="44" t="str">
        <f t="shared" si="76"/>
        <v>4</v>
      </c>
      <c r="AH102" s="44" t="str">
        <f t="shared" si="77"/>
        <v>7컷원점</v>
      </c>
      <c r="AI102" s="44" t="str">
        <f t="shared" si="78"/>
        <v>7</v>
      </c>
      <c r="AJ102" s="44" t="str">
        <f t="shared" si="79"/>
        <v>7</v>
      </c>
      <c r="AK102" s="44" t="str">
        <f t="shared" si="80"/>
        <v>7</v>
      </c>
      <c r="AL102" s="44" t="str">
        <f t="shared" si="81"/>
        <v>7</v>
      </c>
      <c r="AM102" s="44" t="str">
        <f t="shared" si="82"/>
        <v>7</v>
      </c>
      <c r="AN102" s="44" t="str">
        <f t="shared" si="83"/>
        <v>7</v>
      </c>
      <c r="AO102" s="44" t="str">
        <f t="shared" si="84"/>
        <v>6</v>
      </c>
      <c r="AP102" s="44" t="str">
        <f t="shared" si="85"/>
        <v>7</v>
      </c>
      <c r="AQ102" s="44" t="str">
        <f t="shared" si="86"/>
        <v>7</v>
      </c>
      <c r="AR102" s="44" t="str">
        <f t="shared" si="87"/>
        <v>7</v>
      </c>
      <c r="AS102" s="44" t="str">
        <f t="shared" si="88"/>
        <v>7</v>
      </c>
      <c r="AT102" s="44" t="str">
        <f t="shared" si="89"/>
        <v>7</v>
      </c>
      <c r="AU102" s="44" t="str">
        <f t="shared" si="90"/>
        <v>7컷원점</v>
      </c>
      <c r="AV102" s="44" t="str">
        <f t="shared" si="91"/>
        <v>7컷원점</v>
      </c>
      <c r="AW102" s="44" t="str">
        <f t="shared" si="92"/>
        <v>7컷원점</v>
      </c>
      <c r="AX102" s="44" t="str">
        <f t="shared" si="93"/>
        <v>7컷원점</v>
      </c>
      <c r="AY102" s="7">
        <v>4</v>
      </c>
      <c r="AZ102" s="7">
        <v>7</v>
      </c>
    </row>
    <row r="103" spans="1:52" hidden="1" x14ac:dyDescent="0.3">
      <c r="A103" s="7">
        <v>60</v>
      </c>
      <c r="B103" s="7">
        <f t="shared" si="94"/>
        <v>110</v>
      </c>
      <c r="C103" s="7">
        <f t="shared" si="95"/>
        <v>109</v>
      </c>
      <c r="D103" s="7">
        <f t="shared" si="96"/>
        <v>115</v>
      </c>
      <c r="E103" s="7">
        <f t="shared" si="97"/>
        <v>114</v>
      </c>
      <c r="F103" s="7">
        <f t="shared" si="98"/>
        <v>112</v>
      </c>
      <c r="G103" s="7">
        <f t="shared" si="99"/>
        <v>36</v>
      </c>
      <c r="H103" s="7">
        <f t="shared" si="100"/>
        <v>36</v>
      </c>
      <c r="I103" s="7">
        <f t="shared" si="101"/>
        <v>38</v>
      </c>
      <c r="J103" s="7">
        <f t="shared" si="102"/>
        <v>38</v>
      </c>
      <c r="K103" s="7">
        <f t="shared" si="103"/>
        <v>39</v>
      </c>
      <c r="L103" s="7">
        <f t="shared" si="104"/>
        <v>39</v>
      </c>
      <c r="M103" s="7">
        <f t="shared" si="105"/>
        <v>38</v>
      </c>
      <c r="N103" s="7">
        <f t="shared" si="106"/>
        <v>40</v>
      </c>
      <c r="O103" s="7">
        <f t="shared" si="107"/>
        <v>37</v>
      </c>
      <c r="P103" s="7">
        <f t="shared" si="108"/>
        <v>38</v>
      </c>
      <c r="Q103" s="7">
        <f t="shared" si="109"/>
        <v>38</v>
      </c>
      <c r="R103" s="7">
        <f t="shared" si="110"/>
        <v>38</v>
      </c>
      <c r="S103" s="7">
        <f t="shared" si="111"/>
        <v>38</v>
      </c>
      <c r="T103" s="7">
        <f t="shared" si="112"/>
        <v>38</v>
      </c>
      <c r="U103" s="7">
        <f t="shared" si="113"/>
        <v>37</v>
      </c>
      <c r="V103" s="7">
        <f t="shared" si="114"/>
        <v>35</v>
      </c>
      <c r="W103" s="7">
        <f t="shared" si="115"/>
        <v>35</v>
      </c>
      <c r="X103" s="44">
        <f t="shared" si="68"/>
        <v>37.389476739521342</v>
      </c>
      <c r="Y103" s="44">
        <f t="shared" si="69"/>
        <v>38.820514383227696</v>
      </c>
      <c r="Z103" s="44">
        <f t="shared" si="70"/>
        <v>37.331835879005688</v>
      </c>
      <c r="AA103" s="44">
        <f t="shared" si="71"/>
        <v>36.632883112759274</v>
      </c>
      <c r="AB103" s="7">
        <v>10</v>
      </c>
      <c r="AC103" s="44" t="str">
        <f t="shared" si="72"/>
        <v>4</v>
      </c>
      <c r="AD103" s="44" t="str">
        <f t="shared" si="73"/>
        <v>4</v>
      </c>
      <c r="AE103" s="44" t="str">
        <f t="shared" si="74"/>
        <v>4</v>
      </c>
      <c r="AF103" s="44" t="str">
        <f t="shared" si="75"/>
        <v>4</v>
      </c>
      <c r="AG103" s="44" t="str">
        <f t="shared" si="76"/>
        <v>4</v>
      </c>
      <c r="AH103" s="44" t="str">
        <f t="shared" si="77"/>
        <v>8</v>
      </c>
      <c r="AI103" s="44" t="str">
        <f t="shared" si="78"/>
        <v>7컷원점</v>
      </c>
      <c r="AJ103" s="44" t="str">
        <f t="shared" si="79"/>
        <v>7</v>
      </c>
      <c r="AK103" s="44" t="str">
        <f t="shared" si="80"/>
        <v>7컷원점</v>
      </c>
      <c r="AL103" s="44" t="str">
        <f t="shared" si="81"/>
        <v>7</v>
      </c>
      <c r="AM103" s="44" t="str">
        <f t="shared" si="82"/>
        <v>7</v>
      </c>
      <c r="AN103" s="44" t="str">
        <f t="shared" si="83"/>
        <v>7</v>
      </c>
      <c r="AO103" s="44" t="str">
        <f t="shared" si="84"/>
        <v>6컷원점</v>
      </c>
      <c r="AP103" s="44" t="str">
        <f t="shared" si="85"/>
        <v>7</v>
      </c>
      <c r="AQ103" s="44" t="str">
        <f t="shared" si="86"/>
        <v>7</v>
      </c>
      <c r="AR103" s="44" t="str">
        <f t="shared" si="87"/>
        <v>7</v>
      </c>
      <c r="AS103" s="44" t="str">
        <f t="shared" si="88"/>
        <v>7</v>
      </c>
      <c r="AT103" s="44" t="str">
        <f t="shared" si="89"/>
        <v>7</v>
      </c>
      <c r="AU103" s="44" t="str">
        <f t="shared" si="90"/>
        <v>8</v>
      </c>
      <c r="AV103" s="44" t="str">
        <f t="shared" si="91"/>
        <v>8</v>
      </c>
      <c r="AW103" s="44" t="str">
        <f t="shared" si="92"/>
        <v>8</v>
      </c>
      <c r="AX103" s="44" t="str">
        <f t="shared" si="93"/>
        <v>8</v>
      </c>
      <c r="AY103" s="7">
        <v>4</v>
      </c>
      <c r="AZ103" s="7">
        <v>7</v>
      </c>
    </row>
    <row r="104" spans="1:52" hidden="1" x14ac:dyDescent="0.3">
      <c r="A104" s="7">
        <v>59</v>
      </c>
      <c r="B104" s="7">
        <f t="shared" si="94"/>
        <v>110</v>
      </c>
      <c r="C104" s="7">
        <f t="shared" si="95"/>
        <v>108</v>
      </c>
      <c r="D104" s="7">
        <f t="shared" si="96"/>
        <v>114</v>
      </c>
      <c r="E104" s="7">
        <f t="shared" si="97"/>
        <v>113</v>
      </c>
      <c r="F104" s="7">
        <f t="shared" si="98"/>
        <v>111</v>
      </c>
      <c r="G104" s="7">
        <f t="shared" si="99"/>
        <v>35</v>
      </c>
      <c r="H104" s="7">
        <f t="shared" si="100"/>
        <v>34</v>
      </c>
      <c r="I104" s="7">
        <f t="shared" si="101"/>
        <v>37</v>
      </c>
      <c r="J104" s="7">
        <f t="shared" si="102"/>
        <v>37</v>
      </c>
      <c r="K104" s="7">
        <f t="shared" si="103"/>
        <v>38</v>
      </c>
      <c r="L104" s="7">
        <f t="shared" si="104"/>
        <v>38</v>
      </c>
      <c r="M104" s="7">
        <f t="shared" si="105"/>
        <v>37</v>
      </c>
      <c r="N104" s="7">
        <f t="shared" si="106"/>
        <v>39</v>
      </c>
      <c r="O104" s="7">
        <f t="shared" si="107"/>
        <v>36</v>
      </c>
      <c r="P104" s="7">
        <f t="shared" si="108"/>
        <v>37</v>
      </c>
      <c r="Q104" s="7">
        <f t="shared" si="109"/>
        <v>37</v>
      </c>
      <c r="R104" s="7">
        <f t="shared" si="110"/>
        <v>37</v>
      </c>
      <c r="S104" s="7">
        <f t="shared" si="111"/>
        <v>37</v>
      </c>
      <c r="T104" s="7">
        <f t="shared" si="112"/>
        <v>37</v>
      </c>
      <c r="U104" s="7">
        <f t="shared" si="113"/>
        <v>36</v>
      </c>
      <c r="V104" s="7">
        <f t="shared" si="114"/>
        <v>34</v>
      </c>
      <c r="W104" s="7">
        <f t="shared" si="115"/>
        <v>34</v>
      </c>
      <c r="X104" s="44">
        <f t="shared" si="68"/>
        <v>36.215838458016925</v>
      </c>
      <c r="Y104" s="44">
        <f t="shared" si="69"/>
        <v>37.820514383227696</v>
      </c>
      <c r="Z104" s="44">
        <f t="shared" si="70"/>
        <v>36.151203609601382</v>
      </c>
      <c r="AA104" s="44">
        <f t="shared" si="71"/>
        <v>35.632883112759274</v>
      </c>
      <c r="AB104" s="7">
        <v>9</v>
      </c>
      <c r="AC104" s="44" t="str">
        <f t="shared" si="72"/>
        <v>4</v>
      </c>
      <c r="AD104" s="44" t="str">
        <f t="shared" si="73"/>
        <v>4컷원점</v>
      </c>
      <c r="AE104" s="44" t="str">
        <f t="shared" si="74"/>
        <v>4</v>
      </c>
      <c r="AF104" s="44" t="str">
        <f t="shared" si="75"/>
        <v>4</v>
      </c>
      <c r="AG104" s="44" t="str">
        <f t="shared" si="76"/>
        <v>4</v>
      </c>
      <c r="AH104" s="44" t="str">
        <f t="shared" si="77"/>
        <v>8</v>
      </c>
      <c r="AI104" s="44" t="str">
        <f t="shared" si="78"/>
        <v>8</v>
      </c>
      <c r="AJ104" s="44" t="str">
        <f t="shared" si="79"/>
        <v>7컷원점</v>
      </c>
      <c r="AK104" s="44" t="str">
        <f t="shared" si="80"/>
        <v>8</v>
      </c>
      <c r="AL104" s="44" t="str">
        <f t="shared" si="81"/>
        <v>7컷원점</v>
      </c>
      <c r="AM104" s="44" t="str">
        <f t="shared" si="82"/>
        <v>7컷원점</v>
      </c>
      <c r="AN104" s="44" t="str">
        <f t="shared" si="83"/>
        <v>7컷원점</v>
      </c>
      <c r="AO104" s="44" t="str">
        <f t="shared" si="84"/>
        <v>7</v>
      </c>
      <c r="AP104" s="44" t="str">
        <f t="shared" si="85"/>
        <v>7컷원점</v>
      </c>
      <c r="AQ104" s="44" t="str">
        <f t="shared" si="86"/>
        <v>7컷원점</v>
      </c>
      <c r="AR104" s="44" t="str">
        <f t="shared" si="87"/>
        <v>7컷원점</v>
      </c>
      <c r="AS104" s="44" t="str">
        <f t="shared" si="88"/>
        <v>7컷원점</v>
      </c>
      <c r="AT104" s="44" t="str">
        <f t="shared" si="89"/>
        <v>7컷원점</v>
      </c>
      <c r="AU104" s="44" t="str">
        <f t="shared" si="90"/>
        <v>8</v>
      </c>
      <c r="AV104" s="44" t="str">
        <f t="shared" si="91"/>
        <v>8</v>
      </c>
      <c r="AW104" s="44" t="str">
        <f t="shared" si="92"/>
        <v>8</v>
      </c>
      <c r="AX104" s="44" t="str">
        <f t="shared" si="93"/>
        <v>8</v>
      </c>
      <c r="AY104" s="7">
        <v>5</v>
      </c>
      <c r="AZ104" s="7">
        <v>8</v>
      </c>
    </row>
    <row r="105" spans="1:52" hidden="1" x14ac:dyDescent="0.3">
      <c r="A105" s="7">
        <v>58</v>
      </c>
      <c r="B105" s="7">
        <f t="shared" si="94"/>
        <v>109</v>
      </c>
      <c r="C105" s="7">
        <f t="shared" si="95"/>
        <v>107</v>
      </c>
      <c r="D105" s="7">
        <f t="shared" si="96"/>
        <v>113</v>
      </c>
      <c r="E105" s="7">
        <f t="shared" si="97"/>
        <v>112</v>
      </c>
      <c r="F105" s="7">
        <f t="shared" si="98"/>
        <v>110</v>
      </c>
      <c r="G105" s="7">
        <f t="shared" si="99"/>
        <v>35</v>
      </c>
      <c r="H105" s="7">
        <f t="shared" si="100"/>
        <v>33</v>
      </c>
      <c r="I105" s="7">
        <f t="shared" si="101"/>
        <v>36</v>
      </c>
      <c r="J105" s="7">
        <f t="shared" si="102"/>
        <v>36</v>
      </c>
      <c r="K105" s="7">
        <f t="shared" si="103"/>
        <v>37</v>
      </c>
      <c r="L105" s="7">
        <f t="shared" si="104"/>
        <v>37</v>
      </c>
      <c r="M105" s="7">
        <f t="shared" si="105"/>
        <v>36</v>
      </c>
      <c r="N105" s="7">
        <f t="shared" si="106"/>
        <v>37</v>
      </c>
      <c r="O105" s="7">
        <f t="shared" si="107"/>
        <v>35</v>
      </c>
      <c r="P105" s="7">
        <f t="shared" si="108"/>
        <v>36</v>
      </c>
      <c r="Q105" s="7">
        <f t="shared" si="109"/>
        <v>36</v>
      </c>
      <c r="R105" s="7">
        <f t="shared" si="110"/>
        <v>36</v>
      </c>
      <c r="S105" s="7">
        <f t="shared" si="111"/>
        <v>36</v>
      </c>
      <c r="T105" s="7">
        <f t="shared" si="112"/>
        <v>37</v>
      </c>
      <c r="U105" s="7">
        <f t="shared" si="113"/>
        <v>36</v>
      </c>
      <c r="V105" s="7">
        <f t="shared" si="114"/>
        <v>34</v>
      </c>
      <c r="W105" s="7">
        <f t="shared" si="115"/>
        <v>34</v>
      </c>
      <c r="X105" s="44">
        <f t="shared" si="68"/>
        <v>35.354922292019651</v>
      </c>
      <c r="Y105" s="44">
        <f t="shared" si="69"/>
        <v>36.602937591418822</v>
      </c>
      <c r="Z105" s="44">
        <f t="shared" si="70"/>
        <v>35.304653400694228</v>
      </c>
      <c r="AA105" s="44">
        <f t="shared" si="71"/>
        <v>35.033286837002009</v>
      </c>
      <c r="AB105" s="7">
        <v>8</v>
      </c>
      <c r="AC105" s="44" t="str">
        <f t="shared" si="72"/>
        <v>4</v>
      </c>
      <c r="AD105" s="44" t="str">
        <f t="shared" si="73"/>
        <v>5</v>
      </c>
      <c r="AE105" s="44" t="str">
        <f t="shared" si="74"/>
        <v>4</v>
      </c>
      <c r="AF105" s="44" t="str">
        <f t="shared" si="75"/>
        <v>4</v>
      </c>
      <c r="AG105" s="44" t="str">
        <f t="shared" si="76"/>
        <v>4</v>
      </c>
      <c r="AH105" s="44" t="str">
        <f t="shared" si="77"/>
        <v>8</v>
      </c>
      <c r="AI105" s="44" t="str">
        <f t="shared" si="78"/>
        <v>8</v>
      </c>
      <c r="AJ105" s="44" t="str">
        <f t="shared" si="79"/>
        <v>8</v>
      </c>
      <c r="AK105" s="44" t="str">
        <f t="shared" si="80"/>
        <v>8</v>
      </c>
      <c r="AL105" s="44" t="str">
        <f t="shared" si="81"/>
        <v>8</v>
      </c>
      <c r="AM105" s="44" t="str">
        <f t="shared" si="82"/>
        <v>8</v>
      </c>
      <c r="AN105" s="44" t="str">
        <f t="shared" si="83"/>
        <v>8</v>
      </c>
      <c r="AO105" s="44" t="str">
        <f t="shared" si="84"/>
        <v>7컷원점</v>
      </c>
      <c r="AP105" s="44" t="str">
        <f t="shared" si="85"/>
        <v>8</v>
      </c>
      <c r="AQ105" s="44" t="str">
        <f t="shared" si="86"/>
        <v>8</v>
      </c>
      <c r="AR105" s="44" t="str">
        <f t="shared" si="87"/>
        <v>8</v>
      </c>
      <c r="AS105" s="44" t="str">
        <f t="shared" si="88"/>
        <v>8</v>
      </c>
      <c r="AT105" s="44" t="str">
        <f t="shared" si="89"/>
        <v>8</v>
      </c>
      <c r="AU105" s="44" t="str">
        <f t="shared" si="90"/>
        <v>8</v>
      </c>
      <c r="AV105" s="44" t="str">
        <f t="shared" si="91"/>
        <v>8</v>
      </c>
      <c r="AW105" s="44" t="str">
        <f t="shared" si="92"/>
        <v>8</v>
      </c>
      <c r="AX105" s="44" t="str">
        <f t="shared" si="93"/>
        <v>8</v>
      </c>
      <c r="AY105" s="7">
        <v>5</v>
      </c>
      <c r="AZ105" s="7">
        <v>8</v>
      </c>
    </row>
    <row r="106" spans="1:52" hidden="1" x14ac:dyDescent="0.3">
      <c r="A106" s="7">
        <v>57</v>
      </c>
      <c r="B106" s="7">
        <f t="shared" si="94"/>
        <v>108</v>
      </c>
      <c r="C106" s="7">
        <f t="shared" si="95"/>
        <v>106</v>
      </c>
      <c r="D106" s="7">
        <f t="shared" si="96"/>
        <v>113</v>
      </c>
      <c r="E106" s="7">
        <f t="shared" si="97"/>
        <v>111</v>
      </c>
      <c r="F106" s="7">
        <f t="shared" si="98"/>
        <v>109</v>
      </c>
      <c r="G106" s="7">
        <f t="shared" si="99"/>
        <v>34</v>
      </c>
      <c r="H106" s="7">
        <f t="shared" si="100"/>
        <v>31</v>
      </c>
      <c r="I106" s="7">
        <f t="shared" si="101"/>
        <v>34</v>
      </c>
      <c r="J106" s="7">
        <f t="shared" si="102"/>
        <v>35</v>
      </c>
      <c r="K106" s="7">
        <f t="shared" si="103"/>
        <v>36</v>
      </c>
      <c r="L106" s="7">
        <f t="shared" si="104"/>
        <v>36</v>
      </c>
      <c r="M106" s="7">
        <f t="shared" si="105"/>
        <v>36</v>
      </c>
      <c r="N106" s="7">
        <f t="shared" si="106"/>
        <v>36</v>
      </c>
      <c r="O106" s="7">
        <f t="shared" si="107"/>
        <v>34</v>
      </c>
      <c r="P106" s="7">
        <f t="shared" si="108"/>
        <v>36</v>
      </c>
      <c r="Q106" s="7">
        <f t="shared" si="109"/>
        <v>35</v>
      </c>
      <c r="R106" s="7">
        <f t="shared" si="110"/>
        <v>36</v>
      </c>
      <c r="S106" s="7">
        <f t="shared" si="111"/>
        <v>36</v>
      </c>
      <c r="T106" s="7">
        <f t="shared" si="112"/>
        <v>36</v>
      </c>
      <c r="U106" s="7">
        <f t="shared" si="113"/>
        <v>35</v>
      </c>
      <c r="V106" s="7">
        <f t="shared" si="114"/>
        <v>33</v>
      </c>
      <c r="W106" s="7">
        <f t="shared" si="115"/>
        <v>33</v>
      </c>
      <c r="X106" s="44">
        <f t="shared" si="68"/>
        <v>33.878732602426808</v>
      </c>
      <c r="Y106" s="44">
        <f t="shared" si="69"/>
        <v>36</v>
      </c>
      <c r="Z106" s="44">
        <f t="shared" si="70"/>
        <v>33.793289931706262</v>
      </c>
      <c r="AA106" s="44">
        <f t="shared" si="71"/>
        <v>34.227602944011615</v>
      </c>
      <c r="AB106" s="7">
        <v>7</v>
      </c>
      <c r="AC106" s="44" t="str">
        <f t="shared" si="72"/>
        <v>4컷원점</v>
      </c>
      <c r="AD106" s="44" t="str">
        <f t="shared" si="73"/>
        <v>5</v>
      </c>
      <c r="AE106" s="44" t="str">
        <f t="shared" si="74"/>
        <v>4</v>
      </c>
      <c r="AF106" s="44" t="str">
        <f t="shared" si="75"/>
        <v>4</v>
      </c>
      <c r="AG106" s="44" t="str">
        <f t="shared" si="76"/>
        <v>4</v>
      </c>
      <c r="AH106" s="44" t="str">
        <f t="shared" si="77"/>
        <v>8컷원점</v>
      </c>
      <c r="AI106" s="44" t="str">
        <f t="shared" si="78"/>
        <v>8컷원점</v>
      </c>
      <c r="AJ106" s="44" t="str">
        <f t="shared" si="79"/>
        <v>8</v>
      </c>
      <c r="AK106" s="44" t="str">
        <f t="shared" si="80"/>
        <v>8컷원점</v>
      </c>
      <c r="AL106" s="44" t="str">
        <f t="shared" si="81"/>
        <v>8</v>
      </c>
      <c r="AM106" s="44" t="str">
        <f t="shared" si="82"/>
        <v>8</v>
      </c>
      <c r="AN106" s="44" t="str">
        <f t="shared" si="83"/>
        <v>8</v>
      </c>
      <c r="AO106" s="44" t="str">
        <f t="shared" si="84"/>
        <v>8</v>
      </c>
      <c r="AP106" s="44" t="str">
        <f t="shared" si="85"/>
        <v>8</v>
      </c>
      <c r="AQ106" s="44" t="str">
        <f t="shared" si="86"/>
        <v>8</v>
      </c>
      <c r="AR106" s="44" t="str">
        <f t="shared" si="87"/>
        <v>8</v>
      </c>
      <c r="AS106" s="44" t="str">
        <f t="shared" si="88"/>
        <v>8</v>
      </c>
      <c r="AT106" s="44" t="str">
        <f t="shared" si="89"/>
        <v>8</v>
      </c>
      <c r="AU106" s="44" t="str">
        <f t="shared" si="90"/>
        <v>8컷원점</v>
      </c>
      <c r="AV106" s="44" t="str">
        <f t="shared" si="91"/>
        <v>8컷원점</v>
      </c>
      <c r="AW106" s="44" t="str">
        <f t="shared" si="92"/>
        <v>8컷원점</v>
      </c>
      <c r="AX106" s="44" t="str">
        <f t="shared" si="93"/>
        <v>8컷원점</v>
      </c>
      <c r="AY106" s="7">
        <v>5</v>
      </c>
      <c r="AZ106" s="7">
        <v>8</v>
      </c>
    </row>
    <row r="107" spans="1:52" hidden="1" x14ac:dyDescent="0.3">
      <c r="A107" s="7">
        <v>56</v>
      </c>
      <c r="B107" s="7">
        <f t="shared" si="94"/>
        <v>107</v>
      </c>
      <c r="C107" s="7">
        <f t="shared" si="95"/>
        <v>105</v>
      </c>
      <c r="D107" s="7">
        <f t="shared" si="96"/>
        <v>112</v>
      </c>
      <c r="E107" s="7">
        <f t="shared" si="97"/>
        <v>110</v>
      </c>
      <c r="F107" s="7">
        <f t="shared" si="98"/>
        <v>108</v>
      </c>
      <c r="G107" s="7">
        <f t="shared" si="99"/>
        <v>34</v>
      </c>
      <c r="H107" s="7">
        <f t="shared" si="100"/>
        <v>31</v>
      </c>
      <c r="I107" s="7">
        <f t="shared" si="101"/>
        <v>33</v>
      </c>
      <c r="J107" s="7">
        <f t="shared" si="102"/>
        <v>35</v>
      </c>
      <c r="K107" s="7">
        <f t="shared" si="103"/>
        <v>35</v>
      </c>
      <c r="L107" s="7">
        <f t="shared" si="104"/>
        <v>36</v>
      </c>
      <c r="M107" s="7">
        <f t="shared" si="105"/>
        <v>35</v>
      </c>
      <c r="N107" s="7">
        <f t="shared" si="106"/>
        <v>35</v>
      </c>
      <c r="O107" s="7">
        <f t="shared" si="107"/>
        <v>33</v>
      </c>
      <c r="P107" s="7">
        <f t="shared" si="108"/>
        <v>35</v>
      </c>
      <c r="Q107" s="7">
        <f t="shared" si="109"/>
        <v>34</v>
      </c>
      <c r="R107" s="7">
        <f t="shared" si="110"/>
        <v>35</v>
      </c>
      <c r="S107" s="7">
        <f t="shared" si="111"/>
        <v>35</v>
      </c>
      <c r="T107" s="7">
        <f t="shared" si="112"/>
        <v>36</v>
      </c>
      <c r="U107" s="7">
        <f t="shared" si="113"/>
        <v>35</v>
      </c>
      <c r="V107" s="7">
        <f t="shared" si="114"/>
        <v>33</v>
      </c>
      <c r="W107" s="7">
        <f t="shared" si="115"/>
        <v>33</v>
      </c>
      <c r="X107" s="44">
        <f t="shared" si="68"/>
        <v>33.529915094651294</v>
      </c>
      <c r="Y107" s="44">
        <f t="shared" si="69"/>
        <v>35.202157484154071</v>
      </c>
      <c r="Z107" s="44">
        <f t="shared" si="70"/>
        <v>33.462558732122602</v>
      </c>
      <c r="AA107" s="44">
        <f t="shared" si="71"/>
        <v>33.628006668254343</v>
      </c>
      <c r="AB107" s="7">
        <v>6</v>
      </c>
      <c r="AC107" s="44" t="str">
        <f t="shared" si="72"/>
        <v>5</v>
      </c>
      <c r="AD107" s="44" t="str">
        <f t="shared" si="73"/>
        <v>5</v>
      </c>
      <c r="AE107" s="44" t="str">
        <f t="shared" si="74"/>
        <v>4</v>
      </c>
      <c r="AF107" s="44" t="str">
        <f t="shared" si="75"/>
        <v>4</v>
      </c>
      <c r="AG107" s="44" t="str">
        <f t="shared" si="76"/>
        <v>4</v>
      </c>
      <c r="AH107" s="44" t="b">
        <f t="shared" si="77"/>
        <v>0</v>
      </c>
      <c r="AI107" s="44" t="b">
        <f t="shared" si="78"/>
        <v>0</v>
      </c>
      <c r="AJ107" s="44" t="str">
        <f t="shared" si="79"/>
        <v>8컷원점</v>
      </c>
      <c r="AK107" s="44" t="b">
        <f t="shared" si="80"/>
        <v>0</v>
      </c>
      <c r="AL107" s="44" t="str">
        <f t="shared" si="81"/>
        <v>8컷원점</v>
      </c>
      <c r="AM107" s="44" t="str">
        <f t="shared" si="82"/>
        <v>8</v>
      </c>
      <c r="AN107" s="44" t="str">
        <f t="shared" si="83"/>
        <v>8컷원점</v>
      </c>
      <c r="AO107" s="44" t="str">
        <f t="shared" si="84"/>
        <v>8컷원점</v>
      </c>
      <c r="AP107" s="44" t="str">
        <f t="shared" si="85"/>
        <v>8컷원점</v>
      </c>
      <c r="AQ107" s="44" t="str">
        <f t="shared" si="86"/>
        <v>8컷원점</v>
      </c>
      <c r="AR107" s="44" t="str">
        <f t="shared" si="87"/>
        <v>8컷원점</v>
      </c>
      <c r="AS107" s="44" t="str">
        <f t="shared" si="88"/>
        <v>8컷원점</v>
      </c>
      <c r="AT107" s="44" t="str">
        <f t="shared" si="89"/>
        <v>8컷원점</v>
      </c>
      <c r="AU107" s="44" t="b">
        <f t="shared" si="90"/>
        <v>0</v>
      </c>
      <c r="AV107" s="44" t="b">
        <f t="shared" si="91"/>
        <v>0</v>
      </c>
      <c r="AW107" s="44" t="b">
        <f t="shared" si="92"/>
        <v>0</v>
      </c>
      <c r="AX107" s="44" t="b">
        <f t="shared" si="93"/>
        <v>0</v>
      </c>
      <c r="AY107" s="7">
        <v>5</v>
      </c>
      <c r="AZ107" s="7">
        <v>8</v>
      </c>
    </row>
    <row r="108" spans="1:52" hidden="1" x14ac:dyDescent="0.3">
      <c r="A108" s="7">
        <v>55</v>
      </c>
      <c r="B108" s="7">
        <f t="shared" si="94"/>
        <v>106</v>
      </c>
      <c r="C108" s="7">
        <f t="shared" si="95"/>
        <v>104</v>
      </c>
      <c r="D108" s="7">
        <f t="shared" si="96"/>
        <v>111</v>
      </c>
      <c r="E108" s="7">
        <f t="shared" si="97"/>
        <v>109</v>
      </c>
      <c r="F108" s="7">
        <f t="shared" si="98"/>
        <v>107</v>
      </c>
      <c r="G108" s="7">
        <f t="shared" si="99"/>
        <v>34</v>
      </c>
      <c r="H108" s="7">
        <f t="shared" si="100"/>
        <v>31</v>
      </c>
      <c r="I108" s="7">
        <f t="shared" si="101"/>
        <v>33</v>
      </c>
      <c r="J108" s="7">
        <f t="shared" si="102"/>
        <v>35</v>
      </c>
      <c r="K108" s="7">
        <f t="shared" si="103"/>
        <v>35</v>
      </c>
      <c r="L108" s="7">
        <f t="shared" si="104"/>
        <v>35</v>
      </c>
      <c r="M108" s="7">
        <f t="shared" si="105"/>
        <v>35</v>
      </c>
      <c r="N108" s="7">
        <f t="shared" si="106"/>
        <v>35</v>
      </c>
      <c r="O108" s="7">
        <f t="shared" si="107"/>
        <v>33</v>
      </c>
      <c r="P108" s="7">
        <f t="shared" si="108"/>
        <v>35</v>
      </c>
      <c r="Q108" s="7">
        <f t="shared" si="109"/>
        <v>34</v>
      </c>
      <c r="R108" s="7">
        <f t="shared" si="110"/>
        <v>35</v>
      </c>
      <c r="S108" s="7">
        <f t="shared" si="111"/>
        <v>35</v>
      </c>
      <c r="T108" s="7">
        <f t="shared" si="112"/>
        <v>36</v>
      </c>
      <c r="U108" s="7">
        <f t="shared" si="113"/>
        <v>35</v>
      </c>
      <c r="V108" s="7">
        <f t="shared" si="114"/>
        <v>33</v>
      </c>
      <c r="W108" s="7">
        <f t="shared" si="115"/>
        <v>33</v>
      </c>
      <c r="X108" s="44">
        <f t="shared" si="68"/>
        <v>33.522087661586816</v>
      </c>
      <c r="Y108" s="44">
        <f t="shared" si="69"/>
        <v>35</v>
      </c>
      <c r="Z108" s="44">
        <f t="shared" si="70"/>
        <v>33.462558732122602</v>
      </c>
      <c r="AA108" s="44">
        <f t="shared" si="71"/>
        <v>33.628006668254343</v>
      </c>
      <c r="AB108" s="7">
        <v>5</v>
      </c>
      <c r="AC108" s="44" t="str">
        <f t="shared" si="72"/>
        <v>5</v>
      </c>
      <c r="AD108" s="44" t="str">
        <f t="shared" si="73"/>
        <v>5</v>
      </c>
      <c r="AE108" s="44" t="str">
        <f t="shared" si="74"/>
        <v>4</v>
      </c>
      <c r="AF108" s="44" t="str">
        <f t="shared" si="75"/>
        <v>4</v>
      </c>
      <c r="AG108" s="44" t="str">
        <f t="shared" si="76"/>
        <v>4</v>
      </c>
      <c r="AH108" s="44" t="b">
        <f t="shared" si="77"/>
        <v>0</v>
      </c>
      <c r="AI108" s="44" t="b">
        <f t="shared" si="78"/>
        <v>0</v>
      </c>
      <c r="AJ108" s="44" t="b">
        <f t="shared" si="79"/>
        <v>0</v>
      </c>
      <c r="AK108" s="44" t="b">
        <f t="shared" si="80"/>
        <v>0</v>
      </c>
      <c r="AL108" s="44" t="b">
        <f t="shared" si="81"/>
        <v>0</v>
      </c>
      <c r="AM108" s="44" t="str">
        <f t="shared" si="82"/>
        <v>8컷원점</v>
      </c>
      <c r="AN108" s="44" t="b">
        <f t="shared" si="83"/>
        <v>0</v>
      </c>
      <c r="AO108" s="44" t="b">
        <f t="shared" si="84"/>
        <v>0</v>
      </c>
      <c r="AP108" s="44" t="b">
        <f t="shared" si="85"/>
        <v>0</v>
      </c>
      <c r="AQ108" s="44" t="b">
        <f t="shared" si="86"/>
        <v>0</v>
      </c>
      <c r="AR108" s="44" t="b">
        <f t="shared" si="87"/>
        <v>0</v>
      </c>
      <c r="AS108" s="44" t="b">
        <f t="shared" si="88"/>
        <v>0</v>
      </c>
      <c r="AT108" s="44" t="b">
        <f t="shared" si="89"/>
        <v>0</v>
      </c>
      <c r="AU108" s="44" t="b">
        <f t="shared" si="90"/>
        <v>0</v>
      </c>
      <c r="AV108" s="44" t="b">
        <f t="shared" si="91"/>
        <v>0</v>
      </c>
      <c r="AW108" s="44" t="b">
        <f t="shared" si="92"/>
        <v>0</v>
      </c>
      <c r="AX108" s="44" t="b">
        <f t="shared" si="93"/>
        <v>0</v>
      </c>
      <c r="AY108" s="7">
        <v>5</v>
      </c>
      <c r="AZ108" s="7">
        <v>8</v>
      </c>
    </row>
    <row r="109" spans="1:52" hidden="1" x14ac:dyDescent="0.3">
      <c r="A109" s="7">
        <v>54</v>
      </c>
      <c r="B109" s="7">
        <f t="shared" si="94"/>
        <v>105</v>
      </c>
      <c r="C109" s="7">
        <f t="shared" si="95"/>
        <v>103</v>
      </c>
      <c r="D109" s="7">
        <f t="shared" si="96"/>
        <v>110</v>
      </c>
      <c r="E109" s="7">
        <f t="shared" si="97"/>
        <v>108</v>
      </c>
      <c r="F109" s="7">
        <f t="shared" si="98"/>
        <v>106</v>
      </c>
      <c r="G109" s="7">
        <f t="shared" si="99"/>
        <v>34</v>
      </c>
      <c r="H109" s="7">
        <f t="shared" si="100"/>
        <v>31</v>
      </c>
      <c r="I109" s="7">
        <f t="shared" si="101"/>
        <v>33</v>
      </c>
      <c r="J109" s="7">
        <f t="shared" si="102"/>
        <v>35</v>
      </c>
      <c r="K109" s="7">
        <f t="shared" si="103"/>
        <v>35</v>
      </c>
      <c r="L109" s="7">
        <f t="shared" si="104"/>
        <v>35</v>
      </c>
      <c r="M109" s="7">
        <f t="shared" si="105"/>
        <v>35</v>
      </c>
      <c r="N109" s="7">
        <f t="shared" si="106"/>
        <v>35</v>
      </c>
      <c r="O109" s="7">
        <f t="shared" si="107"/>
        <v>33</v>
      </c>
      <c r="P109" s="7">
        <f t="shared" si="108"/>
        <v>35</v>
      </c>
      <c r="Q109" s="7">
        <f t="shared" si="109"/>
        <v>34</v>
      </c>
      <c r="R109" s="7">
        <f t="shared" si="110"/>
        <v>35</v>
      </c>
      <c r="S109" s="7">
        <f t="shared" si="111"/>
        <v>35</v>
      </c>
      <c r="T109" s="7">
        <f t="shared" si="112"/>
        <v>36</v>
      </c>
      <c r="U109" s="7">
        <f t="shared" si="113"/>
        <v>35</v>
      </c>
      <c r="V109" s="7">
        <f t="shared" si="114"/>
        <v>33</v>
      </c>
      <c r="W109" s="7">
        <f t="shared" si="115"/>
        <v>33</v>
      </c>
      <c r="X109" s="44">
        <f t="shared" si="68"/>
        <v>33.522087661586816</v>
      </c>
      <c r="Y109" s="44">
        <f t="shared" si="69"/>
        <v>35</v>
      </c>
      <c r="Z109" s="44">
        <f t="shared" si="70"/>
        <v>33.462558732122602</v>
      </c>
      <c r="AA109" s="44">
        <f t="shared" si="71"/>
        <v>33.628006668254343</v>
      </c>
      <c r="AB109" s="7">
        <v>4</v>
      </c>
      <c r="AC109" s="44" t="str">
        <f t="shared" si="72"/>
        <v>5</v>
      </c>
      <c r="AD109" s="44" t="str">
        <f t="shared" si="73"/>
        <v>5</v>
      </c>
      <c r="AE109" s="44" t="str">
        <f t="shared" si="74"/>
        <v>4</v>
      </c>
      <c r="AF109" s="44" t="str">
        <f t="shared" si="75"/>
        <v>4</v>
      </c>
      <c r="AG109" s="44" t="str">
        <f t="shared" si="76"/>
        <v>4컷원점</v>
      </c>
      <c r="AH109" s="44" t="b">
        <f t="shared" si="77"/>
        <v>0</v>
      </c>
      <c r="AI109" s="44" t="b">
        <f t="shared" si="78"/>
        <v>0</v>
      </c>
      <c r="AJ109" s="44" t="b">
        <f t="shared" si="79"/>
        <v>0</v>
      </c>
      <c r="AK109" s="44" t="b">
        <f t="shared" si="80"/>
        <v>0</v>
      </c>
      <c r="AL109" s="44" t="b">
        <f t="shared" si="81"/>
        <v>0</v>
      </c>
      <c r="AM109" s="44" t="b">
        <f t="shared" si="82"/>
        <v>0</v>
      </c>
      <c r="AN109" s="44" t="b">
        <f t="shared" si="83"/>
        <v>0</v>
      </c>
      <c r="AO109" s="44" t="b">
        <f t="shared" si="84"/>
        <v>0</v>
      </c>
      <c r="AP109" s="44" t="b">
        <f t="shared" si="85"/>
        <v>0</v>
      </c>
      <c r="AQ109" s="44" t="b">
        <f t="shared" si="86"/>
        <v>0</v>
      </c>
      <c r="AR109" s="44" t="b">
        <f t="shared" si="87"/>
        <v>0</v>
      </c>
      <c r="AS109" s="44" t="b">
        <f t="shared" si="88"/>
        <v>0</v>
      </c>
      <c r="AT109" s="44" t="b">
        <f t="shared" si="89"/>
        <v>0</v>
      </c>
      <c r="AU109" s="44" t="b">
        <f t="shared" si="90"/>
        <v>0</v>
      </c>
      <c r="AV109" s="44" t="b">
        <f t="shared" si="91"/>
        <v>0</v>
      </c>
      <c r="AW109" s="44" t="b">
        <f t="shared" si="92"/>
        <v>0</v>
      </c>
      <c r="AX109" s="44" t="b">
        <f t="shared" si="93"/>
        <v>0</v>
      </c>
      <c r="AY109" s="7">
        <v>5</v>
      </c>
      <c r="AZ109" s="7">
        <v>9</v>
      </c>
    </row>
    <row r="110" spans="1:52" hidden="1" x14ac:dyDescent="0.3">
      <c r="A110" s="7">
        <v>53</v>
      </c>
      <c r="B110" s="7">
        <f t="shared" si="94"/>
        <v>104</v>
      </c>
      <c r="C110" s="7">
        <f t="shared" si="95"/>
        <v>102</v>
      </c>
      <c r="D110" s="7">
        <f t="shared" si="96"/>
        <v>109</v>
      </c>
      <c r="E110" s="7">
        <f t="shared" si="97"/>
        <v>107</v>
      </c>
      <c r="F110" s="7">
        <f t="shared" si="98"/>
        <v>105</v>
      </c>
      <c r="G110" s="7">
        <f t="shared" si="99"/>
        <v>34</v>
      </c>
      <c r="H110" s="7">
        <f t="shared" si="100"/>
        <v>31</v>
      </c>
      <c r="I110" s="7">
        <f t="shared" si="101"/>
        <v>33</v>
      </c>
      <c r="J110" s="7">
        <f t="shared" si="102"/>
        <v>35</v>
      </c>
      <c r="K110" s="7">
        <f t="shared" si="103"/>
        <v>35</v>
      </c>
      <c r="L110" s="7">
        <f t="shared" si="104"/>
        <v>35</v>
      </c>
      <c r="M110" s="7">
        <f t="shared" si="105"/>
        <v>35</v>
      </c>
      <c r="N110" s="7">
        <f t="shared" si="106"/>
        <v>35</v>
      </c>
      <c r="O110" s="7">
        <f t="shared" si="107"/>
        <v>33</v>
      </c>
      <c r="P110" s="7">
        <f t="shared" si="108"/>
        <v>35</v>
      </c>
      <c r="Q110" s="7">
        <f t="shared" si="109"/>
        <v>34</v>
      </c>
      <c r="R110" s="7">
        <f t="shared" si="110"/>
        <v>35</v>
      </c>
      <c r="S110" s="7">
        <f t="shared" si="111"/>
        <v>35</v>
      </c>
      <c r="T110" s="7">
        <f t="shared" si="112"/>
        <v>36</v>
      </c>
      <c r="U110" s="7">
        <f t="shared" si="113"/>
        <v>35</v>
      </c>
      <c r="V110" s="7">
        <f t="shared" si="114"/>
        <v>33</v>
      </c>
      <c r="W110" s="7">
        <f t="shared" si="115"/>
        <v>33</v>
      </c>
      <c r="X110" s="44">
        <f t="shared" si="68"/>
        <v>33.522087661586816</v>
      </c>
      <c r="Y110" s="44">
        <f t="shared" si="69"/>
        <v>35</v>
      </c>
      <c r="Z110" s="44">
        <f t="shared" si="70"/>
        <v>33.462558732122602</v>
      </c>
      <c r="AA110" s="44">
        <f t="shared" si="71"/>
        <v>33.628006668254343</v>
      </c>
      <c r="AB110" s="7">
        <v>3</v>
      </c>
      <c r="AC110" s="44" t="str">
        <f t="shared" si="72"/>
        <v>5</v>
      </c>
      <c r="AD110" s="44" t="str">
        <f t="shared" si="73"/>
        <v>5</v>
      </c>
      <c r="AE110" s="44" t="str">
        <f t="shared" si="74"/>
        <v>4</v>
      </c>
      <c r="AF110" s="44" t="str">
        <f t="shared" si="75"/>
        <v>4</v>
      </c>
      <c r="AG110" s="44" t="str">
        <f t="shared" si="76"/>
        <v>5</v>
      </c>
      <c r="AH110" s="44" t="b">
        <f t="shared" si="77"/>
        <v>0</v>
      </c>
      <c r="AI110" s="44" t="b">
        <f t="shared" si="78"/>
        <v>0</v>
      </c>
      <c r="AJ110" s="44" t="b">
        <f t="shared" si="79"/>
        <v>0</v>
      </c>
      <c r="AK110" s="44" t="b">
        <f t="shared" si="80"/>
        <v>0</v>
      </c>
      <c r="AL110" s="44" t="b">
        <f t="shared" si="81"/>
        <v>0</v>
      </c>
      <c r="AM110" s="44" t="b">
        <f t="shared" si="82"/>
        <v>0</v>
      </c>
      <c r="AN110" s="44" t="b">
        <f t="shared" si="83"/>
        <v>0</v>
      </c>
      <c r="AO110" s="44" t="b">
        <f t="shared" si="84"/>
        <v>0</v>
      </c>
      <c r="AP110" s="44" t="b">
        <f t="shared" si="85"/>
        <v>0</v>
      </c>
      <c r="AQ110" s="44" t="b">
        <f t="shared" si="86"/>
        <v>0</v>
      </c>
      <c r="AR110" s="44" t="b">
        <f t="shared" si="87"/>
        <v>0</v>
      </c>
      <c r="AS110" s="44" t="b">
        <f t="shared" si="88"/>
        <v>0</v>
      </c>
      <c r="AT110" s="44" t="b">
        <f t="shared" si="89"/>
        <v>0</v>
      </c>
      <c r="AU110" s="44" t="b">
        <f t="shared" si="90"/>
        <v>0</v>
      </c>
      <c r="AV110" s="44" t="b">
        <f t="shared" si="91"/>
        <v>0</v>
      </c>
      <c r="AW110" s="44" t="b">
        <f t="shared" si="92"/>
        <v>0</v>
      </c>
      <c r="AX110" s="44" t="b">
        <f t="shared" si="93"/>
        <v>0</v>
      </c>
      <c r="AY110" s="7">
        <v>5</v>
      </c>
      <c r="AZ110" s="7">
        <v>9</v>
      </c>
    </row>
    <row r="111" spans="1:52" hidden="1" x14ac:dyDescent="0.3">
      <c r="A111" s="7">
        <v>52</v>
      </c>
      <c r="B111" s="7">
        <f t="shared" si="94"/>
        <v>103</v>
      </c>
      <c r="C111" s="7">
        <f t="shared" si="95"/>
        <v>101</v>
      </c>
      <c r="D111" s="7">
        <f t="shared" si="96"/>
        <v>108</v>
      </c>
      <c r="E111" s="7">
        <f t="shared" si="97"/>
        <v>106</v>
      </c>
      <c r="F111" s="7">
        <f t="shared" si="98"/>
        <v>105</v>
      </c>
      <c r="G111" s="7">
        <f t="shared" si="99"/>
        <v>34</v>
      </c>
      <c r="H111" s="7">
        <f t="shared" si="100"/>
        <v>31</v>
      </c>
      <c r="I111" s="7">
        <f t="shared" si="101"/>
        <v>33</v>
      </c>
      <c r="J111" s="7">
        <f t="shared" si="102"/>
        <v>35</v>
      </c>
      <c r="K111" s="7">
        <f t="shared" si="103"/>
        <v>35</v>
      </c>
      <c r="L111" s="7">
        <f t="shared" si="104"/>
        <v>35</v>
      </c>
      <c r="M111" s="7">
        <f t="shared" si="105"/>
        <v>35</v>
      </c>
      <c r="N111" s="7">
        <f t="shared" si="106"/>
        <v>35</v>
      </c>
      <c r="O111" s="7">
        <f t="shared" si="107"/>
        <v>33</v>
      </c>
      <c r="P111" s="7">
        <f t="shared" si="108"/>
        <v>35</v>
      </c>
      <c r="Q111" s="7">
        <f t="shared" si="109"/>
        <v>34</v>
      </c>
      <c r="R111" s="7">
        <f t="shared" si="110"/>
        <v>35</v>
      </c>
      <c r="S111" s="7">
        <f t="shared" si="111"/>
        <v>35</v>
      </c>
      <c r="T111" s="7">
        <f t="shared" si="112"/>
        <v>36</v>
      </c>
      <c r="U111" s="7">
        <f t="shared" si="113"/>
        <v>35</v>
      </c>
      <c r="V111" s="7">
        <f t="shared" si="114"/>
        <v>33</v>
      </c>
      <c r="W111" s="7">
        <f t="shared" si="115"/>
        <v>33</v>
      </c>
      <c r="X111" s="44">
        <f t="shared" si="68"/>
        <v>33.522087661586816</v>
      </c>
      <c r="Y111" s="44">
        <f t="shared" si="69"/>
        <v>35</v>
      </c>
      <c r="Z111" s="44">
        <f t="shared" si="70"/>
        <v>33.462558732122602</v>
      </c>
      <c r="AA111" s="44">
        <f t="shared" si="71"/>
        <v>33.628006668254343</v>
      </c>
      <c r="AB111" s="7">
        <v>2</v>
      </c>
      <c r="AC111" s="44" t="str">
        <f t="shared" si="72"/>
        <v>5</v>
      </c>
      <c r="AD111" s="44" t="str">
        <f t="shared" si="73"/>
        <v>5</v>
      </c>
      <c r="AE111" s="44" t="str">
        <f t="shared" si="74"/>
        <v>4</v>
      </c>
      <c r="AF111" s="44" t="str">
        <f t="shared" si="75"/>
        <v>4컷원점</v>
      </c>
      <c r="AG111" s="44" t="str">
        <f t="shared" si="76"/>
        <v>5</v>
      </c>
      <c r="AH111" s="44" t="b">
        <f t="shared" si="77"/>
        <v>0</v>
      </c>
      <c r="AI111" s="44" t="b">
        <f t="shared" si="78"/>
        <v>0</v>
      </c>
      <c r="AJ111" s="44" t="b">
        <f t="shared" si="79"/>
        <v>0</v>
      </c>
      <c r="AK111" s="44" t="b">
        <f t="shared" si="80"/>
        <v>0</v>
      </c>
      <c r="AL111" s="44" t="b">
        <f t="shared" si="81"/>
        <v>0</v>
      </c>
      <c r="AM111" s="44" t="b">
        <f t="shared" si="82"/>
        <v>0</v>
      </c>
      <c r="AN111" s="44" t="b">
        <f t="shared" si="83"/>
        <v>0</v>
      </c>
      <c r="AO111" s="44" t="b">
        <f t="shared" si="84"/>
        <v>0</v>
      </c>
      <c r="AP111" s="44" t="b">
        <f t="shared" si="85"/>
        <v>0</v>
      </c>
      <c r="AQ111" s="44" t="b">
        <f t="shared" si="86"/>
        <v>0</v>
      </c>
      <c r="AR111" s="44" t="b">
        <f t="shared" si="87"/>
        <v>0</v>
      </c>
      <c r="AS111" s="44" t="b">
        <f t="shared" si="88"/>
        <v>0</v>
      </c>
      <c r="AT111" s="44" t="b">
        <f t="shared" si="89"/>
        <v>0</v>
      </c>
      <c r="AU111" s="44" t="b">
        <f t="shared" si="90"/>
        <v>0</v>
      </c>
      <c r="AV111" s="44" t="b">
        <f t="shared" si="91"/>
        <v>0</v>
      </c>
      <c r="AW111" s="44" t="b">
        <f t="shared" si="92"/>
        <v>0</v>
      </c>
      <c r="AX111" s="44" t="b">
        <f t="shared" si="93"/>
        <v>0</v>
      </c>
      <c r="AY111" s="7">
        <v>5</v>
      </c>
      <c r="AZ111" s="7">
        <v>9</v>
      </c>
    </row>
    <row r="112" spans="1:52" hidden="1" x14ac:dyDescent="0.3">
      <c r="A112" s="7">
        <v>51</v>
      </c>
      <c r="B112" s="7">
        <f t="shared" si="94"/>
        <v>101</v>
      </c>
      <c r="C112" s="7">
        <f t="shared" si="95"/>
        <v>100</v>
      </c>
      <c r="D112" s="7">
        <f t="shared" si="96"/>
        <v>107</v>
      </c>
      <c r="E112" s="7">
        <f t="shared" si="97"/>
        <v>105</v>
      </c>
      <c r="F112" s="7">
        <f t="shared" si="98"/>
        <v>104</v>
      </c>
      <c r="G112" s="7">
        <f t="shared" si="99"/>
        <v>34</v>
      </c>
      <c r="H112" s="7">
        <f t="shared" si="100"/>
        <v>31</v>
      </c>
      <c r="I112" s="7">
        <f t="shared" si="101"/>
        <v>33</v>
      </c>
      <c r="J112" s="7">
        <f t="shared" si="102"/>
        <v>35</v>
      </c>
      <c r="K112" s="7">
        <f t="shared" si="103"/>
        <v>35</v>
      </c>
      <c r="L112" s="7">
        <f t="shared" si="104"/>
        <v>35</v>
      </c>
      <c r="M112" s="7">
        <f t="shared" si="105"/>
        <v>35</v>
      </c>
      <c r="N112" s="7">
        <f t="shared" si="106"/>
        <v>35</v>
      </c>
      <c r="O112" s="7">
        <f t="shared" si="107"/>
        <v>33</v>
      </c>
      <c r="P112" s="7">
        <f t="shared" si="108"/>
        <v>35</v>
      </c>
      <c r="Q112" s="7">
        <f t="shared" si="109"/>
        <v>34</v>
      </c>
      <c r="R112" s="7">
        <f t="shared" si="110"/>
        <v>35</v>
      </c>
      <c r="S112" s="7">
        <f t="shared" si="111"/>
        <v>35</v>
      </c>
      <c r="T112" s="7">
        <f t="shared" si="112"/>
        <v>36</v>
      </c>
      <c r="U112" s="7">
        <f t="shared" si="113"/>
        <v>35</v>
      </c>
      <c r="V112" s="7">
        <f t="shared" si="114"/>
        <v>33</v>
      </c>
      <c r="W112" s="7">
        <f t="shared" si="115"/>
        <v>33</v>
      </c>
      <c r="X112" s="44">
        <f t="shared" si="68"/>
        <v>33.522087661586816</v>
      </c>
      <c r="Y112" s="44">
        <f t="shared" si="69"/>
        <v>35</v>
      </c>
      <c r="Z112" s="44">
        <f t="shared" si="70"/>
        <v>33.462558732122602</v>
      </c>
      <c r="AA112" s="44">
        <f t="shared" si="71"/>
        <v>33.628006668254343</v>
      </c>
      <c r="AB112" s="7">
        <v>1</v>
      </c>
      <c r="AC112" s="44" t="str">
        <f t="shared" si="72"/>
        <v>5</v>
      </c>
      <c r="AD112" s="44" t="str">
        <f t="shared" si="73"/>
        <v>5</v>
      </c>
      <c r="AE112" s="44" t="str">
        <f t="shared" si="74"/>
        <v>4</v>
      </c>
      <c r="AF112" s="44" t="str">
        <f t="shared" si="75"/>
        <v>5</v>
      </c>
      <c r="AG112" s="44" t="str">
        <f t="shared" si="76"/>
        <v>5</v>
      </c>
      <c r="AH112" s="44" t="b">
        <f t="shared" si="77"/>
        <v>0</v>
      </c>
      <c r="AI112" s="44" t="b">
        <f t="shared" si="78"/>
        <v>0</v>
      </c>
      <c r="AJ112" s="44" t="b">
        <f t="shared" si="79"/>
        <v>0</v>
      </c>
      <c r="AK112" s="44" t="b">
        <f t="shared" si="80"/>
        <v>0</v>
      </c>
      <c r="AL112" s="44" t="b">
        <f t="shared" si="81"/>
        <v>0</v>
      </c>
      <c r="AM112" s="44" t="b">
        <f t="shared" si="82"/>
        <v>0</v>
      </c>
      <c r="AN112" s="44" t="b">
        <f t="shared" si="83"/>
        <v>0</v>
      </c>
      <c r="AO112" s="44" t="b">
        <f t="shared" si="84"/>
        <v>0</v>
      </c>
      <c r="AP112" s="44" t="b">
        <f t="shared" si="85"/>
        <v>0</v>
      </c>
      <c r="AQ112" s="44" t="b">
        <f t="shared" si="86"/>
        <v>0</v>
      </c>
      <c r="AR112" s="44" t="b">
        <f t="shared" si="87"/>
        <v>0</v>
      </c>
      <c r="AS112" s="44" t="b">
        <f t="shared" si="88"/>
        <v>0</v>
      </c>
      <c r="AT112" s="44" t="b">
        <f t="shared" si="89"/>
        <v>0</v>
      </c>
      <c r="AU112" s="44" t="b">
        <f t="shared" si="90"/>
        <v>0</v>
      </c>
      <c r="AV112" s="44" t="b">
        <f t="shared" si="91"/>
        <v>0</v>
      </c>
      <c r="AW112" s="44" t="b">
        <f t="shared" si="92"/>
        <v>0</v>
      </c>
      <c r="AX112" s="44" t="b">
        <f t="shared" si="93"/>
        <v>0</v>
      </c>
      <c r="AY112" s="7">
        <v>5</v>
      </c>
      <c r="AZ112" s="7">
        <v>9</v>
      </c>
    </row>
    <row r="113" spans="1:52" hidden="1" x14ac:dyDescent="0.3">
      <c r="A113" s="7">
        <v>50</v>
      </c>
      <c r="B113" s="7">
        <f t="shared" si="94"/>
        <v>100</v>
      </c>
      <c r="C113" s="7">
        <f t="shared" si="95"/>
        <v>99</v>
      </c>
      <c r="D113" s="7">
        <f t="shared" si="96"/>
        <v>106</v>
      </c>
      <c r="E113" s="7">
        <f t="shared" si="97"/>
        <v>105</v>
      </c>
      <c r="F113" s="7">
        <f t="shared" si="98"/>
        <v>103</v>
      </c>
      <c r="G113" s="7">
        <f t="shared" si="99"/>
        <v>34</v>
      </c>
      <c r="H113" s="7">
        <f t="shared" si="100"/>
        <v>31</v>
      </c>
      <c r="I113" s="7">
        <f t="shared" si="101"/>
        <v>33</v>
      </c>
      <c r="J113" s="7">
        <f t="shared" si="102"/>
        <v>35</v>
      </c>
      <c r="K113" s="7">
        <f t="shared" si="103"/>
        <v>35</v>
      </c>
      <c r="L113" s="7">
        <f t="shared" si="104"/>
        <v>35</v>
      </c>
      <c r="M113" s="7">
        <f t="shared" si="105"/>
        <v>35</v>
      </c>
      <c r="N113" s="7">
        <f t="shared" si="106"/>
        <v>35</v>
      </c>
      <c r="O113" s="7">
        <f t="shared" si="107"/>
        <v>33</v>
      </c>
      <c r="P113" s="7">
        <f t="shared" si="108"/>
        <v>35</v>
      </c>
      <c r="Q113" s="7">
        <f t="shared" si="109"/>
        <v>34</v>
      </c>
      <c r="R113" s="7">
        <f t="shared" si="110"/>
        <v>35</v>
      </c>
      <c r="S113" s="7">
        <f t="shared" si="111"/>
        <v>35</v>
      </c>
      <c r="T113" s="7">
        <f t="shared" si="112"/>
        <v>36</v>
      </c>
      <c r="U113" s="7">
        <f t="shared" si="113"/>
        <v>35</v>
      </c>
      <c r="V113" s="7">
        <f t="shared" si="114"/>
        <v>33</v>
      </c>
      <c r="W113" s="7">
        <f t="shared" si="115"/>
        <v>33</v>
      </c>
      <c r="X113" s="44">
        <f t="shared" si="68"/>
        <v>33.522087661586816</v>
      </c>
      <c r="Y113" s="44">
        <f t="shared" si="69"/>
        <v>35</v>
      </c>
      <c r="Z113" s="44">
        <f t="shared" si="70"/>
        <v>33.462558732122602</v>
      </c>
      <c r="AA113" s="44">
        <f t="shared" si="71"/>
        <v>33.628006668254343</v>
      </c>
      <c r="AB113" s="7">
        <v>0</v>
      </c>
      <c r="AC113" s="44" t="str">
        <f t="shared" si="72"/>
        <v>5</v>
      </c>
      <c r="AD113" s="44" t="str">
        <f t="shared" si="73"/>
        <v>5</v>
      </c>
      <c r="AE113" s="44" t="str">
        <f t="shared" si="74"/>
        <v>4컷원점</v>
      </c>
      <c r="AF113" s="44" t="str">
        <f t="shared" si="75"/>
        <v>5</v>
      </c>
      <c r="AG113" s="44" t="str">
        <f t="shared" si="76"/>
        <v>5</v>
      </c>
      <c r="AH113" s="44" t="b">
        <f t="shared" si="77"/>
        <v>0</v>
      </c>
      <c r="AI113" s="44" t="b">
        <f t="shared" si="78"/>
        <v>0</v>
      </c>
      <c r="AJ113" s="44" t="b">
        <f t="shared" si="79"/>
        <v>0</v>
      </c>
      <c r="AK113" s="44" t="b">
        <f t="shared" si="80"/>
        <v>0</v>
      </c>
      <c r="AL113" s="44" t="b">
        <f t="shared" si="81"/>
        <v>0</v>
      </c>
      <c r="AM113" s="44" t="b">
        <f t="shared" si="82"/>
        <v>0</v>
      </c>
      <c r="AN113" s="44" t="b">
        <f t="shared" si="83"/>
        <v>0</v>
      </c>
      <c r="AO113" s="44" t="b">
        <f t="shared" si="84"/>
        <v>0</v>
      </c>
      <c r="AP113" s="44" t="b">
        <f t="shared" si="85"/>
        <v>0</v>
      </c>
      <c r="AQ113" s="44" t="b">
        <f t="shared" si="86"/>
        <v>0</v>
      </c>
      <c r="AR113" s="44" t="b">
        <f t="shared" si="87"/>
        <v>0</v>
      </c>
      <c r="AS113" s="44" t="b">
        <f t="shared" si="88"/>
        <v>0</v>
      </c>
      <c r="AT113" s="44" t="b">
        <f t="shared" si="89"/>
        <v>0</v>
      </c>
      <c r="AU113" s="44" t="b">
        <f t="shared" si="90"/>
        <v>0</v>
      </c>
      <c r="AV113" s="44" t="b">
        <f t="shared" si="91"/>
        <v>0</v>
      </c>
      <c r="AW113" s="44" t="b">
        <f t="shared" si="92"/>
        <v>0</v>
      </c>
      <c r="AX113" s="44" t="b">
        <f t="shared" si="93"/>
        <v>0</v>
      </c>
      <c r="AY113" s="7">
        <v>5</v>
      </c>
      <c r="AZ113" s="7">
        <v>9</v>
      </c>
    </row>
    <row r="114" spans="1:52" hidden="1" x14ac:dyDescent="0.3">
      <c r="A114" s="7">
        <v>49</v>
      </c>
      <c r="B114" s="7">
        <f t="shared" si="94"/>
        <v>99</v>
      </c>
      <c r="C114" s="7">
        <f t="shared" si="95"/>
        <v>98</v>
      </c>
      <c r="D114" s="7">
        <f t="shared" si="96"/>
        <v>105</v>
      </c>
      <c r="E114" s="7">
        <f t="shared" si="97"/>
        <v>104</v>
      </c>
      <c r="F114" s="7">
        <f t="shared" si="98"/>
        <v>103</v>
      </c>
      <c r="G114" s="7">
        <f t="shared" si="99"/>
        <v>34</v>
      </c>
      <c r="H114" s="7">
        <f t="shared" si="100"/>
        <v>31</v>
      </c>
      <c r="I114" s="7">
        <f t="shared" si="101"/>
        <v>33</v>
      </c>
      <c r="J114" s="7">
        <f t="shared" si="102"/>
        <v>35</v>
      </c>
      <c r="K114" s="7">
        <f t="shared" si="103"/>
        <v>35</v>
      </c>
      <c r="L114" s="7">
        <f t="shared" si="104"/>
        <v>35</v>
      </c>
      <c r="M114" s="7">
        <f t="shared" si="105"/>
        <v>35</v>
      </c>
      <c r="N114" s="7">
        <f t="shared" si="106"/>
        <v>35</v>
      </c>
      <c r="O114" s="7">
        <f t="shared" si="107"/>
        <v>33</v>
      </c>
      <c r="P114" s="7">
        <f t="shared" si="108"/>
        <v>35</v>
      </c>
      <c r="Q114" s="7">
        <f t="shared" si="109"/>
        <v>34</v>
      </c>
      <c r="R114" s="7">
        <f t="shared" si="110"/>
        <v>35</v>
      </c>
      <c r="S114" s="7">
        <f t="shared" si="111"/>
        <v>35</v>
      </c>
      <c r="T114" s="7">
        <f t="shared" si="112"/>
        <v>36</v>
      </c>
      <c r="U114" s="7">
        <f t="shared" si="113"/>
        <v>35</v>
      </c>
      <c r="V114" s="7">
        <f t="shared" si="114"/>
        <v>33</v>
      </c>
      <c r="W114" s="7">
        <f t="shared" si="115"/>
        <v>33</v>
      </c>
      <c r="X114" s="44"/>
      <c r="Y114" s="44"/>
      <c r="Z114" s="44"/>
      <c r="AA114" s="44"/>
      <c r="AC114" s="44" t="str">
        <f t="shared" si="72"/>
        <v>5</v>
      </c>
      <c r="AD114" s="44" t="str">
        <f t="shared" si="73"/>
        <v>5</v>
      </c>
      <c r="AE114" s="44" t="str">
        <f t="shared" si="74"/>
        <v>5</v>
      </c>
      <c r="AF114" s="44" t="str">
        <f t="shared" si="75"/>
        <v>5</v>
      </c>
      <c r="AG114" s="44" t="str">
        <f t="shared" si="76"/>
        <v>5</v>
      </c>
      <c r="AH114" s="44" t="b">
        <f t="shared" ref="AH114:AH177" si="116">IF(COUNTIF(G$32:G$39,$AB114)=1,INDEX($A$32:$A$39,MATCH($AB114,G$32:G$39,0)),IF($AB114&gt;=G$32,"1",IF($AB114&gt;=G$33,"2",IF($AB114&gt;=G$34,"3",IF($AB114&gt;=G$35,"4",IF($AB114&gt;=G$36,"5",IF($AB114&gt;=G$37,"6",IF($AB114&gt;=G$38,"7",IF($AB114&gt;=G$39,"8")))))))))</f>
        <v>0</v>
      </c>
      <c r="AI114" s="44" t="b">
        <f t="shared" ref="AI114:AI177" si="117">IF(COUNTIF(H$32:H$39,$AB114)=1,INDEX($A$32:$A$39,MATCH($AB114,H$32:H$39,0)),IF($AB114&gt;=H$32,"1",IF($AB114&gt;=H$33,"2",IF($AB114&gt;=H$34,"3",IF($AB114&gt;=H$35,"4",IF($AB114&gt;=H$36,"5",IF($AB114&gt;=H$37,"6",IF($AB114&gt;=H$38,"7",IF($AB114&gt;=H$39,"8")))))))))</f>
        <v>0</v>
      </c>
      <c r="AJ114" s="44" t="b">
        <f t="shared" ref="AJ114:AJ177" si="118">IF(COUNTIF(I$32:I$39,$AB114)=1,INDEX($A$32:$A$39,MATCH($AB114,I$32:I$39,0)),IF($AB114&gt;=I$32,"1",IF($AB114&gt;=I$33,"2",IF($AB114&gt;=I$34,"3",IF($AB114&gt;=I$35,"4",IF($AB114&gt;=I$36,"5",IF($AB114&gt;=I$37,"6",IF($AB114&gt;=I$38,"7",IF($AB114&gt;=I$39,"8")))))))))</f>
        <v>0</v>
      </c>
      <c r="AK114" s="44" t="b">
        <f t="shared" ref="AK114:AK177" si="119">IF(COUNTIF(J$32:J$39,$AB114)=1,INDEX($A$32:$A$39,MATCH($AB114,J$32:J$39,0)),IF($AB114&gt;=J$32,"1",IF($AB114&gt;=J$33,"2",IF($AB114&gt;=J$34,"3",IF($AB114&gt;=J$35,"4",IF($AB114&gt;=J$36,"5",IF($AB114&gt;=J$37,"6",IF($AB114&gt;=J$38,"7",IF($AB114&gt;=J$39,"8")))))))))</f>
        <v>0</v>
      </c>
      <c r="AL114" s="44" t="b">
        <f t="shared" ref="AL114:AL177" si="120">IF(COUNTIF(K$32:K$39,$AB114)=1,INDEX($A$32:$A$39,MATCH($AB114,K$32:K$39,0)),IF($AB114&gt;=K$32,"1",IF($AB114&gt;=K$33,"2",IF($AB114&gt;=K$34,"3",IF($AB114&gt;=K$35,"4",IF($AB114&gt;=K$36,"5",IF($AB114&gt;=K$37,"6",IF($AB114&gt;=K$38,"7",IF($AB114&gt;=K$39,"8")))))))))</f>
        <v>0</v>
      </c>
      <c r="AM114" s="44" t="b">
        <f t="shared" ref="AM114:AM177" si="121">IF(COUNTIF(L$32:L$39,$AB114)=1,INDEX($A$32:$A$39,MATCH($AB114,L$32:L$39,0)),IF($AB114&gt;=L$32,"1",IF($AB114&gt;=L$33,"2",IF($AB114&gt;=L$34,"3",IF($AB114&gt;=L$35,"4",IF($AB114&gt;=L$36,"5",IF($AB114&gt;=L$37,"6",IF($AB114&gt;=L$38,"7",IF($AB114&gt;=L$39,"8")))))))))</f>
        <v>0</v>
      </c>
      <c r="AN114" s="44" t="b">
        <f t="shared" ref="AN114:AN177" si="122">IF(COUNTIF(M$32:M$39,$AB114)=1,INDEX($A$32:$A$39,MATCH($AB114,M$32:M$39,0)),IF($AB114&gt;=M$32,"1",IF($AB114&gt;=M$33,"2",IF($AB114&gt;=M$34,"3",IF($AB114&gt;=M$35,"4",IF($AB114&gt;=M$36,"5",IF($AB114&gt;=M$37,"6",IF($AB114&gt;=M$38,"7",IF($AB114&gt;=M$39,"8")))))))))</f>
        <v>0</v>
      </c>
      <c r="AO114" s="44" t="b">
        <f t="shared" ref="AO114:AO177" si="123">IF(COUNTIF(N$32:N$39,$AB114)=1,INDEX($A$32:$A$39,MATCH($AB114,N$32:N$39,0)),IF($AB114&gt;=N$32,"1",IF($AB114&gt;=N$33,"2",IF($AB114&gt;=N$34,"3",IF($AB114&gt;=N$35,"4",IF($AB114&gt;=N$36,"5",IF($AB114&gt;=N$37,"6",IF($AB114&gt;=N$38,"7",IF($AB114&gt;=N$39,"8")))))))))</f>
        <v>0</v>
      </c>
      <c r="AP114" s="44" t="b">
        <f t="shared" ref="AP114:AP177" si="124">IF(COUNTIF(O$32:O$39,$AB114)=1,INDEX($A$32:$A$39,MATCH($AB114,O$32:O$39,0)),IF($AB114&gt;=O$32,"1",IF($AB114&gt;=O$33,"2",IF($AB114&gt;=O$34,"3",IF($AB114&gt;=O$35,"4",IF($AB114&gt;=O$36,"5",IF($AB114&gt;=O$37,"6",IF($AB114&gt;=O$38,"7",IF($AB114&gt;=O$39,"8")))))))))</f>
        <v>0</v>
      </c>
      <c r="AQ114" s="44" t="b">
        <f t="shared" ref="AQ114:AQ177" si="125">IF(COUNTIF(P$32:P$39,$AB114)=1,INDEX($A$32:$A$39,MATCH($AB114,P$32:P$39,0)),IF($AB114&gt;=P$32,"1",IF($AB114&gt;=P$33,"2",IF($AB114&gt;=P$34,"3",IF($AB114&gt;=P$35,"4",IF($AB114&gt;=P$36,"5",IF($AB114&gt;=P$37,"6",IF($AB114&gt;=P$38,"7",IF($AB114&gt;=P$39,"8")))))))))</f>
        <v>0</v>
      </c>
      <c r="AR114" s="44" t="b">
        <f t="shared" ref="AR114:AR177" si="126">IF(COUNTIF(Q$32:Q$39,$AB114)=1,INDEX($A$32:$A$39,MATCH($AB114,Q$32:Q$39,0)),IF($AB114&gt;=Q$32,"1",IF($AB114&gt;=Q$33,"2",IF($AB114&gt;=Q$34,"3",IF($AB114&gt;=Q$35,"4",IF($AB114&gt;=Q$36,"5",IF($AB114&gt;=Q$37,"6",IF($AB114&gt;=Q$38,"7",IF($AB114&gt;=Q$39,"8")))))))))</f>
        <v>0</v>
      </c>
      <c r="AS114" s="44" t="b">
        <f t="shared" ref="AS114:AS177" si="127">IF(COUNTIF(R$32:R$39,$AB114)=1,INDEX($A$32:$A$39,MATCH($AB114,R$32:R$39,0)),IF($AB114&gt;=R$32,"1",IF($AB114&gt;=R$33,"2",IF($AB114&gt;=R$34,"3",IF($AB114&gt;=R$35,"4",IF($AB114&gt;=R$36,"5",IF($AB114&gt;=R$37,"6",IF($AB114&gt;=R$38,"7",IF($AB114&gt;=R$39,"8")))))))))</f>
        <v>0</v>
      </c>
      <c r="AT114" s="44" t="b">
        <f t="shared" ref="AT114:AT177" si="128">IF(COUNTIF(S$32:S$39,$AB114)=1,INDEX($A$32:$A$39,MATCH($AB114,S$32:S$39,0)),IF($AB114&gt;=S$32,"1",IF($AB114&gt;=S$33,"2",IF($AB114&gt;=S$34,"3",IF($AB114&gt;=S$35,"4",IF($AB114&gt;=S$36,"5",IF($AB114&gt;=S$37,"6",IF($AB114&gt;=S$38,"7",IF($AB114&gt;=S$39,"8")))))))))</f>
        <v>0</v>
      </c>
      <c r="AU114" s="44" t="b">
        <f t="shared" ref="AU114:AU177" si="129">IF(COUNTIF(T$32:T$39,$AB114)=1,INDEX($A$32:$A$39,MATCH($AB114,T$32:T$39,0)),IF($AB114&gt;=T$32,"1",IF($AB114&gt;=T$33,"2",IF($AB114&gt;=T$34,"3",IF($AB114&gt;=T$35,"4",IF($AB114&gt;=T$36,"5",IF($AB114&gt;=T$37,"6",IF($AB114&gt;=T$38,"7",IF($AB114&gt;=T$39,"8")))))))))</f>
        <v>0</v>
      </c>
      <c r="AV114" s="44" t="b">
        <f t="shared" ref="AV114:AV177" si="130">IF(COUNTIF(U$32:U$39,$AB114)=1,INDEX($A$32:$A$39,MATCH($AB114,U$32:U$39,0)),IF($AB114&gt;=U$32,"1",IF($AB114&gt;=U$33,"2",IF($AB114&gt;=U$34,"3",IF($AB114&gt;=U$35,"4",IF($AB114&gt;=U$36,"5",IF($AB114&gt;=U$37,"6",IF($AB114&gt;=U$38,"7",IF($AB114&gt;=U$39,"8")))))))))</f>
        <v>0</v>
      </c>
      <c r="AW114" s="44" t="b">
        <f t="shared" ref="AW114:AW177" si="131">IF(COUNTIF(V$32:V$39,$AB114)=1,INDEX($A$32:$A$39,MATCH($AB114,V$32:V$39,0)),IF($AB114&gt;=V$32,"1",IF($AB114&gt;=V$33,"2",IF($AB114&gt;=V$34,"3",IF($AB114&gt;=V$35,"4",IF($AB114&gt;=V$36,"5",IF($AB114&gt;=V$37,"6",IF($AB114&gt;=V$38,"7",IF($AB114&gt;=V$39,"8")))))))))</f>
        <v>0</v>
      </c>
      <c r="AX114" s="44" t="b">
        <f t="shared" ref="AX114:AX177" si="132">IF(COUNTIF(W$32:W$39,$AB114)=1,INDEX($A$32:$A$39,MATCH($AB114,W$32:W$39,0)),IF($AB114&gt;=W$32,"1",IF($AB114&gt;=W$33,"2",IF($AB114&gt;=W$34,"3",IF($AB114&gt;=W$35,"4",IF($AB114&gt;=W$36,"5",IF($AB114&gt;=W$37,"6",IF($AB114&gt;=W$38,"7",IF($AB114&gt;=W$39,"8")))))))))</f>
        <v>0</v>
      </c>
      <c r="AY114" s="7">
        <v>6</v>
      </c>
    </row>
    <row r="115" spans="1:52" hidden="1" x14ac:dyDescent="0.3">
      <c r="A115" s="7">
        <v>48</v>
      </c>
      <c r="B115" s="7">
        <f t="shared" si="94"/>
        <v>98</v>
      </c>
      <c r="C115" s="7">
        <f t="shared" si="95"/>
        <v>97</v>
      </c>
      <c r="D115" s="7">
        <f t="shared" si="96"/>
        <v>105</v>
      </c>
      <c r="E115" s="7">
        <f t="shared" si="97"/>
        <v>103</v>
      </c>
      <c r="F115" s="7">
        <f t="shared" si="98"/>
        <v>102</v>
      </c>
      <c r="G115" s="7">
        <f t="shared" si="99"/>
        <v>34</v>
      </c>
      <c r="H115" s="7">
        <f t="shared" si="100"/>
        <v>31</v>
      </c>
      <c r="I115" s="7">
        <f t="shared" si="101"/>
        <v>33</v>
      </c>
      <c r="J115" s="7">
        <f t="shared" si="102"/>
        <v>35</v>
      </c>
      <c r="K115" s="7">
        <f t="shared" si="103"/>
        <v>35</v>
      </c>
      <c r="L115" s="7">
        <f t="shared" si="104"/>
        <v>35</v>
      </c>
      <c r="M115" s="7">
        <f t="shared" si="105"/>
        <v>35</v>
      </c>
      <c r="N115" s="7">
        <f t="shared" si="106"/>
        <v>35</v>
      </c>
      <c r="O115" s="7">
        <f t="shared" si="107"/>
        <v>33</v>
      </c>
      <c r="P115" s="7">
        <f t="shared" si="108"/>
        <v>35</v>
      </c>
      <c r="Q115" s="7">
        <f t="shared" si="109"/>
        <v>34</v>
      </c>
      <c r="R115" s="7">
        <f t="shared" si="110"/>
        <v>35</v>
      </c>
      <c r="S115" s="7">
        <f t="shared" si="111"/>
        <v>35</v>
      </c>
      <c r="T115" s="7">
        <f t="shared" si="112"/>
        <v>36</v>
      </c>
      <c r="U115" s="7">
        <f t="shared" si="113"/>
        <v>35</v>
      </c>
      <c r="V115" s="7">
        <f t="shared" si="114"/>
        <v>33</v>
      </c>
      <c r="W115" s="7">
        <f t="shared" si="115"/>
        <v>33</v>
      </c>
      <c r="X115" s="44"/>
      <c r="Y115" s="44"/>
      <c r="Z115" s="44"/>
      <c r="AA115" s="44"/>
      <c r="AC115" s="44" t="str">
        <f t="shared" si="72"/>
        <v>5</v>
      </c>
      <c r="AD115" s="44" t="str">
        <f t="shared" si="73"/>
        <v>5컷원점</v>
      </c>
      <c r="AE115" s="44" t="str">
        <f t="shared" si="74"/>
        <v>5</v>
      </c>
      <c r="AF115" s="44" t="str">
        <f t="shared" si="75"/>
        <v>5</v>
      </c>
      <c r="AG115" s="44" t="str">
        <f t="shared" si="76"/>
        <v>5</v>
      </c>
      <c r="AH115" s="44" t="b">
        <f t="shared" si="116"/>
        <v>0</v>
      </c>
      <c r="AI115" s="44" t="b">
        <f t="shared" si="117"/>
        <v>0</v>
      </c>
      <c r="AJ115" s="44" t="b">
        <f t="shared" si="118"/>
        <v>0</v>
      </c>
      <c r="AK115" s="44" t="b">
        <f t="shared" si="119"/>
        <v>0</v>
      </c>
      <c r="AL115" s="44" t="b">
        <f t="shared" si="120"/>
        <v>0</v>
      </c>
      <c r="AM115" s="44" t="b">
        <f t="shared" si="121"/>
        <v>0</v>
      </c>
      <c r="AN115" s="44" t="b">
        <f t="shared" si="122"/>
        <v>0</v>
      </c>
      <c r="AO115" s="44" t="b">
        <f t="shared" si="123"/>
        <v>0</v>
      </c>
      <c r="AP115" s="44" t="b">
        <f t="shared" si="124"/>
        <v>0</v>
      </c>
      <c r="AQ115" s="44" t="b">
        <f t="shared" si="125"/>
        <v>0</v>
      </c>
      <c r="AR115" s="44" t="b">
        <f t="shared" si="126"/>
        <v>0</v>
      </c>
      <c r="AS115" s="44" t="b">
        <f t="shared" si="127"/>
        <v>0</v>
      </c>
      <c r="AT115" s="44" t="b">
        <f t="shared" si="128"/>
        <v>0</v>
      </c>
      <c r="AU115" s="44" t="b">
        <f t="shared" si="129"/>
        <v>0</v>
      </c>
      <c r="AV115" s="44" t="b">
        <f t="shared" si="130"/>
        <v>0</v>
      </c>
      <c r="AW115" s="44" t="b">
        <f t="shared" si="131"/>
        <v>0</v>
      </c>
      <c r="AX115" s="44" t="b">
        <f t="shared" si="132"/>
        <v>0</v>
      </c>
      <c r="AY115" s="7">
        <v>6</v>
      </c>
    </row>
    <row r="116" spans="1:52" hidden="1" x14ac:dyDescent="0.3">
      <c r="A116" s="7">
        <v>47</v>
      </c>
      <c r="B116" s="7">
        <f t="shared" si="94"/>
        <v>97</v>
      </c>
      <c r="C116" s="7">
        <f t="shared" si="95"/>
        <v>96</v>
      </c>
      <c r="D116" s="7">
        <f t="shared" si="96"/>
        <v>104</v>
      </c>
      <c r="E116" s="7">
        <f t="shared" si="97"/>
        <v>103</v>
      </c>
      <c r="F116" s="7">
        <f t="shared" si="98"/>
        <v>101</v>
      </c>
      <c r="G116" s="7">
        <f t="shared" si="99"/>
        <v>34</v>
      </c>
      <c r="H116" s="7">
        <f t="shared" si="100"/>
        <v>31</v>
      </c>
      <c r="I116" s="7">
        <f t="shared" si="101"/>
        <v>33</v>
      </c>
      <c r="J116" s="7">
        <f t="shared" si="102"/>
        <v>35</v>
      </c>
      <c r="K116" s="7">
        <f t="shared" si="103"/>
        <v>35</v>
      </c>
      <c r="L116" s="7">
        <f t="shared" si="104"/>
        <v>35</v>
      </c>
      <c r="M116" s="7">
        <f t="shared" si="105"/>
        <v>35</v>
      </c>
      <c r="N116" s="7">
        <f t="shared" si="106"/>
        <v>35</v>
      </c>
      <c r="O116" s="7">
        <f t="shared" si="107"/>
        <v>33</v>
      </c>
      <c r="P116" s="7">
        <f t="shared" si="108"/>
        <v>35</v>
      </c>
      <c r="Q116" s="7">
        <f t="shared" si="109"/>
        <v>34</v>
      </c>
      <c r="R116" s="7">
        <f t="shared" si="110"/>
        <v>35</v>
      </c>
      <c r="S116" s="7">
        <f t="shared" si="111"/>
        <v>35</v>
      </c>
      <c r="T116" s="7">
        <f t="shared" si="112"/>
        <v>36</v>
      </c>
      <c r="U116" s="7">
        <f t="shared" si="113"/>
        <v>35</v>
      </c>
      <c r="V116" s="7">
        <f t="shared" si="114"/>
        <v>33</v>
      </c>
      <c r="W116" s="7">
        <f t="shared" si="115"/>
        <v>33</v>
      </c>
      <c r="X116" s="44"/>
      <c r="Y116" s="44"/>
      <c r="Z116" s="44"/>
      <c r="AA116" s="44"/>
      <c r="AC116" s="44" t="str">
        <f t="shared" si="72"/>
        <v>5컷원점</v>
      </c>
      <c r="AD116" s="44" t="str">
        <f t="shared" si="73"/>
        <v>6</v>
      </c>
      <c r="AE116" s="44" t="str">
        <f t="shared" si="74"/>
        <v>5</v>
      </c>
      <c r="AF116" s="44" t="str">
        <f t="shared" si="75"/>
        <v>5</v>
      </c>
      <c r="AG116" s="44" t="str">
        <f t="shared" si="76"/>
        <v>5</v>
      </c>
      <c r="AH116" s="44" t="b">
        <f t="shared" si="116"/>
        <v>0</v>
      </c>
      <c r="AI116" s="44" t="b">
        <f t="shared" si="117"/>
        <v>0</v>
      </c>
      <c r="AJ116" s="44" t="b">
        <f t="shared" si="118"/>
        <v>0</v>
      </c>
      <c r="AK116" s="44" t="b">
        <f t="shared" si="119"/>
        <v>0</v>
      </c>
      <c r="AL116" s="44" t="b">
        <f t="shared" si="120"/>
        <v>0</v>
      </c>
      <c r="AM116" s="44" t="b">
        <f t="shared" si="121"/>
        <v>0</v>
      </c>
      <c r="AN116" s="44" t="b">
        <f t="shared" si="122"/>
        <v>0</v>
      </c>
      <c r="AO116" s="44" t="b">
        <f t="shared" si="123"/>
        <v>0</v>
      </c>
      <c r="AP116" s="44" t="b">
        <f t="shared" si="124"/>
        <v>0</v>
      </c>
      <c r="AQ116" s="44" t="b">
        <f t="shared" si="125"/>
        <v>0</v>
      </c>
      <c r="AR116" s="44" t="b">
        <f t="shared" si="126"/>
        <v>0</v>
      </c>
      <c r="AS116" s="44" t="b">
        <f t="shared" si="127"/>
        <v>0</v>
      </c>
      <c r="AT116" s="44" t="b">
        <f t="shared" si="128"/>
        <v>0</v>
      </c>
      <c r="AU116" s="44" t="b">
        <f t="shared" si="129"/>
        <v>0</v>
      </c>
      <c r="AV116" s="44" t="b">
        <f t="shared" si="130"/>
        <v>0</v>
      </c>
      <c r="AW116" s="44" t="b">
        <f t="shared" si="131"/>
        <v>0</v>
      </c>
      <c r="AX116" s="44" t="b">
        <f t="shared" si="132"/>
        <v>0</v>
      </c>
      <c r="AY116" s="7">
        <v>6</v>
      </c>
    </row>
    <row r="117" spans="1:52" hidden="1" x14ac:dyDescent="0.3">
      <c r="A117" s="7">
        <v>46</v>
      </c>
      <c r="B117" s="7">
        <f t="shared" si="94"/>
        <v>96</v>
      </c>
      <c r="C117" s="7">
        <f t="shared" si="95"/>
        <v>95</v>
      </c>
      <c r="D117" s="7">
        <f t="shared" si="96"/>
        <v>103</v>
      </c>
      <c r="E117" s="7">
        <f t="shared" si="97"/>
        <v>102</v>
      </c>
      <c r="F117" s="7">
        <f t="shared" si="98"/>
        <v>100</v>
      </c>
      <c r="G117" s="7">
        <f t="shared" si="99"/>
        <v>34</v>
      </c>
      <c r="H117" s="7">
        <f t="shared" si="100"/>
        <v>31</v>
      </c>
      <c r="I117" s="7">
        <f t="shared" si="101"/>
        <v>33</v>
      </c>
      <c r="J117" s="7">
        <f t="shared" si="102"/>
        <v>35</v>
      </c>
      <c r="K117" s="7">
        <f t="shared" si="103"/>
        <v>35</v>
      </c>
      <c r="L117" s="7">
        <f t="shared" si="104"/>
        <v>35</v>
      </c>
      <c r="M117" s="7">
        <f t="shared" si="105"/>
        <v>35</v>
      </c>
      <c r="N117" s="7">
        <f t="shared" si="106"/>
        <v>35</v>
      </c>
      <c r="O117" s="7">
        <f t="shared" si="107"/>
        <v>33</v>
      </c>
      <c r="P117" s="7">
        <f t="shared" si="108"/>
        <v>35</v>
      </c>
      <c r="Q117" s="7">
        <f t="shared" si="109"/>
        <v>34</v>
      </c>
      <c r="R117" s="7">
        <f t="shared" si="110"/>
        <v>35</v>
      </c>
      <c r="S117" s="7">
        <f t="shared" si="111"/>
        <v>35</v>
      </c>
      <c r="T117" s="7">
        <f t="shared" si="112"/>
        <v>36</v>
      </c>
      <c r="U117" s="7">
        <f t="shared" si="113"/>
        <v>35</v>
      </c>
      <c r="V117" s="7">
        <f t="shared" si="114"/>
        <v>33</v>
      </c>
      <c r="W117" s="7">
        <f t="shared" si="115"/>
        <v>33</v>
      </c>
      <c r="X117" s="44"/>
      <c r="Y117" s="44"/>
      <c r="Z117" s="44"/>
      <c r="AA117" s="44"/>
      <c r="AC117" s="44" t="str">
        <f t="shared" si="72"/>
        <v>6</v>
      </c>
      <c r="AD117" s="44" t="str">
        <f t="shared" si="73"/>
        <v>6</v>
      </c>
      <c r="AE117" s="44" t="str">
        <f t="shared" si="74"/>
        <v>5</v>
      </c>
      <c r="AF117" s="44" t="str">
        <f t="shared" si="75"/>
        <v>5</v>
      </c>
      <c r="AG117" s="44" t="str">
        <f t="shared" si="76"/>
        <v>5</v>
      </c>
      <c r="AH117" s="44" t="b">
        <f t="shared" si="116"/>
        <v>0</v>
      </c>
      <c r="AI117" s="44" t="b">
        <f t="shared" si="117"/>
        <v>0</v>
      </c>
      <c r="AJ117" s="44" t="b">
        <f t="shared" si="118"/>
        <v>0</v>
      </c>
      <c r="AK117" s="44" t="b">
        <f t="shared" si="119"/>
        <v>0</v>
      </c>
      <c r="AL117" s="44" t="b">
        <f t="shared" si="120"/>
        <v>0</v>
      </c>
      <c r="AM117" s="44" t="b">
        <f t="shared" si="121"/>
        <v>0</v>
      </c>
      <c r="AN117" s="44" t="b">
        <f t="shared" si="122"/>
        <v>0</v>
      </c>
      <c r="AO117" s="44" t="b">
        <f t="shared" si="123"/>
        <v>0</v>
      </c>
      <c r="AP117" s="44" t="b">
        <f t="shared" si="124"/>
        <v>0</v>
      </c>
      <c r="AQ117" s="44" t="b">
        <f t="shared" si="125"/>
        <v>0</v>
      </c>
      <c r="AR117" s="44" t="b">
        <f t="shared" si="126"/>
        <v>0</v>
      </c>
      <c r="AS117" s="44" t="b">
        <f t="shared" si="127"/>
        <v>0</v>
      </c>
      <c r="AT117" s="44" t="b">
        <f t="shared" si="128"/>
        <v>0</v>
      </c>
      <c r="AU117" s="44" t="b">
        <f t="shared" si="129"/>
        <v>0</v>
      </c>
      <c r="AV117" s="44" t="b">
        <f t="shared" si="130"/>
        <v>0</v>
      </c>
      <c r="AW117" s="44" t="b">
        <f t="shared" si="131"/>
        <v>0</v>
      </c>
      <c r="AX117" s="44" t="b">
        <f t="shared" si="132"/>
        <v>0</v>
      </c>
      <c r="AY117" s="7">
        <v>6</v>
      </c>
    </row>
    <row r="118" spans="1:52" hidden="1" x14ac:dyDescent="0.3">
      <c r="A118" s="7">
        <v>45</v>
      </c>
      <c r="B118" s="7">
        <f t="shared" si="94"/>
        <v>95</v>
      </c>
      <c r="C118" s="7">
        <f t="shared" si="95"/>
        <v>94</v>
      </c>
      <c r="D118" s="7">
        <f t="shared" si="96"/>
        <v>103</v>
      </c>
      <c r="E118" s="7">
        <f t="shared" si="97"/>
        <v>101</v>
      </c>
      <c r="F118" s="7">
        <f t="shared" si="98"/>
        <v>100</v>
      </c>
      <c r="G118" s="7">
        <f t="shared" si="99"/>
        <v>34</v>
      </c>
      <c r="H118" s="7">
        <f t="shared" si="100"/>
        <v>31</v>
      </c>
      <c r="I118" s="7">
        <f t="shared" si="101"/>
        <v>33</v>
      </c>
      <c r="J118" s="7">
        <f t="shared" si="102"/>
        <v>35</v>
      </c>
      <c r="K118" s="7">
        <f t="shared" si="103"/>
        <v>35</v>
      </c>
      <c r="L118" s="7">
        <f t="shared" si="104"/>
        <v>35</v>
      </c>
      <c r="M118" s="7">
        <f t="shared" si="105"/>
        <v>35</v>
      </c>
      <c r="N118" s="7">
        <f t="shared" si="106"/>
        <v>35</v>
      </c>
      <c r="O118" s="7">
        <f t="shared" si="107"/>
        <v>33</v>
      </c>
      <c r="P118" s="7">
        <f t="shared" si="108"/>
        <v>35</v>
      </c>
      <c r="Q118" s="7">
        <f t="shared" si="109"/>
        <v>34</v>
      </c>
      <c r="R118" s="7">
        <f t="shared" si="110"/>
        <v>35</v>
      </c>
      <c r="S118" s="7">
        <f t="shared" si="111"/>
        <v>35</v>
      </c>
      <c r="T118" s="7">
        <f t="shared" si="112"/>
        <v>36</v>
      </c>
      <c r="U118" s="7">
        <f t="shared" si="113"/>
        <v>35</v>
      </c>
      <c r="V118" s="7">
        <f t="shared" si="114"/>
        <v>33</v>
      </c>
      <c r="W118" s="7">
        <f t="shared" si="115"/>
        <v>33</v>
      </c>
      <c r="X118" s="44"/>
      <c r="Y118" s="44"/>
      <c r="Z118" s="44"/>
      <c r="AA118" s="44"/>
      <c r="AC118" s="44" t="str">
        <f t="shared" si="72"/>
        <v>6</v>
      </c>
      <c r="AD118" s="44" t="str">
        <f t="shared" si="73"/>
        <v>6</v>
      </c>
      <c r="AE118" s="44" t="str">
        <f t="shared" si="74"/>
        <v>5</v>
      </c>
      <c r="AF118" s="44" t="str">
        <f t="shared" si="75"/>
        <v>5</v>
      </c>
      <c r="AG118" s="44" t="str">
        <f t="shared" si="76"/>
        <v>5</v>
      </c>
      <c r="AH118" s="44" t="b">
        <f t="shared" si="116"/>
        <v>0</v>
      </c>
      <c r="AI118" s="44" t="b">
        <f t="shared" si="117"/>
        <v>0</v>
      </c>
      <c r="AJ118" s="44" t="b">
        <f t="shared" si="118"/>
        <v>0</v>
      </c>
      <c r="AK118" s="44" t="b">
        <f t="shared" si="119"/>
        <v>0</v>
      </c>
      <c r="AL118" s="44" t="b">
        <f t="shared" si="120"/>
        <v>0</v>
      </c>
      <c r="AM118" s="44" t="b">
        <f t="shared" si="121"/>
        <v>0</v>
      </c>
      <c r="AN118" s="44" t="b">
        <f t="shared" si="122"/>
        <v>0</v>
      </c>
      <c r="AO118" s="44" t="b">
        <f t="shared" si="123"/>
        <v>0</v>
      </c>
      <c r="AP118" s="44" t="b">
        <f t="shared" si="124"/>
        <v>0</v>
      </c>
      <c r="AQ118" s="44" t="b">
        <f t="shared" si="125"/>
        <v>0</v>
      </c>
      <c r="AR118" s="44" t="b">
        <f t="shared" si="126"/>
        <v>0</v>
      </c>
      <c r="AS118" s="44" t="b">
        <f t="shared" si="127"/>
        <v>0</v>
      </c>
      <c r="AT118" s="44" t="b">
        <f t="shared" si="128"/>
        <v>0</v>
      </c>
      <c r="AU118" s="44" t="b">
        <f t="shared" si="129"/>
        <v>0</v>
      </c>
      <c r="AV118" s="44" t="b">
        <f t="shared" si="130"/>
        <v>0</v>
      </c>
      <c r="AW118" s="44" t="b">
        <f t="shared" si="131"/>
        <v>0</v>
      </c>
      <c r="AX118" s="44" t="b">
        <f t="shared" si="132"/>
        <v>0</v>
      </c>
      <c r="AY118" s="7">
        <v>6</v>
      </c>
    </row>
    <row r="119" spans="1:52" hidden="1" x14ac:dyDescent="0.3">
      <c r="A119" s="7">
        <v>44</v>
      </c>
      <c r="B119" s="7">
        <f t="shared" si="94"/>
        <v>94</v>
      </c>
      <c r="C119" s="7">
        <f t="shared" si="95"/>
        <v>93</v>
      </c>
      <c r="D119" s="7">
        <f t="shared" si="96"/>
        <v>102</v>
      </c>
      <c r="E119" s="7">
        <f t="shared" si="97"/>
        <v>100</v>
      </c>
      <c r="F119" s="7">
        <f t="shared" si="98"/>
        <v>99</v>
      </c>
      <c r="G119" s="7">
        <f t="shared" si="99"/>
        <v>34</v>
      </c>
      <c r="H119" s="7">
        <f t="shared" si="100"/>
        <v>31</v>
      </c>
      <c r="I119" s="7">
        <f t="shared" si="101"/>
        <v>33</v>
      </c>
      <c r="J119" s="7">
        <f t="shared" si="102"/>
        <v>35</v>
      </c>
      <c r="K119" s="7">
        <f t="shared" si="103"/>
        <v>35</v>
      </c>
      <c r="L119" s="7">
        <f t="shared" si="104"/>
        <v>35</v>
      </c>
      <c r="M119" s="7">
        <f t="shared" si="105"/>
        <v>35</v>
      </c>
      <c r="N119" s="7">
        <f t="shared" si="106"/>
        <v>35</v>
      </c>
      <c r="O119" s="7">
        <f t="shared" si="107"/>
        <v>33</v>
      </c>
      <c r="P119" s="7">
        <f t="shared" si="108"/>
        <v>35</v>
      </c>
      <c r="Q119" s="7">
        <f t="shared" si="109"/>
        <v>34</v>
      </c>
      <c r="R119" s="7">
        <f t="shared" si="110"/>
        <v>35</v>
      </c>
      <c r="S119" s="7">
        <f t="shared" si="111"/>
        <v>35</v>
      </c>
      <c r="T119" s="7">
        <f t="shared" si="112"/>
        <v>36</v>
      </c>
      <c r="U119" s="7">
        <f t="shared" si="113"/>
        <v>35</v>
      </c>
      <c r="V119" s="7">
        <f t="shared" si="114"/>
        <v>33</v>
      </c>
      <c r="W119" s="7">
        <f t="shared" si="115"/>
        <v>33</v>
      </c>
      <c r="X119" s="44"/>
      <c r="Y119" s="44"/>
      <c r="Z119" s="44"/>
      <c r="AA119" s="44"/>
      <c r="AC119" s="44" t="str">
        <f t="shared" si="72"/>
        <v>6</v>
      </c>
      <c r="AD119" s="44" t="str">
        <f t="shared" si="73"/>
        <v>6</v>
      </c>
      <c r="AE119" s="44" t="str">
        <f t="shared" si="74"/>
        <v>5</v>
      </c>
      <c r="AF119" s="44" t="str">
        <f t="shared" si="75"/>
        <v>5</v>
      </c>
      <c r="AG119" s="44" t="str">
        <f t="shared" si="76"/>
        <v>5</v>
      </c>
      <c r="AH119" s="44" t="b">
        <f t="shared" si="116"/>
        <v>0</v>
      </c>
      <c r="AI119" s="44" t="b">
        <f t="shared" si="117"/>
        <v>0</v>
      </c>
      <c r="AJ119" s="44" t="b">
        <f t="shared" si="118"/>
        <v>0</v>
      </c>
      <c r="AK119" s="44" t="b">
        <f t="shared" si="119"/>
        <v>0</v>
      </c>
      <c r="AL119" s="44" t="b">
        <f t="shared" si="120"/>
        <v>0</v>
      </c>
      <c r="AM119" s="44" t="b">
        <f t="shared" si="121"/>
        <v>0</v>
      </c>
      <c r="AN119" s="44" t="b">
        <f t="shared" si="122"/>
        <v>0</v>
      </c>
      <c r="AO119" s="44" t="b">
        <f t="shared" si="123"/>
        <v>0</v>
      </c>
      <c r="AP119" s="44" t="b">
        <f t="shared" si="124"/>
        <v>0</v>
      </c>
      <c r="AQ119" s="44" t="b">
        <f t="shared" si="125"/>
        <v>0</v>
      </c>
      <c r="AR119" s="44" t="b">
        <f t="shared" si="126"/>
        <v>0</v>
      </c>
      <c r="AS119" s="44" t="b">
        <f t="shared" si="127"/>
        <v>0</v>
      </c>
      <c r="AT119" s="44" t="b">
        <f t="shared" si="128"/>
        <v>0</v>
      </c>
      <c r="AU119" s="44" t="b">
        <f t="shared" si="129"/>
        <v>0</v>
      </c>
      <c r="AV119" s="44" t="b">
        <f t="shared" si="130"/>
        <v>0</v>
      </c>
      <c r="AW119" s="44" t="b">
        <f t="shared" si="131"/>
        <v>0</v>
      </c>
      <c r="AX119" s="44" t="b">
        <f t="shared" si="132"/>
        <v>0</v>
      </c>
      <c r="AY119" s="7">
        <v>6</v>
      </c>
    </row>
    <row r="120" spans="1:52" hidden="1" x14ac:dyDescent="0.3">
      <c r="A120" s="7">
        <v>43</v>
      </c>
      <c r="B120" s="7">
        <f t="shared" si="94"/>
        <v>93</v>
      </c>
      <c r="C120" s="7">
        <f t="shared" si="95"/>
        <v>92</v>
      </c>
      <c r="D120" s="7">
        <f t="shared" si="96"/>
        <v>101</v>
      </c>
      <c r="E120" s="7">
        <f t="shared" si="97"/>
        <v>100</v>
      </c>
      <c r="F120" s="7">
        <f t="shared" si="98"/>
        <v>98</v>
      </c>
      <c r="G120" s="7">
        <f t="shared" si="99"/>
        <v>34</v>
      </c>
      <c r="H120" s="7">
        <f t="shared" si="100"/>
        <v>31</v>
      </c>
      <c r="I120" s="7">
        <f t="shared" si="101"/>
        <v>33</v>
      </c>
      <c r="J120" s="7">
        <f t="shared" si="102"/>
        <v>35</v>
      </c>
      <c r="K120" s="7">
        <f t="shared" si="103"/>
        <v>35</v>
      </c>
      <c r="L120" s="7">
        <f t="shared" si="104"/>
        <v>35</v>
      </c>
      <c r="M120" s="7">
        <f t="shared" si="105"/>
        <v>35</v>
      </c>
      <c r="N120" s="7">
        <f t="shared" si="106"/>
        <v>35</v>
      </c>
      <c r="O120" s="7">
        <f t="shared" si="107"/>
        <v>33</v>
      </c>
      <c r="P120" s="7">
        <f t="shared" si="108"/>
        <v>35</v>
      </c>
      <c r="Q120" s="7">
        <f t="shared" si="109"/>
        <v>34</v>
      </c>
      <c r="R120" s="7">
        <f t="shared" si="110"/>
        <v>35</v>
      </c>
      <c r="S120" s="7">
        <f t="shared" si="111"/>
        <v>35</v>
      </c>
      <c r="T120" s="7">
        <f t="shared" si="112"/>
        <v>36</v>
      </c>
      <c r="U120" s="7">
        <f t="shared" si="113"/>
        <v>35</v>
      </c>
      <c r="V120" s="7">
        <f t="shared" si="114"/>
        <v>33</v>
      </c>
      <c r="W120" s="7">
        <f t="shared" si="115"/>
        <v>33</v>
      </c>
      <c r="X120" s="44"/>
      <c r="Y120" s="44"/>
      <c r="Z120" s="44"/>
      <c r="AA120" s="44"/>
      <c r="AC120" s="44" t="str">
        <f t="shared" si="72"/>
        <v>6</v>
      </c>
      <c r="AD120" s="44" t="str">
        <f t="shared" si="73"/>
        <v>6</v>
      </c>
      <c r="AE120" s="44" t="str">
        <f t="shared" si="74"/>
        <v>5</v>
      </c>
      <c r="AF120" s="44" t="str">
        <f t="shared" si="75"/>
        <v>5</v>
      </c>
      <c r="AG120" s="44" t="str">
        <f t="shared" si="76"/>
        <v>5</v>
      </c>
      <c r="AH120" s="44" t="b">
        <f t="shared" si="116"/>
        <v>0</v>
      </c>
      <c r="AI120" s="44" t="b">
        <f t="shared" si="117"/>
        <v>0</v>
      </c>
      <c r="AJ120" s="44" t="b">
        <f t="shared" si="118"/>
        <v>0</v>
      </c>
      <c r="AK120" s="44" t="b">
        <f t="shared" si="119"/>
        <v>0</v>
      </c>
      <c r="AL120" s="44" t="b">
        <f t="shared" si="120"/>
        <v>0</v>
      </c>
      <c r="AM120" s="44" t="b">
        <f t="shared" si="121"/>
        <v>0</v>
      </c>
      <c r="AN120" s="44" t="b">
        <f t="shared" si="122"/>
        <v>0</v>
      </c>
      <c r="AO120" s="44" t="b">
        <f t="shared" si="123"/>
        <v>0</v>
      </c>
      <c r="AP120" s="44" t="b">
        <f t="shared" si="124"/>
        <v>0</v>
      </c>
      <c r="AQ120" s="44" t="b">
        <f t="shared" si="125"/>
        <v>0</v>
      </c>
      <c r="AR120" s="44" t="b">
        <f t="shared" si="126"/>
        <v>0</v>
      </c>
      <c r="AS120" s="44" t="b">
        <f t="shared" si="127"/>
        <v>0</v>
      </c>
      <c r="AT120" s="44" t="b">
        <f t="shared" si="128"/>
        <v>0</v>
      </c>
      <c r="AU120" s="44" t="b">
        <f t="shared" si="129"/>
        <v>0</v>
      </c>
      <c r="AV120" s="44" t="b">
        <f t="shared" si="130"/>
        <v>0</v>
      </c>
      <c r="AW120" s="44" t="b">
        <f t="shared" si="131"/>
        <v>0</v>
      </c>
      <c r="AX120" s="44" t="b">
        <f t="shared" si="132"/>
        <v>0</v>
      </c>
      <c r="AY120" s="7">
        <v>6</v>
      </c>
    </row>
    <row r="121" spans="1:52" hidden="1" x14ac:dyDescent="0.3">
      <c r="A121" s="7">
        <v>42</v>
      </c>
      <c r="B121" s="7">
        <f t="shared" si="94"/>
        <v>92</v>
      </c>
      <c r="C121" s="7">
        <f t="shared" si="95"/>
        <v>91</v>
      </c>
      <c r="D121" s="7">
        <f t="shared" si="96"/>
        <v>100</v>
      </c>
      <c r="E121" s="7">
        <f t="shared" si="97"/>
        <v>99</v>
      </c>
      <c r="F121" s="7">
        <f t="shared" si="98"/>
        <v>98</v>
      </c>
      <c r="G121" s="7">
        <f t="shared" si="99"/>
        <v>34</v>
      </c>
      <c r="H121" s="7">
        <f t="shared" si="100"/>
        <v>31</v>
      </c>
      <c r="I121" s="7">
        <f t="shared" si="101"/>
        <v>33</v>
      </c>
      <c r="J121" s="7">
        <f t="shared" si="102"/>
        <v>35</v>
      </c>
      <c r="K121" s="7">
        <f t="shared" si="103"/>
        <v>35</v>
      </c>
      <c r="L121" s="7">
        <f t="shared" si="104"/>
        <v>35</v>
      </c>
      <c r="M121" s="7">
        <f t="shared" si="105"/>
        <v>35</v>
      </c>
      <c r="N121" s="7">
        <f t="shared" si="106"/>
        <v>35</v>
      </c>
      <c r="O121" s="7">
        <f t="shared" si="107"/>
        <v>33</v>
      </c>
      <c r="P121" s="7">
        <f t="shared" si="108"/>
        <v>35</v>
      </c>
      <c r="Q121" s="7">
        <f t="shared" si="109"/>
        <v>34</v>
      </c>
      <c r="R121" s="7">
        <f t="shared" si="110"/>
        <v>35</v>
      </c>
      <c r="S121" s="7">
        <f t="shared" si="111"/>
        <v>35</v>
      </c>
      <c r="T121" s="7">
        <f t="shared" si="112"/>
        <v>36</v>
      </c>
      <c r="U121" s="7">
        <f t="shared" si="113"/>
        <v>35</v>
      </c>
      <c r="V121" s="7">
        <f t="shared" si="114"/>
        <v>33</v>
      </c>
      <c r="W121" s="7">
        <f t="shared" si="115"/>
        <v>33</v>
      </c>
      <c r="X121" s="44"/>
      <c r="Y121" s="44"/>
      <c r="Z121" s="44"/>
      <c r="AA121" s="44"/>
      <c r="AC121" s="44" t="str">
        <f t="shared" si="72"/>
        <v>6</v>
      </c>
      <c r="AD121" s="44" t="str">
        <f t="shared" si="73"/>
        <v>6</v>
      </c>
      <c r="AE121" s="44" t="str">
        <f t="shared" si="74"/>
        <v>5</v>
      </c>
      <c r="AF121" s="44" t="str">
        <f t="shared" si="75"/>
        <v>5</v>
      </c>
      <c r="AG121" s="44" t="str">
        <f t="shared" si="76"/>
        <v>5</v>
      </c>
      <c r="AH121" s="44" t="b">
        <f t="shared" si="116"/>
        <v>0</v>
      </c>
      <c r="AI121" s="44" t="b">
        <f t="shared" si="117"/>
        <v>0</v>
      </c>
      <c r="AJ121" s="44" t="b">
        <f t="shared" si="118"/>
        <v>0</v>
      </c>
      <c r="AK121" s="44" t="b">
        <f t="shared" si="119"/>
        <v>0</v>
      </c>
      <c r="AL121" s="44" t="b">
        <f t="shared" si="120"/>
        <v>0</v>
      </c>
      <c r="AM121" s="44" t="b">
        <f t="shared" si="121"/>
        <v>0</v>
      </c>
      <c r="AN121" s="44" t="b">
        <f t="shared" si="122"/>
        <v>0</v>
      </c>
      <c r="AO121" s="44" t="b">
        <f t="shared" si="123"/>
        <v>0</v>
      </c>
      <c r="AP121" s="44" t="b">
        <f t="shared" si="124"/>
        <v>0</v>
      </c>
      <c r="AQ121" s="44" t="b">
        <f t="shared" si="125"/>
        <v>0</v>
      </c>
      <c r="AR121" s="44" t="b">
        <f t="shared" si="126"/>
        <v>0</v>
      </c>
      <c r="AS121" s="44" t="b">
        <f t="shared" si="127"/>
        <v>0</v>
      </c>
      <c r="AT121" s="44" t="b">
        <f t="shared" si="128"/>
        <v>0</v>
      </c>
      <c r="AU121" s="44" t="b">
        <f t="shared" si="129"/>
        <v>0</v>
      </c>
      <c r="AV121" s="44" t="b">
        <f t="shared" si="130"/>
        <v>0</v>
      </c>
      <c r="AW121" s="44" t="b">
        <f t="shared" si="131"/>
        <v>0</v>
      </c>
      <c r="AX121" s="44" t="b">
        <f t="shared" si="132"/>
        <v>0</v>
      </c>
      <c r="AY121" s="7">
        <v>6</v>
      </c>
    </row>
    <row r="122" spans="1:52" hidden="1" x14ac:dyDescent="0.3">
      <c r="A122" s="7">
        <v>41</v>
      </c>
      <c r="B122" s="7">
        <f t="shared" si="94"/>
        <v>91</v>
      </c>
      <c r="C122" s="7">
        <f t="shared" si="95"/>
        <v>90</v>
      </c>
      <c r="D122" s="7">
        <f t="shared" si="96"/>
        <v>100</v>
      </c>
      <c r="E122" s="7">
        <f t="shared" si="97"/>
        <v>98</v>
      </c>
      <c r="F122" s="7">
        <f t="shared" si="98"/>
        <v>97</v>
      </c>
      <c r="G122" s="7">
        <f t="shared" si="99"/>
        <v>34</v>
      </c>
      <c r="H122" s="7">
        <f t="shared" si="100"/>
        <v>31</v>
      </c>
      <c r="I122" s="7">
        <f t="shared" si="101"/>
        <v>33</v>
      </c>
      <c r="J122" s="7">
        <f t="shared" si="102"/>
        <v>35</v>
      </c>
      <c r="K122" s="7">
        <f t="shared" si="103"/>
        <v>35</v>
      </c>
      <c r="L122" s="7">
        <f t="shared" si="104"/>
        <v>35</v>
      </c>
      <c r="M122" s="7">
        <f t="shared" si="105"/>
        <v>35</v>
      </c>
      <c r="N122" s="7">
        <f t="shared" si="106"/>
        <v>35</v>
      </c>
      <c r="O122" s="7">
        <f t="shared" si="107"/>
        <v>33</v>
      </c>
      <c r="P122" s="7">
        <f t="shared" si="108"/>
        <v>35</v>
      </c>
      <c r="Q122" s="7">
        <f t="shared" si="109"/>
        <v>34</v>
      </c>
      <c r="R122" s="7">
        <f t="shared" si="110"/>
        <v>35</v>
      </c>
      <c r="S122" s="7">
        <f t="shared" si="111"/>
        <v>35</v>
      </c>
      <c r="T122" s="7">
        <f t="shared" si="112"/>
        <v>36</v>
      </c>
      <c r="U122" s="7">
        <f t="shared" si="113"/>
        <v>35</v>
      </c>
      <c r="V122" s="7">
        <f t="shared" si="114"/>
        <v>33</v>
      </c>
      <c r="W122" s="7">
        <f t="shared" si="115"/>
        <v>33</v>
      </c>
      <c r="X122" s="44"/>
      <c r="Y122" s="44"/>
      <c r="Z122" s="44"/>
      <c r="AA122" s="44"/>
      <c r="AC122" s="44" t="str">
        <f t="shared" si="72"/>
        <v>6</v>
      </c>
      <c r="AD122" s="44" t="str">
        <f t="shared" si="73"/>
        <v>6</v>
      </c>
      <c r="AE122" s="44" t="str">
        <f t="shared" si="74"/>
        <v>5</v>
      </c>
      <c r="AF122" s="44" t="str">
        <f t="shared" si="75"/>
        <v>5</v>
      </c>
      <c r="AG122" s="44" t="str">
        <f t="shared" si="76"/>
        <v>5</v>
      </c>
      <c r="AH122" s="44" t="b">
        <f t="shared" si="116"/>
        <v>0</v>
      </c>
      <c r="AI122" s="44" t="b">
        <f t="shared" si="117"/>
        <v>0</v>
      </c>
      <c r="AJ122" s="44" t="b">
        <f t="shared" si="118"/>
        <v>0</v>
      </c>
      <c r="AK122" s="44" t="b">
        <f t="shared" si="119"/>
        <v>0</v>
      </c>
      <c r="AL122" s="44" t="b">
        <f t="shared" si="120"/>
        <v>0</v>
      </c>
      <c r="AM122" s="44" t="b">
        <f t="shared" si="121"/>
        <v>0</v>
      </c>
      <c r="AN122" s="44" t="b">
        <f t="shared" si="122"/>
        <v>0</v>
      </c>
      <c r="AO122" s="44" t="b">
        <f t="shared" si="123"/>
        <v>0</v>
      </c>
      <c r="AP122" s="44" t="b">
        <f t="shared" si="124"/>
        <v>0</v>
      </c>
      <c r="AQ122" s="44" t="b">
        <f t="shared" si="125"/>
        <v>0</v>
      </c>
      <c r="AR122" s="44" t="b">
        <f t="shared" si="126"/>
        <v>0</v>
      </c>
      <c r="AS122" s="44" t="b">
        <f t="shared" si="127"/>
        <v>0</v>
      </c>
      <c r="AT122" s="44" t="b">
        <f t="shared" si="128"/>
        <v>0</v>
      </c>
      <c r="AU122" s="44" t="b">
        <f t="shared" si="129"/>
        <v>0</v>
      </c>
      <c r="AV122" s="44" t="b">
        <f t="shared" si="130"/>
        <v>0</v>
      </c>
      <c r="AW122" s="44" t="b">
        <f t="shared" si="131"/>
        <v>0</v>
      </c>
      <c r="AX122" s="44" t="b">
        <f t="shared" si="132"/>
        <v>0</v>
      </c>
      <c r="AY122" s="7">
        <v>6</v>
      </c>
    </row>
    <row r="123" spans="1:52" hidden="1" x14ac:dyDescent="0.3">
      <c r="A123" s="7">
        <v>40</v>
      </c>
      <c r="B123" s="7">
        <f t="shared" si="94"/>
        <v>90</v>
      </c>
      <c r="C123" s="7">
        <f t="shared" si="95"/>
        <v>89</v>
      </c>
      <c r="D123" s="7">
        <f t="shared" si="96"/>
        <v>99</v>
      </c>
      <c r="E123" s="7">
        <f t="shared" si="97"/>
        <v>98</v>
      </c>
      <c r="F123" s="7">
        <f t="shared" si="98"/>
        <v>96</v>
      </c>
      <c r="G123" s="7">
        <f t="shared" si="99"/>
        <v>34</v>
      </c>
      <c r="H123" s="7">
        <f t="shared" si="100"/>
        <v>31</v>
      </c>
      <c r="I123" s="7">
        <f t="shared" si="101"/>
        <v>33</v>
      </c>
      <c r="J123" s="7">
        <f t="shared" si="102"/>
        <v>35</v>
      </c>
      <c r="K123" s="7">
        <f t="shared" si="103"/>
        <v>35</v>
      </c>
      <c r="L123" s="7">
        <f t="shared" si="104"/>
        <v>35</v>
      </c>
      <c r="M123" s="7">
        <f t="shared" si="105"/>
        <v>35</v>
      </c>
      <c r="N123" s="7">
        <f t="shared" si="106"/>
        <v>35</v>
      </c>
      <c r="O123" s="7">
        <f t="shared" si="107"/>
        <v>33</v>
      </c>
      <c r="P123" s="7">
        <f t="shared" si="108"/>
        <v>35</v>
      </c>
      <c r="Q123" s="7">
        <f t="shared" si="109"/>
        <v>34</v>
      </c>
      <c r="R123" s="7">
        <f t="shared" si="110"/>
        <v>35</v>
      </c>
      <c r="S123" s="7">
        <f t="shared" si="111"/>
        <v>35</v>
      </c>
      <c r="T123" s="7">
        <f t="shared" si="112"/>
        <v>36</v>
      </c>
      <c r="U123" s="7">
        <f t="shared" si="113"/>
        <v>35</v>
      </c>
      <c r="V123" s="7">
        <f t="shared" si="114"/>
        <v>33</v>
      </c>
      <c r="W123" s="7">
        <f t="shared" si="115"/>
        <v>33</v>
      </c>
      <c r="X123" s="44"/>
      <c r="Y123" s="44"/>
      <c r="Z123" s="44"/>
      <c r="AA123" s="44"/>
      <c r="AC123" s="44" t="str">
        <f t="shared" si="72"/>
        <v>6</v>
      </c>
      <c r="AD123" s="44" t="str">
        <f t="shared" si="73"/>
        <v>6</v>
      </c>
      <c r="AE123" s="44" t="str">
        <f t="shared" si="74"/>
        <v>5</v>
      </c>
      <c r="AF123" s="44" t="str">
        <f t="shared" si="75"/>
        <v>5</v>
      </c>
      <c r="AG123" s="44" t="str">
        <f t="shared" si="76"/>
        <v>5</v>
      </c>
      <c r="AH123" s="44" t="b">
        <f t="shared" si="116"/>
        <v>0</v>
      </c>
      <c r="AI123" s="44" t="b">
        <f t="shared" si="117"/>
        <v>0</v>
      </c>
      <c r="AJ123" s="44" t="b">
        <f t="shared" si="118"/>
        <v>0</v>
      </c>
      <c r="AK123" s="44" t="b">
        <f t="shared" si="119"/>
        <v>0</v>
      </c>
      <c r="AL123" s="44" t="b">
        <f t="shared" si="120"/>
        <v>0</v>
      </c>
      <c r="AM123" s="44" t="b">
        <f t="shared" si="121"/>
        <v>0</v>
      </c>
      <c r="AN123" s="44" t="b">
        <f t="shared" si="122"/>
        <v>0</v>
      </c>
      <c r="AO123" s="44" t="b">
        <f t="shared" si="123"/>
        <v>0</v>
      </c>
      <c r="AP123" s="44" t="b">
        <f t="shared" si="124"/>
        <v>0</v>
      </c>
      <c r="AQ123" s="44" t="b">
        <f t="shared" si="125"/>
        <v>0</v>
      </c>
      <c r="AR123" s="44" t="b">
        <f t="shared" si="126"/>
        <v>0</v>
      </c>
      <c r="AS123" s="44" t="b">
        <f t="shared" si="127"/>
        <v>0</v>
      </c>
      <c r="AT123" s="44" t="b">
        <f t="shared" si="128"/>
        <v>0</v>
      </c>
      <c r="AU123" s="44" t="b">
        <f t="shared" si="129"/>
        <v>0</v>
      </c>
      <c r="AV123" s="44" t="b">
        <f t="shared" si="130"/>
        <v>0</v>
      </c>
      <c r="AW123" s="44" t="b">
        <f t="shared" si="131"/>
        <v>0</v>
      </c>
      <c r="AX123" s="44" t="b">
        <f t="shared" si="132"/>
        <v>0</v>
      </c>
      <c r="AY123" s="7">
        <v>6</v>
      </c>
    </row>
    <row r="124" spans="1:52" hidden="1" x14ac:dyDescent="0.3">
      <c r="A124" s="7">
        <v>39</v>
      </c>
      <c r="B124" s="7">
        <f t="shared" si="94"/>
        <v>89</v>
      </c>
      <c r="C124" s="7">
        <f t="shared" si="95"/>
        <v>88</v>
      </c>
      <c r="D124" s="7">
        <f t="shared" si="96"/>
        <v>98</v>
      </c>
      <c r="E124" s="7">
        <f t="shared" si="97"/>
        <v>97</v>
      </c>
      <c r="F124" s="7">
        <f t="shared" si="98"/>
        <v>96</v>
      </c>
      <c r="G124" s="7">
        <f t="shared" si="99"/>
        <v>34</v>
      </c>
      <c r="H124" s="7">
        <f t="shared" si="100"/>
        <v>31</v>
      </c>
      <c r="I124" s="7">
        <f t="shared" si="101"/>
        <v>33</v>
      </c>
      <c r="J124" s="7">
        <f t="shared" si="102"/>
        <v>35</v>
      </c>
      <c r="K124" s="7">
        <f t="shared" si="103"/>
        <v>35</v>
      </c>
      <c r="L124" s="7">
        <f t="shared" si="104"/>
        <v>35</v>
      </c>
      <c r="M124" s="7">
        <f t="shared" si="105"/>
        <v>35</v>
      </c>
      <c r="N124" s="7">
        <f t="shared" si="106"/>
        <v>35</v>
      </c>
      <c r="O124" s="7">
        <f t="shared" si="107"/>
        <v>33</v>
      </c>
      <c r="P124" s="7">
        <f t="shared" si="108"/>
        <v>35</v>
      </c>
      <c r="Q124" s="7">
        <f t="shared" si="109"/>
        <v>34</v>
      </c>
      <c r="R124" s="7">
        <f t="shared" si="110"/>
        <v>35</v>
      </c>
      <c r="S124" s="7">
        <f t="shared" si="111"/>
        <v>35</v>
      </c>
      <c r="T124" s="7">
        <f t="shared" si="112"/>
        <v>36</v>
      </c>
      <c r="U124" s="7">
        <f t="shared" si="113"/>
        <v>35</v>
      </c>
      <c r="V124" s="7">
        <f t="shared" si="114"/>
        <v>33</v>
      </c>
      <c r="W124" s="7">
        <f t="shared" si="115"/>
        <v>33</v>
      </c>
      <c r="X124" s="44"/>
      <c r="Y124" s="44"/>
      <c r="Z124" s="44"/>
      <c r="AA124" s="44"/>
      <c r="AC124" s="44" t="str">
        <f t="shared" si="72"/>
        <v>6</v>
      </c>
      <c r="AD124" s="44" t="str">
        <f t="shared" si="73"/>
        <v>6</v>
      </c>
      <c r="AE124" s="44" t="str">
        <f t="shared" si="74"/>
        <v>5</v>
      </c>
      <c r="AF124" s="44" t="str">
        <f t="shared" si="75"/>
        <v>5</v>
      </c>
      <c r="AG124" s="44" t="str">
        <f t="shared" si="76"/>
        <v>5</v>
      </c>
      <c r="AH124" s="44" t="b">
        <f t="shared" si="116"/>
        <v>0</v>
      </c>
      <c r="AI124" s="44" t="b">
        <f t="shared" si="117"/>
        <v>0</v>
      </c>
      <c r="AJ124" s="44" t="b">
        <f t="shared" si="118"/>
        <v>0</v>
      </c>
      <c r="AK124" s="44" t="b">
        <f t="shared" si="119"/>
        <v>0</v>
      </c>
      <c r="AL124" s="44" t="b">
        <f t="shared" si="120"/>
        <v>0</v>
      </c>
      <c r="AM124" s="44" t="b">
        <f t="shared" si="121"/>
        <v>0</v>
      </c>
      <c r="AN124" s="44" t="b">
        <f t="shared" si="122"/>
        <v>0</v>
      </c>
      <c r="AO124" s="44" t="b">
        <f t="shared" si="123"/>
        <v>0</v>
      </c>
      <c r="AP124" s="44" t="b">
        <f t="shared" si="124"/>
        <v>0</v>
      </c>
      <c r="AQ124" s="44" t="b">
        <f t="shared" si="125"/>
        <v>0</v>
      </c>
      <c r="AR124" s="44" t="b">
        <f t="shared" si="126"/>
        <v>0</v>
      </c>
      <c r="AS124" s="44" t="b">
        <f t="shared" si="127"/>
        <v>0</v>
      </c>
      <c r="AT124" s="44" t="b">
        <f t="shared" si="128"/>
        <v>0</v>
      </c>
      <c r="AU124" s="44" t="b">
        <f t="shared" si="129"/>
        <v>0</v>
      </c>
      <c r="AV124" s="44" t="b">
        <f t="shared" si="130"/>
        <v>0</v>
      </c>
      <c r="AW124" s="44" t="b">
        <f t="shared" si="131"/>
        <v>0</v>
      </c>
      <c r="AX124" s="44" t="b">
        <f t="shared" si="132"/>
        <v>0</v>
      </c>
      <c r="AY124" s="7">
        <v>7</v>
      </c>
    </row>
    <row r="125" spans="1:52" hidden="1" x14ac:dyDescent="0.3">
      <c r="A125" s="7">
        <v>38</v>
      </c>
      <c r="B125" s="7">
        <f t="shared" si="94"/>
        <v>88</v>
      </c>
      <c r="C125" s="7">
        <f t="shared" si="95"/>
        <v>87</v>
      </c>
      <c r="D125" s="7">
        <f t="shared" si="96"/>
        <v>98</v>
      </c>
      <c r="E125" s="7">
        <f t="shared" si="97"/>
        <v>96</v>
      </c>
      <c r="F125" s="7">
        <f t="shared" si="98"/>
        <v>95</v>
      </c>
      <c r="G125" s="7">
        <f t="shared" si="99"/>
        <v>34</v>
      </c>
      <c r="H125" s="7">
        <f t="shared" si="100"/>
        <v>31</v>
      </c>
      <c r="I125" s="7">
        <f t="shared" si="101"/>
        <v>33</v>
      </c>
      <c r="J125" s="7">
        <f t="shared" si="102"/>
        <v>35</v>
      </c>
      <c r="K125" s="7">
        <f t="shared" si="103"/>
        <v>35</v>
      </c>
      <c r="L125" s="7">
        <f t="shared" si="104"/>
        <v>35</v>
      </c>
      <c r="M125" s="7">
        <f t="shared" si="105"/>
        <v>35</v>
      </c>
      <c r="N125" s="7">
        <f t="shared" si="106"/>
        <v>35</v>
      </c>
      <c r="O125" s="7">
        <f t="shared" si="107"/>
        <v>33</v>
      </c>
      <c r="P125" s="7">
        <f t="shared" si="108"/>
        <v>35</v>
      </c>
      <c r="Q125" s="7">
        <f t="shared" si="109"/>
        <v>34</v>
      </c>
      <c r="R125" s="7">
        <f t="shared" si="110"/>
        <v>35</v>
      </c>
      <c r="S125" s="7">
        <f t="shared" si="111"/>
        <v>35</v>
      </c>
      <c r="T125" s="7">
        <f t="shared" si="112"/>
        <v>36</v>
      </c>
      <c r="U125" s="7">
        <f t="shared" si="113"/>
        <v>35</v>
      </c>
      <c r="V125" s="7">
        <f t="shared" si="114"/>
        <v>33</v>
      </c>
      <c r="W125" s="7">
        <f t="shared" si="115"/>
        <v>33</v>
      </c>
      <c r="X125" s="44"/>
      <c r="Y125" s="44"/>
      <c r="Z125" s="44"/>
      <c r="AA125" s="44"/>
      <c r="AC125" s="44" t="str">
        <f t="shared" si="72"/>
        <v>6</v>
      </c>
      <c r="AD125" s="44" t="str">
        <f t="shared" si="73"/>
        <v>6</v>
      </c>
      <c r="AE125" s="44" t="str">
        <f t="shared" si="74"/>
        <v>5</v>
      </c>
      <c r="AF125" s="44" t="str">
        <f t="shared" si="75"/>
        <v>5</v>
      </c>
      <c r="AG125" s="44" t="str">
        <f t="shared" si="76"/>
        <v>5</v>
      </c>
      <c r="AH125" s="44" t="b">
        <f t="shared" si="116"/>
        <v>0</v>
      </c>
      <c r="AI125" s="44" t="b">
        <f t="shared" si="117"/>
        <v>0</v>
      </c>
      <c r="AJ125" s="44" t="b">
        <f t="shared" si="118"/>
        <v>0</v>
      </c>
      <c r="AK125" s="44" t="b">
        <f t="shared" si="119"/>
        <v>0</v>
      </c>
      <c r="AL125" s="44" t="b">
        <f t="shared" si="120"/>
        <v>0</v>
      </c>
      <c r="AM125" s="44" t="b">
        <f t="shared" si="121"/>
        <v>0</v>
      </c>
      <c r="AN125" s="44" t="b">
        <f t="shared" si="122"/>
        <v>0</v>
      </c>
      <c r="AO125" s="44" t="b">
        <f t="shared" si="123"/>
        <v>0</v>
      </c>
      <c r="AP125" s="44" t="b">
        <f t="shared" si="124"/>
        <v>0</v>
      </c>
      <c r="AQ125" s="44" t="b">
        <f t="shared" si="125"/>
        <v>0</v>
      </c>
      <c r="AR125" s="44" t="b">
        <f t="shared" si="126"/>
        <v>0</v>
      </c>
      <c r="AS125" s="44" t="b">
        <f t="shared" si="127"/>
        <v>0</v>
      </c>
      <c r="AT125" s="44" t="b">
        <f t="shared" si="128"/>
        <v>0</v>
      </c>
      <c r="AU125" s="44" t="b">
        <f t="shared" si="129"/>
        <v>0</v>
      </c>
      <c r="AV125" s="44" t="b">
        <f t="shared" si="130"/>
        <v>0</v>
      </c>
      <c r="AW125" s="44" t="b">
        <f t="shared" si="131"/>
        <v>0</v>
      </c>
      <c r="AX125" s="44" t="b">
        <f t="shared" si="132"/>
        <v>0</v>
      </c>
      <c r="AY125" s="7">
        <v>7</v>
      </c>
    </row>
    <row r="126" spans="1:52" hidden="1" x14ac:dyDescent="0.3">
      <c r="A126" s="7">
        <v>37</v>
      </c>
      <c r="B126" s="7">
        <f t="shared" si="94"/>
        <v>87</v>
      </c>
      <c r="C126" s="7">
        <f t="shared" si="95"/>
        <v>86</v>
      </c>
      <c r="D126" s="7">
        <f t="shared" si="96"/>
        <v>97</v>
      </c>
      <c r="E126" s="7">
        <f t="shared" si="97"/>
        <v>96</v>
      </c>
      <c r="F126" s="7">
        <f t="shared" si="98"/>
        <v>94</v>
      </c>
      <c r="G126" s="7">
        <f t="shared" si="99"/>
        <v>34</v>
      </c>
      <c r="H126" s="7">
        <f t="shared" si="100"/>
        <v>31</v>
      </c>
      <c r="I126" s="7">
        <f t="shared" si="101"/>
        <v>33</v>
      </c>
      <c r="J126" s="7">
        <f t="shared" si="102"/>
        <v>35</v>
      </c>
      <c r="K126" s="7">
        <f t="shared" si="103"/>
        <v>35</v>
      </c>
      <c r="L126" s="7">
        <f t="shared" si="104"/>
        <v>35</v>
      </c>
      <c r="M126" s="7">
        <f t="shared" si="105"/>
        <v>35</v>
      </c>
      <c r="N126" s="7">
        <f t="shared" si="106"/>
        <v>35</v>
      </c>
      <c r="O126" s="7">
        <f t="shared" si="107"/>
        <v>33</v>
      </c>
      <c r="P126" s="7">
        <f t="shared" si="108"/>
        <v>35</v>
      </c>
      <c r="Q126" s="7">
        <f t="shared" si="109"/>
        <v>34</v>
      </c>
      <c r="R126" s="7">
        <f t="shared" si="110"/>
        <v>35</v>
      </c>
      <c r="S126" s="7">
        <f t="shared" si="111"/>
        <v>35</v>
      </c>
      <c r="T126" s="7">
        <f t="shared" si="112"/>
        <v>36</v>
      </c>
      <c r="U126" s="7">
        <f t="shared" si="113"/>
        <v>35</v>
      </c>
      <c r="V126" s="7">
        <f t="shared" si="114"/>
        <v>33</v>
      </c>
      <c r="W126" s="7">
        <f t="shared" si="115"/>
        <v>33</v>
      </c>
      <c r="X126" s="44"/>
      <c r="Y126" s="44"/>
      <c r="Z126" s="44"/>
      <c r="AA126" s="44"/>
      <c r="AC126" s="44" t="str">
        <f t="shared" si="72"/>
        <v>6</v>
      </c>
      <c r="AD126" s="44" t="str">
        <f t="shared" si="73"/>
        <v>6</v>
      </c>
      <c r="AE126" s="44" t="str">
        <f t="shared" si="74"/>
        <v>5</v>
      </c>
      <c r="AF126" s="44" t="str">
        <f t="shared" si="75"/>
        <v>5</v>
      </c>
      <c r="AG126" s="44" t="str">
        <f t="shared" si="76"/>
        <v>5</v>
      </c>
      <c r="AH126" s="44" t="b">
        <f t="shared" si="116"/>
        <v>0</v>
      </c>
      <c r="AI126" s="44" t="b">
        <f t="shared" si="117"/>
        <v>0</v>
      </c>
      <c r="AJ126" s="44" t="b">
        <f t="shared" si="118"/>
        <v>0</v>
      </c>
      <c r="AK126" s="44" t="b">
        <f t="shared" si="119"/>
        <v>0</v>
      </c>
      <c r="AL126" s="44" t="b">
        <f t="shared" si="120"/>
        <v>0</v>
      </c>
      <c r="AM126" s="44" t="b">
        <f t="shared" si="121"/>
        <v>0</v>
      </c>
      <c r="AN126" s="44" t="b">
        <f t="shared" si="122"/>
        <v>0</v>
      </c>
      <c r="AO126" s="44" t="b">
        <f t="shared" si="123"/>
        <v>0</v>
      </c>
      <c r="AP126" s="44" t="b">
        <f t="shared" si="124"/>
        <v>0</v>
      </c>
      <c r="AQ126" s="44" t="b">
        <f t="shared" si="125"/>
        <v>0</v>
      </c>
      <c r="AR126" s="44" t="b">
        <f t="shared" si="126"/>
        <v>0</v>
      </c>
      <c r="AS126" s="44" t="b">
        <f t="shared" si="127"/>
        <v>0</v>
      </c>
      <c r="AT126" s="44" t="b">
        <f t="shared" si="128"/>
        <v>0</v>
      </c>
      <c r="AU126" s="44" t="b">
        <f t="shared" si="129"/>
        <v>0</v>
      </c>
      <c r="AV126" s="44" t="b">
        <f t="shared" si="130"/>
        <v>0</v>
      </c>
      <c r="AW126" s="44" t="b">
        <f t="shared" si="131"/>
        <v>0</v>
      </c>
      <c r="AX126" s="44" t="b">
        <f t="shared" si="132"/>
        <v>0</v>
      </c>
      <c r="AY126" s="7">
        <v>7</v>
      </c>
    </row>
    <row r="127" spans="1:52" hidden="1" x14ac:dyDescent="0.3">
      <c r="A127" s="7">
        <v>36</v>
      </c>
      <c r="B127" s="7">
        <f t="shared" si="94"/>
        <v>86</v>
      </c>
      <c r="C127" s="7">
        <f t="shared" si="95"/>
        <v>85</v>
      </c>
      <c r="D127" s="7">
        <f t="shared" si="96"/>
        <v>96</v>
      </c>
      <c r="E127" s="7">
        <f t="shared" si="97"/>
        <v>95</v>
      </c>
      <c r="F127" s="7">
        <f t="shared" si="98"/>
        <v>93</v>
      </c>
      <c r="G127" s="7">
        <f t="shared" si="99"/>
        <v>34</v>
      </c>
      <c r="H127" s="7">
        <f t="shared" si="100"/>
        <v>31</v>
      </c>
      <c r="I127" s="7">
        <f t="shared" si="101"/>
        <v>33</v>
      </c>
      <c r="J127" s="7">
        <f t="shared" si="102"/>
        <v>35</v>
      </c>
      <c r="K127" s="7">
        <f t="shared" si="103"/>
        <v>35</v>
      </c>
      <c r="L127" s="7">
        <f t="shared" si="104"/>
        <v>35</v>
      </c>
      <c r="M127" s="7">
        <f t="shared" si="105"/>
        <v>35</v>
      </c>
      <c r="N127" s="7">
        <f t="shared" si="106"/>
        <v>35</v>
      </c>
      <c r="O127" s="7">
        <f t="shared" si="107"/>
        <v>33</v>
      </c>
      <c r="P127" s="7">
        <f t="shared" si="108"/>
        <v>35</v>
      </c>
      <c r="Q127" s="7">
        <f t="shared" si="109"/>
        <v>34</v>
      </c>
      <c r="R127" s="7">
        <f t="shared" si="110"/>
        <v>35</v>
      </c>
      <c r="S127" s="7">
        <f t="shared" si="111"/>
        <v>35</v>
      </c>
      <c r="T127" s="7">
        <f t="shared" si="112"/>
        <v>36</v>
      </c>
      <c r="U127" s="7">
        <f t="shared" si="113"/>
        <v>35</v>
      </c>
      <c r="V127" s="7">
        <f t="shared" si="114"/>
        <v>33</v>
      </c>
      <c r="W127" s="7">
        <f t="shared" si="115"/>
        <v>33</v>
      </c>
      <c r="X127" s="44"/>
      <c r="Y127" s="44"/>
      <c r="Z127" s="44"/>
      <c r="AA127" s="44"/>
      <c r="AC127" s="44" t="str">
        <f t="shared" si="72"/>
        <v>6</v>
      </c>
      <c r="AD127" s="44" t="str">
        <f t="shared" si="73"/>
        <v>6</v>
      </c>
      <c r="AE127" s="44" t="str">
        <f t="shared" si="74"/>
        <v>5</v>
      </c>
      <c r="AF127" s="44" t="str">
        <f t="shared" si="75"/>
        <v>5</v>
      </c>
      <c r="AG127" s="44" t="str">
        <f t="shared" si="76"/>
        <v>5</v>
      </c>
      <c r="AH127" s="44" t="b">
        <f t="shared" si="116"/>
        <v>0</v>
      </c>
      <c r="AI127" s="44" t="b">
        <f t="shared" si="117"/>
        <v>0</v>
      </c>
      <c r="AJ127" s="44" t="b">
        <f t="shared" si="118"/>
        <v>0</v>
      </c>
      <c r="AK127" s="44" t="b">
        <f t="shared" si="119"/>
        <v>0</v>
      </c>
      <c r="AL127" s="44" t="b">
        <f t="shared" si="120"/>
        <v>0</v>
      </c>
      <c r="AM127" s="44" t="b">
        <f t="shared" si="121"/>
        <v>0</v>
      </c>
      <c r="AN127" s="44" t="b">
        <f t="shared" si="122"/>
        <v>0</v>
      </c>
      <c r="AO127" s="44" t="b">
        <f t="shared" si="123"/>
        <v>0</v>
      </c>
      <c r="AP127" s="44" t="b">
        <f t="shared" si="124"/>
        <v>0</v>
      </c>
      <c r="AQ127" s="44" t="b">
        <f t="shared" si="125"/>
        <v>0</v>
      </c>
      <c r="AR127" s="44" t="b">
        <f t="shared" si="126"/>
        <v>0</v>
      </c>
      <c r="AS127" s="44" t="b">
        <f t="shared" si="127"/>
        <v>0</v>
      </c>
      <c r="AT127" s="44" t="b">
        <f t="shared" si="128"/>
        <v>0</v>
      </c>
      <c r="AU127" s="44" t="b">
        <f t="shared" si="129"/>
        <v>0</v>
      </c>
      <c r="AV127" s="44" t="b">
        <f t="shared" si="130"/>
        <v>0</v>
      </c>
      <c r="AW127" s="44" t="b">
        <f t="shared" si="131"/>
        <v>0</v>
      </c>
      <c r="AX127" s="44" t="b">
        <f t="shared" si="132"/>
        <v>0</v>
      </c>
      <c r="AY127" s="7">
        <v>7</v>
      </c>
    </row>
    <row r="128" spans="1:52" hidden="1" x14ac:dyDescent="0.3">
      <c r="A128" s="7">
        <v>35</v>
      </c>
      <c r="B128" s="7">
        <f t="shared" ref="B128:B133" si="133">IF(LEN(AC128)=LEN($A$32),INDEX(B$42:B$49,MATCH(AC128,$AA$42:$AA$49,0)),IF(AC128=$AB$31,ROUND(B$41-(B$31-$A128)*AC$41,0),IF(AC128=$AB$32,ROUND(B$42-(B$32-$A128)*AC$42,0),IF(AC128=$AB$33,ROUND(B$43-(B$33-$A128)*AC$43,0),IF(AC128=$AB$34,ROUND(B$44-(B$34-$A128)*AC$44,0),IF(AC128=$AB$35,ROUND(B$45-(B$35-$A128)*AC$45,0),IF(AC128=$AB$36,ROUND(B$46-(B$36-$A128)*AC$46,0),IF(AC128=$AB$37,ROUND(B$47-(B$37-$A128)*AC$47,0),IF(AC128=$AB$38,ROUND(B$48-(B$38-$A128)*AC$48,0),IF(AC128=$AB$39,ROUND(B$49-(B$39-$A128)*AC$49,0)))))))))))</f>
        <v>85</v>
      </c>
      <c r="C128" s="7">
        <f t="shared" ref="C128:C133" si="134">IF(LEN(AD128)=LEN($A$32),INDEX(C$42:C$49,MATCH(AD128,$AA$42:$AA$49,0)),IF(AD128=$AB$31,ROUND(C$41-(C$31-$A128)*AD$41,0),IF(AD128=$AB$32,ROUND(C$42-(C$32-$A128)*AD$42,0),IF(AD128=$AB$33,ROUND(C$43-(C$33-$A128)*AD$43,0),IF(AD128=$AB$34,ROUND(C$44-(C$34-$A128)*AD$44,0),IF(AD128=$AB$35,ROUND(C$45-(C$35-$A128)*AD$45,0),IF(AD128=$AB$36,ROUND(C$46-(C$36-$A128)*AD$46,0),IF(AD128=$AB$37,ROUND(C$47-(C$37-$A128)*AD$47,0),IF(AD128=$AB$38,ROUND(C$48-(C$38-$A128)*AD$48,0),IF(AD128=$AB$39,ROUND(C$49-(C$39-$A128)*AD$49,0)))))))))))</f>
        <v>84</v>
      </c>
      <c r="D128" s="7">
        <f t="shared" ref="D128:D133" si="135">IF(LEN(AE128)=LEN($A$32),INDEX(D$42:D$49,MATCH(AE128,$AA$42:$AA$49,0)),IF(AE128=$AB$31,ROUND(D$41-(D$31-$A128)*AE$41,0),IF(AE128=$AB$32,ROUND(D$42-(D$32-$A128)*AE$42,0),IF(AE128=$AB$33,ROUND(D$43-(D$33-$A128)*AE$43,0),IF(AE128=$AB$34,ROUND(D$44-(D$34-$A128)*AE$44,0),IF(AE128=$AB$35,ROUND(D$45-(D$35-$A128)*AE$45,0),IF(AE128=$AB$36,ROUND(D$46-(D$36-$A128)*AE$46,0),IF(AE128=$AB$37,ROUND(D$47-(D$37-$A128)*AE$47,0),IF(AE128=$AB$38,ROUND(D$48-(D$38-$A128)*AE$48,0),IF(AE128=$AB$39,ROUND(D$49-(D$39-$A128)*AE$49,0)))))))))))</f>
        <v>96</v>
      </c>
      <c r="E128" s="7">
        <f t="shared" ref="E128:E133" si="136">IF(LEN(AF128)=LEN($A$32),INDEX(E$42:E$49,MATCH(AF128,$AA$42:$AA$49,0)),IF(AF128=$AB$31,ROUND(E$41-(E$31-$A128)*AF$41,0),IF(AF128=$AB$32,ROUND(E$42-(E$32-$A128)*AF$42,0),IF(AF128=$AB$33,ROUND(E$43-(E$33-$A128)*AF$43,0),IF(AF128=$AB$34,ROUND(E$44-(E$34-$A128)*AF$44,0),IF(AF128=$AB$35,ROUND(E$45-(E$35-$A128)*AF$45,0),IF(AF128=$AB$36,ROUND(E$46-(E$36-$A128)*AF$46,0),IF(AF128=$AB$37,ROUND(E$47-(E$37-$A128)*AF$47,0),IF(AF128=$AB$38,ROUND(E$48-(E$38-$A128)*AF$48,0),IF(AF128=$AB$39,ROUND(E$49-(E$39-$A128)*AF$49,0)))))))))))</f>
        <v>94</v>
      </c>
      <c r="F128" s="7">
        <f t="shared" ref="F128:F133" si="137">IF(LEN(AG128)=LEN($A$32),INDEX(F$42:F$49,MATCH(AG128,$AA$42:$AA$49,0)),IF(AG128=$AB$31,ROUND(F$41-(F$31-$A128)*AG$41,0),IF(AG128=$AB$32,ROUND(F$42-(F$32-$A128)*AG$42,0),IF(AG128=$AB$33,ROUND(F$43-(F$33-$A128)*AG$43,0),IF(AG128=$AB$34,ROUND(F$44-(F$34-$A128)*AG$44,0),IF(AG128=$AB$35,ROUND(F$45-(F$35-$A128)*AG$45,0),IF(AG128=$AB$36,ROUND(F$46-(F$36-$A128)*AG$46,0),IF(AG128=$AB$37,ROUND(F$47-(F$37-$A128)*AG$47,0),IF(AG128=$AB$38,ROUND(F$48-(F$38-$A128)*AG$48,0),IF(AG128=$AB$39,ROUND(F$49-(F$39-$A128)*AG$49,0)))))))))))</f>
        <v>93</v>
      </c>
      <c r="G128" s="7">
        <f t="shared" ref="G128:G133" si="138">IF(LEN(AH128)=LEN($A$32),INDEX(G$42:G$49,MATCH(AH128,$AA$42:$AA$49,0)),IF(AH128=$AB$31,ROUND(G$41-(G$31-$AB128)*AH$41,0),IF(AH128=$AB$32,ROUND(G$42-(G$32-$AB128)*AH$42,0),IF(AH128=$AB$33,ROUND(G$43-(G$33-$AB128)*AH$43,0),IF(AH128=$AB$34,ROUND(G$44-(G$34-$AB128)*AH$44,0),IF(AH128=$AB$35,ROUND(G$45-(G$35-$AB128)*AH$45,0),IF(AH128=$AB$36,ROUND(G$46-(G$36-$AB128)*AH$46,0),IF(AH128=$AB$37,ROUND(G$47-(G$37-$AB128)*AH$47,0),IF(AH128=$AB$38,ROUND(G$48-(G$38-$AB128)*AH$48,0),IF(AH128=$AB$39,ROUND(G$49-(G$39-$AB128)*AH$49,0)))))))))))</f>
        <v>34</v>
      </c>
      <c r="H128" s="7">
        <f t="shared" ref="H128:H133" si="139">IF(LEN(AI128)=LEN($A$32),INDEX(H$42:H$49,MATCH(AI128,$AA$42:$AA$49,0)),IF(AI128=$AB$31,ROUND(H$41-(H$31-$AB128)*AI$41,0),IF(AI128=$AB$32,ROUND(H$42-(H$32-$AB128)*AI$42,0),IF(AI128=$AB$33,ROUND(H$43-(H$33-$AB128)*AI$43,0),IF(AI128=$AB$34,ROUND(H$44-(H$34-$AB128)*AI$44,0),IF(AI128=$AB$35,ROUND(H$45-(H$35-$AB128)*AI$45,0),IF(AI128=$AB$36,ROUND(H$46-(H$36-$AB128)*AI$46,0),IF(AI128=$AB$37,ROUND(H$47-(H$37-$AB128)*AI$47,0),IF(AI128=$AB$38,ROUND(H$48-(H$38-$AB128)*AI$48,0),IF(AI128=$AB$39,ROUND(H$49-(H$39-$AB128)*AI$49,0)))))))))))</f>
        <v>31</v>
      </c>
      <c r="I128" s="7">
        <f t="shared" ref="I128:I133" si="140">IF(LEN(AJ128)=LEN($A$32),INDEX(I$42:I$49,MATCH(AJ128,$AA$42:$AA$49,0)),IF(AJ128=$AB$31,ROUND(I$41-(I$31-$AB128)*AJ$41,0),IF(AJ128=$AB$32,ROUND(I$42-(I$32-$AB128)*AJ$42,0),IF(AJ128=$AB$33,ROUND(I$43-(I$33-$AB128)*AJ$43,0),IF(AJ128=$AB$34,ROUND(I$44-(I$34-$AB128)*AJ$44,0),IF(AJ128=$AB$35,ROUND(I$45-(I$35-$AB128)*AJ$45,0),IF(AJ128=$AB$36,ROUND(I$46-(I$36-$AB128)*AJ$46,0),IF(AJ128=$AB$37,ROUND(I$47-(I$37-$AB128)*AJ$47,0),IF(AJ128=$AB$38,ROUND(I$48-(I$38-$AB128)*AJ$48,0),IF(AJ128=$AB$39,ROUND(I$49-(I$39-$AB128)*AJ$49,0)))))))))))</f>
        <v>33</v>
      </c>
      <c r="J128" s="7">
        <f t="shared" ref="J128:J133" si="141">IF(LEN(AK128)=LEN($A$32),INDEX(J$42:J$49,MATCH(AK128,$AA$42:$AA$49,0)),IF(AK128=$AB$31,ROUND(J$41-(J$31-$AB128)*AK$41,0),IF(AK128=$AB$32,ROUND(J$42-(J$32-$AB128)*AK$42,0),IF(AK128=$AB$33,ROUND(J$43-(J$33-$AB128)*AK$43,0),IF(AK128=$AB$34,ROUND(J$44-(J$34-$AB128)*AK$44,0),IF(AK128=$AB$35,ROUND(J$45-(J$35-$AB128)*AK$45,0),IF(AK128=$AB$36,ROUND(J$46-(J$36-$AB128)*AK$46,0),IF(AK128=$AB$37,ROUND(J$47-(J$37-$AB128)*AK$47,0),IF(AK128=$AB$38,ROUND(J$48-(J$38-$AB128)*AK$48,0),IF(AK128=$AB$39,ROUND(J$49-(J$39-$AB128)*AK$49,0)))))))))))</f>
        <v>35</v>
      </c>
      <c r="K128" s="7">
        <f t="shared" ref="K128:K133" si="142">IF(LEN(AL128)=LEN($A$32),INDEX(K$42:K$49,MATCH(AL128,$AA$42:$AA$49,0)),IF(AL128=$AB$31,ROUND(K$41-(K$31-$AB128)*AL$41,0),IF(AL128=$AB$32,ROUND(K$42-(K$32-$AB128)*AL$42,0),IF(AL128=$AB$33,ROUND(K$43-(K$33-$AB128)*AL$43,0),IF(AL128=$AB$34,ROUND(K$44-(K$34-$AB128)*AL$44,0),IF(AL128=$AB$35,ROUND(K$45-(K$35-$AB128)*AL$45,0),IF(AL128=$AB$36,ROUND(K$46-(K$36-$AB128)*AL$46,0),IF(AL128=$AB$37,ROUND(K$47-(K$37-$AB128)*AL$47,0),IF(AL128=$AB$38,ROUND(K$48-(K$38-$AB128)*AL$48,0),IF(AL128=$AB$39,ROUND(K$49-(K$39-$AB128)*AL$49,0)))))))))))</f>
        <v>35</v>
      </c>
      <c r="L128" s="7">
        <f t="shared" ref="L128:L133" si="143">IF(LEN(AM128)=LEN($A$32),INDEX(L$42:L$49,MATCH(AM128,$AA$42:$AA$49,0)),IF(AM128=$AB$31,ROUND(L$41-(L$31-$AB128)*AM$41,0),IF(AM128=$AB$32,ROUND(L$42-(L$32-$AB128)*AM$42,0),IF(AM128=$AB$33,ROUND(L$43-(L$33-$AB128)*AM$43,0),IF(AM128=$AB$34,ROUND(L$44-(L$34-$AB128)*AM$44,0),IF(AM128=$AB$35,ROUND(L$45-(L$35-$AB128)*AM$45,0),IF(AM128=$AB$36,ROUND(L$46-(L$36-$AB128)*AM$46,0),IF(AM128=$AB$37,ROUND(L$47-(L$37-$AB128)*AM$47,0),IF(AM128=$AB$38,ROUND(L$48-(L$38-$AB128)*AM$48,0),IF(AM128=$AB$39,ROUND(L$49-(L$39-$AB128)*AM$49,0)))))))))))</f>
        <v>35</v>
      </c>
      <c r="M128" s="7">
        <f t="shared" ref="M128:M133" si="144">IF(LEN(AN128)=LEN($A$32),INDEX(M$42:M$49,MATCH(AN128,$AA$42:$AA$49,0)),IF(AN128=$AB$31,ROUND(M$41-(M$31-$AB128)*AN$41,0),IF(AN128=$AB$32,ROUND(M$42-(M$32-$AB128)*AN$42,0),IF(AN128=$AB$33,ROUND(M$43-(M$33-$AB128)*AN$43,0),IF(AN128=$AB$34,ROUND(M$44-(M$34-$AB128)*AN$44,0),IF(AN128=$AB$35,ROUND(M$45-(M$35-$AB128)*AN$45,0),IF(AN128=$AB$36,ROUND(M$46-(M$36-$AB128)*AN$46,0),IF(AN128=$AB$37,ROUND(M$47-(M$37-$AB128)*AN$47,0),IF(AN128=$AB$38,ROUND(M$48-(M$38-$AB128)*AN$48,0),IF(AN128=$AB$39,ROUND(M$49-(M$39-$AB128)*AN$49,0)))))))))))</f>
        <v>35</v>
      </c>
      <c r="N128" s="7">
        <f t="shared" ref="N128:N133" si="145">IF(LEN(AO128)=LEN($A$32),INDEX(N$42:N$49,MATCH(AO128,$AA$42:$AA$49,0)),IF(AO128=$AB$31,ROUND(N$41-(N$31-$AB128)*AO$41,0),IF(AO128=$AB$32,ROUND(N$42-(N$32-$AB128)*AO$42,0),IF(AO128=$AB$33,ROUND(N$43-(N$33-$AB128)*AO$43,0),IF(AO128=$AB$34,ROUND(N$44-(N$34-$AB128)*AO$44,0),IF(AO128=$AB$35,ROUND(N$45-(N$35-$AB128)*AO$45,0),IF(AO128=$AB$36,ROUND(N$46-(N$36-$AB128)*AO$46,0),IF(AO128=$AB$37,ROUND(N$47-(N$37-$AB128)*AO$47,0),IF(AO128=$AB$38,ROUND(N$48-(N$38-$AB128)*AO$48,0),IF(AO128=$AB$39,ROUND(N$49-(N$39-$AB128)*AO$49,0)))))))))))</f>
        <v>35</v>
      </c>
      <c r="O128" s="7">
        <f t="shared" ref="O128:O133" si="146">IF(LEN(AP128)=LEN($A$32),INDEX(O$42:O$49,MATCH(AP128,$AA$42:$AA$49,0)),IF(AP128=$AB$31,ROUND(O$41-(O$31-$AB128)*AP$41,0),IF(AP128=$AB$32,ROUND(O$42-(O$32-$AB128)*AP$42,0),IF(AP128=$AB$33,ROUND(O$43-(O$33-$AB128)*AP$43,0),IF(AP128=$AB$34,ROUND(O$44-(O$34-$AB128)*AP$44,0),IF(AP128=$AB$35,ROUND(O$45-(O$35-$AB128)*AP$45,0),IF(AP128=$AB$36,ROUND(O$46-(O$36-$AB128)*AP$46,0),IF(AP128=$AB$37,ROUND(O$47-(O$37-$AB128)*AP$47,0),IF(AP128=$AB$38,ROUND(O$48-(O$38-$AB128)*AP$48,0),IF(AP128=$AB$39,ROUND(O$49-(O$39-$AB128)*AP$49,0)))))))))))</f>
        <v>33</v>
      </c>
      <c r="P128" s="7">
        <f t="shared" ref="P128:P133" si="147">IF(LEN(AQ128)=LEN($A$32),INDEX(P$42:P$49,MATCH(AQ128,$AA$42:$AA$49,0)),IF(AQ128=$AB$31,ROUND(P$41-(P$31-$AB128)*AQ$41,0),IF(AQ128=$AB$32,ROUND(P$42-(P$32-$AB128)*AQ$42,0),IF(AQ128=$AB$33,ROUND(P$43-(P$33-$AB128)*AQ$43,0),IF(AQ128=$AB$34,ROUND(P$44-(P$34-$AB128)*AQ$44,0),IF(AQ128=$AB$35,ROUND(P$45-(P$35-$AB128)*AQ$45,0),IF(AQ128=$AB$36,ROUND(P$46-(P$36-$AB128)*AQ$46,0),IF(AQ128=$AB$37,ROUND(P$47-(P$37-$AB128)*AQ$47,0),IF(AQ128=$AB$38,ROUND(P$48-(P$38-$AB128)*AQ$48,0),IF(AQ128=$AB$39,ROUND(P$49-(P$39-$AB128)*AQ$49,0)))))))))))</f>
        <v>35</v>
      </c>
      <c r="Q128" s="7">
        <f t="shared" ref="Q128:Q133" si="148">IF(LEN(AR128)=LEN($A$32),INDEX(Q$42:Q$49,MATCH(AR128,$AA$42:$AA$49,0)),IF(AR128=$AB$31,ROUND(Q$41-(Q$31-$AB128)*AR$41,0),IF(AR128=$AB$32,ROUND(Q$42-(Q$32-$AB128)*AR$42,0),IF(AR128=$AB$33,ROUND(Q$43-(Q$33-$AB128)*AR$43,0),IF(AR128=$AB$34,ROUND(Q$44-(Q$34-$AB128)*AR$44,0),IF(AR128=$AB$35,ROUND(Q$45-(Q$35-$AB128)*AR$45,0),IF(AR128=$AB$36,ROUND(Q$46-(Q$36-$AB128)*AR$46,0),IF(AR128=$AB$37,ROUND(Q$47-(Q$37-$AB128)*AR$47,0),IF(AR128=$AB$38,ROUND(Q$48-(Q$38-$AB128)*AR$48,0),IF(AR128=$AB$39,ROUND(Q$49-(Q$39-$AB128)*AR$49,0)))))))))))</f>
        <v>34</v>
      </c>
      <c r="R128" s="7">
        <f t="shared" ref="R128:R133" si="149">IF(LEN(AS128)=LEN($A$32),INDEX(R$42:R$49,MATCH(AS128,$AA$42:$AA$49,0)),IF(AS128=$AB$31,ROUND(R$41-(R$31-$AB128)*AS$41,0),IF(AS128=$AB$32,ROUND(R$42-(R$32-$AB128)*AS$42,0),IF(AS128=$AB$33,ROUND(R$43-(R$33-$AB128)*AS$43,0),IF(AS128=$AB$34,ROUND(R$44-(R$34-$AB128)*AS$44,0),IF(AS128=$AB$35,ROUND(R$45-(R$35-$AB128)*AS$45,0),IF(AS128=$AB$36,ROUND(R$46-(R$36-$AB128)*AS$46,0),IF(AS128=$AB$37,ROUND(R$47-(R$37-$AB128)*AS$47,0),IF(AS128=$AB$38,ROUND(R$48-(R$38-$AB128)*AS$48,0),IF(AS128=$AB$39,ROUND(R$49-(R$39-$AB128)*AS$49,0)))))))))))</f>
        <v>35</v>
      </c>
      <c r="S128" s="7">
        <f t="shared" ref="S128:S133" si="150">IF(LEN(AT128)=LEN($A$32),INDEX(S$42:S$49,MATCH(AT128,$AA$42:$AA$49,0)),IF(AT128=$AB$31,ROUND(S$41-(S$31-$AB128)*AT$41,0),IF(AT128=$AB$32,ROUND(S$42-(S$32-$AB128)*AT$42,0),IF(AT128=$AB$33,ROUND(S$43-(S$33-$AB128)*AT$43,0),IF(AT128=$AB$34,ROUND(S$44-(S$34-$AB128)*AT$44,0),IF(AT128=$AB$35,ROUND(S$45-(S$35-$AB128)*AT$45,0),IF(AT128=$AB$36,ROUND(S$46-(S$36-$AB128)*AT$46,0),IF(AT128=$AB$37,ROUND(S$47-(S$37-$AB128)*AT$47,0),IF(AT128=$AB$38,ROUND(S$48-(S$38-$AB128)*AT$48,0),IF(AT128=$AB$39,ROUND(S$49-(S$39-$AB128)*AT$49,0)))))))))))</f>
        <v>35</v>
      </c>
      <c r="T128" s="7">
        <f t="shared" ref="T128:T133" si="151">IF(LEN(AU128)=LEN($A$32),INDEX(T$42:T$49,MATCH(AU128,$AA$42:$AA$49,0)),IF(AU128=$AB$31,ROUND(T$41-(T$31-$AB128)*AU$41,0),IF(AU128=$AB$32,ROUND(T$42-(T$32-$AB128)*AU$42,0),IF(AU128=$AB$33,ROUND(T$43-(T$33-$AB128)*AU$43,0),IF(AU128=$AB$34,ROUND(T$44-(T$34-$AB128)*AU$44,0),IF(AU128=$AB$35,ROUND(T$45-(T$35-$AB128)*AU$45,0),IF(AU128=$AB$36,ROUND(T$46-(T$36-$AB128)*AU$46,0),IF(AU128=$AB$37,ROUND(T$47-(T$37-$AB128)*AU$47,0),IF(AU128=$AB$38,ROUND(T$48-(T$38-$AB128)*AU$48,0),IF(AU128=$AB$39,ROUND(T$49-(T$39-$AB128)*AU$49,0)))))))))))</f>
        <v>36</v>
      </c>
      <c r="U128" s="7">
        <f t="shared" ref="U128:U133" si="152">IF(LEN(AV128)=LEN($A$32),INDEX(U$42:U$49,MATCH(AV128,$AA$42:$AA$49,0)),IF(AV128=$AB$31,ROUND(U$41-(U$31-$AB128)*AV$41,0),IF(AV128=$AB$32,ROUND(U$42-(U$32-$AB128)*AV$42,0),IF(AV128=$AB$33,ROUND(U$43-(U$33-$AB128)*AV$43,0),IF(AV128=$AB$34,ROUND(U$44-(U$34-$AB128)*AV$44,0),IF(AV128=$AB$35,ROUND(U$45-(U$35-$AB128)*AV$45,0),IF(AV128=$AB$36,ROUND(U$46-(U$36-$AB128)*AV$46,0),IF(AV128=$AB$37,ROUND(U$47-(U$37-$AB128)*AV$47,0),IF(AV128=$AB$38,ROUND(U$48-(U$38-$AB128)*AV$48,0),IF(AV128=$AB$39,ROUND(U$49-(U$39-$AB128)*AV$49,0)))))))))))</f>
        <v>35</v>
      </c>
      <c r="V128" s="7">
        <f t="shared" ref="V128:V133" si="153">IF(LEN(AW128)=LEN($A$32),INDEX(V$42:V$49,MATCH(AW128,$AA$42:$AA$49,0)),IF(AW128=$AB$31,ROUND(V$41-(V$31-$AB128)*AW$41,0),IF(AW128=$AB$32,ROUND(V$42-(V$32-$AB128)*AW$42,0),IF(AW128=$AB$33,ROUND(V$43-(V$33-$AB128)*AW$43,0),IF(AW128=$AB$34,ROUND(V$44-(V$34-$AB128)*AW$44,0),IF(AW128=$AB$35,ROUND(V$45-(V$35-$AB128)*AW$45,0),IF(AW128=$AB$36,ROUND(V$46-(V$36-$AB128)*AW$46,0),IF(AW128=$AB$37,ROUND(V$47-(V$37-$AB128)*AW$47,0),IF(AW128=$AB$38,ROUND(V$48-(V$38-$AB128)*AW$48,0),IF(AW128=$AB$39,ROUND(V$49-(V$39-$AB128)*AW$49,0)))))))))))</f>
        <v>33</v>
      </c>
      <c r="W128" s="7">
        <f t="shared" ref="W128:W133" si="154">IF(LEN(AX128)=LEN($A$32),INDEX(W$42:W$49,MATCH(AX128,$AA$42:$AA$49,0)),IF(AX128=$AB$31,ROUND(W$41-(W$31-$AB128)*AX$41,0),IF(AX128=$AB$32,ROUND(W$42-(W$32-$AB128)*AX$42,0),IF(AX128=$AB$33,ROUND(W$43-(W$33-$AB128)*AX$43,0),IF(AX128=$AB$34,ROUND(W$44-(W$34-$AB128)*AX$44,0),IF(AX128=$AB$35,ROUND(W$45-(W$35-$AB128)*AX$45,0),IF(AX128=$AB$36,ROUND(W$46-(W$36-$AB128)*AX$46,0),IF(AX128=$AB$37,ROUND(W$47-(W$37-$AB128)*AX$47,0),IF(AX128=$AB$38,ROUND(W$48-(W$38-$AB128)*AX$48,0),IF(AX128=$AB$39,ROUND(W$49-(W$39-$AB128)*AX$49,0)))))))))))</f>
        <v>33</v>
      </c>
      <c r="X128" s="44"/>
      <c r="Y128" s="44"/>
      <c r="Z128" s="44"/>
      <c r="AA128" s="44"/>
      <c r="AC128" s="44" t="str">
        <f t="shared" ref="AC128:AC191" si="155">IF(COUNTIF(B$32:B$39,$A128)=1,INDEX($A$32:$A$39,MATCH($A128,B$32:B$39,0)),IF($A128&gt;=B$32,"1",IF($A128&gt;=B$33,"2",IF($A128&gt;=B$34,"3",IF($A128&gt;=B$35,"4",IF($A128&gt;=B$36,"5",IF($A128&gt;=B$37,"6",IF($A128&gt;=B$38,"7",IF($A128&gt;=B$39,"8")))))))))</f>
        <v>6</v>
      </c>
      <c r="AD128" s="44" t="str">
        <f t="shared" ref="AD128:AD191" si="156">IF(COUNTIF(C$32:C$39,$A128)=1,INDEX($A$32:$A$39,MATCH($A128,C$32:C$39,0)),IF($A128&gt;=C$32,"1",IF($A128&gt;=C$33,"2",IF($A128&gt;=C$34,"3",IF($A128&gt;=C$35,"4",IF($A128&gt;=C$36,"5",IF($A128&gt;=C$37,"6",IF($A128&gt;=C$38,"7",IF($A128&gt;=C$39,"8")))))))))</f>
        <v>6컷원점</v>
      </c>
      <c r="AE128" s="44" t="str">
        <f t="shared" ref="AE128:AE191" si="157">IF(COUNTIF(D$32:D$39,$A128)=1,INDEX($A$32:$A$39,MATCH($A128,D$32:D$39,0)),IF($A128&gt;=D$32,"1",IF($A128&gt;=D$33,"2",IF($A128&gt;=D$34,"3",IF($A128&gt;=D$35,"4",IF($A128&gt;=D$36,"5",IF($A128&gt;=D$37,"6",IF($A128&gt;=D$38,"7",IF($A128&gt;=D$39,"8")))))))))</f>
        <v>5</v>
      </c>
      <c r="AF128" s="44" t="str">
        <f t="shared" ref="AF128:AF191" si="158">IF(COUNTIF(E$32:E$39,$A128)=1,INDEX($A$32:$A$39,MATCH($A128,E$32:E$39,0)),IF($A128&gt;=E$32,"1",IF($A128&gt;=E$33,"2",IF($A128&gt;=E$34,"3",IF($A128&gt;=E$35,"4",IF($A128&gt;=E$36,"5",IF($A128&gt;=E$37,"6",IF($A128&gt;=E$38,"7",IF($A128&gt;=E$39,"8")))))))))</f>
        <v>5</v>
      </c>
      <c r="AG128" s="44" t="str">
        <f t="shared" ref="AG128:AG191" si="159">IF(COUNTIF(F$32:F$39,$A128)=1,INDEX($A$32:$A$39,MATCH($A128,F$32:F$39,0)),IF($A128&gt;=F$32,"1",IF($A128&gt;=F$33,"2",IF($A128&gt;=F$34,"3",IF($A128&gt;=F$35,"4",IF($A128&gt;=F$36,"5",IF($A128&gt;=F$37,"6",IF($A128&gt;=F$38,"7",IF($A128&gt;=F$39,"8")))))))))</f>
        <v>5</v>
      </c>
      <c r="AH128" s="44" t="b">
        <f t="shared" si="116"/>
        <v>0</v>
      </c>
      <c r="AI128" s="44" t="b">
        <f t="shared" si="117"/>
        <v>0</v>
      </c>
      <c r="AJ128" s="44" t="b">
        <f t="shared" si="118"/>
        <v>0</v>
      </c>
      <c r="AK128" s="44" t="b">
        <f t="shared" si="119"/>
        <v>0</v>
      </c>
      <c r="AL128" s="44" t="b">
        <f t="shared" si="120"/>
        <v>0</v>
      </c>
      <c r="AM128" s="44" t="b">
        <f t="shared" si="121"/>
        <v>0</v>
      </c>
      <c r="AN128" s="44" t="b">
        <f t="shared" si="122"/>
        <v>0</v>
      </c>
      <c r="AO128" s="44" t="b">
        <f t="shared" si="123"/>
        <v>0</v>
      </c>
      <c r="AP128" s="44" t="b">
        <f t="shared" si="124"/>
        <v>0</v>
      </c>
      <c r="AQ128" s="44" t="b">
        <f t="shared" si="125"/>
        <v>0</v>
      </c>
      <c r="AR128" s="44" t="b">
        <f t="shared" si="126"/>
        <v>0</v>
      </c>
      <c r="AS128" s="44" t="b">
        <f t="shared" si="127"/>
        <v>0</v>
      </c>
      <c r="AT128" s="44" t="b">
        <f t="shared" si="128"/>
        <v>0</v>
      </c>
      <c r="AU128" s="44" t="b">
        <f t="shared" si="129"/>
        <v>0</v>
      </c>
      <c r="AV128" s="44" t="b">
        <f t="shared" si="130"/>
        <v>0</v>
      </c>
      <c r="AW128" s="44" t="b">
        <f t="shared" si="131"/>
        <v>0</v>
      </c>
      <c r="AX128" s="44" t="b">
        <f t="shared" si="132"/>
        <v>0</v>
      </c>
      <c r="AY128" s="7">
        <v>7</v>
      </c>
    </row>
    <row r="129" spans="1:52" hidden="1" x14ac:dyDescent="0.3">
      <c r="A129" s="7">
        <v>34</v>
      </c>
      <c r="B129" s="7">
        <f t="shared" si="133"/>
        <v>84</v>
      </c>
      <c r="C129" s="7">
        <f t="shared" si="134"/>
        <v>83</v>
      </c>
      <c r="D129" s="7">
        <f t="shared" si="135"/>
        <v>95</v>
      </c>
      <c r="E129" s="7">
        <f t="shared" si="136"/>
        <v>93</v>
      </c>
      <c r="F129" s="7">
        <f t="shared" si="137"/>
        <v>92</v>
      </c>
      <c r="G129" s="7">
        <f t="shared" si="138"/>
        <v>34</v>
      </c>
      <c r="H129" s="7">
        <f t="shared" si="139"/>
        <v>31</v>
      </c>
      <c r="I129" s="7">
        <f t="shared" si="140"/>
        <v>33</v>
      </c>
      <c r="J129" s="7">
        <f t="shared" si="141"/>
        <v>35</v>
      </c>
      <c r="K129" s="7">
        <f t="shared" si="142"/>
        <v>35</v>
      </c>
      <c r="L129" s="7">
        <f t="shared" si="143"/>
        <v>35</v>
      </c>
      <c r="M129" s="7">
        <f t="shared" si="144"/>
        <v>35</v>
      </c>
      <c r="N129" s="7">
        <f t="shared" si="145"/>
        <v>35</v>
      </c>
      <c r="O129" s="7">
        <f t="shared" si="146"/>
        <v>33</v>
      </c>
      <c r="P129" s="7">
        <f t="shared" si="147"/>
        <v>35</v>
      </c>
      <c r="Q129" s="7">
        <f t="shared" si="148"/>
        <v>34</v>
      </c>
      <c r="R129" s="7">
        <f t="shared" si="149"/>
        <v>35</v>
      </c>
      <c r="S129" s="7">
        <f t="shared" si="150"/>
        <v>35</v>
      </c>
      <c r="T129" s="7">
        <f t="shared" si="151"/>
        <v>36</v>
      </c>
      <c r="U129" s="7">
        <f t="shared" si="152"/>
        <v>35</v>
      </c>
      <c r="V129" s="7">
        <f t="shared" si="153"/>
        <v>33</v>
      </c>
      <c r="W129" s="7">
        <f t="shared" si="154"/>
        <v>33</v>
      </c>
      <c r="X129" s="44"/>
      <c r="Y129" s="44"/>
      <c r="Z129" s="44"/>
      <c r="AA129" s="44"/>
      <c r="AC129" s="44" t="str">
        <f t="shared" si="155"/>
        <v>6컷원점</v>
      </c>
      <c r="AD129" s="44" t="str">
        <f t="shared" si="156"/>
        <v>7</v>
      </c>
      <c r="AE129" s="44" t="str">
        <f t="shared" si="157"/>
        <v>5</v>
      </c>
      <c r="AF129" s="44" t="str">
        <f t="shared" si="158"/>
        <v>5</v>
      </c>
      <c r="AG129" s="44" t="str">
        <f t="shared" si="159"/>
        <v>5컷원점</v>
      </c>
      <c r="AH129" s="44" t="b">
        <f t="shared" si="116"/>
        <v>0</v>
      </c>
      <c r="AI129" s="44" t="b">
        <f t="shared" si="117"/>
        <v>0</v>
      </c>
      <c r="AJ129" s="44" t="b">
        <f t="shared" si="118"/>
        <v>0</v>
      </c>
      <c r="AK129" s="44" t="b">
        <f t="shared" si="119"/>
        <v>0</v>
      </c>
      <c r="AL129" s="44" t="b">
        <f t="shared" si="120"/>
        <v>0</v>
      </c>
      <c r="AM129" s="44" t="b">
        <f t="shared" si="121"/>
        <v>0</v>
      </c>
      <c r="AN129" s="44" t="b">
        <f t="shared" si="122"/>
        <v>0</v>
      </c>
      <c r="AO129" s="44" t="b">
        <f t="shared" si="123"/>
        <v>0</v>
      </c>
      <c r="AP129" s="44" t="b">
        <f t="shared" si="124"/>
        <v>0</v>
      </c>
      <c r="AQ129" s="44" t="b">
        <f t="shared" si="125"/>
        <v>0</v>
      </c>
      <c r="AR129" s="44" t="b">
        <f t="shared" si="126"/>
        <v>0</v>
      </c>
      <c r="AS129" s="44" t="b">
        <f t="shared" si="127"/>
        <v>0</v>
      </c>
      <c r="AT129" s="44" t="b">
        <f t="shared" si="128"/>
        <v>0</v>
      </c>
      <c r="AU129" s="44" t="b">
        <f t="shared" si="129"/>
        <v>0</v>
      </c>
      <c r="AV129" s="44" t="b">
        <f t="shared" si="130"/>
        <v>0</v>
      </c>
      <c r="AW129" s="44" t="b">
        <f t="shared" si="131"/>
        <v>0</v>
      </c>
      <c r="AX129" s="44" t="b">
        <f t="shared" si="132"/>
        <v>0</v>
      </c>
      <c r="AY129" s="7">
        <v>7</v>
      </c>
    </row>
    <row r="130" spans="1:52" hidden="1" x14ac:dyDescent="0.3">
      <c r="A130" s="7">
        <v>33</v>
      </c>
      <c r="B130" s="7">
        <f t="shared" si="133"/>
        <v>83</v>
      </c>
      <c r="C130" s="7">
        <f t="shared" si="134"/>
        <v>81</v>
      </c>
      <c r="D130" s="7">
        <f t="shared" si="135"/>
        <v>94</v>
      </c>
      <c r="E130" s="7">
        <f t="shared" si="136"/>
        <v>92</v>
      </c>
      <c r="F130" s="7">
        <f t="shared" si="137"/>
        <v>91</v>
      </c>
      <c r="G130" s="7">
        <f t="shared" si="138"/>
        <v>34</v>
      </c>
      <c r="H130" s="7">
        <f t="shared" si="139"/>
        <v>31</v>
      </c>
      <c r="I130" s="7">
        <f t="shared" si="140"/>
        <v>33</v>
      </c>
      <c r="J130" s="7">
        <f t="shared" si="141"/>
        <v>35</v>
      </c>
      <c r="K130" s="7">
        <f t="shared" si="142"/>
        <v>35</v>
      </c>
      <c r="L130" s="7">
        <f t="shared" si="143"/>
        <v>35</v>
      </c>
      <c r="M130" s="7">
        <f t="shared" si="144"/>
        <v>35</v>
      </c>
      <c r="N130" s="7">
        <f t="shared" si="145"/>
        <v>35</v>
      </c>
      <c r="O130" s="7">
        <f t="shared" si="146"/>
        <v>33</v>
      </c>
      <c r="P130" s="7">
        <f t="shared" si="147"/>
        <v>35</v>
      </c>
      <c r="Q130" s="7">
        <f t="shared" si="148"/>
        <v>34</v>
      </c>
      <c r="R130" s="7">
        <f t="shared" si="149"/>
        <v>35</v>
      </c>
      <c r="S130" s="7">
        <f t="shared" si="150"/>
        <v>35</v>
      </c>
      <c r="T130" s="7">
        <f t="shared" si="151"/>
        <v>36</v>
      </c>
      <c r="U130" s="7">
        <f t="shared" si="152"/>
        <v>35</v>
      </c>
      <c r="V130" s="7">
        <f t="shared" si="153"/>
        <v>33</v>
      </c>
      <c r="W130" s="7">
        <f t="shared" si="154"/>
        <v>33</v>
      </c>
      <c r="X130" s="44"/>
      <c r="Y130" s="44"/>
      <c r="Z130" s="44"/>
      <c r="AA130" s="44"/>
      <c r="AC130" s="44" t="str">
        <f t="shared" si="155"/>
        <v>7</v>
      </c>
      <c r="AD130" s="44" t="str">
        <f t="shared" si="156"/>
        <v>7</v>
      </c>
      <c r="AE130" s="44" t="str">
        <f t="shared" si="157"/>
        <v>5</v>
      </c>
      <c r="AF130" s="44" t="str">
        <f t="shared" si="158"/>
        <v>5컷원점</v>
      </c>
      <c r="AG130" s="44" t="str">
        <f t="shared" si="159"/>
        <v>6</v>
      </c>
      <c r="AH130" s="44" t="b">
        <f t="shared" si="116"/>
        <v>0</v>
      </c>
      <c r="AI130" s="44" t="b">
        <f t="shared" si="117"/>
        <v>0</v>
      </c>
      <c r="AJ130" s="44" t="b">
        <f t="shared" si="118"/>
        <v>0</v>
      </c>
      <c r="AK130" s="44" t="b">
        <f t="shared" si="119"/>
        <v>0</v>
      </c>
      <c r="AL130" s="44" t="b">
        <f t="shared" si="120"/>
        <v>0</v>
      </c>
      <c r="AM130" s="44" t="b">
        <f t="shared" si="121"/>
        <v>0</v>
      </c>
      <c r="AN130" s="44" t="b">
        <f t="shared" si="122"/>
        <v>0</v>
      </c>
      <c r="AO130" s="44" t="b">
        <f t="shared" si="123"/>
        <v>0</v>
      </c>
      <c r="AP130" s="44" t="b">
        <f t="shared" si="124"/>
        <v>0</v>
      </c>
      <c r="AQ130" s="44" t="b">
        <f t="shared" si="125"/>
        <v>0</v>
      </c>
      <c r="AR130" s="44" t="b">
        <f t="shared" si="126"/>
        <v>0</v>
      </c>
      <c r="AS130" s="44" t="b">
        <f t="shared" si="127"/>
        <v>0</v>
      </c>
      <c r="AT130" s="44" t="b">
        <f t="shared" si="128"/>
        <v>0</v>
      </c>
      <c r="AU130" s="44" t="b">
        <f t="shared" si="129"/>
        <v>0</v>
      </c>
      <c r="AV130" s="44" t="b">
        <f t="shared" si="130"/>
        <v>0</v>
      </c>
      <c r="AW130" s="44" t="b">
        <f t="shared" si="131"/>
        <v>0</v>
      </c>
      <c r="AX130" s="44" t="b">
        <f t="shared" si="132"/>
        <v>0</v>
      </c>
      <c r="AY130" s="7">
        <v>7</v>
      </c>
    </row>
    <row r="131" spans="1:52" hidden="1" x14ac:dyDescent="0.3">
      <c r="A131" s="7">
        <v>32</v>
      </c>
      <c r="B131" s="7">
        <f t="shared" si="133"/>
        <v>81</v>
      </c>
      <c r="C131" s="7">
        <f t="shared" si="134"/>
        <v>80</v>
      </c>
      <c r="D131" s="7">
        <f t="shared" si="135"/>
        <v>93</v>
      </c>
      <c r="E131" s="7">
        <f t="shared" si="136"/>
        <v>91</v>
      </c>
      <c r="F131" s="7">
        <f t="shared" si="137"/>
        <v>91</v>
      </c>
      <c r="G131" s="7">
        <f t="shared" si="138"/>
        <v>34</v>
      </c>
      <c r="H131" s="7">
        <f t="shared" si="139"/>
        <v>31</v>
      </c>
      <c r="I131" s="7">
        <f t="shared" si="140"/>
        <v>33</v>
      </c>
      <c r="J131" s="7">
        <f t="shared" si="141"/>
        <v>35</v>
      </c>
      <c r="K131" s="7">
        <f t="shared" si="142"/>
        <v>35</v>
      </c>
      <c r="L131" s="7">
        <f t="shared" si="143"/>
        <v>35</v>
      </c>
      <c r="M131" s="7">
        <f t="shared" si="144"/>
        <v>35</v>
      </c>
      <c r="N131" s="7">
        <f t="shared" si="145"/>
        <v>35</v>
      </c>
      <c r="O131" s="7">
        <f t="shared" si="146"/>
        <v>33</v>
      </c>
      <c r="P131" s="7">
        <f t="shared" si="147"/>
        <v>35</v>
      </c>
      <c r="Q131" s="7">
        <f t="shared" si="148"/>
        <v>34</v>
      </c>
      <c r="R131" s="7">
        <f t="shared" si="149"/>
        <v>35</v>
      </c>
      <c r="S131" s="7">
        <f t="shared" si="150"/>
        <v>35</v>
      </c>
      <c r="T131" s="7">
        <f t="shared" si="151"/>
        <v>36</v>
      </c>
      <c r="U131" s="7">
        <f t="shared" si="152"/>
        <v>35</v>
      </c>
      <c r="V131" s="7">
        <f t="shared" si="153"/>
        <v>33</v>
      </c>
      <c r="W131" s="7">
        <f t="shared" si="154"/>
        <v>33</v>
      </c>
      <c r="X131" s="44"/>
      <c r="Y131" s="44"/>
      <c r="Z131" s="44"/>
      <c r="AA131" s="44"/>
      <c r="AC131" s="44" t="str">
        <f t="shared" si="155"/>
        <v>7</v>
      </c>
      <c r="AD131" s="44" t="str">
        <f t="shared" si="156"/>
        <v>7</v>
      </c>
      <c r="AE131" s="44" t="str">
        <f t="shared" si="157"/>
        <v>5</v>
      </c>
      <c r="AF131" s="44" t="str">
        <f t="shared" si="158"/>
        <v>6</v>
      </c>
      <c r="AG131" s="44" t="str">
        <f t="shared" si="159"/>
        <v>6</v>
      </c>
      <c r="AH131" s="44" t="b">
        <f t="shared" si="116"/>
        <v>0</v>
      </c>
      <c r="AI131" s="44" t="b">
        <f t="shared" si="117"/>
        <v>0</v>
      </c>
      <c r="AJ131" s="44" t="b">
        <f t="shared" si="118"/>
        <v>0</v>
      </c>
      <c r="AK131" s="44" t="b">
        <f t="shared" si="119"/>
        <v>0</v>
      </c>
      <c r="AL131" s="44" t="b">
        <f t="shared" si="120"/>
        <v>0</v>
      </c>
      <c r="AM131" s="44" t="b">
        <f t="shared" si="121"/>
        <v>0</v>
      </c>
      <c r="AN131" s="44" t="b">
        <f t="shared" si="122"/>
        <v>0</v>
      </c>
      <c r="AO131" s="44" t="b">
        <f t="shared" si="123"/>
        <v>0</v>
      </c>
      <c r="AP131" s="44" t="b">
        <f t="shared" si="124"/>
        <v>0</v>
      </c>
      <c r="AQ131" s="44" t="b">
        <f t="shared" si="125"/>
        <v>0</v>
      </c>
      <c r="AR131" s="44" t="b">
        <f t="shared" si="126"/>
        <v>0</v>
      </c>
      <c r="AS131" s="44" t="b">
        <f t="shared" si="127"/>
        <v>0</v>
      </c>
      <c r="AT131" s="44" t="b">
        <f t="shared" si="128"/>
        <v>0</v>
      </c>
      <c r="AU131" s="44" t="b">
        <f t="shared" si="129"/>
        <v>0</v>
      </c>
      <c r="AV131" s="44" t="b">
        <f t="shared" si="130"/>
        <v>0</v>
      </c>
      <c r="AW131" s="44" t="b">
        <f t="shared" si="131"/>
        <v>0</v>
      </c>
      <c r="AX131" s="44" t="b">
        <f t="shared" si="132"/>
        <v>0</v>
      </c>
      <c r="AY131" s="7">
        <v>7</v>
      </c>
    </row>
    <row r="132" spans="1:52" hidden="1" x14ac:dyDescent="0.3">
      <c r="A132" s="7">
        <v>31</v>
      </c>
      <c r="B132" s="7">
        <f t="shared" si="133"/>
        <v>80</v>
      </c>
      <c r="C132" s="7">
        <f t="shared" si="134"/>
        <v>79</v>
      </c>
      <c r="D132" s="7">
        <f t="shared" si="135"/>
        <v>93</v>
      </c>
      <c r="E132" s="7">
        <f t="shared" si="136"/>
        <v>91</v>
      </c>
      <c r="F132" s="7">
        <f t="shared" si="137"/>
        <v>90</v>
      </c>
      <c r="G132" s="7">
        <f t="shared" si="138"/>
        <v>34</v>
      </c>
      <c r="H132" s="7">
        <f t="shared" si="139"/>
        <v>31</v>
      </c>
      <c r="I132" s="7">
        <f t="shared" si="140"/>
        <v>33</v>
      </c>
      <c r="J132" s="7">
        <f t="shared" si="141"/>
        <v>35</v>
      </c>
      <c r="K132" s="7">
        <f t="shared" si="142"/>
        <v>35</v>
      </c>
      <c r="L132" s="7">
        <f t="shared" si="143"/>
        <v>35</v>
      </c>
      <c r="M132" s="7">
        <f t="shared" si="144"/>
        <v>35</v>
      </c>
      <c r="N132" s="7">
        <f t="shared" si="145"/>
        <v>35</v>
      </c>
      <c r="O132" s="7">
        <f t="shared" si="146"/>
        <v>33</v>
      </c>
      <c r="P132" s="7">
        <f t="shared" si="147"/>
        <v>35</v>
      </c>
      <c r="Q132" s="7">
        <f t="shared" si="148"/>
        <v>34</v>
      </c>
      <c r="R132" s="7">
        <f t="shared" si="149"/>
        <v>35</v>
      </c>
      <c r="S132" s="7">
        <f t="shared" si="150"/>
        <v>35</v>
      </c>
      <c r="T132" s="7">
        <f t="shared" si="151"/>
        <v>36</v>
      </c>
      <c r="U132" s="7">
        <f t="shared" si="152"/>
        <v>35</v>
      </c>
      <c r="V132" s="7">
        <f t="shared" si="153"/>
        <v>33</v>
      </c>
      <c r="W132" s="7">
        <f t="shared" si="154"/>
        <v>33</v>
      </c>
      <c r="X132" s="44"/>
      <c r="Y132" s="44"/>
      <c r="Z132" s="44"/>
      <c r="AA132" s="44"/>
      <c r="AC132" s="44" t="str">
        <f t="shared" si="155"/>
        <v>7</v>
      </c>
      <c r="AD132" s="44" t="str">
        <f t="shared" si="156"/>
        <v>7</v>
      </c>
      <c r="AE132" s="44" t="str">
        <f t="shared" si="157"/>
        <v>5</v>
      </c>
      <c r="AF132" s="44" t="str">
        <f t="shared" si="158"/>
        <v>6</v>
      </c>
      <c r="AG132" s="44" t="str">
        <f t="shared" si="159"/>
        <v>6</v>
      </c>
      <c r="AH132" s="44" t="b">
        <f t="shared" si="116"/>
        <v>0</v>
      </c>
      <c r="AI132" s="44" t="b">
        <f t="shared" si="117"/>
        <v>0</v>
      </c>
      <c r="AJ132" s="44" t="b">
        <f t="shared" si="118"/>
        <v>0</v>
      </c>
      <c r="AK132" s="44" t="b">
        <f t="shared" si="119"/>
        <v>0</v>
      </c>
      <c r="AL132" s="44" t="b">
        <f t="shared" si="120"/>
        <v>0</v>
      </c>
      <c r="AM132" s="44" t="b">
        <f t="shared" si="121"/>
        <v>0</v>
      </c>
      <c r="AN132" s="44" t="b">
        <f t="shared" si="122"/>
        <v>0</v>
      </c>
      <c r="AO132" s="44" t="b">
        <f t="shared" si="123"/>
        <v>0</v>
      </c>
      <c r="AP132" s="44" t="b">
        <f t="shared" si="124"/>
        <v>0</v>
      </c>
      <c r="AQ132" s="44" t="b">
        <f t="shared" si="125"/>
        <v>0</v>
      </c>
      <c r="AR132" s="44" t="b">
        <f t="shared" si="126"/>
        <v>0</v>
      </c>
      <c r="AS132" s="44" t="b">
        <f t="shared" si="127"/>
        <v>0</v>
      </c>
      <c r="AT132" s="44" t="b">
        <f t="shared" si="128"/>
        <v>0</v>
      </c>
      <c r="AU132" s="44" t="b">
        <f t="shared" si="129"/>
        <v>0</v>
      </c>
      <c r="AV132" s="44" t="b">
        <f t="shared" si="130"/>
        <v>0</v>
      </c>
      <c r="AW132" s="44" t="b">
        <f t="shared" si="131"/>
        <v>0</v>
      </c>
      <c r="AX132" s="44" t="b">
        <f t="shared" si="132"/>
        <v>0</v>
      </c>
      <c r="AY132" s="7">
        <v>7</v>
      </c>
    </row>
    <row r="133" spans="1:52" hidden="1" x14ac:dyDescent="0.3">
      <c r="A133" s="55">
        <v>30</v>
      </c>
      <c r="B133" s="7">
        <f t="shared" si="133"/>
        <v>79</v>
      </c>
      <c r="C133" s="7">
        <f t="shared" si="134"/>
        <v>78</v>
      </c>
      <c r="D133" s="7">
        <f t="shared" si="135"/>
        <v>92</v>
      </c>
      <c r="E133" s="7">
        <f t="shared" si="136"/>
        <v>90</v>
      </c>
      <c r="F133" s="7">
        <f t="shared" si="137"/>
        <v>89</v>
      </c>
      <c r="G133" s="7">
        <f t="shared" si="138"/>
        <v>34</v>
      </c>
      <c r="H133" s="7">
        <f t="shared" si="139"/>
        <v>31</v>
      </c>
      <c r="I133" s="7">
        <f t="shared" si="140"/>
        <v>33</v>
      </c>
      <c r="J133" s="7">
        <f t="shared" si="141"/>
        <v>35</v>
      </c>
      <c r="K133" s="7">
        <f t="shared" si="142"/>
        <v>35</v>
      </c>
      <c r="L133" s="7">
        <f t="shared" si="143"/>
        <v>35</v>
      </c>
      <c r="M133" s="7">
        <f t="shared" si="144"/>
        <v>35</v>
      </c>
      <c r="N133" s="7">
        <f t="shared" si="145"/>
        <v>35</v>
      </c>
      <c r="O133" s="7">
        <f t="shared" si="146"/>
        <v>33</v>
      </c>
      <c r="P133" s="7">
        <f t="shared" si="147"/>
        <v>35</v>
      </c>
      <c r="Q133" s="7">
        <f t="shared" si="148"/>
        <v>34</v>
      </c>
      <c r="R133" s="7">
        <f t="shared" si="149"/>
        <v>35</v>
      </c>
      <c r="S133" s="7">
        <f t="shared" si="150"/>
        <v>35</v>
      </c>
      <c r="T133" s="7">
        <f t="shared" si="151"/>
        <v>36</v>
      </c>
      <c r="U133" s="7">
        <f t="shared" si="152"/>
        <v>35</v>
      </c>
      <c r="V133" s="7">
        <f t="shared" si="153"/>
        <v>33</v>
      </c>
      <c r="W133" s="7">
        <f t="shared" si="154"/>
        <v>33</v>
      </c>
      <c r="X133" s="7" t="s">
        <v>249</v>
      </c>
      <c r="Y133" s="44"/>
      <c r="Z133" s="44"/>
      <c r="AA133" s="44"/>
      <c r="AB133" s="55"/>
      <c r="AC133" s="44" t="str">
        <f t="shared" si="155"/>
        <v>7</v>
      </c>
      <c r="AD133" s="44" t="str">
        <f t="shared" si="156"/>
        <v>7</v>
      </c>
      <c r="AE133" s="44" t="str">
        <f t="shared" si="157"/>
        <v>5컷원점</v>
      </c>
      <c r="AF133" s="44" t="str">
        <f t="shared" si="158"/>
        <v>6</v>
      </c>
      <c r="AG133" s="44" t="str">
        <f t="shared" si="159"/>
        <v>6</v>
      </c>
      <c r="AH133" s="44" t="b">
        <f t="shared" si="116"/>
        <v>0</v>
      </c>
      <c r="AI133" s="44" t="b">
        <f t="shared" si="117"/>
        <v>0</v>
      </c>
      <c r="AJ133" s="44" t="b">
        <f t="shared" si="118"/>
        <v>0</v>
      </c>
      <c r="AK133" s="44" t="b">
        <f t="shared" si="119"/>
        <v>0</v>
      </c>
      <c r="AL133" s="44" t="b">
        <f t="shared" si="120"/>
        <v>0</v>
      </c>
      <c r="AM133" s="44" t="b">
        <f t="shared" si="121"/>
        <v>0</v>
      </c>
      <c r="AN133" s="44" t="b">
        <f t="shared" si="122"/>
        <v>0</v>
      </c>
      <c r="AO133" s="44" t="b">
        <f t="shared" si="123"/>
        <v>0</v>
      </c>
      <c r="AP133" s="44" t="b">
        <f t="shared" si="124"/>
        <v>0</v>
      </c>
      <c r="AQ133" s="44" t="b">
        <f t="shared" si="125"/>
        <v>0</v>
      </c>
      <c r="AR133" s="44" t="b">
        <f t="shared" si="126"/>
        <v>0</v>
      </c>
      <c r="AS133" s="44" t="b">
        <f t="shared" si="127"/>
        <v>0</v>
      </c>
      <c r="AT133" s="44" t="b">
        <f t="shared" si="128"/>
        <v>0</v>
      </c>
      <c r="AU133" s="44" t="b">
        <f t="shared" si="129"/>
        <v>0</v>
      </c>
      <c r="AV133" s="44" t="b">
        <f t="shared" si="130"/>
        <v>0</v>
      </c>
      <c r="AW133" s="44" t="b">
        <f t="shared" si="131"/>
        <v>0</v>
      </c>
      <c r="AX133" s="44" t="b">
        <f t="shared" si="132"/>
        <v>0</v>
      </c>
      <c r="AY133" s="7">
        <v>7</v>
      </c>
    </row>
    <row r="134" spans="1:52" hidden="1" x14ac:dyDescent="0.3">
      <c r="A134" s="7" t="s">
        <v>31</v>
      </c>
      <c r="B134" s="7" t="s">
        <v>33</v>
      </c>
      <c r="C134" s="51" t="s">
        <v>248</v>
      </c>
      <c r="J134" s="50" t="s">
        <v>481</v>
      </c>
      <c r="X134" s="56" t="s">
        <v>247</v>
      </c>
      <c r="Y134" s="56" t="s">
        <v>246</v>
      </c>
      <c r="Z134" s="57" t="s">
        <v>126</v>
      </c>
      <c r="AA134" s="57" t="s">
        <v>127</v>
      </c>
      <c r="AB134" s="56" t="s">
        <v>64</v>
      </c>
      <c r="AC134" s="44" t="str">
        <f t="shared" si="155"/>
        <v>1</v>
      </c>
      <c r="AD134" s="44" t="str">
        <f t="shared" si="156"/>
        <v>1</v>
      </c>
      <c r="AE134" s="44" t="str">
        <f t="shared" si="157"/>
        <v>1</v>
      </c>
      <c r="AF134" s="44" t="str">
        <f t="shared" si="158"/>
        <v>1</v>
      </c>
      <c r="AG134" s="44" t="str">
        <f t="shared" si="159"/>
        <v>1</v>
      </c>
      <c r="AH134" s="44" t="str">
        <f t="shared" si="116"/>
        <v>1</v>
      </c>
      <c r="AI134" s="44" t="str">
        <f t="shared" si="117"/>
        <v>1</v>
      </c>
      <c r="AJ134" s="44" t="str">
        <f t="shared" si="118"/>
        <v>1</v>
      </c>
      <c r="AK134" s="44" t="str">
        <f t="shared" si="119"/>
        <v>1</v>
      </c>
      <c r="AL134" s="44" t="str">
        <f t="shared" si="120"/>
        <v>1</v>
      </c>
      <c r="AM134" s="44" t="str">
        <f t="shared" si="121"/>
        <v>1</v>
      </c>
      <c r="AN134" s="44" t="str">
        <f t="shared" si="122"/>
        <v>1</v>
      </c>
      <c r="AO134" s="44" t="str">
        <f t="shared" si="123"/>
        <v>1</v>
      </c>
      <c r="AP134" s="44" t="str">
        <f t="shared" si="124"/>
        <v>1</v>
      </c>
      <c r="AQ134" s="44" t="str">
        <f t="shared" si="125"/>
        <v>1</v>
      </c>
      <c r="AR134" s="44" t="str">
        <f t="shared" si="126"/>
        <v>1</v>
      </c>
      <c r="AS134" s="44" t="str">
        <f t="shared" si="127"/>
        <v>1</v>
      </c>
      <c r="AT134" s="44" t="str">
        <f t="shared" si="128"/>
        <v>1</v>
      </c>
      <c r="AU134" s="44" t="str">
        <f t="shared" si="129"/>
        <v>1</v>
      </c>
      <c r="AV134" s="44" t="str">
        <f t="shared" si="130"/>
        <v>1</v>
      </c>
      <c r="AW134" s="44" t="str">
        <f t="shared" si="131"/>
        <v>1</v>
      </c>
      <c r="AX134" s="44" t="str">
        <f t="shared" si="132"/>
        <v>1</v>
      </c>
    </row>
    <row r="135" spans="1:52" hidden="1" x14ac:dyDescent="0.3">
      <c r="A135" s="7">
        <v>100</v>
      </c>
      <c r="B135" s="43">
        <v>100</v>
      </c>
      <c r="C135" s="43">
        <v>100</v>
      </c>
      <c r="D135" s="43">
        <v>100</v>
      </c>
      <c r="E135" s="43">
        <v>100</v>
      </c>
      <c r="F135" s="43">
        <v>100</v>
      </c>
      <c r="G135" s="7">
        <f>IF(LEN(AH135)=LEN($A$32),INDEX(G$52:G$59,MATCH(AH135,$AA$42:$AA$49,0)),IF(AH135=$AB$31,ROUND(G$51-(G$31-$AB135)*AH$51,0),IF(AH135=$AB$32,ROUND(G$52-(G$32-$AB135)*AH$52,0),IF(AH135=$AB$33,ROUND(G$53-(G$33-$AB135)*AH$53,0),IF(AH135=$AB$34,ROUND(G$54-(G$34-$AB135)*AH$54,0),IF(AH135=$AB$35,ROUND(G$55-(G$35-$AB135)*AH$55,0),IF(AH135=$AB$36,ROUND(G$56-(G$36-$AB135)*AH$56,0),IF(AH135=$AB$37,ROUND(G$57-(G$37-$AB135)*AH$57,0),IF(AH135=$AB$38,ROUND(G$58-(G$38-$AB135)*AH$58,0),IF(AH135=$AB$39,ROUND(G$59-(G$39-$AB135)*AH$49,0)))))))))))</f>
        <v>100</v>
      </c>
      <c r="H135" s="7">
        <f t="shared" ref="H135:W135" si="160">IF(LEN(AI135)=LEN($A$32),INDEX(H$52:H$59,MATCH(AI135,$AA$42:$AA$49,0)),IF(AI135=$AB$31,ROUND(H$51-(H$31-$AB135)*AI$51,0),IF(AI135=$AB$32,ROUND(H$52-(H$32-$AB135)*AI$52,0),IF(AI135=$AB$33,ROUND(H$53-(H$33-$AB135)*AI$53,0),IF(AI135=$AB$34,ROUND(H$54-(H$34-$AB135)*AI$54,0),IF(AI135=$AB$35,ROUND(H$55-(H$35-$AB135)*AI$55,0),IF(AI135=$AB$36,ROUND(H$56-(H$36-$AB135)*AI$56,0),IF(AI135=$AB$37,ROUND(H$57-(H$37-$AB135)*AI$57,0),IF(AI135=$AB$38,ROUND(H$58-(H$38-$AB135)*AI$58,0),IF(AI135=$AB$39,ROUND(H$59-(H$39-$AB135)*AI$49,0)))))))))))</f>
        <v>99</v>
      </c>
      <c r="I135" s="7">
        <f t="shared" si="160"/>
        <v>100</v>
      </c>
      <c r="J135" s="7">
        <f t="shared" si="160"/>
        <v>100</v>
      </c>
      <c r="K135" s="7">
        <f t="shared" si="160"/>
        <v>99</v>
      </c>
      <c r="L135" s="7">
        <f t="shared" si="160"/>
        <v>99</v>
      </c>
      <c r="M135" s="7">
        <f t="shared" si="160"/>
        <v>99</v>
      </c>
      <c r="N135" s="7">
        <f t="shared" si="160"/>
        <v>100</v>
      </c>
      <c r="O135" s="7">
        <f t="shared" si="160"/>
        <v>99</v>
      </c>
      <c r="P135" s="7">
        <f t="shared" si="160"/>
        <v>99</v>
      </c>
      <c r="Q135" s="7">
        <f t="shared" si="160"/>
        <v>99</v>
      </c>
      <c r="R135" s="7">
        <f t="shared" si="160"/>
        <v>98</v>
      </c>
      <c r="S135" s="7">
        <f t="shared" si="160"/>
        <v>99</v>
      </c>
      <c r="T135" s="7">
        <f t="shared" si="160"/>
        <v>98</v>
      </c>
      <c r="U135" s="7">
        <f t="shared" si="160"/>
        <v>99</v>
      </c>
      <c r="V135" s="7">
        <f t="shared" si="160"/>
        <v>99</v>
      </c>
      <c r="W135" s="7">
        <f t="shared" si="160"/>
        <v>99</v>
      </c>
      <c r="X135" s="47">
        <f>($K$62*K135+$L$62*L135+$M$62*M135+$N$62*N135)/($K$62+$L$62+$M$62+$N$62)</f>
        <v>99.217576791808867</v>
      </c>
      <c r="Y135" s="47">
        <f>($G$62*G135+$H$62*H135+$I$62*I135+$J$62*J135+$K$62*K135+$L$62*L135+$M$62*M135+$N$62*N135)/($G$62+$H$62+$I$62+$J$62+$K$62+$L$62+$M$62+$N$62)</f>
        <v>99.79606669718666</v>
      </c>
      <c r="Z135" s="47">
        <f>($G$62*G135+$H$62*H135+$I$62*I135+$J$62*J135)/($G$62+$H$62+$I$62+$J$62)</f>
        <v>99.819367730595687</v>
      </c>
      <c r="AA135" s="47">
        <f>($O$62*O135+$P$62*P135+$Q$62*Q135+$R$62*R135+$S$62*S135+$T$62*T135+$U$62*U135+$V$62*V135+$W$62*W135)/($O$62+$P$62+$Q$62+$R$62+$S$62+$T$62+$U$62+$V$62+$W$62)</f>
        <v>98.889377289377293</v>
      </c>
      <c r="AB135" s="7">
        <v>50</v>
      </c>
      <c r="AC135" s="44" t="str">
        <f t="shared" si="155"/>
        <v>1</v>
      </c>
      <c r="AD135" s="44" t="str">
        <f t="shared" si="156"/>
        <v>1</v>
      </c>
      <c r="AE135" s="44" t="str">
        <f t="shared" si="157"/>
        <v>1</v>
      </c>
      <c r="AF135" s="44" t="str">
        <f t="shared" si="158"/>
        <v>1</v>
      </c>
      <c r="AG135" s="44" t="str">
        <f t="shared" si="159"/>
        <v>1</v>
      </c>
      <c r="AH135" s="44" t="str">
        <f t="shared" si="116"/>
        <v>1</v>
      </c>
      <c r="AI135" s="44" t="str">
        <f t="shared" si="117"/>
        <v>1</v>
      </c>
      <c r="AJ135" s="44" t="str">
        <f t="shared" si="118"/>
        <v>1</v>
      </c>
      <c r="AK135" s="44" t="str">
        <f t="shared" si="119"/>
        <v>1</v>
      </c>
      <c r="AL135" s="44" t="str">
        <f t="shared" si="120"/>
        <v>1</v>
      </c>
      <c r="AM135" s="44" t="str">
        <f t="shared" si="121"/>
        <v>1</v>
      </c>
      <c r="AN135" s="44" t="str">
        <f t="shared" si="122"/>
        <v>1</v>
      </c>
      <c r="AO135" s="44" t="str">
        <f t="shared" si="123"/>
        <v>1</v>
      </c>
      <c r="AP135" s="44" t="str">
        <f t="shared" si="124"/>
        <v>1</v>
      </c>
      <c r="AQ135" s="44" t="str">
        <f t="shared" si="125"/>
        <v>1</v>
      </c>
      <c r="AR135" s="44" t="str">
        <f t="shared" si="126"/>
        <v>1</v>
      </c>
      <c r="AS135" s="44" t="str">
        <f t="shared" si="127"/>
        <v>1</v>
      </c>
      <c r="AT135" s="44" t="str">
        <f t="shared" si="128"/>
        <v>1</v>
      </c>
      <c r="AU135" s="44" t="str">
        <f t="shared" si="129"/>
        <v>1</v>
      </c>
      <c r="AV135" s="44" t="str">
        <f t="shared" si="130"/>
        <v>1</v>
      </c>
      <c r="AW135" s="44" t="str">
        <f t="shared" si="131"/>
        <v>1</v>
      </c>
      <c r="AX135" s="44" t="str">
        <f t="shared" si="132"/>
        <v>1</v>
      </c>
      <c r="AY135" s="7">
        <v>1</v>
      </c>
      <c r="AZ135" s="7">
        <v>1</v>
      </c>
    </row>
    <row r="136" spans="1:52" hidden="1" x14ac:dyDescent="0.3">
      <c r="A136" s="7">
        <v>99</v>
      </c>
      <c r="B136" s="43">
        <v>100</v>
      </c>
      <c r="C136" s="43">
        <v>100</v>
      </c>
      <c r="D136" s="43">
        <v>100</v>
      </c>
      <c r="E136" s="43">
        <v>100</v>
      </c>
      <c r="F136" s="43">
        <v>99</v>
      </c>
      <c r="G136" s="7">
        <f t="shared" ref="G136:G199" si="161">IF(LEN(AH136)=LEN($A$32),INDEX(G$52:G$59,MATCH(AH136,$AA$42:$AA$49,0)),IF(AH136=$AB$31,ROUND(G$51-(G$31-$AB136)*AH$51,0),IF(AH136=$AB$32,ROUND(G$52-(G$32-$AB136)*AH$52,0),IF(AH136=$AB$33,ROUND(G$53-(G$33-$AB136)*AH$53,0),IF(AH136=$AB$34,ROUND(G$54-(G$34-$AB136)*AH$54,0),IF(AH136=$AB$35,ROUND(G$55-(G$35-$AB136)*AH$55,0),IF(AH136=$AB$36,ROUND(G$56-(G$36-$AB136)*AH$56,0),IF(AH136=$AB$37,ROUND(G$57-(G$37-$AB136)*AH$57,0),IF(AH136=$AB$38,ROUND(G$58-(G$38-$AB136)*AH$58,0),IF(AH136=$AB$39,ROUND(G$59-(G$39-$AB136)*AH$49,0)))))))))))</f>
        <v>99</v>
      </c>
      <c r="H136" s="7">
        <f t="shared" ref="H136:H199" si="162">IF(LEN(AI136)=LEN($A$32),INDEX(H$52:H$59,MATCH(AI136,$AA$42:$AA$49,0)),IF(AI136=$AB$31,ROUND(H$51-(H$31-$AB136)*AI$51,0),IF(AI136=$AB$32,ROUND(H$52-(H$32-$AB136)*AI$52,0),IF(AI136=$AB$33,ROUND(H$53-(H$33-$AB136)*AI$53,0),IF(AI136=$AB$34,ROUND(H$54-(H$34-$AB136)*AI$54,0),IF(AI136=$AB$35,ROUND(H$55-(H$35-$AB136)*AI$55,0),IF(AI136=$AB$36,ROUND(H$56-(H$36-$AB136)*AI$56,0),IF(AI136=$AB$37,ROUND(H$57-(H$37-$AB136)*AI$57,0),IF(AI136=$AB$38,ROUND(H$58-(H$38-$AB136)*AI$58,0),IF(AI136=$AB$39,ROUND(H$59-(H$39-$AB136)*AI$49,0)))))))))))</f>
        <v>99</v>
      </c>
      <c r="I136" s="7">
        <f t="shared" ref="I136:I199" si="163">IF(LEN(AJ136)=LEN($A$32),INDEX(I$52:I$59,MATCH(AJ136,$AA$42:$AA$49,0)),IF(AJ136=$AB$31,ROUND(I$51-(I$31-$AB136)*AJ$51,0),IF(AJ136=$AB$32,ROUND(I$52-(I$32-$AB136)*AJ$52,0),IF(AJ136=$AB$33,ROUND(I$53-(I$33-$AB136)*AJ$53,0),IF(AJ136=$AB$34,ROUND(I$54-(I$34-$AB136)*AJ$54,0),IF(AJ136=$AB$35,ROUND(I$55-(I$35-$AB136)*AJ$55,0),IF(AJ136=$AB$36,ROUND(I$56-(I$36-$AB136)*AJ$56,0),IF(AJ136=$AB$37,ROUND(I$57-(I$37-$AB136)*AJ$57,0),IF(AJ136=$AB$38,ROUND(I$58-(I$38-$AB136)*AJ$58,0),IF(AJ136=$AB$39,ROUND(I$59-(I$39-$AB136)*AJ$49,0)))))))))))</f>
        <v>99</v>
      </c>
      <c r="J136" s="7">
        <f t="shared" ref="J136:J199" si="164">IF(LEN(AK136)=LEN($A$32),INDEX(J$52:J$59,MATCH(AK136,$AA$42:$AA$49,0)),IF(AK136=$AB$31,ROUND(J$51-(J$31-$AB136)*AK$51,0),IF(AK136=$AB$32,ROUND(J$52-(J$32-$AB136)*AK$52,0),IF(AK136=$AB$33,ROUND(J$53-(J$33-$AB136)*AK$53,0),IF(AK136=$AB$34,ROUND(J$54-(J$34-$AB136)*AK$54,0),IF(AK136=$AB$35,ROUND(J$55-(J$35-$AB136)*AK$55,0),IF(AK136=$AB$36,ROUND(J$56-(J$36-$AB136)*AK$56,0),IF(AK136=$AB$37,ROUND(J$57-(J$37-$AB136)*AK$57,0),IF(AK136=$AB$38,ROUND(J$58-(J$38-$AB136)*AK$58,0),IF(AK136=$AB$39,ROUND(J$59-(J$39-$AB136)*AK$49,0)))))))))))</f>
        <v>99</v>
      </c>
      <c r="K136" s="7">
        <f t="shared" ref="K136:K199" si="165">IF(LEN(AL136)=LEN($A$32),INDEX(K$52:K$59,MATCH(AL136,$AA$42:$AA$49,0)),IF(AL136=$AB$31,ROUND(K$51-(K$31-$AB136)*AL$51,0),IF(AL136=$AB$32,ROUND(K$52-(K$32-$AB136)*AL$52,0),IF(AL136=$AB$33,ROUND(K$53-(K$33-$AB136)*AL$53,0),IF(AL136=$AB$34,ROUND(K$54-(K$34-$AB136)*AL$54,0),IF(AL136=$AB$35,ROUND(K$55-(K$35-$AB136)*AL$55,0),IF(AL136=$AB$36,ROUND(K$56-(K$36-$AB136)*AL$56,0),IF(AL136=$AB$37,ROUND(K$57-(K$37-$AB136)*AL$57,0),IF(AL136=$AB$38,ROUND(K$58-(K$38-$AB136)*AL$58,0),IF(AL136=$AB$39,ROUND(K$59-(K$39-$AB136)*AL$49,0)))))))))))</f>
        <v>98</v>
      </c>
      <c r="L136" s="7">
        <f t="shared" ref="L136:L199" si="166">IF(LEN(AM136)=LEN($A$32),INDEX(L$52:L$59,MATCH(AM136,$AA$42:$AA$49,0)),IF(AM136=$AB$31,ROUND(L$51-(L$31-$AB136)*AM$51,0),IF(AM136=$AB$32,ROUND(L$52-(L$32-$AB136)*AM$52,0),IF(AM136=$AB$33,ROUND(L$53-(L$33-$AB136)*AM$53,0),IF(AM136=$AB$34,ROUND(L$54-(L$34-$AB136)*AM$54,0),IF(AM136=$AB$35,ROUND(L$55-(L$35-$AB136)*AM$55,0),IF(AM136=$AB$36,ROUND(L$56-(L$36-$AB136)*AM$56,0),IF(AM136=$AB$37,ROUND(L$57-(L$37-$AB136)*AM$57,0),IF(AM136=$AB$38,ROUND(L$58-(L$38-$AB136)*AM$58,0),IF(AM136=$AB$39,ROUND(L$59-(L$39-$AB136)*AM$49,0)))))))))))</f>
        <v>98</v>
      </c>
      <c r="M136" s="7">
        <f t="shared" ref="M136:M199" si="167">IF(LEN(AN136)=LEN($A$32),INDEX(M$52:M$59,MATCH(AN136,$AA$42:$AA$49,0)),IF(AN136=$AB$31,ROUND(M$51-(M$31-$AB136)*AN$51,0),IF(AN136=$AB$32,ROUND(M$52-(M$32-$AB136)*AN$52,0),IF(AN136=$AB$33,ROUND(M$53-(M$33-$AB136)*AN$53,0),IF(AN136=$AB$34,ROUND(M$54-(M$34-$AB136)*AN$54,0),IF(AN136=$AB$35,ROUND(M$55-(M$35-$AB136)*AN$55,0),IF(AN136=$AB$36,ROUND(M$56-(M$36-$AB136)*AN$56,0),IF(AN136=$AB$37,ROUND(M$57-(M$37-$AB136)*AN$57,0),IF(AN136=$AB$38,ROUND(M$58-(M$38-$AB136)*AN$58,0),IF(AN136=$AB$39,ROUND(M$59-(M$39-$AB136)*AN$49,0)))))))))))</f>
        <v>98</v>
      </c>
      <c r="N136" s="7">
        <f t="shared" ref="N136:N199" si="168">IF(LEN(AO136)=LEN($A$32),INDEX(N$52:N$59,MATCH(AO136,$AA$42:$AA$49,0)),IF(AO136=$AB$31,ROUND(N$51-(N$31-$AB136)*AO$51,0),IF(AO136=$AB$32,ROUND(N$52-(N$32-$AB136)*AO$52,0),IF(AO136=$AB$33,ROUND(N$53-(N$33-$AB136)*AO$53,0),IF(AO136=$AB$34,ROUND(N$54-(N$34-$AB136)*AO$54,0),IF(AO136=$AB$35,ROUND(N$55-(N$35-$AB136)*AO$55,0),IF(AO136=$AB$36,ROUND(N$56-(N$36-$AB136)*AO$56,0),IF(AO136=$AB$37,ROUND(N$57-(N$37-$AB136)*AO$57,0),IF(AO136=$AB$38,ROUND(N$58-(N$38-$AB136)*AO$58,0),IF(AO136=$AB$39,ROUND(N$59-(N$39-$AB136)*AO$49,0)))))))))))</f>
        <v>99</v>
      </c>
      <c r="O136" s="7">
        <f t="shared" ref="O136:O199" si="169">IF(LEN(AP136)=LEN($A$32),INDEX(O$52:O$59,MATCH(AP136,$AA$42:$AA$49,0)),IF(AP136=$AB$31,ROUND(O$51-(O$31-$AB136)*AP$51,0),IF(AP136=$AB$32,ROUND(O$52-(O$32-$AB136)*AP$52,0),IF(AP136=$AB$33,ROUND(O$53-(O$33-$AB136)*AP$53,0),IF(AP136=$AB$34,ROUND(O$54-(O$34-$AB136)*AP$54,0),IF(AP136=$AB$35,ROUND(O$55-(O$35-$AB136)*AP$55,0),IF(AP136=$AB$36,ROUND(O$56-(O$36-$AB136)*AP$56,0),IF(AP136=$AB$37,ROUND(O$57-(O$37-$AB136)*AP$57,0),IF(AP136=$AB$38,ROUND(O$58-(O$38-$AB136)*AP$58,0),IF(AP136=$AB$39,ROUND(O$59-(O$39-$AB136)*AP$49,0)))))))))))</f>
        <v>98</v>
      </c>
      <c r="P136" s="7">
        <f t="shared" ref="P136:P199" si="170">IF(LEN(AQ136)=LEN($A$32),INDEX(P$52:P$59,MATCH(AQ136,$AA$42:$AA$49,0)),IF(AQ136=$AB$31,ROUND(P$51-(P$31-$AB136)*AQ$51,0),IF(AQ136=$AB$32,ROUND(P$52-(P$32-$AB136)*AQ$52,0),IF(AQ136=$AB$33,ROUND(P$53-(P$33-$AB136)*AQ$53,0),IF(AQ136=$AB$34,ROUND(P$54-(P$34-$AB136)*AQ$54,0),IF(AQ136=$AB$35,ROUND(P$55-(P$35-$AB136)*AQ$55,0),IF(AQ136=$AB$36,ROUND(P$56-(P$36-$AB136)*AQ$56,0),IF(AQ136=$AB$37,ROUND(P$57-(P$37-$AB136)*AQ$57,0),IF(AQ136=$AB$38,ROUND(P$58-(P$38-$AB136)*AQ$58,0),IF(AQ136=$AB$39,ROUND(P$59-(P$39-$AB136)*AQ$49,0)))))))))))</f>
        <v>98</v>
      </c>
      <c r="Q136" s="7">
        <f t="shared" ref="Q136:Q199" si="171">IF(LEN(AR136)=LEN($A$32),INDEX(Q$52:Q$59,MATCH(AR136,$AA$42:$AA$49,0)),IF(AR136=$AB$31,ROUND(Q$51-(Q$31-$AB136)*AR$51,0),IF(AR136=$AB$32,ROUND(Q$52-(Q$32-$AB136)*AR$52,0),IF(AR136=$AB$33,ROUND(Q$53-(Q$33-$AB136)*AR$53,0),IF(AR136=$AB$34,ROUND(Q$54-(Q$34-$AB136)*AR$54,0),IF(AR136=$AB$35,ROUND(Q$55-(Q$35-$AB136)*AR$55,0),IF(AR136=$AB$36,ROUND(Q$56-(Q$36-$AB136)*AR$56,0),IF(AR136=$AB$37,ROUND(Q$57-(Q$37-$AB136)*AR$57,0),IF(AR136=$AB$38,ROUND(Q$58-(Q$38-$AB136)*AR$58,0),IF(AR136=$AB$39,ROUND(Q$59-(Q$39-$AB136)*AR$49,0)))))))))))</f>
        <v>98</v>
      </c>
      <c r="R136" s="7">
        <f t="shared" ref="R136:R199" si="172">IF(LEN(AS136)=LEN($A$32),INDEX(R$52:R$59,MATCH(AS136,$AA$42:$AA$49,0)),IF(AS136=$AB$31,ROUND(R$51-(R$31-$AB136)*AS$51,0),IF(AS136=$AB$32,ROUND(R$52-(R$32-$AB136)*AS$52,0),IF(AS136=$AB$33,ROUND(R$53-(R$33-$AB136)*AS$53,0),IF(AS136=$AB$34,ROUND(R$54-(R$34-$AB136)*AS$54,0),IF(AS136=$AB$35,ROUND(R$55-(R$35-$AB136)*AS$55,0),IF(AS136=$AB$36,ROUND(R$56-(R$36-$AB136)*AS$56,0),IF(AS136=$AB$37,ROUND(R$57-(R$37-$AB136)*AS$57,0),IF(AS136=$AB$38,ROUND(R$58-(R$38-$AB136)*AS$58,0),IF(AS136=$AB$39,ROUND(R$59-(R$39-$AB136)*AS$49,0)))))))))))</f>
        <v>98</v>
      </c>
      <c r="S136" s="7">
        <f t="shared" ref="S136:S199" si="173">IF(LEN(AT136)=LEN($A$32),INDEX(S$52:S$59,MATCH(AT136,$AA$42:$AA$49,0)),IF(AT136=$AB$31,ROUND(S$51-(S$31-$AB136)*AT$51,0),IF(AT136=$AB$32,ROUND(S$52-(S$32-$AB136)*AT$52,0),IF(AT136=$AB$33,ROUND(S$53-(S$33-$AB136)*AT$53,0),IF(AT136=$AB$34,ROUND(S$54-(S$34-$AB136)*AT$54,0),IF(AT136=$AB$35,ROUND(S$55-(S$35-$AB136)*AT$55,0),IF(AT136=$AB$36,ROUND(S$56-(S$36-$AB136)*AT$56,0),IF(AT136=$AB$37,ROUND(S$57-(S$37-$AB136)*AT$57,0),IF(AT136=$AB$38,ROUND(S$58-(S$38-$AB136)*AT$58,0),IF(AT136=$AB$39,ROUND(S$59-(S$39-$AB136)*AT$49,0)))))))))))</f>
        <v>98</v>
      </c>
      <c r="T136" s="7">
        <f t="shared" ref="T136:T199" si="174">IF(LEN(AU136)=LEN($A$32),INDEX(T$52:T$59,MATCH(AU136,$AA$42:$AA$49,0)),IF(AU136=$AB$31,ROUND(T$51-(T$31-$AB136)*AU$51,0),IF(AU136=$AB$32,ROUND(T$52-(T$32-$AB136)*AU$52,0),IF(AU136=$AB$33,ROUND(T$53-(T$33-$AB136)*AU$53,0),IF(AU136=$AB$34,ROUND(T$54-(T$34-$AB136)*AU$54,0),IF(AU136=$AB$35,ROUND(T$55-(T$35-$AB136)*AU$55,0),IF(AU136=$AB$36,ROUND(T$56-(T$36-$AB136)*AU$56,0),IF(AU136=$AB$37,ROUND(T$57-(T$37-$AB136)*AU$57,0),IF(AU136=$AB$38,ROUND(T$58-(T$38-$AB136)*AU$58,0),IF(AU136=$AB$39,ROUND(T$59-(T$39-$AB136)*AU$49,0)))))))))))</f>
        <v>98</v>
      </c>
      <c r="U136" s="7">
        <f t="shared" ref="U136:U199" si="175">IF(LEN(AV136)=LEN($A$32),INDEX(U$52:U$59,MATCH(AV136,$AA$42:$AA$49,0)),IF(AV136=$AB$31,ROUND(U$51-(U$31-$AB136)*AV$51,0),IF(AV136=$AB$32,ROUND(U$52-(U$32-$AB136)*AV$52,0),IF(AV136=$AB$33,ROUND(U$53-(U$33-$AB136)*AV$53,0),IF(AV136=$AB$34,ROUND(U$54-(U$34-$AB136)*AV$54,0),IF(AV136=$AB$35,ROUND(U$55-(U$35-$AB136)*AV$55,0),IF(AV136=$AB$36,ROUND(U$56-(U$36-$AB136)*AV$56,0),IF(AV136=$AB$37,ROUND(U$57-(U$37-$AB136)*AV$57,0),IF(AV136=$AB$38,ROUND(U$58-(U$38-$AB136)*AV$58,0),IF(AV136=$AB$39,ROUND(U$59-(U$39-$AB136)*AV$49,0)))))))))))</f>
        <v>98</v>
      </c>
      <c r="V136" s="7">
        <f t="shared" ref="V136:V199" si="176">IF(LEN(AW136)=LEN($A$32),INDEX(V$52:V$59,MATCH(AW136,$AA$42:$AA$49,0)),IF(AW136=$AB$31,ROUND(V$51-(V$31-$AB136)*AW$51,0),IF(AW136=$AB$32,ROUND(V$52-(V$32-$AB136)*AW$52,0),IF(AW136=$AB$33,ROUND(V$53-(V$33-$AB136)*AW$53,0),IF(AW136=$AB$34,ROUND(V$54-(V$34-$AB136)*AW$54,0),IF(AW136=$AB$35,ROUND(V$55-(V$35-$AB136)*AW$55,0),IF(AW136=$AB$36,ROUND(V$56-(V$36-$AB136)*AW$56,0),IF(AW136=$AB$37,ROUND(V$57-(V$37-$AB136)*AW$57,0),IF(AW136=$AB$38,ROUND(V$58-(V$38-$AB136)*AW$58,0),IF(AW136=$AB$39,ROUND(V$59-(V$39-$AB136)*AW$49,0)))))))))))</f>
        <v>98</v>
      </c>
      <c r="W136" s="7">
        <f t="shared" ref="W136:W199" si="177">IF(LEN(AX136)=LEN($A$32),INDEX(W$52:W$59,MATCH(AX136,$AA$42:$AA$49,0)),IF(AX136=$AB$31,ROUND(W$51-(W$31-$AB136)*AX$51,0),IF(AX136=$AB$32,ROUND(W$52-(W$32-$AB136)*AX$52,0),IF(AX136=$AB$33,ROUND(W$53-(W$33-$AB136)*AX$53,0),IF(AX136=$AB$34,ROUND(W$54-(W$34-$AB136)*AX$54,0),IF(AX136=$AB$35,ROUND(W$55-(W$35-$AB136)*AX$55,0),IF(AX136=$AB$36,ROUND(W$56-(W$36-$AB136)*AX$56,0),IF(AX136=$AB$37,ROUND(W$57-(W$37-$AB136)*AX$57,0),IF(AX136=$AB$38,ROUND(W$58-(W$38-$AB136)*AX$58,0),IF(AX136=$AB$39,ROUND(W$59-(W$39-$AB136)*AX$49,0)))))))))))</f>
        <v>98</v>
      </c>
      <c r="X136" s="47">
        <f t="shared" ref="X136:X185" si="178">($K$62*K136+$L$62*L136+$M$62*M136+$N$62*N136)/($K$62+$L$62+$M$62+$N$62)</f>
        <v>98.217576791808867</v>
      </c>
      <c r="Y136" s="47">
        <f t="shared" ref="Y136:Y185" si="179">($G$62*G136+$H$62*H136+$I$62*I136+$J$62*J136+$K$62*K136+$L$62*L136+$M$62*M136+$N$62*N136)/($G$62+$H$62+$I$62+$J$62+$K$62+$L$62+$M$62+$N$62)</f>
        <v>98.96970497869107</v>
      </c>
      <c r="Z136" s="47">
        <f t="shared" ref="Z136:Z185" si="180">($G$62*G136+$H$62*H136+$I$62*I136+$J$62*J136)/($G$62+$H$62+$I$62+$J$62)</f>
        <v>99</v>
      </c>
      <c r="AA136" s="47">
        <f t="shared" ref="AA136:AA185" si="181">($O$62*O136+$P$62*P136+$Q$62*Q136+$R$62*R136+$S$62*S136+$T$62*T136+$U$62*U136+$V$62*V136+$W$62*W136)/($O$62+$P$62+$Q$62+$R$62+$S$62+$T$62+$U$62+$V$62+$W$62)</f>
        <v>98</v>
      </c>
      <c r="AB136" s="7">
        <v>49</v>
      </c>
      <c r="AC136" s="44" t="str">
        <f t="shared" si="155"/>
        <v>1</v>
      </c>
      <c r="AD136" s="44" t="str">
        <f t="shared" si="156"/>
        <v>1</v>
      </c>
      <c r="AE136" s="44" t="str">
        <f t="shared" si="157"/>
        <v>1</v>
      </c>
      <c r="AF136" s="44" t="str">
        <f t="shared" si="158"/>
        <v>1</v>
      </c>
      <c r="AG136" s="44" t="str">
        <f t="shared" si="159"/>
        <v>1</v>
      </c>
      <c r="AH136" s="44" t="str">
        <f t="shared" si="116"/>
        <v>1</v>
      </c>
      <c r="AI136" s="44" t="str">
        <f t="shared" si="117"/>
        <v>1</v>
      </c>
      <c r="AJ136" s="44" t="str">
        <f t="shared" si="118"/>
        <v>1</v>
      </c>
      <c r="AK136" s="44" t="str">
        <f t="shared" si="119"/>
        <v>1</v>
      </c>
      <c r="AL136" s="44" t="str">
        <f t="shared" si="120"/>
        <v>1</v>
      </c>
      <c r="AM136" s="44" t="str">
        <f t="shared" si="121"/>
        <v>1</v>
      </c>
      <c r="AN136" s="44" t="str">
        <f t="shared" si="122"/>
        <v>1</v>
      </c>
      <c r="AO136" s="44" t="str">
        <f t="shared" si="123"/>
        <v>1</v>
      </c>
      <c r="AP136" s="44" t="str">
        <f t="shared" si="124"/>
        <v>1</v>
      </c>
      <c r="AQ136" s="44" t="str">
        <f t="shared" si="125"/>
        <v>1</v>
      </c>
      <c r="AR136" s="44" t="str">
        <f t="shared" si="126"/>
        <v>1</v>
      </c>
      <c r="AS136" s="44" t="str">
        <f t="shared" si="127"/>
        <v>1</v>
      </c>
      <c r="AT136" s="44" t="str">
        <f t="shared" si="128"/>
        <v>1</v>
      </c>
      <c r="AU136" s="44" t="str">
        <f t="shared" si="129"/>
        <v>1</v>
      </c>
      <c r="AV136" s="44" t="str">
        <f t="shared" si="130"/>
        <v>1</v>
      </c>
      <c r="AW136" s="44" t="str">
        <f t="shared" si="131"/>
        <v>1</v>
      </c>
      <c r="AX136" s="44" t="str">
        <f t="shared" si="132"/>
        <v>1</v>
      </c>
      <c r="AY136" s="7">
        <v>1</v>
      </c>
      <c r="AZ136" s="7">
        <v>1</v>
      </c>
    </row>
    <row r="137" spans="1:52" hidden="1" x14ac:dyDescent="0.3">
      <c r="A137" s="7">
        <v>98</v>
      </c>
      <c r="B137" s="43">
        <v>100</v>
      </c>
      <c r="C137" s="43">
        <v>100</v>
      </c>
      <c r="D137" s="43">
        <v>100</v>
      </c>
      <c r="E137" s="43">
        <v>99</v>
      </c>
      <c r="F137" s="43">
        <v>99</v>
      </c>
      <c r="G137" s="7">
        <f t="shared" si="161"/>
        <v>99</v>
      </c>
      <c r="H137" s="7">
        <f t="shared" si="162"/>
        <v>98</v>
      </c>
      <c r="I137" s="7">
        <f t="shared" si="163"/>
        <v>99</v>
      </c>
      <c r="J137" s="7">
        <f t="shared" si="164"/>
        <v>99</v>
      </c>
      <c r="K137" s="7">
        <f t="shared" si="165"/>
        <v>97</v>
      </c>
      <c r="L137" s="7">
        <f t="shared" si="166"/>
        <v>97</v>
      </c>
      <c r="M137" s="7">
        <f t="shared" si="167"/>
        <v>97</v>
      </c>
      <c r="N137" s="7">
        <f t="shared" si="168"/>
        <v>98</v>
      </c>
      <c r="O137" s="7">
        <f t="shared" si="169"/>
        <v>97</v>
      </c>
      <c r="P137" s="7">
        <f t="shared" si="170"/>
        <v>97</v>
      </c>
      <c r="Q137" s="7">
        <f t="shared" si="171"/>
        <v>97</v>
      </c>
      <c r="R137" s="7">
        <f t="shared" si="172"/>
        <v>98</v>
      </c>
      <c r="S137" s="7">
        <f t="shared" si="173"/>
        <v>97</v>
      </c>
      <c r="T137" s="7">
        <f t="shared" si="174"/>
        <v>98</v>
      </c>
      <c r="U137" s="7">
        <f t="shared" si="175"/>
        <v>96</v>
      </c>
      <c r="V137" s="7">
        <f t="shared" si="176"/>
        <v>96</v>
      </c>
      <c r="W137" s="7">
        <f t="shared" si="177"/>
        <v>96</v>
      </c>
      <c r="X137" s="47">
        <f t="shared" si="178"/>
        <v>97.217576791808867</v>
      </c>
      <c r="Y137" s="47">
        <f t="shared" si="179"/>
        <v>98.757347215208398</v>
      </c>
      <c r="Z137" s="47">
        <f t="shared" si="180"/>
        <v>98.819367730595687</v>
      </c>
      <c r="AA137" s="47">
        <f t="shared" si="181"/>
        <v>96.750028918449971</v>
      </c>
      <c r="AB137" s="7">
        <v>48</v>
      </c>
      <c r="AC137" s="44" t="str">
        <f t="shared" si="155"/>
        <v>1</v>
      </c>
      <c r="AD137" s="44" t="str">
        <f t="shared" si="156"/>
        <v>1</v>
      </c>
      <c r="AE137" s="44" t="str">
        <f t="shared" si="157"/>
        <v>1</v>
      </c>
      <c r="AF137" s="44" t="str">
        <f t="shared" si="158"/>
        <v>1</v>
      </c>
      <c r="AG137" s="44" t="str">
        <f t="shared" si="159"/>
        <v>1</v>
      </c>
      <c r="AH137" s="44" t="str">
        <f t="shared" si="116"/>
        <v>1</v>
      </c>
      <c r="AI137" s="44" t="str">
        <f t="shared" si="117"/>
        <v>1</v>
      </c>
      <c r="AJ137" s="44" t="str">
        <f t="shared" si="118"/>
        <v>1</v>
      </c>
      <c r="AK137" s="44" t="str">
        <f t="shared" si="119"/>
        <v>1</v>
      </c>
      <c r="AL137" s="44" t="str">
        <f t="shared" si="120"/>
        <v>1</v>
      </c>
      <c r="AM137" s="44" t="str">
        <f t="shared" si="121"/>
        <v>1</v>
      </c>
      <c r="AN137" s="44" t="str">
        <f t="shared" si="122"/>
        <v>1</v>
      </c>
      <c r="AO137" s="44" t="str">
        <f t="shared" si="123"/>
        <v>1</v>
      </c>
      <c r="AP137" s="44" t="str">
        <f t="shared" si="124"/>
        <v>1</v>
      </c>
      <c r="AQ137" s="44" t="str">
        <f t="shared" si="125"/>
        <v>1</v>
      </c>
      <c r="AR137" s="44" t="str">
        <f t="shared" si="126"/>
        <v>1</v>
      </c>
      <c r="AS137" s="44" t="str">
        <f t="shared" si="127"/>
        <v>1</v>
      </c>
      <c r="AT137" s="44" t="str">
        <f t="shared" si="128"/>
        <v>1</v>
      </c>
      <c r="AU137" s="44" t="str">
        <f t="shared" si="129"/>
        <v>1컷원점</v>
      </c>
      <c r="AV137" s="44" t="str">
        <f t="shared" si="130"/>
        <v>1컷원점</v>
      </c>
      <c r="AW137" s="44" t="str">
        <f t="shared" si="131"/>
        <v>1컷원점</v>
      </c>
      <c r="AX137" s="44" t="str">
        <f t="shared" si="132"/>
        <v>1컷원점</v>
      </c>
      <c r="AY137" s="7">
        <v>1</v>
      </c>
      <c r="AZ137" s="7">
        <v>1</v>
      </c>
    </row>
    <row r="138" spans="1:52" hidden="1" x14ac:dyDescent="0.3">
      <c r="A138" s="7">
        <v>97</v>
      </c>
      <c r="B138" s="43">
        <v>100</v>
      </c>
      <c r="C138" s="43">
        <v>100</v>
      </c>
      <c r="D138" s="43">
        <v>100</v>
      </c>
      <c r="E138" s="43">
        <v>99</v>
      </c>
      <c r="F138" s="43">
        <v>99</v>
      </c>
      <c r="G138" s="7">
        <f t="shared" si="161"/>
        <v>98</v>
      </c>
      <c r="H138" s="7">
        <f t="shared" si="162"/>
        <v>98</v>
      </c>
      <c r="I138" s="7">
        <f t="shared" si="163"/>
        <v>98</v>
      </c>
      <c r="J138" s="7">
        <f t="shared" si="164"/>
        <v>98</v>
      </c>
      <c r="K138" s="7">
        <f t="shared" si="165"/>
        <v>97</v>
      </c>
      <c r="L138" s="7">
        <f t="shared" si="166"/>
        <v>96</v>
      </c>
      <c r="M138" s="7">
        <f t="shared" si="167"/>
        <v>97</v>
      </c>
      <c r="N138" s="7">
        <f t="shared" si="168"/>
        <v>97</v>
      </c>
      <c r="O138" s="7">
        <f t="shared" si="169"/>
        <v>96</v>
      </c>
      <c r="P138" s="7">
        <f t="shared" si="170"/>
        <v>96</v>
      </c>
      <c r="Q138" s="7">
        <f t="shared" si="171"/>
        <v>96</v>
      </c>
      <c r="R138" s="7">
        <f t="shared" si="172"/>
        <v>98</v>
      </c>
      <c r="S138" s="7">
        <f t="shared" si="173"/>
        <v>96</v>
      </c>
      <c r="T138" s="7">
        <f t="shared" si="174"/>
        <v>96</v>
      </c>
      <c r="U138" s="7">
        <f t="shared" si="175"/>
        <v>94</v>
      </c>
      <c r="V138" s="7">
        <f t="shared" si="176"/>
        <v>94</v>
      </c>
      <c r="W138" s="7">
        <f t="shared" si="177"/>
        <v>94</v>
      </c>
      <c r="X138" s="47">
        <f t="shared" si="178"/>
        <v>96.797842515845929</v>
      </c>
      <c r="Y138" s="47">
        <f t="shared" si="179"/>
        <v>97.95345308495726</v>
      </c>
      <c r="Z138" s="47">
        <f t="shared" si="180"/>
        <v>98</v>
      </c>
      <c r="AA138" s="47">
        <f t="shared" si="181"/>
        <v>95.420437972759956</v>
      </c>
      <c r="AB138" s="7">
        <v>47</v>
      </c>
      <c r="AC138" s="44" t="str">
        <f t="shared" si="155"/>
        <v>1</v>
      </c>
      <c r="AD138" s="44" t="str">
        <f t="shared" si="156"/>
        <v>1</v>
      </c>
      <c r="AE138" s="44" t="str">
        <f t="shared" si="157"/>
        <v>1</v>
      </c>
      <c r="AF138" s="44" t="str">
        <f t="shared" si="158"/>
        <v>1</v>
      </c>
      <c r="AG138" s="44" t="str">
        <f t="shared" si="159"/>
        <v>1</v>
      </c>
      <c r="AH138" s="44" t="str">
        <f t="shared" si="116"/>
        <v>1</v>
      </c>
      <c r="AI138" s="44" t="str">
        <f t="shared" si="117"/>
        <v>1</v>
      </c>
      <c r="AJ138" s="44" t="str">
        <f t="shared" si="118"/>
        <v>1</v>
      </c>
      <c r="AK138" s="44" t="str">
        <f t="shared" si="119"/>
        <v>1</v>
      </c>
      <c r="AL138" s="44" t="str">
        <f t="shared" si="120"/>
        <v>1</v>
      </c>
      <c r="AM138" s="44" t="str">
        <f t="shared" si="121"/>
        <v>1컷원점</v>
      </c>
      <c r="AN138" s="44" t="str">
        <f t="shared" si="122"/>
        <v>1</v>
      </c>
      <c r="AO138" s="44" t="str">
        <f t="shared" si="123"/>
        <v>1</v>
      </c>
      <c r="AP138" s="44" t="str">
        <f t="shared" si="124"/>
        <v>1컷원점</v>
      </c>
      <c r="AQ138" s="44" t="str">
        <f t="shared" si="125"/>
        <v>1컷원점</v>
      </c>
      <c r="AR138" s="44" t="str">
        <f t="shared" si="126"/>
        <v>1컷원점</v>
      </c>
      <c r="AS138" s="44" t="str">
        <f t="shared" si="127"/>
        <v>1컷원점</v>
      </c>
      <c r="AT138" s="44" t="str">
        <f t="shared" si="128"/>
        <v>1컷원점</v>
      </c>
      <c r="AU138" s="44" t="str">
        <f t="shared" si="129"/>
        <v>2</v>
      </c>
      <c r="AV138" s="44" t="str">
        <f t="shared" si="130"/>
        <v>2</v>
      </c>
      <c r="AW138" s="44" t="str">
        <f t="shared" si="131"/>
        <v>2</v>
      </c>
      <c r="AX138" s="44" t="str">
        <f t="shared" si="132"/>
        <v>2</v>
      </c>
      <c r="AY138" s="7">
        <v>1</v>
      </c>
      <c r="AZ138" s="7">
        <v>1</v>
      </c>
    </row>
    <row r="139" spans="1:52" hidden="1" x14ac:dyDescent="0.3">
      <c r="A139" s="7">
        <v>96</v>
      </c>
      <c r="B139" s="43">
        <v>100</v>
      </c>
      <c r="C139" s="43">
        <v>100</v>
      </c>
      <c r="D139" s="43">
        <v>100</v>
      </c>
      <c r="E139" s="43">
        <v>99</v>
      </c>
      <c r="F139" s="43">
        <v>99</v>
      </c>
      <c r="G139" s="7">
        <f t="shared" si="161"/>
        <v>97</v>
      </c>
      <c r="H139" s="7">
        <f t="shared" si="162"/>
        <v>97</v>
      </c>
      <c r="I139" s="7">
        <f t="shared" si="163"/>
        <v>97</v>
      </c>
      <c r="J139" s="7">
        <f t="shared" si="164"/>
        <v>97</v>
      </c>
      <c r="K139" s="7">
        <f t="shared" si="165"/>
        <v>96</v>
      </c>
      <c r="L139" s="7">
        <f t="shared" si="166"/>
        <v>94</v>
      </c>
      <c r="M139" s="7">
        <f t="shared" si="167"/>
        <v>96</v>
      </c>
      <c r="N139" s="7">
        <f t="shared" si="168"/>
        <v>96</v>
      </c>
      <c r="O139" s="7">
        <f t="shared" si="169"/>
        <v>94</v>
      </c>
      <c r="P139" s="7">
        <f t="shared" si="170"/>
        <v>94</v>
      </c>
      <c r="Q139" s="7">
        <f t="shared" si="171"/>
        <v>94</v>
      </c>
      <c r="R139" s="7">
        <f t="shared" si="172"/>
        <v>96</v>
      </c>
      <c r="S139" s="7">
        <f t="shared" si="173"/>
        <v>94</v>
      </c>
      <c r="T139" s="7">
        <f t="shared" si="174"/>
        <v>93</v>
      </c>
      <c r="U139" s="7">
        <f t="shared" si="175"/>
        <v>92</v>
      </c>
      <c r="V139" s="7">
        <f t="shared" si="176"/>
        <v>92</v>
      </c>
      <c r="W139" s="7">
        <f t="shared" si="177"/>
        <v>92</v>
      </c>
      <c r="X139" s="47">
        <f t="shared" si="178"/>
        <v>95.595685031691858</v>
      </c>
      <c r="Y139" s="47">
        <f t="shared" si="179"/>
        <v>96.945625651892783</v>
      </c>
      <c r="Z139" s="47">
        <f t="shared" si="180"/>
        <v>97</v>
      </c>
      <c r="AA139" s="47">
        <f t="shared" si="181"/>
        <v>93.380628040689956</v>
      </c>
      <c r="AB139" s="7">
        <v>46</v>
      </c>
      <c r="AC139" s="44" t="str">
        <f t="shared" si="155"/>
        <v>1</v>
      </c>
      <c r="AD139" s="44" t="str">
        <f t="shared" si="156"/>
        <v>1</v>
      </c>
      <c r="AE139" s="44" t="str">
        <f t="shared" si="157"/>
        <v>1</v>
      </c>
      <c r="AF139" s="44" t="str">
        <f t="shared" si="158"/>
        <v>1</v>
      </c>
      <c r="AG139" s="44" t="str">
        <f t="shared" si="159"/>
        <v>1</v>
      </c>
      <c r="AH139" s="44" t="str">
        <f t="shared" si="116"/>
        <v>1</v>
      </c>
      <c r="AI139" s="44" t="str">
        <f t="shared" si="117"/>
        <v>1</v>
      </c>
      <c r="AJ139" s="44" t="str">
        <f t="shared" si="118"/>
        <v>1</v>
      </c>
      <c r="AK139" s="44" t="str">
        <f t="shared" si="119"/>
        <v>1</v>
      </c>
      <c r="AL139" s="44" t="str">
        <f t="shared" si="120"/>
        <v>1컷원점</v>
      </c>
      <c r="AM139" s="44" t="str">
        <f t="shared" si="121"/>
        <v>2</v>
      </c>
      <c r="AN139" s="44" t="str">
        <f t="shared" si="122"/>
        <v>1컷원점</v>
      </c>
      <c r="AO139" s="44" t="str">
        <f t="shared" si="123"/>
        <v>1컷원점</v>
      </c>
      <c r="AP139" s="44" t="str">
        <f t="shared" si="124"/>
        <v>2</v>
      </c>
      <c r="AQ139" s="44" t="str">
        <f t="shared" si="125"/>
        <v>2</v>
      </c>
      <c r="AR139" s="44" t="str">
        <f t="shared" si="126"/>
        <v>2</v>
      </c>
      <c r="AS139" s="44" t="str">
        <f t="shared" si="127"/>
        <v>2</v>
      </c>
      <c r="AT139" s="44" t="str">
        <f t="shared" si="128"/>
        <v>2</v>
      </c>
      <c r="AU139" s="44" t="str">
        <f t="shared" si="129"/>
        <v>2</v>
      </c>
      <c r="AV139" s="44" t="str">
        <f t="shared" si="130"/>
        <v>2</v>
      </c>
      <c r="AW139" s="44" t="str">
        <f t="shared" si="131"/>
        <v>2</v>
      </c>
      <c r="AX139" s="44" t="str">
        <f t="shared" si="132"/>
        <v>2</v>
      </c>
      <c r="AY139" s="7">
        <v>1</v>
      </c>
      <c r="AZ139" s="7">
        <v>1</v>
      </c>
    </row>
    <row r="140" spans="1:52" hidden="1" x14ac:dyDescent="0.3">
      <c r="A140" s="7">
        <v>95</v>
      </c>
      <c r="B140" s="43">
        <v>100</v>
      </c>
      <c r="C140" s="43">
        <v>100</v>
      </c>
      <c r="D140" s="43">
        <v>99</v>
      </c>
      <c r="E140" s="43">
        <v>99</v>
      </c>
      <c r="F140" s="43">
        <v>99</v>
      </c>
      <c r="G140" s="7">
        <f t="shared" si="161"/>
        <v>97</v>
      </c>
      <c r="H140" s="7">
        <f t="shared" si="162"/>
        <v>97</v>
      </c>
      <c r="I140" s="7">
        <f t="shared" si="163"/>
        <v>97</v>
      </c>
      <c r="J140" s="7">
        <f t="shared" si="164"/>
        <v>97</v>
      </c>
      <c r="K140" s="7">
        <f t="shared" si="165"/>
        <v>94</v>
      </c>
      <c r="L140" s="7">
        <f t="shared" si="166"/>
        <v>91</v>
      </c>
      <c r="M140" s="7">
        <f t="shared" si="167"/>
        <v>94</v>
      </c>
      <c r="N140" s="7">
        <f t="shared" si="168"/>
        <v>95</v>
      </c>
      <c r="O140" s="7">
        <f t="shared" si="169"/>
        <v>92</v>
      </c>
      <c r="P140" s="7">
        <f t="shared" si="170"/>
        <v>92</v>
      </c>
      <c r="Q140" s="7">
        <f t="shared" si="171"/>
        <v>92</v>
      </c>
      <c r="R140" s="7">
        <f t="shared" si="172"/>
        <v>93</v>
      </c>
      <c r="S140" s="7">
        <f t="shared" si="173"/>
        <v>92</v>
      </c>
      <c r="T140" s="7">
        <f t="shared" si="174"/>
        <v>91</v>
      </c>
      <c r="U140" s="7">
        <f t="shared" si="175"/>
        <v>91</v>
      </c>
      <c r="V140" s="7">
        <f t="shared" si="176"/>
        <v>91</v>
      </c>
      <c r="W140" s="7">
        <f t="shared" si="177"/>
        <v>91</v>
      </c>
      <c r="X140" s="47">
        <f t="shared" si="178"/>
        <v>93.611104339346653</v>
      </c>
      <c r="Y140" s="47">
        <f t="shared" si="179"/>
        <v>96.868783715541127</v>
      </c>
      <c r="Z140" s="47">
        <f t="shared" si="180"/>
        <v>97</v>
      </c>
      <c r="AA140" s="47">
        <f t="shared" si="181"/>
        <v>91.670409054309985</v>
      </c>
      <c r="AB140" s="7">
        <v>45</v>
      </c>
      <c r="AC140" s="44" t="str">
        <f t="shared" si="155"/>
        <v>1</v>
      </c>
      <c r="AD140" s="44" t="str">
        <f t="shared" si="156"/>
        <v>1</v>
      </c>
      <c r="AE140" s="44" t="str">
        <f t="shared" si="157"/>
        <v>1</v>
      </c>
      <c r="AF140" s="44" t="str">
        <f t="shared" si="158"/>
        <v>1</v>
      </c>
      <c r="AG140" s="44" t="str">
        <f t="shared" si="159"/>
        <v>1</v>
      </c>
      <c r="AH140" s="44" t="str">
        <f t="shared" si="116"/>
        <v>1</v>
      </c>
      <c r="AI140" s="44" t="str">
        <f t="shared" si="117"/>
        <v>1</v>
      </c>
      <c r="AJ140" s="44" t="str">
        <f t="shared" si="118"/>
        <v>1</v>
      </c>
      <c r="AK140" s="44" t="str">
        <f t="shared" si="119"/>
        <v>1</v>
      </c>
      <c r="AL140" s="44" t="str">
        <f t="shared" si="120"/>
        <v>2</v>
      </c>
      <c r="AM140" s="44" t="str">
        <f t="shared" si="121"/>
        <v>2</v>
      </c>
      <c r="AN140" s="44" t="str">
        <f t="shared" si="122"/>
        <v>2</v>
      </c>
      <c r="AO140" s="44" t="str">
        <f t="shared" si="123"/>
        <v>2</v>
      </c>
      <c r="AP140" s="44" t="str">
        <f t="shared" si="124"/>
        <v>2</v>
      </c>
      <c r="AQ140" s="44" t="str">
        <f t="shared" si="125"/>
        <v>2</v>
      </c>
      <c r="AR140" s="44" t="str">
        <f t="shared" si="126"/>
        <v>2</v>
      </c>
      <c r="AS140" s="44" t="str">
        <f t="shared" si="127"/>
        <v>2</v>
      </c>
      <c r="AT140" s="44" t="str">
        <f t="shared" si="128"/>
        <v>2</v>
      </c>
      <c r="AU140" s="44" t="str">
        <f t="shared" si="129"/>
        <v>2</v>
      </c>
      <c r="AV140" s="44" t="str">
        <f t="shared" si="130"/>
        <v>2</v>
      </c>
      <c r="AW140" s="44" t="str">
        <f t="shared" si="131"/>
        <v>2</v>
      </c>
      <c r="AX140" s="44" t="str">
        <f t="shared" si="132"/>
        <v>2</v>
      </c>
      <c r="AY140" s="7">
        <v>1</v>
      </c>
      <c r="AZ140" s="7">
        <v>1</v>
      </c>
    </row>
    <row r="141" spans="1:52" hidden="1" x14ac:dyDescent="0.3">
      <c r="A141" s="7">
        <v>94</v>
      </c>
      <c r="B141" s="43">
        <v>100</v>
      </c>
      <c r="C141" s="43">
        <v>99</v>
      </c>
      <c r="D141" s="43">
        <v>99</v>
      </c>
      <c r="E141" s="43">
        <v>99</v>
      </c>
      <c r="F141" s="43">
        <v>98</v>
      </c>
      <c r="G141" s="7">
        <f t="shared" si="161"/>
        <v>96</v>
      </c>
      <c r="H141" s="7">
        <f t="shared" si="162"/>
        <v>96</v>
      </c>
      <c r="I141" s="7">
        <f t="shared" si="163"/>
        <v>96</v>
      </c>
      <c r="J141" s="7">
        <f t="shared" si="164"/>
        <v>96</v>
      </c>
      <c r="K141" s="7">
        <f t="shared" si="165"/>
        <v>92</v>
      </c>
      <c r="L141" s="7">
        <f t="shared" si="166"/>
        <v>89</v>
      </c>
      <c r="M141" s="7">
        <f t="shared" si="167"/>
        <v>91</v>
      </c>
      <c r="N141" s="7">
        <f t="shared" si="168"/>
        <v>94</v>
      </c>
      <c r="O141" s="7">
        <f t="shared" si="169"/>
        <v>91</v>
      </c>
      <c r="P141" s="7">
        <f t="shared" si="170"/>
        <v>91</v>
      </c>
      <c r="Q141" s="7">
        <f t="shared" si="171"/>
        <v>91</v>
      </c>
      <c r="R141" s="7">
        <f t="shared" si="172"/>
        <v>91</v>
      </c>
      <c r="S141" s="7">
        <f t="shared" si="173"/>
        <v>91</v>
      </c>
      <c r="T141" s="7">
        <f t="shared" si="174"/>
        <v>89</v>
      </c>
      <c r="U141" s="7">
        <f t="shared" si="175"/>
        <v>89</v>
      </c>
      <c r="V141" s="7">
        <f t="shared" si="176"/>
        <v>89</v>
      </c>
      <c r="W141" s="7">
        <f t="shared" si="177"/>
        <v>89</v>
      </c>
      <c r="X141" s="47">
        <f t="shared" si="178"/>
        <v>91.431618722574356</v>
      </c>
      <c r="Y141" s="47">
        <f t="shared" si="179"/>
        <v>95.823114643458894</v>
      </c>
      <c r="Z141" s="47">
        <f t="shared" si="180"/>
        <v>96</v>
      </c>
      <c r="AA141" s="47">
        <f t="shared" si="181"/>
        <v>90.199192551514528</v>
      </c>
      <c r="AB141" s="7">
        <v>44</v>
      </c>
      <c r="AC141" s="44" t="str">
        <f t="shared" si="155"/>
        <v>1</v>
      </c>
      <c r="AD141" s="44" t="str">
        <f t="shared" si="156"/>
        <v>1</v>
      </c>
      <c r="AE141" s="44" t="str">
        <f t="shared" si="157"/>
        <v>1</v>
      </c>
      <c r="AF141" s="44" t="str">
        <f t="shared" si="158"/>
        <v>1</v>
      </c>
      <c r="AG141" s="44" t="str">
        <f t="shared" si="159"/>
        <v>1</v>
      </c>
      <c r="AH141" s="44" t="str">
        <f t="shared" si="116"/>
        <v>1컷원점</v>
      </c>
      <c r="AI141" s="44" t="str">
        <f t="shared" si="117"/>
        <v>1컷원점</v>
      </c>
      <c r="AJ141" s="44" t="str">
        <f t="shared" si="118"/>
        <v>1컷원점</v>
      </c>
      <c r="AK141" s="44" t="str">
        <f t="shared" si="119"/>
        <v>1컷원점</v>
      </c>
      <c r="AL141" s="44" t="str">
        <f t="shared" si="120"/>
        <v>2</v>
      </c>
      <c r="AM141" s="44" t="str">
        <f t="shared" si="121"/>
        <v>2컷원점</v>
      </c>
      <c r="AN141" s="44" t="str">
        <f t="shared" si="122"/>
        <v>2</v>
      </c>
      <c r="AO141" s="44" t="str">
        <f t="shared" si="123"/>
        <v>2</v>
      </c>
      <c r="AP141" s="44" t="str">
        <f t="shared" si="124"/>
        <v>2</v>
      </c>
      <c r="AQ141" s="44" t="str">
        <f t="shared" si="125"/>
        <v>2</v>
      </c>
      <c r="AR141" s="44" t="str">
        <f t="shared" si="126"/>
        <v>2</v>
      </c>
      <c r="AS141" s="44" t="str">
        <f t="shared" si="127"/>
        <v>2</v>
      </c>
      <c r="AT141" s="44" t="str">
        <f t="shared" si="128"/>
        <v>2</v>
      </c>
      <c r="AU141" s="44" t="str">
        <f t="shared" si="129"/>
        <v>2컷원점</v>
      </c>
      <c r="AV141" s="44" t="str">
        <f t="shared" si="130"/>
        <v>2컷원점</v>
      </c>
      <c r="AW141" s="44" t="str">
        <f t="shared" si="131"/>
        <v>2컷원점</v>
      </c>
      <c r="AX141" s="44" t="str">
        <f t="shared" si="132"/>
        <v>2컷원점</v>
      </c>
      <c r="AY141" s="7">
        <v>1</v>
      </c>
      <c r="AZ141" s="7">
        <v>1</v>
      </c>
    </row>
    <row r="142" spans="1:52" hidden="1" x14ac:dyDescent="0.3">
      <c r="A142" s="7">
        <v>93</v>
      </c>
      <c r="B142" s="43">
        <v>99</v>
      </c>
      <c r="C142" s="43">
        <v>99</v>
      </c>
      <c r="D142" s="43">
        <v>99</v>
      </c>
      <c r="E142" s="43">
        <v>98</v>
      </c>
      <c r="F142" s="43">
        <v>98</v>
      </c>
      <c r="G142" s="7">
        <f t="shared" si="161"/>
        <v>94</v>
      </c>
      <c r="H142" s="7">
        <f t="shared" si="162"/>
        <v>93</v>
      </c>
      <c r="I142" s="7">
        <f t="shared" si="163"/>
        <v>94</v>
      </c>
      <c r="J142" s="7">
        <f t="shared" si="164"/>
        <v>95</v>
      </c>
      <c r="K142" s="7">
        <f t="shared" si="165"/>
        <v>91</v>
      </c>
      <c r="L142" s="7">
        <f t="shared" si="166"/>
        <v>87</v>
      </c>
      <c r="M142" s="7">
        <f t="shared" si="167"/>
        <v>89</v>
      </c>
      <c r="N142" s="7">
        <f t="shared" si="168"/>
        <v>92</v>
      </c>
      <c r="O142" s="7">
        <f t="shared" si="169"/>
        <v>89</v>
      </c>
      <c r="P142" s="7">
        <f t="shared" si="170"/>
        <v>89</v>
      </c>
      <c r="Q142" s="7">
        <f t="shared" si="171"/>
        <v>89</v>
      </c>
      <c r="R142" s="7">
        <f t="shared" si="172"/>
        <v>89</v>
      </c>
      <c r="S142" s="7">
        <f t="shared" si="173"/>
        <v>89</v>
      </c>
      <c r="T142" s="7">
        <f t="shared" si="174"/>
        <v>87</v>
      </c>
      <c r="U142" s="7">
        <f t="shared" si="175"/>
        <v>87</v>
      </c>
      <c r="V142" s="7">
        <f t="shared" si="176"/>
        <v>87</v>
      </c>
      <c r="W142" s="7">
        <f t="shared" si="177"/>
        <v>87</v>
      </c>
      <c r="X142" s="47">
        <f t="shared" si="178"/>
        <v>89.614822038030226</v>
      </c>
      <c r="Y142" s="47">
        <f t="shared" si="179"/>
        <v>93.97877838240916</v>
      </c>
      <c r="Z142" s="47">
        <f t="shared" si="180"/>
        <v>94.154554470514881</v>
      </c>
      <c r="AA142" s="47">
        <f t="shared" si="181"/>
        <v>88.199192551514528</v>
      </c>
      <c r="AB142" s="7">
        <v>43</v>
      </c>
      <c r="AC142" s="44" t="str">
        <f t="shared" si="155"/>
        <v>1</v>
      </c>
      <c r="AD142" s="44" t="str">
        <f t="shared" si="156"/>
        <v>1</v>
      </c>
      <c r="AE142" s="44" t="str">
        <f t="shared" si="157"/>
        <v>1</v>
      </c>
      <c r="AF142" s="44" t="str">
        <f t="shared" si="158"/>
        <v>1</v>
      </c>
      <c r="AG142" s="44" t="str">
        <f t="shared" si="159"/>
        <v>1</v>
      </c>
      <c r="AH142" s="44" t="str">
        <f t="shared" si="116"/>
        <v>2</v>
      </c>
      <c r="AI142" s="44" t="str">
        <f t="shared" si="117"/>
        <v>2</v>
      </c>
      <c r="AJ142" s="44" t="str">
        <f t="shared" si="118"/>
        <v>2</v>
      </c>
      <c r="AK142" s="44" t="str">
        <f t="shared" si="119"/>
        <v>2</v>
      </c>
      <c r="AL142" s="44" t="str">
        <f t="shared" si="120"/>
        <v>2</v>
      </c>
      <c r="AM142" s="44" t="str">
        <f t="shared" si="121"/>
        <v>3</v>
      </c>
      <c r="AN142" s="44" t="str">
        <f t="shared" si="122"/>
        <v>2컷원점</v>
      </c>
      <c r="AO142" s="44" t="str">
        <f t="shared" si="123"/>
        <v>2</v>
      </c>
      <c r="AP142" s="44" t="str">
        <f t="shared" si="124"/>
        <v>2컷원점</v>
      </c>
      <c r="AQ142" s="44" t="str">
        <f t="shared" si="125"/>
        <v>2컷원점</v>
      </c>
      <c r="AR142" s="44" t="str">
        <f t="shared" si="126"/>
        <v>2컷원점</v>
      </c>
      <c r="AS142" s="44" t="str">
        <f t="shared" si="127"/>
        <v>2컷원점</v>
      </c>
      <c r="AT142" s="44" t="str">
        <f t="shared" si="128"/>
        <v>2컷원점</v>
      </c>
      <c r="AU142" s="44" t="str">
        <f t="shared" si="129"/>
        <v>3</v>
      </c>
      <c r="AV142" s="44" t="str">
        <f t="shared" si="130"/>
        <v>3</v>
      </c>
      <c r="AW142" s="44" t="str">
        <f t="shared" si="131"/>
        <v>3</v>
      </c>
      <c r="AX142" s="44" t="str">
        <f t="shared" si="132"/>
        <v>3</v>
      </c>
      <c r="AY142" s="7">
        <v>1</v>
      </c>
      <c r="AZ142" s="7">
        <v>1</v>
      </c>
    </row>
    <row r="143" spans="1:52" hidden="1" x14ac:dyDescent="0.3">
      <c r="A143" s="7">
        <v>92</v>
      </c>
      <c r="B143" s="43">
        <v>99</v>
      </c>
      <c r="C143" s="43">
        <v>99</v>
      </c>
      <c r="D143" s="43">
        <v>99</v>
      </c>
      <c r="E143" s="43">
        <v>98</v>
      </c>
      <c r="F143" s="43">
        <v>98</v>
      </c>
      <c r="G143" s="7">
        <f t="shared" si="161"/>
        <v>92</v>
      </c>
      <c r="H143" s="7">
        <f t="shared" si="162"/>
        <v>89</v>
      </c>
      <c r="I143" s="7">
        <f t="shared" si="163"/>
        <v>92</v>
      </c>
      <c r="J143" s="7">
        <f t="shared" si="164"/>
        <v>94</v>
      </c>
      <c r="K143" s="7">
        <f t="shared" si="165"/>
        <v>89</v>
      </c>
      <c r="L143" s="7">
        <f t="shared" si="166"/>
        <v>85</v>
      </c>
      <c r="M143" s="7">
        <f t="shared" si="167"/>
        <v>86</v>
      </c>
      <c r="N143" s="7">
        <f t="shared" si="168"/>
        <v>91</v>
      </c>
      <c r="O143" s="7">
        <f t="shared" si="169"/>
        <v>87</v>
      </c>
      <c r="P143" s="7">
        <f t="shared" si="170"/>
        <v>87</v>
      </c>
      <c r="Q143" s="7">
        <f t="shared" si="171"/>
        <v>87</v>
      </c>
      <c r="R143" s="7">
        <f t="shared" si="172"/>
        <v>87</v>
      </c>
      <c r="S143" s="7">
        <f t="shared" si="173"/>
        <v>87</v>
      </c>
      <c r="T143" s="7">
        <f t="shared" si="174"/>
        <v>86</v>
      </c>
      <c r="U143" s="7">
        <f t="shared" si="175"/>
        <v>86</v>
      </c>
      <c r="V143" s="7">
        <f t="shared" si="176"/>
        <v>86</v>
      </c>
      <c r="W143" s="7">
        <f t="shared" si="177"/>
        <v>86</v>
      </c>
      <c r="X143" s="47">
        <f t="shared" si="178"/>
        <v>87.435336421257929</v>
      </c>
      <c r="Y143" s="47">
        <f t="shared" si="179"/>
        <v>91.946760712279897</v>
      </c>
      <c r="Z143" s="47">
        <f t="shared" si="180"/>
        <v>92.12847667162545</v>
      </c>
      <c r="AA143" s="47">
        <f t="shared" si="181"/>
        <v>86.599596275757264</v>
      </c>
      <c r="AB143" s="7">
        <v>42</v>
      </c>
      <c r="AC143" s="44" t="str">
        <f t="shared" si="155"/>
        <v>1</v>
      </c>
      <c r="AD143" s="44" t="str">
        <f t="shared" si="156"/>
        <v>1</v>
      </c>
      <c r="AE143" s="44" t="str">
        <f t="shared" si="157"/>
        <v>1</v>
      </c>
      <c r="AF143" s="44" t="str">
        <f t="shared" si="158"/>
        <v>1</v>
      </c>
      <c r="AG143" s="44" t="str">
        <f t="shared" si="159"/>
        <v>1</v>
      </c>
      <c r="AH143" s="44" t="str">
        <f t="shared" si="116"/>
        <v>2</v>
      </c>
      <c r="AI143" s="44" t="str">
        <f t="shared" si="117"/>
        <v>2컷원점</v>
      </c>
      <c r="AJ143" s="44" t="str">
        <f t="shared" si="118"/>
        <v>2</v>
      </c>
      <c r="AK143" s="44" t="str">
        <f t="shared" si="119"/>
        <v>2</v>
      </c>
      <c r="AL143" s="44" t="str">
        <f t="shared" si="120"/>
        <v>2컷원점</v>
      </c>
      <c r="AM143" s="44" t="str">
        <f t="shared" si="121"/>
        <v>3</v>
      </c>
      <c r="AN143" s="44" t="str">
        <f t="shared" si="122"/>
        <v>3</v>
      </c>
      <c r="AO143" s="44" t="str">
        <f t="shared" si="123"/>
        <v>2</v>
      </c>
      <c r="AP143" s="44" t="str">
        <f t="shared" si="124"/>
        <v>3</v>
      </c>
      <c r="AQ143" s="44" t="str">
        <f t="shared" si="125"/>
        <v>3</v>
      </c>
      <c r="AR143" s="44" t="str">
        <f t="shared" si="126"/>
        <v>3</v>
      </c>
      <c r="AS143" s="44" t="str">
        <f t="shared" si="127"/>
        <v>3</v>
      </c>
      <c r="AT143" s="44" t="str">
        <f t="shared" si="128"/>
        <v>3</v>
      </c>
      <c r="AU143" s="44" t="str">
        <f t="shared" si="129"/>
        <v>3</v>
      </c>
      <c r="AV143" s="44" t="str">
        <f t="shared" si="130"/>
        <v>3</v>
      </c>
      <c r="AW143" s="44" t="str">
        <f t="shared" si="131"/>
        <v>3</v>
      </c>
      <c r="AX143" s="44" t="str">
        <f t="shared" si="132"/>
        <v>3</v>
      </c>
      <c r="AY143" s="7">
        <v>1</v>
      </c>
      <c r="AZ143" s="7">
        <v>1</v>
      </c>
    </row>
    <row r="144" spans="1:52" hidden="1" x14ac:dyDescent="0.3">
      <c r="A144" s="7">
        <v>91</v>
      </c>
      <c r="B144" s="43">
        <v>99</v>
      </c>
      <c r="C144" s="43">
        <v>98</v>
      </c>
      <c r="D144" s="43">
        <v>99</v>
      </c>
      <c r="E144" s="43">
        <v>98</v>
      </c>
      <c r="F144" s="43">
        <v>97</v>
      </c>
      <c r="G144" s="7">
        <f t="shared" si="161"/>
        <v>91</v>
      </c>
      <c r="H144" s="7">
        <f t="shared" si="162"/>
        <v>85</v>
      </c>
      <c r="I144" s="7">
        <f t="shared" si="163"/>
        <v>91</v>
      </c>
      <c r="J144" s="7">
        <f t="shared" si="164"/>
        <v>92</v>
      </c>
      <c r="K144" s="7">
        <f t="shared" si="165"/>
        <v>86</v>
      </c>
      <c r="L144" s="7">
        <f t="shared" si="166"/>
        <v>83</v>
      </c>
      <c r="M144" s="7">
        <f t="shared" si="167"/>
        <v>83</v>
      </c>
      <c r="N144" s="7">
        <f t="shared" si="168"/>
        <v>90</v>
      </c>
      <c r="O144" s="7">
        <f t="shared" si="169"/>
        <v>85</v>
      </c>
      <c r="P144" s="7">
        <f t="shared" si="170"/>
        <v>85</v>
      </c>
      <c r="Q144" s="7">
        <f t="shared" si="171"/>
        <v>85</v>
      </c>
      <c r="R144" s="7">
        <f t="shared" si="172"/>
        <v>85</v>
      </c>
      <c r="S144" s="7">
        <f t="shared" si="173"/>
        <v>85</v>
      </c>
      <c r="T144" s="7">
        <f t="shared" si="174"/>
        <v>84</v>
      </c>
      <c r="U144" s="7">
        <f t="shared" si="175"/>
        <v>84</v>
      </c>
      <c r="V144" s="7">
        <f t="shared" si="176"/>
        <v>84</v>
      </c>
      <c r="W144" s="7">
        <f t="shared" si="177"/>
        <v>84</v>
      </c>
      <c r="X144" s="47">
        <f t="shared" si="178"/>
        <v>85.072647489029748</v>
      </c>
      <c r="Y144" s="47">
        <f t="shared" si="179"/>
        <v>90.05087477522973</v>
      </c>
      <c r="Z144" s="47">
        <f t="shared" si="180"/>
        <v>90.251393123493344</v>
      </c>
      <c r="AA144" s="47">
        <f t="shared" si="181"/>
        <v>84.599596275757264</v>
      </c>
      <c r="AB144" s="7">
        <v>41</v>
      </c>
      <c r="AC144" s="44" t="str">
        <f t="shared" si="155"/>
        <v>1</v>
      </c>
      <c r="AD144" s="44" t="str">
        <f t="shared" si="156"/>
        <v>1</v>
      </c>
      <c r="AE144" s="44" t="str">
        <f t="shared" si="157"/>
        <v>1</v>
      </c>
      <c r="AF144" s="44" t="str">
        <f t="shared" si="158"/>
        <v>1</v>
      </c>
      <c r="AG144" s="44" t="str">
        <f t="shared" si="159"/>
        <v>1</v>
      </c>
      <c r="AH144" s="44" t="str">
        <f t="shared" si="116"/>
        <v>2</v>
      </c>
      <c r="AI144" s="44" t="str">
        <f t="shared" si="117"/>
        <v>3</v>
      </c>
      <c r="AJ144" s="44" t="str">
        <f t="shared" si="118"/>
        <v>2</v>
      </c>
      <c r="AK144" s="44" t="str">
        <f t="shared" si="119"/>
        <v>2</v>
      </c>
      <c r="AL144" s="44" t="str">
        <f t="shared" si="120"/>
        <v>3</v>
      </c>
      <c r="AM144" s="44" t="str">
        <f t="shared" si="121"/>
        <v>3</v>
      </c>
      <c r="AN144" s="44" t="str">
        <f t="shared" si="122"/>
        <v>3</v>
      </c>
      <c r="AO144" s="44" t="str">
        <f t="shared" si="123"/>
        <v>2</v>
      </c>
      <c r="AP144" s="44" t="str">
        <f t="shared" si="124"/>
        <v>3</v>
      </c>
      <c r="AQ144" s="44" t="str">
        <f t="shared" si="125"/>
        <v>3</v>
      </c>
      <c r="AR144" s="44" t="str">
        <f t="shared" si="126"/>
        <v>3</v>
      </c>
      <c r="AS144" s="44" t="str">
        <f t="shared" si="127"/>
        <v>3</v>
      </c>
      <c r="AT144" s="44" t="str">
        <f t="shared" si="128"/>
        <v>3</v>
      </c>
      <c r="AU144" s="44" t="str">
        <f t="shared" si="129"/>
        <v>3</v>
      </c>
      <c r="AV144" s="44" t="str">
        <f t="shared" si="130"/>
        <v>3</v>
      </c>
      <c r="AW144" s="44" t="str">
        <f t="shared" si="131"/>
        <v>3</v>
      </c>
      <c r="AX144" s="44" t="str">
        <f t="shared" si="132"/>
        <v>3</v>
      </c>
      <c r="AY144" s="7">
        <v>1</v>
      </c>
      <c r="AZ144" s="7">
        <v>1</v>
      </c>
    </row>
    <row r="145" spans="1:52" hidden="1" x14ac:dyDescent="0.3">
      <c r="A145" s="7">
        <v>90</v>
      </c>
      <c r="B145" s="43">
        <v>98</v>
      </c>
      <c r="C145" s="43">
        <v>98</v>
      </c>
      <c r="D145" s="43">
        <v>98</v>
      </c>
      <c r="E145" s="43">
        <v>97</v>
      </c>
      <c r="F145" s="43">
        <v>97</v>
      </c>
      <c r="G145" s="7">
        <f t="shared" si="161"/>
        <v>89</v>
      </c>
      <c r="H145" s="7">
        <f t="shared" si="162"/>
        <v>82</v>
      </c>
      <c r="I145" s="7">
        <f t="shared" si="163"/>
        <v>89</v>
      </c>
      <c r="J145" s="7">
        <f t="shared" si="164"/>
        <v>91</v>
      </c>
      <c r="K145" s="7">
        <f t="shared" si="165"/>
        <v>83</v>
      </c>
      <c r="L145" s="7">
        <f t="shared" si="166"/>
        <v>81</v>
      </c>
      <c r="M145" s="7">
        <f t="shared" si="167"/>
        <v>80</v>
      </c>
      <c r="N145" s="7">
        <f t="shared" si="168"/>
        <v>89</v>
      </c>
      <c r="O145" s="7">
        <f t="shared" si="169"/>
        <v>83</v>
      </c>
      <c r="P145" s="7">
        <f t="shared" si="170"/>
        <v>83</v>
      </c>
      <c r="Q145" s="7">
        <f t="shared" si="171"/>
        <v>83</v>
      </c>
      <c r="R145" s="7">
        <f t="shared" si="172"/>
        <v>83</v>
      </c>
      <c r="S145" s="7">
        <f t="shared" si="173"/>
        <v>83</v>
      </c>
      <c r="T145" s="7">
        <f t="shared" si="174"/>
        <v>82</v>
      </c>
      <c r="U145" s="7">
        <f t="shared" si="175"/>
        <v>82</v>
      </c>
      <c r="V145" s="7">
        <f t="shared" si="176"/>
        <v>82</v>
      </c>
      <c r="W145" s="7">
        <f t="shared" si="177"/>
        <v>82</v>
      </c>
      <c r="X145" s="47">
        <f t="shared" si="178"/>
        <v>82.709958556801567</v>
      </c>
      <c r="Y145" s="47">
        <f t="shared" si="179"/>
        <v>88.185401849133726</v>
      </c>
      <c r="Z145" s="47">
        <f t="shared" si="180"/>
        <v>88.405947594008225</v>
      </c>
      <c r="AA145" s="47">
        <f t="shared" si="181"/>
        <v>82.599596275757264</v>
      </c>
      <c r="AB145" s="7">
        <v>40</v>
      </c>
      <c r="AC145" s="44" t="str">
        <f t="shared" si="155"/>
        <v>1</v>
      </c>
      <c r="AD145" s="44" t="str">
        <f t="shared" si="156"/>
        <v>1</v>
      </c>
      <c r="AE145" s="44" t="str">
        <f t="shared" si="157"/>
        <v>1</v>
      </c>
      <c r="AF145" s="44" t="str">
        <f t="shared" si="158"/>
        <v>1</v>
      </c>
      <c r="AG145" s="44" t="str">
        <f t="shared" si="159"/>
        <v>1</v>
      </c>
      <c r="AH145" s="44" t="str">
        <f t="shared" si="116"/>
        <v>2컷원점</v>
      </c>
      <c r="AI145" s="44" t="str">
        <f t="shared" si="117"/>
        <v>3</v>
      </c>
      <c r="AJ145" s="44" t="str">
        <f t="shared" si="118"/>
        <v>2컷원점</v>
      </c>
      <c r="AK145" s="44" t="str">
        <f t="shared" si="119"/>
        <v>2</v>
      </c>
      <c r="AL145" s="44" t="str">
        <f t="shared" si="120"/>
        <v>3</v>
      </c>
      <c r="AM145" s="44" t="str">
        <f t="shared" si="121"/>
        <v>3</v>
      </c>
      <c r="AN145" s="44" t="str">
        <f t="shared" si="122"/>
        <v>3</v>
      </c>
      <c r="AO145" s="44" t="str">
        <f t="shared" si="123"/>
        <v>2컷원점</v>
      </c>
      <c r="AP145" s="44" t="str">
        <f t="shared" si="124"/>
        <v>3</v>
      </c>
      <c r="AQ145" s="44" t="str">
        <f t="shared" si="125"/>
        <v>3</v>
      </c>
      <c r="AR145" s="44" t="str">
        <f t="shared" si="126"/>
        <v>3</v>
      </c>
      <c r="AS145" s="44" t="str">
        <f t="shared" si="127"/>
        <v>3</v>
      </c>
      <c r="AT145" s="44" t="str">
        <f t="shared" si="128"/>
        <v>3</v>
      </c>
      <c r="AU145" s="44" t="str">
        <f t="shared" si="129"/>
        <v>3</v>
      </c>
      <c r="AV145" s="44" t="str">
        <f t="shared" si="130"/>
        <v>3</v>
      </c>
      <c r="AW145" s="44" t="str">
        <f t="shared" si="131"/>
        <v>3</v>
      </c>
      <c r="AX145" s="44" t="str">
        <f t="shared" si="132"/>
        <v>3</v>
      </c>
      <c r="AY145" s="7">
        <v>1</v>
      </c>
      <c r="AZ145" s="7">
        <v>1</v>
      </c>
    </row>
    <row r="146" spans="1:52" hidden="1" x14ac:dyDescent="0.3">
      <c r="A146" s="7">
        <v>89</v>
      </c>
      <c r="B146" s="43">
        <v>98</v>
      </c>
      <c r="C146" s="43">
        <v>98</v>
      </c>
      <c r="D146" s="43">
        <v>98</v>
      </c>
      <c r="E146" s="43">
        <v>97</v>
      </c>
      <c r="F146" s="43">
        <v>97</v>
      </c>
      <c r="G146" s="7">
        <f t="shared" si="161"/>
        <v>87</v>
      </c>
      <c r="H146" s="7">
        <f t="shared" si="162"/>
        <v>78</v>
      </c>
      <c r="I146" s="7">
        <f t="shared" si="163"/>
        <v>87</v>
      </c>
      <c r="J146" s="7">
        <f t="shared" si="164"/>
        <v>90</v>
      </c>
      <c r="K146" s="7">
        <f t="shared" si="165"/>
        <v>80</v>
      </c>
      <c r="L146" s="7">
        <f t="shared" si="166"/>
        <v>79</v>
      </c>
      <c r="M146" s="7">
        <f t="shared" si="167"/>
        <v>77</v>
      </c>
      <c r="N146" s="7">
        <f t="shared" si="168"/>
        <v>87</v>
      </c>
      <c r="O146" s="7">
        <f t="shared" si="169"/>
        <v>81</v>
      </c>
      <c r="P146" s="7">
        <f t="shared" si="170"/>
        <v>81</v>
      </c>
      <c r="Q146" s="7">
        <f t="shared" si="171"/>
        <v>81</v>
      </c>
      <c r="R146" s="7">
        <f t="shared" si="172"/>
        <v>81</v>
      </c>
      <c r="S146" s="7">
        <f t="shared" si="173"/>
        <v>81</v>
      </c>
      <c r="T146" s="7">
        <f t="shared" si="174"/>
        <v>81</v>
      </c>
      <c r="U146" s="7">
        <f t="shared" si="175"/>
        <v>81</v>
      </c>
      <c r="V146" s="7">
        <f t="shared" si="176"/>
        <v>81</v>
      </c>
      <c r="W146" s="7">
        <f t="shared" si="177"/>
        <v>81</v>
      </c>
      <c r="X146" s="47">
        <f t="shared" si="178"/>
        <v>80.129692832764505</v>
      </c>
      <c r="Y146" s="47">
        <f t="shared" si="179"/>
        <v>86.137866180863966</v>
      </c>
      <c r="Z146" s="47">
        <f t="shared" si="180"/>
        <v>86.379869795118793</v>
      </c>
      <c r="AA146" s="47">
        <f t="shared" si="181"/>
        <v>81</v>
      </c>
      <c r="AB146" s="7">
        <v>39</v>
      </c>
      <c r="AC146" s="44" t="str">
        <f t="shared" si="155"/>
        <v>1</v>
      </c>
      <c r="AD146" s="44" t="str">
        <f t="shared" si="156"/>
        <v>1</v>
      </c>
      <c r="AE146" s="44" t="str">
        <f t="shared" si="157"/>
        <v>1</v>
      </c>
      <c r="AF146" s="44" t="str">
        <f t="shared" si="158"/>
        <v>1</v>
      </c>
      <c r="AG146" s="44" t="str">
        <f t="shared" si="159"/>
        <v>1</v>
      </c>
      <c r="AH146" s="44" t="str">
        <f t="shared" si="116"/>
        <v>3</v>
      </c>
      <c r="AI146" s="44" t="str">
        <f t="shared" si="117"/>
        <v>3컷원점</v>
      </c>
      <c r="AJ146" s="44" t="str">
        <f t="shared" si="118"/>
        <v>3</v>
      </c>
      <c r="AK146" s="44" t="str">
        <f t="shared" si="119"/>
        <v>2</v>
      </c>
      <c r="AL146" s="44" t="str">
        <f t="shared" si="120"/>
        <v>3</v>
      </c>
      <c r="AM146" s="44" t="str">
        <f t="shared" si="121"/>
        <v>3</v>
      </c>
      <c r="AN146" s="44" t="str">
        <f t="shared" si="122"/>
        <v>3컷원점</v>
      </c>
      <c r="AO146" s="44" t="str">
        <f t="shared" si="123"/>
        <v>3</v>
      </c>
      <c r="AP146" s="44" t="str">
        <f t="shared" si="124"/>
        <v>3</v>
      </c>
      <c r="AQ146" s="44" t="str">
        <f t="shared" si="125"/>
        <v>3</v>
      </c>
      <c r="AR146" s="44" t="str">
        <f t="shared" si="126"/>
        <v>3</v>
      </c>
      <c r="AS146" s="44" t="str">
        <f t="shared" si="127"/>
        <v>3</v>
      </c>
      <c r="AT146" s="44" t="str">
        <f t="shared" si="128"/>
        <v>3</v>
      </c>
      <c r="AU146" s="44" t="str">
        <f t="shared" si="129"/>
        <v>3</v>
      </c>
      <c r="AV146" s="44" t="str">
        <f t="shared" si="130"/>
        <v>3</v>
      </c>
      <c r="AW146" s="44" t="str">
        <f t="shared" si="131"/>
        <v>3</v>
      </c>
      <c r="AX146" s="44" t="str">
        <f t="shared" si="132"/>
        <v>3</v>
      </c>
      <c r="AY146" s="7">
        <v>2</v>
      </c>
      <c r="AZ146" s="7">
        <v>2</v>
      </c>
    </row>
    <row r="147" spans="1:52" hidden="1" x14ac:dyDescent="0.3">
      <c r="A147" s="7">
        <v>88</v>
      </c>
      <c r="B147" s="43">
        <v>98</v>
      </c>
      <c r="C147" s="43">
        <v>97</v>
      </c>
      <c r="D147" s="43">
        <v>98</v>
      </c>
      <c r="E147" s="43">
        <v>97</v>
      </c>
      <c r="F147" s="43">
        <v>96</v>
      </c>
      <c r="G147" s="7">
        <f t="shared" si="161"/>
        <v>85</v>
      </c>
      <c r="H147" s="7">
        <f t="shared" si="162"/>
        <v>76</v>
      </c>
      <c r="I147" s="7">
        <f t="shared" si="163"/>
        <v>84</v>
      </c>
      <c r="J147" s="7">
        <f t="shared" si="164"/>
        <v>89</v>
      </c>
      <c r="K147" s="7">
        <f t="shared" si="165"/>
        <v>77</v>
      </c>
      <c r="L147" s="7">
        <f t="shared" si="166"/>
        <v>77</v>
      </c>
      <c r="M147" s="7">
        <f t="shared" si="167"/>
        <v>75</v>
      </c>
      <c r="N147" s="7">
        <f t="shared" si="168"/>
        <v>85</v>
      </c>
      <c r="O147" s="7">
        <f t="shared" si="169"/>
        <v>79</v>
      </c>
      <c r="P147" s="7">
        <f t="shared" si="170"/>
        <v>79</v>
      </c>
      <c r="Q147" s="7">
        <f t="shared" si="171"/>
        <v>79</v>
      </c>
      <c r="R147" s="7">
        <f t="shared" si="172"/>
        <v>79</v>
      </c>
      <c r="S147" s="7">
        <f t="shared" si="173"/>
        <v>79</v>
      </c>
      <c r="T147" s="7">
        <f t="shared" si="174"/>
        <v>79</v>
      </c>
      <c r="U147" s="7">
        <f t="shared" si="175"/>
        <v>79</v>
      </c>
      <c r="V147" s="7">
        <f t="shared" si="176"/>
        <v>79</v>
      </c>
      <c r="W147" s="7">
        <f t="shared" si="177"/>
        <v>79</v>
      </c>
      <c r="X147" s="47">
        <f t="shared" si="178"/>
        <v>77.946489517308635</v>
      </c>
      <c r="Y147" s="47">
        <f t="shared" si="179"/>
        <v>84.135055667514621</v>
      </c>
      <c r="Z147" s="47">
        <f t="shared" si="180"/>
        <v>84.384325335454321</v>
      </c>
      <c r="AA147" s="47">
        <f t="shared" si="181"/>
        <v>79</v>
      </c>
      <c r="AB147" s="7">
        <v>38</v>
      </c>
      <c r="AC147" s="44" t="str">
        <f t="shared" si="155"/>
        <v>1</v>
      </c>
      <c r="AD147" s="44" t="str">
        <f t="shared" si="156"/>
        <v>1</v>
      </c>
      <c r="AE147" s="44" t="str">
        <f t="shared" si="157"/>
        <v>1</v>
      </c>
      <c r="AF147" s="44" t="str">
        <f t="shared" si="158"/>
        <v>1</v>
      </c>
      <c r="AG147" s="44" t="str">
        <f t="shared" si="159"/>
        <v>1</v>
      </c>
      <c r="AH147" s="44" t="str">
        <f t="shared" si="116"/>
        <v>3</v>
      </c>
      <c r="AI147" s="44" t="str">
        <f t="shared" si="117"/>
        <v>4</v>
      </c>
      <c r="AJ147" s="44" t="str">
        <f t="shared" si="118"/>
        <v>3</v>
      </c>
      <c r="AK147" s="44" t="str">
        <f t="shared" si="119"/>
        <v>2컷원점</v>
      </c>
      <c r="AL147" s="44" t="str">
        <f t="shared" si="120"/>
        <v>3컷원점</v>
      </c>
      <c r="AM147" s="44" t="str">
        <f t="shared" si="121"/>
        <v>3컷원점</v>
      </c>
      <c r="AN147" s="44" t="str">
        <f t="shared" si="122"/>
        <v>4</v>
      </c>
      <c r="AO147" s="44" t="str">
        <f t="shared" si="123"/>
        <v>3</v>
      </c>
      <c r="AP147" s="44" t="str">
        <f t="shared" si="124"/>
        <v>3</v>
      </c>
      <c r="AQ147" s="44" t="str">
        <f t="shared" si="125"/>
        <v>3</v>
      </c>
      <c r="AR147" s="44" t="str">
        <f t="shared" si="126"/>
        <v>3</v>
      </c>
      <c r="AS147" s="44" t="str">
        <f t="shared" si="127"/>
        <v>3</v>
      </c>
      <c r="AT147" s="44" t="str">
        <f t="shared" si="128"/>
        <v>3</v>
      </c>
      <c r="AU147" s="44" t="str">
        <f t="shared" si="129"/>
        <v>3</v>
      </c>
      <c r="AV147" s="44" t="str">
        <f t="shared" si="130"/>
        <v>3</v>
      </c>
      <c r="AW147" s="44" t="str">
        <f t="shared" si="131"/>
        <v>3</v>
      </c>
      <c r="AX147" s="44" t="str">
        <f t="shared" si="132"/>
        <v>3</v>
      </c>
      <c r="AY147" s="7">
        <v>2</v>
      </c>
      <c r="AZ147" s="7">
        <v>2</v>
      </c>
    </row>
    <row r="148" spans="1:52" hidden="1" x14ac:dyDescent="0.3">
      <c r="A148" s="7">
        <v>87</v>
      </c>
      <c r="B148" s="43">
        <v>97</v>
      </c>
      <c r="C148" s="43">
        <v>97</v>
      </c>
      <c r="D148" s="43">
        <v>97</v>
      </c>
      <c r="E148" s="43">
        <v>96</v>
      </c>
      <c r="F148" s="43">
        <v>96</v>
      </c>
      <c r="G148" s="7">
        <f t="shared" si="161"/>
        <v>83</v>
      </c>
      <c r="H148" s="7">
        <f t="shared" si="162"/>
        <v>73</v>
      </c>
      <c r="I148" s="7">
        <f t="shared" si="163"/>
        <v>82</v>
      </c>
      <c r="J148" s="7">
        <f t="shared" si="164"/>
        <v>87</v>
      </c>
      <c r="K148" s="7">
        <f t="shared" si="165"/>
        <v>75</v>
      </c>
      <c r="L148" s="7">
        <f t="shared" si="166"/>
        <v>75</v>
      </c>
      <c r="M148" s="7">
        <f t="shared" si="167"/>
        <v>73</v>
      </c>
      <c r="N148" s="7">
        <f t="shared" si="168"/>
        <v>83</v>
      </c>
      <c r="O148" s="7">
        <f t="shared" si="169"/>
        <v>77</v>
      </c>
      <c r="P148" s="7">
        <f t="shared" si="170"/>
        <v>77</v>
      </c>
      <c r="Q148" s="7">
        <f t="shared" si="171"/>
        <v>77</v>
      </c>
      <c r="R148" s="7">
        <f t="shared" si="172"/>
        <v>77</v>
      </c>
      <c r="S148" s="7">
        <f t="shared" si="173"/>
        <v>77</v>
      </c>
      <c r="T148" s="7">
        <f t="shared" si="174"/>
        <v>77</v>
      </c>
      <c r="U148" s="7">
        <f t="shared" si="175"/>
        <v>77</v>
      </c>
      <c r="V148" s="7">
        <f t="shared" si="176"/>
        <v>77</v>
      </c>
      <c r="W148" s="7">
        <f t="shared" si="177"/>
        <v>77</v>
      </c>
      <c r="X148" s="47">
        <f t="shared" si="178"/>
        <v>75.946489517308635</v>
      </c>
      <c r="Y148" s="47">
        <f t="shared" si="179"/>
        <v>81.961417386010197</v>
      </c>
      <c r="Z148" s="47">
        <f t="shared" si="180"/>
        <v>82.203693066050008</v>
      </c>
      <c r="AA148" s="47">
        <f t="shared" si="181"/>
        <v>77</v>
      </c>
      <c r="AB148" s="7">
        <v>37</v>
      </c>
      <c r="AC148" s="44" t="str">
        <f t="shared" si="155"/>
        <v>1</v>
      </c>
      <c r="AD148" s="44" t="str">
        <f t="shared" si="156"/>
        <v>1</v>
      </c>
      <c r="AE148" s="44" t="str">
        <f t="shared" si="157"/>
        <v>1</v>
      </c>
      <c r="AF148" s="44" t="str">
        <f t="shared" si="158"/>
        <v>1</v>
      </c>
      <c r="AG148" s="44" t="str">
        <f t="shared" si="159"/>
        <v>1</v>
      </c>
      <c r="AH148" s="44" t="str">
        <f t="shared" si="116"/>
        <v>3</v>
      </c>
      <c r="AI148" s="44" t="str">
        <f t="shared" si="117"/>
        <v>4</v>
      </c>
      <c r="AJ148" s="44" t="str">
        <f t="shared" si="118"/>
        <v>3</v>
      </c>
      <c r="AK148" s="44" t="str">
        <f t="shared" si="119"/>
        <v>3</v>
      </c>
      <c r="AL148" s="44" t="str">
        <f t="shared" si="120"/>
        <v>4</v>
      </c>
      <c r="AM148" s="44" t="str">
        <f t="shared" si="121"/>
        <v>4</v>
      </c>
      <c r="AN148" s="44" t="str">
        <f t="shared" si="122"/>
        <v>4</v>
      </c>
      <c r="AO148" s="44" t="str">
        <f t="shared" si="123"/>
        <v>3</v>
      </c>
      <c r="AP148" s="44" t="str">
        <f t="shared" si="124"/>
        <v>3컷원점</v>
      </c>
      <c r="AQ148" s="44" t="str">
        <f t="shared" si="125"/>
        <v>3컷원점</v>
      </c>
      <c r="AR148" s="44" t="str">
        <f t="shared" si="126"/>
        <v>3컷원점</v>
      </c>
      <c r="AS148" s="44" t="str">
        <f t="shared" si="127"/>
        <v>3컷원점</v>
      </c>
      <c r="AT148" s="44" t="str">
        <f t="shared" si="128"/>
        <v>3컷원점</v>
      </c>
      <c r="AU148" s="44" t="str">
        <f t="shared" si="129"/>
        <v>3컷원점</v>
      </c>
      <c r="AV148" s="44" t="str">
        <f t="shared" si="130"/>
        <v>3컷원점</v>
      </c>
      <c r="AW148" s="44" t="str">
        <f t="shared" si="131"/>
        <v>3컷원점</v>
      </c>
      <c r="AX148" s="44" t="str">
        <f t="shared" si="132"/>
        <v>3컷원점</v>
      </c>
      <c r="AY148" s="7">
        <v>2</v>
      </c>
      <c r="AZ148" s="7">
        <v>2</v>
      </c>
    </row>
    <row r="149" spans="1:52" hidden="1" x14ac:dyDescent="0.3">
      <c r="A149" s="7">
        <v>86</v>
      </c>
      <c r="B149" s="43">
        <v>97</v>
      </c>
      <c r="C149" s="43">
        <v>96</v>
      </c>
      <c r="D149" s="43">
        <v>97</v>
      </c>
      <c r="E149" s="43">
        <v>96</v>
      </c>
      <c r="F149" s="43">
        <v>96</v>
      </c>
      <c r="G149" s="7">
        <f t="shared" si="161"/>
        <v>81</v>
      </c>
      <c r="H149" s="7">
        <f t="shared" si="162"/>
        <v>71</v>
      </c>
      <c r="I149" s="7">
        <f t="shared" si="163"/>
        <v>79</v>
      </c>
      <c r="J149" s="7">
        <f t="shared" si="164"/>
        <v>84</v>
      </c>
      <c r="K149" s="7">
        <f t="shared" si="165"/>
        <v>73</v>
      </c>
      <c r="L149" s="7">
        <f t="shared" si="166"/>
        <v>73</v>
      </c>
      <c r="M149" s="7">
        <f t="shared" si="167"/>
        <v>71</v>
      </c>
      <c r="N149" s="7">
        <f t="shared" si="168"/>
        <v>81</v>
      </c>
      <c r="O149" s="7">
        <f t="shared" si="169"/>
        <v>75</v>
      </c>
      <c r="P149" s="7">
        <f t="shared" si="170"/>
        <v>75</v>
      </c>
      <c r="Q149" s="7">
        <f t="shared" si="171"/>
        <v>75</v>
      </c>
      <c r="R149" s="7">
        <f t="shared" si="172"/>
        <v>75</v>
      </c>
      <c r="S149" s="7">
        <f t="shared" si="173"/>
        <v>75</v>
      </c>
      <c r="T149" s="7">
        <f t="shared" si="174"/>
        <v>74</v>
      </c>
      <c r="U149" s="7">
        <f t="shared" si="175"/>
        <v>74</v>
      </c>
      <c r="V149" s="7">
        <f t="shared" si="176"/>
        <v>74</v>
      </c>
      <c r="W149" s="7">
        <f t="shared" si="177"/>
        <v>74</v>
      </c>
      <c r="X149" s="47">
        <f t="shared" si="178"/>
        <v>73.946489517308635</v>
      </c>
      <c r="Y149" s="47">
        <f t="shared" si="179"/>
        <v>79.321283444164933</v>
      </c>
      <c r="Z149" s="47">
        <f t="shared" si="180"/>
        <v>79.53777512654716</v>
      </c>
      <c r="AA149" s="47">
        <f t="shared" si="181"/>
        <v>74.599596275757264</v>
      </c>
      <c r="AB149" s="7">
        <v>36</v>
      </c>
      <c r="AC149" s="44" t="str">
        <f t="shared" si="155"/>
        <v>1</v>
      </c>
      <c r="AD149" s="44" t="str">
        <f t="shared" si="156"/>
        <v>1</v>
      </c>
      <c r="AE149" s="44" t="str">
        <f t="shared" si="157"/>
        <v>1</v>
      </c>
      <c r="AF149" s="44" t="str">
        <f t="shared" si="158"/>
        <v>1</v>
      </c>
      <c r="AG149" s="44" t="str">
        <f t="shared" si="159"/>
        <v>1</v>
      </c>
      <c r="AH149" s="44" t="str">
        <f t="shared" si="116"/>
        <v>3</v>
      </c>
      <c r="AI149" s="44" t="str">
        <f t="shared" si="117"/>
        <v>4</v>
      </c>
      <c r="AJ149" s="44" t="str">
        <f t="shared" si="118"/>
        <v>3</v>
      </c>
      <c r="AK149" s="44" t="str">
        <f t="shared" si="119"/>
        <v>3</v>
      </c>
      <c r="AL149" s="44" t="str">
        <f t="shared" si="120"/>
        <v>4</v>
      </c>
      <c r="AM149" s="44" t="str">
        <f t="shared" si="121"/>
        <v>4</v>
      </c>
      <c r="AN149" s="44" t="str">
        <f t="shared" si="122"/>
        <v>4</v>
      </c>
      <c r="AO149" s="44" t="str">
        <f t="shared" si="123"/>
        <v>3</v>
      </c>
      <c r="AP149" s="44" t="str">
        <f t="shared" si="124"/>
        <v>4</v>
      </c>
      <c r="AQ149" s="44" t="str">
        <f t="shared" si="125"/>
        <v>4</v>
      </c>
      <c r="AR149" s="44" t="str">
        <f t="shared" si="126"/>
        <v>4</v>
      </c>
      <c r="AS149" s="44" t="str">
        <f t="shared" si="127"/>
        <v>4</v>
      </c>
      <c r="AT149" s="44" t="str">
        <f t="shared" si="128"/>
        <v>4</v>
      </c>
      <c r="AU149" s="44" t="str">
        <f t="shared" si="129"/>
        <v>4</v>
      </c>
      <c r="AV149" s="44" t="str">
        <f t="shared" si="130"/>
        <v>4</v>
      </c>
      <c r="AW149" s="44" t="str">
        <f t="shared" si="131"/>
        <v>4</v>
      </c>
      <c r="AX149" s="44" t="str">
        <f t="shared" si="132"/>
        <v>4</v>
      </c>
      <c r="AY149" s="7">
        <v>2</v>
      </c>
      <c r="AZ149" s="7">
        <v>2</v>
      </c>
    </row>
    <row r="150" spans="1:52" hidden="1" x14ac:dyDescent="0.3">
      <c r="A150" s="7">
        <v>85</v>
      </c>
      <c r="B150" s="43">
        <v>96</v>
      </c>
      <c r="C150" s="43">
        <v>96</v>
      </c>
      <c r="D150" s="43">
        <v>97</v>
      </c>
      <c r="E150" s="43">
        <v>96</v>
      </c>
      <c r="F150" s="43">
        <v>96</v>
      </c>
      <c r="G150" s="7">
        <f t="shared" si="161"/>
        <v>79</v>
      </c>
      <c r="H150" s="7">
        <f t="shared" si="162"/>
        <v>68</v>
      </c>
      <c r="I150" s="7">
        <f t="shared" si="163"/>
        <v>77</v>
      </c>
      <c r="J150" s="7">
        <f t="shared" si="164"/>
        <v>82</v>
      </c>
      <c r="K150" s="7">
        <f t="shared" si="165"/>
        <v>71</v>
      </c>
      <c r="L150" s="7">
        <f t="shared" si="166"/>
        <v>71</v>
      </c>
      <c r="M150" s="7">
        <f t="shared" si="167"/>
        <v>69</v>
      </c>
      <c r="N150" s="7">
        <f t="shared" si="168"/>
        <v>79</v>
      </c>
      <c r="O150" s="7">
        <f t="shared" si="169"/>
        <v>73</v>
      </c>
      <c r="P150" s="7">
        <f t="shared" si="170"/>
        <v>73</v>
      </c>
      <c r="Q150" s="7">
        <f t="shared" si="171"/>
        <v>73</v>
      </c>
      <c r="R150" s="7">
        <f t="shared" si="172"/>
        <v>73</v>
      </c>
      <c r="S150" s="7">
        <f t="shared" si="173"/>
        <v>73</v>
      </c>
      <c r="T150" s="7">
        <f t="shared" si="174"/>
        <v>71</v>
      </c>
      <c r="U150" s="7">
        <f t="shared" si="175"/>
        <v>71</v>
      </c>
      <c r="V150" s="7">
        <f t="shared" si="176"/>
        <v>71</v>
      </c>
      <c r="W150" s="7">
        <f t="shared" si="177"/>
        <v>71</v>
      </c>
      <c r="X150" s="47">
        <f t="shared" si="178"/>
        <v>71.946489517308635</v>
      </c>
      <c r="Y150" s="47">
        <f t="shared" si="179"/>
        <v>77.147645162660524</v>
      </c>
      <c r="Z150" s="47">
        <f t="shared" si="180"/>
        <v>77.357142857142861</v>
      </c>
      <c r="AA150" s="47">
        <f t="shared" si="181"/>
        <v>72.199192551514528</v>
      </c>
      <c r="AB150" s="7">
        <v>35</v>
      </c>
      <c r="AC150" s="44" t="str">
        <f t="shared" si="155"/>
        <v>1</v>
      </c>
      <c r="AD150" s="44" t="str">
        <f t="shared" si="156"/>
        <v>1</v>
      </c>
      <c r="AE150" s="44" t="str">
        <f t="shared" si="157"/>
        <v>1</v>
      </c>
      <c r="AF150" s="44" t="str">
        <f t="shared" si="158"/>
        <v>1</v>
      </c>
      <c r="AG150" s="44" t="str">
        <f t="shared" si="159"/>
        <v>1컷원점</v>
      </c>
      <c r="AH150" s="44" t="str">
        <f t="shared" si="116"/>
        <v>3</v>
      </c>
      <c r="AI150" s="44" t="str">
        <f t="shared" si="117"/>
        <v>4</v>
      </c>
      <c r="AJ150" s="44" t="str">
        <f t="shared" si="118"/>
        <v>3컷원점</v>
      </c>
      <c r="AK150" s="44" t="str">
        <f t="shared" si="119"/>
        <v>3</v>
      </c>
      <c r="AL150" s="44" t="str">
        <f t="shared" si="120"/>
        <v>4</v>
      </c>
      <c r="AM150" s="44" t="str">
        <f t="shared" si="121"/>
        <v>4</v>
      </c>
      <c r="AN150" s="44" t="str">
        <f t="shared" si="122"/>
        <v>4</v>
      </c>
      <c r="AO150" s="44" t="str">
        <f t="shared" si="123"/>
        <v>3</v>
      </c>
      <c r="AP150" s="44" t="str">
        <f t="shared" si="124"/>
        <v>4</v>
      </c>
      <c r="AQ150" s="44" t="str">
        <f t="shared" si="125"/>
        <v>4</v>
      </c>
      <c r="AR150" s="44" t="str">
        <f t="shared" si="126"/>
        <v>4</v>
      </c>
      <c r="AS150" s="44" t="str">
        <f t="shared" si="127"/>
        <v>4</v>
      </c>
      <c r="AT150" s="44" t="str">
        <f t="shared" si="128"/>
        <v>4</v>
      </c>
      <c r="AU150" s="44" t="str">
        <f t="shared" si="129"/>
        <v>4</v>
      </c>
      <c r="AV150" s="44" t="str">
        <f t="shared" si="130"/>
        <v>4</v>
      </c>
      <c r="AW150" s="44" t="str">
        <f t="shared" si="131"/>
        <v>4</v>
      </c>
      <c r="AX150" s="44" t="str">
        <f t="shared" si="132"/>
        <v>4</v>
      </c>
      <c r="AY150" s="7">
        <v>2</v>
      </c>
      <c r="AZ150" s="7">
        <v>2</v>
      </c>
    </row>
    <row r="151" spans="1:52" hidden="1" x14ac:dyDescent="0.3">
      <c r="A151" s="7">
        <v>84</v>
      </c>
      <c r="B151" s="43">
        <v>96</v>
      </c>
      <c r="C151" s="43">
        <v>96</v>
      </c>
      <c r="D151" s="43">
        <v>96</v>
      </c>
      <c r="E151" s="43">
        <v>96</v>
      </c>
      <c r="F151" s="43">
        <v>95</v>
      </c>
      <c r="G151" s="7">
        <f t="shared" si="161"/>
        <v>77</v>
      </c>
      <c r="H151" s="7">
        <f t="shared" si="162"/>
        <v>66</v>
      </c>
      <c r="I151" s="7">
        <f t="shared" si="163"/>
        <v>75</v>
      </c>
      <c r="J151" s="7">
        <f t="shared" si="164"/>
        <v>79</v>
      </c>
      <c r="K151" s="7">
        <f t="shared" si="165"/>
        <v>69</v>
      </c>
      <c r="L151" s="7">
        <f t="shared" si="166"/>
        <v>69</v>
      </c>
      <c r="M151" s="7">
        <f t="shared" si="167"/>
        <v>68</v>
      </c>
      <c r="N151" s="7">
        <f t="shared" si="168"/>
        <v>77</v>
      </c>
      <c r="O151" s="7">
        <f t="shared" si="169"/>
        <v>71</v>
      </c>
      <c r="P151" s="7">
        <f t="shared" si="170"/>
        <v>71</v>
      </c>
      <c r="Q151" s="7">
        <f t="shared" si="171"/>
        <v>71</v>
      </c>
      <c r="R151" s="7">
        <f t="shared" si="172"/>
        <v>71</v>
      </c>
      <c r="S151" s="7">
        <f t="shared" si="173"/>
        <v>71</v>
      </c>
      <c r="T151" s="7">
        <f t="shared" si="174"/>
        <v>69</v>
      </c>
      <c r="U151" s="7">
        <f t="shared" si="175"/>
        <v>69</v>
      </c>
      <c r="V151" s="7">
        <f t="shared" si="176"/>
        <v>69</v>
      </c>
      <c r="W151" s="7">
        <f t="shared" si="177"/>
        <v>69</v>
      </c>
      <c r="X151" s="47">
        <f t="shared" si="178"/>
        <v>70.343551925889813</v>
      </c>
      <c r="Y151" s="47">
        <f t="shared" si="179"/>
        <v>74.840810730450301</v>
      </c>
      <c r="Z151" s="47">
        <f t="shared" si="180"/>
        <v>75.021956117223667</v>
      </c>
      <c r="AA151" s="47">
        <f t="shared" si="181"/>
        <v>70.199192551514528</v>
      </c>
      <c r="AB151" s="7">
        <v>34</v>
      </c>
      <c r="AC151" s="44" t="str">
        <f t="shared" si="155"/>
        <v>1</v>
      </c>
      <c r="AD151" s="44" t="str">
        <f t="shared" si="156"/>
        <v>1</v>
      </c>
      <c r="AE151" s="44" t="str">
        <f t="shared" si="157"/>
        <v>1</v>
      </c>
      <c r="AF151" s="44" t="str">
        <f t="shared" si="158"/>
        <v>1컷원점</v>
      </c>
      <c r="AG151" s="44" t="str">
        <f t="shared" si="159"/>
        <v>2</v>
      </c>
      <c r="AH151" s="44" t="str">
        <f t="shared" si="116"/>
        <v>3컷원점</v>
      </c>
      <c r="AI151" s="44" t="str">
        <f t="shared" si="117"/>
        <v>4</v>
      </c>
      <c r="AJ151" s="44" t="str">
        <f t="shared" si="118"/>
        <v>4</v>
      </c>
      <c r="AK151" s="44" t="str">
        <f t="shared" si="119"/>
        <v>3</v>
      </c>
      <c r="AL151" s="44" t="str">
        <f t="shared" si="120"/>
        <v>4</v>
      </c>
      <c r="AM151" s="44" t="str">
        <f t="shared" si="121"/>
        <v>4</v>
      </c>
      <c r="AN151" s="44" t="str">
        <f t="shared" si="122"/>
        <v>4</v>
      </c>
      <c r="AO151" s="44" t="str">
        <f t="shared" si="123"/>
        <v>3컷원점</v>
      </c>
      <c r="AP151" s="44" t="str">
        <f t="shared" si="124"/>
        <v>4</v>
      </c>
      <c r="AQ151" s="44" t="str">
        <f t="shared" si="125"/>
        <v>4</v>
      </c>
      <c r="AR151" s="44" t="str">
        <f t="shared" si="126"/>
        <v>4</v>
      </c>
      <c r="AS151" s="44" t="str">
        <f t="shared" si="127"/>
        <v>4</v>
      </c>
      <c r="AT151" s="44" t="str">
        <f t="shared" si="128"/>
        <v>4</v>
      </c>
      <c r="AU151" s="44" t="str">
        <f t="shared" si="129"/>
        <v>4</v>
      </c>
      <c r="AV151" s="44" t="str">
        <f t="shared" si="130"/>
        <v>4</v>
      </c>
      <c r="AW151" s="44" t="str">
        <f t="shared" si="131"/>
        <v>4</v>
      </c>
      <c r="AX151" s="44" t="str">
        <f t="shared" si="132"/>
        <v>4</v>
      </c>
      <c r="AY151" s="7">
        <v>2</v>
      </c>
      <c r="AZ151" s="7">
        <v>3</v>
      </c>
    </row>
    <row r="152" spans="1:52" hidden="1" x14ac:dyDescent="0.3">
      <c r="A152" s="7">
        <v>83</v>
      </c>
      <c r="B152" s="43">
        <v>96</v>
      </c>
      <c r="C152" s="43">
        <v>95</v>
      </c>
      <c r="D152" s="43">
        <v>96</v>
      </c>
      <c r="E152" s="43">
        <v>95</v>
      </c>
      <c r="F152" s="43">
        <v>95</v>
      </c>
      <c r="G152" s="7">
        <f t="shared" si="161"/>
        <v>74</v>
      </c>
      <c r="H152" s="7">
        <f t="shared" si="162"/>
        <v>64</v>
      </c>
      <c r="I152" s="7">
        <f t="shared" si="163"/>
        <v>72</v>
      </c>
      <c r="J152" s="7">
        <f t="shared" si="164"/>
        <v>77</v>
      </c>
      <c r="K152" s="7">
        <f t="shared" si="165"/>
        <v>67</v>
      </c>
      <c r="L152" s="7">
        <f t="shared" si="166"/>
        <v>67</v>
      </c>
      <c r="M152" s="7">
        <f t="shared" si="167"/>
        <v>66</v>
      </c>
      <c r="N152" s="7">
        <f t="shared" si="168"/>
        <v>75</v>
      </c>
      <c r="O152" s="7">
        <f t="shared" si="169"/>
        <v>69</v>
      </c>
      <c r="P152" s="7">
        <f t="shared" si="170"/>
        <v>69</v>
      </c>
      <c r="Q152" s="7">
        <f t="shared" si="171"/>
        <v>69</v>
      </c>
      <c r="R152" s="7">
        <f t="shared" si="172"/>
        <v>69</v>
      </c>
      <c r="S152" s="7">
        <f t="shared" si="173"/>
        <v>69</v>
      </c>
      <c r="T152" s="7">
        <f t="shared" si="174"/>
        <v>66</v>
      </c>
      <c r="U152" s="7">
        <f t="shared" si="175"/>
        <v>66</v>
      </c>
      <c r="V152" s="7">
        <f t="shared" si="176"/>
        <v>66</v>
      </c>
      <c r="W152" s="7">
        <f t="shared" si="177"/>
        <v>66</v>
      </c>
      <c r="X152" s="47">
        <f t="shared" si="178"/>
        <v>68.343551925889813</v>
      </c>
      <c r="Y152" s="47">
        <f t="shared" si="179"/>
        <v>72.375376976916499</v>
      </c>
      <c r="Z152" s="47">
        <f t="shared" si="180"/>
        <v>72.53777512654716</v>
      </c>
      <c r="AA152" s="47">
        <f t="shared" si="181"/>
        <v>67.798788827271792</v>
      </c>
      <c r="AB152" s="7">
        <v>33</v>
      </c>
      <c r="AC152" s="44" t="str">
        <f t="shared" si="155"/>
        <v>1</v>
      </c>
      <c r="AD152" s="44" t="str">
        <f t="shared" si="156"/>
        <v>1컷원점</v>
      </c>
      <c r="AE152" s="44" t="str">
        <f t="shared" si="157"/>
        <v>1</v>
      </c>
      <c r="AF152" s="44" t="str">
        <f t="shared" si="158"/>
        <v>2</v>
      </c>
      <c r="AG152" s="44" t="str">
        <f t="shared" si="159"/>
        <v>2</v>
      </c>
      <c r="AH152" s="44" t="str">
        <f t="shared" si="116"/>
        <v>4</v>
      </c>
      <c r="AI152" s="44" t="str">
        <f t="shared" si="117"/>
        <v>4</v>
      </c>
      <c r="AJ152" s="44" t="str">
        <f t="shared" si="118"/>
        <v>4</v>
      </c>
      <c r="AK152" s="44" t="str">
        <f t="shared" si="119"/>
        <v>3컷원점</v>
      </c>
      <c r="AL152" s="44" t="str">
        <f t="shared" si="120"/>
        <v>4</v>
      </c>
      <c r="AM152" s="44" t="str">
        <f t="shared" si="121"/>
        <v>4</v>
      </c>
      <c r="AN152" s="44" t="str">
        <f t="shared" si="122"/>
        <v>4</v>
      </c>
      <c r="AO152" s="44" t="str">
        <f t="shared" si="123"/>
        <v>4</v>
      </c>
      <c r="AP152" s="44" t="str">
        <f t="shared" si="124"/>
        <v>4</v>
      </c>
      <c r="AQ152" s="44" t="str">
        <f t="shared" si="125"/>
        <v>4</v>
      </c>
      <c r="AR152" s="44" t="str">
        <f t="shared" si="126"/>
        <v>4</v>
      </c>
      <c r="AS152" s="44" t="str">
        <f t="shared" si="127"/>
        <v>4</v>
      </c>
      <c r="AT152" s="44" t="str">
        <f t="shared" si="128"/>
        <v>4</v>
      </c>
      <c r="AU152" s="44" t="str">
        <f t="shared" si="129"/>
        <v>4</v>
      </c>
      <c r="AV152" s="44" t="str">
        <f t="shared" si="130"/>
        <v>4</v>
      </c>
      <c r="AW152" s="44" t="str">
        <f t="shared" si="131"/>
        <v>4</v>
      </c>
      <c r="AX152" s="44" t="str">
        <f t="shared" si="132"/>
        <v>4</v>
      </c>
      <c r="AY152" s="7">
        <v>2</v>
      </c>
      <c r="AZ152" s="7">
        <v>3</v>
      </c>
    </row>
    <row r="153" spans="1:52" hidden="1" x14ac:dyDescent="0.3">
      <c r="A153" s="7">
        <v>82</v>
      </c>
      <c r="B153" s="43">
        <v>95</v>
      </c>
      <c r="C153" s="43">
        <v>94</v>
      </c>
      <c r="D153" s="43">
        <v>96</v>
      </c>
      <c r="E153" s="43">
        <v>95</v>
      </c>
      <c r="F153" s="43">
        <v>94</v>
      </c>
      <c r="G153" s="7">
        <f t="shared" si="161"/>
        <v>70</v>
      </c>
      <c r="H153" s="7">
        <f t="shared" si="162"/>
        <v>61</v>
      </c>
      <c r="I153" s="7">
        <f t="shared" si="163"/>
        <v>70</v>
      </c>
      <c r="J153" s="7">
        <f t="shared" si="164"/>
        <v>74</v>
      </c>
      <c r="K153" s="7">
        <f t="shared" si="165"/>
        <v>64</v>
      </c>
      <c r="L153" s="7">
        <f t="shared" si="166"/>
        <v>64</v>
      </c>
      <c r="M153" s="7">
        <f t="shared" si="167"/>
        <v>64</v>
      </c>
      <c r="N153" s="7">
        <f t="shared" si="168"/>
        <v>74</v>
      </c>
      <c r="O153" s="7">
        <f t="shared" si="169"/>
        <v>68</v>
      </c>
      <c r="P153" s="7">
        <f t="shared" si="170"/>
        <v>68</v>
      </c>
      <c r="Q153" s="7">
        <f t="shared" si="171"/>
        <v>68</v>
      </c>
      <c r="R153" s="7">
        <f t="shared" si="172"/>
        <v>68</v>
      </c>
      <c r="S153" s="7">
        <f t="shared" si="173"/>
        <v>68</v>
      </c>
      <c r="T153" s="7">
        <f t="shared" si="174"/>
        <v>63</v>
      </c>
      <c r="U153" s="7">
        <f t="shared" si="175"/>
        <v>63</v>
      </c>
      <c r="V153" s="7">
        <f t="shared" si="176"/>
        <v>63</v>
      </c>
      <c r="W153" s="7">
        <f t="shared" si="177"/>
        <v>63</v>
      </c>
      <c r="X153" s="47">
        <f t="shared" si="178"/>
        <v>66.175767918088738</v>
      </c>
      <c r="Y153" s="47">
        <f t="shared" si="179"/>
        <v>69.578017113218138</v>
      </c>
      <c r="Z153" s="47">
        <f t="shared" si="180"/>
        <v>69.715056535037974</v>
      </c>
      <c r="AA153" s="47">
        <f t="shared" si="181"/>
        <v>65.997981378786335</v>
      </c>
      <c r="AB153" s="7">
        <v>32</v>
      </c>
      <c r="AC153" s="44" t="str">
        <f t="shared" si="155"/>
        <v>1컷원점</v>
      </c>
      <c r="AD153" s="44" t="str">
        <f t="shared" si="156"/>
        <v>2</v>
      </c>
      <c r="AE153" s="44" t="str">
        <f t="shared" si="157"/>
        <v>1</v>
      </c>
      <c r="AF153" s="44" t="str">
        <f t="shared" si="158"/>
        <v>2</v>
      </c>
      <c r="AG153" s="44" t="str">
        <f t="shared" si="159"/>
        <v>2</v>
      </c>
      <c r="AH153" s="44" t="str">
        <f t="shared" si="116"/>
        <v>4</v>
      </c>
      <c r="AI153" s="44" t="str">
        <f t="shared" si="117"/>
        <v>4컷원점</v>
      </c>
      <c r="AJ153" s="44" t="str">
        <f t="shared" si="118"/>
        <v>4</v>
      </c>
      <c r="AK153" s="44" t="str">
        <f t="shared" si="119"/>
        <v>4</v>
      </c>
      <c r="AL153" s="44" t="str">
        <f t="shared" si="120"/>
        <v>4</v>
      </c>
      <c r="AM153" s="44" t="str">
        <f t="shared" si="121"/>
        <v>4</v>
      </c>
      <c r="AN153" s="44" t="str">
        <f t="shared" si="122"/>
        <v>4</v>
      </c>
      <c r="AO153" s="44" t="str">
        <f t="shared" si="123"/>
        <v>4</v>
      </c>
      <c r="AP153" s="44" t="str">
        <f t="shared" si="124"/>
        <v>4</v>
      </c>
      <c r="AQ153" s="44" t="str">
        <f t="shared" si="125"/>
        <v>4</v>
      </c>
      <c r="AR153" s="44" t="str">
        <f t="shared" si="126"/>
        <v>4</v>
      </c>
      <c r="AS153" s="44" t="str">
        <f t="shared" si="127"/>
        <v>4</v>
      </c>
      <c r="AT153" s="44" t="str">
        <f t="shared" si="128"/>
        <v>4</v>
      </c>
      <c r="AU153" s="44" t="str">
        <f t="shared" si="129"/>
        <v>4</v>
      </c>
      <c r="AV153" s="44" t="str">
        <f t="shared" si="130"/>
        <v>4</v>
      </c>
      <c r="AW153" s="44" t="str">
        <f t="shared" si="131"/>
        <v>4</v>
      </c>
      <c r="AX153" s="44" t="str">
        <f t="shared" si="132"/>
        <v>4</v>
      </c>
      <c r="AY153" s="7">
        <v>2</v>
      </c>
      <c r="AZ153" s="7">
        <v>3</v>
      </c>
    </row>
    <row r="154" spans="1:52" hidden="1" x14ac:dyDescent="0.3">
      <c r="A154" s="7">
        <v>81</v>
      </c>
      <c r="B154" s="43">
        <v>94</v>
      </c>
      <c r="C154" s="43">
        <v>94</v>
      </c>
      <c r="D154" s="43">
        <v>96</v>
      </c>
      <c r="E154" s="43">
        <v>94</v>
      </c>
      <c r="F154" s="43">
        <v>94</v>
      </c>
      <c r="G154" s="7">
        <f t="shared" si="161"/>
        <v>67</v>
      </c>
      <c r="H154" s="7">
        <f t="shared" si="162"/>
        <v>59</v>
      </c>
      <c r="I154" s="7">
        <f t="shared" si="163"/>
        <v>67</v>
      </c>
      <c r="J154" s="7">
        <f t="shared" si="164"/>
        <v>70</v>
      </c>
      <c r="K154" s="7">
        <f t="shared" si="165"/>
        <v>62</v>
      </c>
      <c r="L154" s="7">
        <f t="shared" si="166"/>
        <v>62</v>
      </c>
      <c r="M154" s="7">
        <f t="shared" si="167"/>
        <v>62</v>
      </c>
      <c r="N154" s="7">
        <f t="shared" si="168"/>
        <v>72</v>
      </c>
      <c r="O154" s="7">
        <f t="shared" si="169"/>
        <v>66</v>
      </c>
      <c r="P154" s="7">
        <f t="shared" si="170"/>
        <v>66</v>
      </c>
      <c r="Q154" s="7">
        <f t="shared" si="171"/>
        <v>66</v>
      </c>
      <c r="R154" s="7">
        <f t="shared" si="172"/>
        <v>66</v>
      </c>
      <c r="S154" s="7">
        <f t="shared" si="173"/>
        <v>66</v>
      </c>
      <c r="T154" s="7">
        <f t="shared" si="174"/>
        <v>60</v>
      </c>
      <c r="U154" s="7">
        <f t="shared" si="175"/>
        <v>60</v>
      </c>
      <c r="V154" s="7">
        <f t="shared" si="176"/>
        <v>60</v>
      </c>
      <c r="W154" s="7">
        <f t="shared" si="177"/>
        <v>60</v>
      </c>
      <c r="X154" s="47">
        <f t="shared" si="178"/>
        <v>64.175767918088738</v>
      </c>
      <c r="Y154" s="47">
        <f t="shared" si="179"/>
        <v>66.468166393717283</v>
      </c>
      <c r="Z154" s="47">
        <f t="shared" si="180"/>
        <v>66.560502064523092</v>
      </c>
      <c r="AA154" s="47">
        <f t="shared" si="181"/>
        <v>63.597577654543599</v>
      </c>
      <c r="AB154" s="7">
        <v>31</v>
      </c>
      <c r="AC154" s="44" t="str">
        <f t="shared" si="155"/>
        <v>2</v>
      </c>
      <c r="AD154" s="44" t="str">
        <f t="shared" si="156"/>
        <v>2</v>
      </c>
      <c r="AE154" s="44" t="str">
        <f t="shared" si="157"/>
        <v>1컷원점</v>
      </c>
      <c r="AF154" s="44" t="str">
        <f t="shared" si="158"/>
        <v>2</v>
      </c>
      <c r="AG154" s="44" t="str">
        <f t="shared" si="159"/>
        <v>2</v>
      </c>
      <c r="AH154" s="44" t="str">
        <f t="shared" si="116"/>
        <v>4</v>
      </c>
      <c r="AI154" s="44" t="str">
        <f t="shared" si="117"/>
        <v>5</v>
      </c>
      <c r="AJ154" s="44" t="str">
        <f t="shared" si="118"/>
        <v>4</v>
      </c>
      <c r="AK154" s="44" t="str">
        <f t="shared" si="119"/>
        <v>4</v>
      </c>
      <c r="AL154" s="44" t="str">
        <f t="shared" si="120"/>
        <v>4</v>
      </c>
      <c r="AM154" s="44" t="str">
        <f t="shared" si="121"/>
        <v>4</v>
      </c>
      <c r="AN154" s="44" t="str">
        <f t="shared" si="122"/>
        <v>4</v>
      </c>
      <c r="AO154" s="44" t="str">
        <f t="shared" si="123"/>
        <v>4</v>
      </c>
      <c r="AP154" s="44" t="str">
        <f t="shared" si="124"/>
        <v>4</v>
      </c>
      <c r="AQ154" s="44" t="str">
        <f t="shared" si="125"/>
        <v>4</v>
      </c>
      <c r="AR154" s="44" t="str">
        <f t="shared" si="126"/>
        <v>4</v>
      </c>
      <c r="AS154" s="44" t="str">
        <f t="shared" si="127"/>
        <v>4</v>
      </c>
      <c r="AT154" s="44" t="str">
        <f t="shared" si="128"/>
        <v>4</v>
      </c>
      <c r="AU154" s="44" t="str">
        <f t="shared" si="129"/>
        <v>4컷원점</v>
      </c>
      <c r="AV154" s="44" t="str">
        <f t="shared" si="130"/>
        <v>4컷원점</v>
      </c>
      <c r="AW154" s="44" t="str">
        <f t="shared" si="131"/>
        <v>4컷원점</v>
      </c>
      <c r="AX154" s="44" t="str">
        <f t="shared" si="132"/>
        <v>4컷원점</v>
      </c>
      <c r="AY154" s="7">
        <v>2</v>
      </c>
      <c r="AZ154" s="7">
        <v>3</v>
      </c>
    </row>
    <row r="155" spans="1:52" hidden="1" x14ac:dyDescent="0.3">
      <c r="A155" s="7">
        <v>80</v>
      </c>
      <c r="B155" s="43">
        <v>94</v>
      </c>
      <c r="C155" s="43">
        <v>93</v>
      </c>
      <c r="D155" s="43">
        <v>95</v>
      </c>
      <c r="E155" s="43">
        <v>94</v>
      </c>
      <c r="F155" s="43">
        <v>93</v>
      </c>
      <c r="G155" s="7">
        <f t="shared" si="161"/>
        <v>63</v>
      </c>
      <c r="H155" s="7">
        <f t="shared" si="162"/>
        <v>57</v>
      </c>
      <c r="I155" s="7">
        <f t="shared" si="163"/>
        <v>65</v>
      </c>
      <c r="J155" s="7">
        <f t="shared" si="164"/>
        <v>67</v>
      </c>
      <c r="K155" s="7">
        <f t="shared" si="165"/>
        <v>60</v>
      </c>
      <c r="L155" s="7">
        <f t="shared" si="166"/>
        <v>60</v>
      </c>
      <c r="M155" s="7">
        <f t="shared" si="167"/>
        <v>60</v>
      </c>
      <c r="N155" s="7">
        <f t="shared" si="168"/>
        <v>70</v>
      </c>
      <c r="O155" s="7">
        <f t="shared" si="169"/>
        <v>64</v>
      </c>
      <c r="P155" s="7">
        <f t="shared" si="170"/>
        <v>64</v>
      </c>
      <c r="Q155" s="7">
        <f t="shared" si="171"/>
        <v>64</v>
      </c>
      <c r="R155" s="7">
        <f t="shared" si="172"/>
        <v>64</v>
      </c>
      <c r="S155" s="7">
        <f t="shared" si="173"/>
        <v>64</v>
      </c>
      <c r="T155" s="7">
        <f t="shared" si="174"/>
        <v>58</v>
      </c>
      <c r="U155" s="7">
        <f t="shared" si="175"/>
        <v>58</v>
      </c>
      <c r="V155" s="7">
        <f t="shared" si="176"/>
        <v>58</v>
      </c>
      <c r="W155" s="7">
        <f t="shared" si="177"/>
        <v>58</v>
      </c>
      <c r="X155" s="47">
        <f t="shared" si="178"/>
        <v>62.175767918088738</v>
      </c>
      <c r="Y155" s="47">
        <f t="shared" si="179"/>
        <v>63.850941321389634</v>
      </c>
      <c r="Z155" s="47">
        <f t="shared" si="180"/>
        <v>63.918415742418219</v>
      </c>
      <c r="AA155" s="47">
        <f t="shared" si="181"/>
        <v>61.597577654543599</v>
      </c>
      <c r="AB155" s="7">
        <v>30</v>
      </c>
      <c r="AC155" s="44" t="str">
        <f t="shared" si="155"/>
        <v>2</v>
      </c>
      <c r="AD155" s="44" t="str">
        <f t="shared" si="156"/>
        <v>2</v>
      </c>
      <c r="AE155" s="44" t="str">
        <f t="shared" si="157"/>
        <v>2</v>
      </c>
      <c r="AF155" s="44" t="str">
        <f t="shared" si="158"/>
        <v>2</v>
      </c>
      <c r="AG155" s="44" t="str">
        <f t="shared" si="159"/>
        <v>2</v>
      </c>
      <c r="AH155" s="44" t="str">
        <f t="shared" si="116"/>
        <v>4</v>
      </c>
      <c r="AI155" s="44" t="str">
        <f t="shared" si="117"/>
        <v>5</v>
      </c>
      <c r="AJ155" s="44" t="str">
        <f t="shared" si="118"/>
        <v>4</v>
      </c>
      <c r="AK155" s="44" t="str">
        <f t="shared" si="119"/>
        <v>4</v>
      </c>
      <c r="AL155" s="44" t="str">
        <f t="shared" si="120"/>
        <v>4컷원점</v>
      </c>
      <c r="AM155" s="44" t="str">
        <f t="shared" si="121"/>
        <v>4컷원점</v>
      </c>
      <c r="AN155" s="44" t="str">
        <f t="shared" si="122"/>
        <v>4컷원점</v>
      </c>
      <c r="AO155" s="44" t="str">
        <f t="shared" si="123"/>
        <v>4</v>
      </c>
      <c r="AP155" s="44" t="str">
        <f t="shared" si="124"/>
        <v>4</v>
      </c>
      <c r="AQ155" s="44" t="str">
        <f t="shared" si="125"/>
        <v>4</v>
      </c>
      <c r="AR155" s="44" t="str">
        <f t="shared" si="126"/>
        <v>4</v>
      </c>
      <c r="AS155" s="44" t="str">
        <f t="shared" si="127"/>
        <v>4</v>
      </c>
      <c r="AT155" s="44" t="str">
        <f t="shared" si="128"/>
        <v>4</v>
      </c>
      <c r="AU155" s="44" t="str">
        <f t="shared" si="129"/>
        <v>5</v>
      </c>
      <c r="AV155" s="44" t="str">
        <f t="shared" si="130"/>
        <v>5</v>
      </c>
      <c r="AW155" s="44" t="str">
        <f t="shared" si="131"/>
        <v>5</v>
      </c>
      <c r="AX155" s="44" t="str">
        <f t="shared" si="132"/>
        <v>5</v>
      </c>
      <c r="AY155" s="7">
        <v>2</v>
      </c>
      <c r="AZ155" s="7">
        <v>3</v>
      </c>
    </row>
    <row r="156" spans="1:52" hidden="1" x14ac:dyDescent="0.3">
      <c r="A156" s="7">
        <v>79</v>
      </c>
      <c r="B156" s="7">
        <f>IF(LEN(AC156)=LEN($A$32),INDEX(B$52:B$59,MATCH(AC156,$AA$42:$AA$49,0)),IF(AC156=$AB$31,ROUND(B$51-(B$31-$A156)*AC$51,0),IF(AC156=$AB$32,ROUND(B$52-(B$32-$A156)*AC$52,0),IF(AC156=$AB$33,ROUND(B$53-(B$33-$A156)*AC$53,0),IF(AC156=$AB$34,ROUND(B$54-(B$34-$A156)*AC$54,0),IF(AC156=$AB$35,ROUND(B$55-(B$35-$A156)*AC$55,0),IF(AC156=$AB$36,ROUND(B$56-(B$36-$A156)*AC$56,0),IF(AC156=$AB$37,ROUND(B$57-(B$37-$A156)*AC$57,0),IF(AC156=$AB$38,ROUND(B$58-(B$38-$A156)*AC$58,0),IF(AC156=$AB$39,ROUND(B$59-(B$39-$A156)*AC$49,0)))))))))))</f>
        <v>93</v>
      </c>
      <c r="C156" s="7">
        <f t="shared" ref="C156:F156" si="182">IF(LEN(AD156)=LEN($A$32),INDEX(C$52:C$59,MATCH(AD156,$AA$42:$AA$49,0)),IF(AD156=$AB$31,ROUND(C$51-(C$31-$A156)*AD$51,0),IF(AD156=$AB$32,ROUND(C$52-(C$32-$A156)*AD$52,0),IF(AD156=$AB$33,ROUND(C$53-(C$33-$A156)*AD$53,0),IF(AD156=$AB$34,ROUND(C$54-(C$34-$A156)*AD$54,0),IF(AD156=$AB$35,ROUND(C$55-(C$35-$A156)*AD$55,0),IF(AD156=$AB$36,ROUND(C$56-(C$36-$A156)*AD$56,0),IF(AD156=$AB$37,ROUND(C$57-(C$37-$A156)*AD$57,0),IF(AD156=$AB$38,ROUND(C$58-(C$38-$A156)*AD$58,0),IF(AD156=$AB$39,ROUND(C$59-(C$39-$A156)*AD$49,0)))))))))))</f>
        <v>92</v>
      </c>
      <c r="D156" s="7">
        <f t="shared" si="182"/>
        <v>95</v>
      </c>
      <c r="E156" s="7">
        <f t="shared" si="182"/>
        <v>93</v>
      </c>
      <c r="F156" s="7">
        <f t="shared" si="182"/>
        <v>92</v>
      </c>
      <c r="G156" s="7">
        <f t="shared" si="161"/>
        <v>60</v>
      </c>
      <c r="H156" s="7">
        <f t="shared" si="162"/>
        <v>54</v>
      </c>
      <c r="I156" s="7">
        <f t="shared" si="163"/>
        <v>63</v>
      </c>
      <c r="J156" s="7">
        <f t="shared" si="164"/>
        <v>63</v>
      </c>
      <c r="K156" s="7">
        <f t="shared" si="165"/>
        <v>58</v>
      </c>
      <c r="L156" s="7">
        <f t="shared" si="166"/>
        <v>58</v>
      </c>
      <c r="M156" s="7">
        <f t="shared" si="167"/>
        <v>58</v>
      </c>
      <c r="N156" s="7">
        <f t="shared" si="168"/>
        <v>69</v>
      </c>
      <c r="O156" s="7">
        <f t="shared" si="169"/>
        <v>62</v>
      </c>
      <c r="P156" s="7">
        <f t="shared" si="170"/>
        <v>62</v>
      </c>
      <c r="Q156" s="7">
        <f t="shared" si="171"/>
        <v>62</v>
      </c>
      <c r="R156" s="7">
        <f t="shared" si="172"/>
        <v>62</v>
      </c>
      <c r="S156" s="7">
        <f t="shared" si="173"/>
        <v>62</v>
      </c>
      <c r="T156" s="7">
        <f t="shared" si="174"/>
        <v>55</v>
      </c>
      <c r="U156" s="7">
        <f t="shared" si="175"/>
        <v>55</v>
      </c>
      <c r="V156" s="7">
        <f t="shared" si="176"/>
        <v>55</v>
      </c>
      <c r="W156" s="7">
        <f t="shared" si="177"/>
        <v>55</v>
      </c>
      <c r="X156" s="47">
        <f t="shared" si="178"/>
        <v>60.393344709897612</v>
      </c>
      <c r="Y156" s="47">
        <f t="shared" si="179"/>
        <v>60.893802239915424</v>
      </c>
      <c r="Z156" s="47">
        <f t="shared" si="180"/>
        <v>60.913960202082691</v>
      </c>
      <c r="AA156" s="47">
        <f t="shared" si="181"/>
        <v>59.197173930300863</v>
      </c>
      <c r="AB156" s="7">
        <v>29</v>
      </c>
      <c r="AC156" s="44" t="str">
        <f t="shared" si="155"/>
        <v>2</v>
      </c>
      <c r="AD156" s="44" t="str">
        <f t="shared" si="156"/>
        <v>2</v>
      </c>
      <c r="AE156" s="44" t="str">
        <f t="shared" si="157"/>
        <v>2</v>
      </c>
      <c r="AF156" s="44" t="str">
        <f t="shared" si="158"/>
        <v>2</v>
      </c>
      <c r="AG156" s="44" t="str">
        <f t="shared" si="159"/>
        <v>2</v>
      </c>
      <c r="AH156" s="44" t="str">
        <f t="shared" si="116"/>
        <v>4컷원점</v>
      </c>
      <c r="AI156" s="44" t="str">
        <f t="shared" si="117"/>
        <v>5</v>
      </c>
      <c r="AJ156" s="44" t="str">
        <f t="shared" si="118"/>
        <v>4</v>
      </c>
      <c r="AK156" s="44" t="str">
        <f t="shared" si="119"/>
        <v>4</v>
      </c>
      <c r="AL156" s="44" t="str">
        <f t="shared" si="120"/>
        <v>5</v>
      </c>
      <c r="AM156" s="44" t="str">
        <f t="shared" si="121"/>
        <v>5</v>
      </c>
      <c r="AN156" s="44" t="str">
        <f t="shared" si="122"/>
        <v>5</v>
      </c>
      <c r="AO156" s="44" t="str">
        <f t="shared" si="123"/>
        <v>4</v>
      </c>
      <c r="AP156" s="44" t="str">
        <f t="shared" si="124"/>
        <v>4</v>
      </c>
      <c r="AQ156" s="44" t="str">
        <f t="shared" si="125"/>
        <v>4</v>
      </c>
      <c r="AR156" s="44" t="str">
        <f t="shared" si="126"/>
        <v>4</v>
      </c>
      <c r="AS156" s="44" t="str">
        <f t="shared" si="127"/>
        <v>4</v>
      </c>
      <c r="AT156" s="44" t="str">
        <f t="shared" si="128"/>
        <v>4</v>
      </c>
      <c r="AU156" s="44" t="str">
        <f t="shared" si="129"/>
        <v>5</v>
      </c>
      <c r="AV156" s="44" t="str">
        <f t="shared" si="130"/>
        <v>5</v>
      </c>
      <c r="AW156" s="44" t="str">
        <f t="shared" si="131"/>
        <v>5</v>
      </c>
      <c r="AX156" s="44" t="str">
        <f t="shared" si="132"/>
        <v>5</v>
      </c>
      <c r="AY156" s="7">
        <v>3</v>
      </c>
      <c r="AZ156" s="7">
        <v>4</v>
      </c>
    </row>
    <row r="157" spans="1:52" hidden="1" x14ac:dyDescent="0.3">
      <c r="A157" s="7">
        <v>78</v>
      </c>
      <c r="B157" s="7">
        <f t="shared" ref="B157:B205" si="183">IF(LEN(AC157)=LEN($A$32),INDEX(B$52:B$59,MATCH(AC157,$AA$42:$AA$49,0)),IF(AC157=$AB$31,ROUND(B$51-(B$31-$A157)*AC$51,0),IF(AC157=$AB$32,ROUND(B$52-(B$32-$A157)*AC$52,0),IF(AC157=$AB$33,ROUND(B$53-(B$33-$A157)*AC$53,0),IF(AC157=$AB$34,ROUND(B$54-(B$34-$A157)*AC$54,0),IF(AC157=$AB$35,ROUND(B$55-(B$35-$A157)*AC$55,0),IF(AC157=$AB$36,ROUND(B$56-(B$36-$A157)*AC$56,0),IF(AC157=$AB$37,ROUND(B$57-(B$37-$A157)*AC$57,0),IF(AC157=$AB$38,ROUND(B$58-(B$38-$A157)*AC$58,0),IF(AC157=$AB$39,ROUND(B$59-(B$39-$A157)*AC$49,0)))))))))))</f>
        <v>92</v>
      </c>
      <c r="C157" s="7">
        <f t="shared" ref="C157:C205" si="184">IF(LEN(AD157)=LEN($A$32),INDEX(C$52:C$59,MATCH(AD157,$AA$42:$AA$49,0)),IF(AD157=$AB$31,ROUND(C$51-(C$31-$A157)*AD$51,0),IF(AD157=$AB$32,ROUND(C$52-(C$32-$A157)*AD$52,0),IF(AD157=$AB$33,ROUND(C$53-(C$33-$A157)*AD$53,0),IF(AD157=$AB$34,ROUND(C$54-(C$34-$A157)*AD$54,0),IF(AD157=$AB$35,ROUND(C$55-(C$35-$A157)*AD$55,0),IF(AD157=$AB$36,ROUND(C$56-(C$36-$A157)*AD$56,0),IF(AD157=$AB$37,ROUND(C$57-(C$37-$A157)*AD$57,0),IF(AD157=$AB$38,ROUND(C$58-(C$38-$A157)*AD$58,0),IF(AD157=$AB$39,ROUND(C$59-(C$39-$A157)*AD$49,0)))))))))))</f>
        <v>91</v>
      </c>
      <c r="D157" s="7">
        <f t="shared" ref="D157:D205" si="185">IF(LEN(AE157)=LEN($A$32),INDEX(D$52:D$59,MATCH(AE157,$AA$42:$AA$49,0)),IF(AE157=$AB$31,ROUND(D$51-(D$31-$A157)*AE$51,0),IF(AE157=$AB$32,ROUND(D$52-(D$32-$A157)*AE$52,0),IF(AE157=$AB$33,ROUND(D$53-(D$33-$A157)*AE$53,0),IF(AE157=$AB$34,ROUND(D$54-(D$34-$A157)*AE$54,0),IF(AE157=$AB$35,ROUND(D$55-(D$35-$A157)*AE$55,0),IF(AE157=$AB$36,ROUND(D$56-(D$36-$A157)*AE$56,0),IF(AE157=$AB$37,ROUND(D$57-(D$37-$A157)*AE$57,0),IF(AE157=$AB$38,ROUND(D$58-(D$38-$A157)*AE$58,0),IF(AE157=$AB$39,ROUND(D$59-(D$39-$A157)*AE$49,0)))))))))))</f>
        <v>94</v>
      </c>
      <c r="E157" s="7">
        <f t="shared" ref="E157:E205" si="186">IF(LEN(AF157)=LEN($A$32),INDEX(E$52:E$59,MATCH(AF157,$AA$42:$AA$49,0)),IF(AF157=$AB$31,ROUND(E$51-(E$31-$A157)*AF$51,0),IF(AF157=$AB$32,ROUND(E$52-(E$32-$A157)*AF$52,0),IF(AF157=$AB$33,ROUND(E$53-(E$33-$A157)*AF$53,0),IF(AF157=$AB$34,ROUND(E$54-(E$34-$A157)*AF$54,0),IF(AF157=$AB$35,ROUND(E$55-(E$35-$A157)*AF$55,0),IF(AF157=$AB$36,ROUND(E$56-(E$36-$A157)*AF$56,0),IF(AF157=$AB$37,ROUND(E$57-(E$37-$A157)*AF$57,0),IF(AF157=$AB$38,ROUND(E$58-(E$38-$A157)*AF$58,0),IF(AF157=$AB$39,ROUND(E$59-(E$39-$A157)*AF$49,0)))))))))))</f>
        <v>92</v>
      </c>
      <c r="F157" s="7">
        <f t="shared" ref="F157:F205" si="187">IF(LEN(AG157)=LEN($A$32),INDEX(F$52:F$59,MATCH(AG157,$AA$42:$AA$49,0)),IF(AG157=$AB$31,ROUND(F$51-(F$31-$A157)*AG$51,0),IF(AG157=$AB$32,ROUND(F$52-(F$32-$A157)*AG$52,0),IF(AG157=$AB$33,ROUND(F$53-(F$33-$A157)*AG$53,0),IF(AG157=$AB$34,ROUND(F$54-(F$34-$A157)*AG$54,0),IF(AG157=$AB$35,ROUND(F$55-(F$35-$A157)*AG$55,0),IF(AG157=$AB$36,ROUND(F$56-(F$36-$A157)*AG$56,0),IF(AG157=$AB$37,ROUND(F$57-(F$37-$A157)*AG$57,0),IF(AG157=$AB$38,ROUND(F$58-(F$38-$A157)*AG$58,0),IF(AG157=$AB$39,ROUND(F$59-(F$39-$A157)*AG$49,0)))))))))))</f>
        <v>91</v>
      </c>
      <c r="G157" s="7">
        <f t="shared" si="161"/>
        <v>57</v>
      </c>
      <c r="H157" s="7">
        <f t="shared" si="162"/>
        <v>52</v>
      </c>
      <c r="I157" s="7">
        <f t="shared" si="163"/>
        <v>60</v>
      </c>
      <c r="J157" s="7">
        <f t="shared" si="164"/>
        <v>60</v>
      </c>
      <c r="K157" s="7">
        <f t="shared" si="165"/>
        <v>56</v>
      </c>
      <c r="L157" s="7">
        <f t="shared" si="166"/>
        <v>56</v>
      </c>
      <c r="M157" s="7">
        <f t="shared" si="167"/>
        <v>57</v>
      </c>
      <c r="N157" s="7">
        <f t="shared" si="168"/>
        <v>67</v>
      </c>
      <c r="O157" s="7">
        <f t="shared" si="169"/>
        <v>60</v>
      </c>
      <c r="P157" s="7">
        <f t="shared" si="170"/>
        <v>60</v>
      </c>
      <c r="Q157" s="7">
        <f t="shared" si="171"/>
        <v>60</v>
      </c>
      <c r="R157" s="7">
        <f t="shared" si="172"/>
        <v>60</v>
      </c>
      <c r="S157" s="7">
        <f t="shared" si="173"/>
        <v>60</v>
      </c>
      <c r="T157" s="7">
        <f t="shared" si="174"/>
        <v>53</v>
      </c>
      <c r="U157" s="7">
        <f t="shared" si="175"/>
        <v>53</v>
      </c>
      <c r="V157" s="7">
        <f t="shared" si="176"/>
        <v>53</v>
      </c>
      <c r="W157" s="7">
        <f t="shared" si="177"/>
        <v>53</v>
      </c>
      <c r="X157" s="47">
        <f t="shared" si="178"/>
        <v>58.79040711847879</v>
      </c>
      <c r="Y157" s="47">
        <f t="shared" si="179"/>
        <v>58.121534054171406</v>
      </c>
      <c r="Z157" s="47">
        <f t="shared" si="180"/>
        <v>58.094592471486997</v>
      </c>
      <c r="AA157" s="47">
        <f t="shared" si="181"/>
        <v>57.197173930300863</v>
      </c>
      <c r="AB157" s="7">
        <v>28</v>
      </c>
      <c r="AC157" s="44" t="str">
        <f t="shared" si="155"/>
        <v>2</v>
      </c>
      <c r="AD157" s="44" t="str">
        <f t="shared" si="156"/>
        <v>2</v>
      </c>
      <c r="AE157" s="44" t="str">
        <f t="shared" si="157"/>
        <v>2</v>
      </c>
      <c r="AF157" s="44" t="str">
        <f t="shared" si="158"/>
        <v>2</v>
      </c>
      <c r="AG157" s="44" t="str">
        <f t="shared" si="159"/>
        <v>2</v>
      </c>
      <c r="AH157" s="44" t="str">
        <f t="shared" si="116"/>
        <v>5</v>
      </c>
      <c r="AI157" s="44" t="str">
        <f t="shared" si="117"/>
        <v>5</v>
      </c>
      <c r="AJ157" s="44" t="str">
        <f t="shared" si="118"/>
        <v>4컷원점</v>
      </c>
      <c r="AK157" s="44" t="str">
        <f t="shared" si="119"/>
        <v>4컷원점</v>
      </c>
      <c r="AL157" s="44" t="str">
        <f t="shared" si="120"/>
        <v>5</v>
      </c>
      <c r="AM157" s="44" t="str">
        <f t="shared" si="121"/>
        <v>5</v>
      </c>
      <c r="AN157" s="44" t="str">
        <f t="shared" si="122"/>
        <v>5</v>
      </c>
      <c r="AO157" s="44" t="str">
        <f t="shared" si="123"/>
        <v>4</v>
      </c>
      <c r="AP157" s="44" t="str">
        <f t="shared" si="124"/>
        <v>4컷원점</v>
      </c>
      <c r="AQ157" s="44" t="str">
        <f t="shared" si="125"/>
        <v>4컷원점</v>
      </c>
      <c r="AR157" s="44" t="str">
        <f t="shared" si="126"/>
        <v>4컷원점</v>
      </c>
      <c r="AS157" s="44" t="str">
        <f t="shared" si="127"/>
        <v>4컷원점</v>
      </c>
      <c r="AT157" s="44" t="str">
        <f t="shared" si="128"/>
        <v>4컷원점</v>
      </c>
      <c r="AU157" s="44" t="str">
        <f t="shared" si="129"/>
        <v>5</v>
      </c>
      <c r="AV157" s="44" t="str">
        <f t="shared" si="130"/>
        <v>5</v>
      </c>
      <c r="AW157" s="44" t="str">
        <f t="shared" si="131"/>
        <v>5</v>
      </c>
      <c r="AX157" s="44" t="str">
        <f t="shared" si="132"/>
        <v>5</v>
      </c>
      <c r="AY157" s="7">
        <v>3</v>
      </c>
      <c r="AZ157" s="7">
        <v>4</v>
      </c>
    </row>
    <row r="158" spans="1:52" hidden="1" x14ac:dyDescent="0.3">
      <c r="A158" s="7">
        <v>77</v>
      </c>
      <c r="B158" s="7">
        <f t="shared" si="183"/>
        <v>91</v>
      </c>
      <c r="C158" s="7">
        <f t="shared" si="184"/>
        <v>90</v>
      </c>
      <c r="D158" s="7">
        <f t="shared" si="185"/>
        <v>93</v>
      </c>
      <c r="E158" s="7">
        <f t="shared" si="186"/>
        <v>91</v>
      </c>
      <c r="F158" s="7">
        <f t="shared" si="187"/>
        <v>90</v>
      </c>
      <c r="G158" s="7">
        <f t="shared" si="161"/>
        <v>54</v>
      </c>
      <c r="H158" s="7">
        <f t="shared" si="162"/>
        <v>50</v>
      </c>
      <c r="I158" s="7">
        <f t="shared" si="163"/>
        <v>58</v>
      </c>
      <c r="J158" s="7">
        <f t="shared" si="164"/>
        <v>58</v>
      </c>
      <c r="K158" s="7">
        <f t="shared" si="165"/>
        <v>55</v>
      </c>
      <c r="L158" s="7">
        <f t="shared" si="166"/>
        <v>55</v>
      </c>
      <c r="M158" s="7">
        <f t="shared" si="167"/>
        <v>55</v>
      </c>
      <c r="N158" s="7">
        <f t="shared" si="168"/>
        <v>65</v>
      </c>
      <c r="O158" s="7">
        <f t="shared" si="169"/>
        <v>58</v>
      </c>
      <c r="P158" s="7">
        <f t="shared" si="170"/>
        <v>58</v>
      </c>
      <c r="Q158" s="7">
        <f t="shared" si="171"/>
        <v>58</v>
      </c>
      <c r="R158" s="7">
        <f t="shared" si="172"/>
        <v>58</v>
      </c>
      <c r="S158" s="7">
        <f t="shared" si="173"/>
        <v>58</v>
      </c>
      <c r="T158" s="7">
        <f t="shared" si="174"/>
        <v>50</v>
      </c>
      <c r="U158" s="7">
        <f t="shared" si="175"/>
        <v>50</v>
      </c>
      <c r="V158" s="7">
        <f t="shared" si="176"/>
        <v>50</v>
      </c>
      <c r="W158" s="7">
        <f t="shared" si="177"/>
        <v>50</v>
      </c>
      <c r="X158" s="47">
        <f t="shared" si="178"/>
        <v>57.175767918088738</v>
      </c>
      <c r="Y158" s="47">
        <f t="shared" si="179"/>
        <v>55.988946730034975</v>
      </c>
      <c r="Z158" s="47">
        <f t="shared" si="180"/>
        <v>55.941142680394151</v>
      </c>
      <c r="AA158" s="47">
        <f t="shared" si="181"/>
        <v>54.796770206058135</v>
      </c>
      <c r="AB158" s="7">
        <v>27</v>
      </c>
      <c r="AC158" s="44" t="str">
        <f t="shared" si="155"/>
        <v>2</v>
      </c>
      <c r="AD158" s="44" t="str">
        <f t="shared" si="156"/>
        <v>2</v>
      </c>
      <c r="AE158" s="44" t="str">
        <f t="shared" si="157"/>
        <v>2</v>
      </c>
      <c r="AF158" s="44" t="str">
        <f t="shared" si="158"/>
        <v>2</v>
      </c>
      <c r="AG158" s="44" t="str">
        <f t="shared" si="159"/>
        <v>2</v>
      </c>
      <c r="AH158" s="44" t="str">
        <f t="shared" si="116"/>
        <v>5</v>
      </c>
      <c r="AI158" s="44" t="str">
        <f t="shared" si="117"/>
        <v>5</v>
      </c>
      <c r="AJ158" s="44" t="str">
        <f t="shared" si="118"/>
        <v>5</v>
      </c>
      <c r="AK158" s="44" t="str">
        <f t="shared" si="119"/>
        <v>5</v>
      </c>
      <c r="AL158" s="44" t="str">
        <f t="shared" si="120"/>
        <v>5</v>
      </c>
      <c r="AM158" s="44" t="str">
        <f t="shared" si="121"/>
        <v>5</v>
      </c>
      <c r="AN158" s="44" t="str">
        <f t="shared" si="122"/>
        <v>5</v>
      </c>
      <c r="AO158" s="44" t="str">
        <f t="shared" si="123"/>
        <v>4</v>
      </c>
      <c r="AP158" s="44" t="str">
        <f t="shared" si="124"/>
        <v>5</v>
      </c>
      <c r="AQ158" s="44" t="str">
        <f t="shared" si="125"/>
        <v>5</v>
      </c>
      <c r="AR158" s="44" t="str">
        <f t="shared" si="126"/>
        <v>5</v>
      </c>
      <c r="AS158" s="44" t="str">
        <f t="shared" si="127"/>
        <v>5</v>
      </c>
      <c r="AT158" s="44" t="str">
        <f t="shared" si="128"/>
        <v>5</v>
      </c>
      <c r="AU158" s="44" t="str">
        <f t="shared" si="129"/>
        <v>5</v>
      </c>
      <c r="AV158" s="44" t="str">
        <f t="shared" si="130"/>
        <v>5</v>
      </c>
      <c r="AW158" s="44" t="str">
        <f t="shared" si="131"/>
        <v>5</v>
      </c>
      <c r="AX158" s="44" t="str">
        <f t="shared" si="132"/>
        <v>5</v>
      </c>
      <c r="AY158" s="7">
        <v>3</v>
      </c>
      <c r="AZ158" s="7">
        <v>4</v>
      </c>
    </row>
    <row r="159" spans="1:52" hidden="1" x14ac:dyDescent="0.3">
      <c r="A159" s="7">
        <v>76</v>
      </c>
      <c r="B159" s="7">
        <f t="shared" si="183"/>
        <v>90</v>
      </c>
      <c r="C159" s="7">
        <f t="shared" si="184"/>
        <v>89</v>
      </c>
      <c r="D159" s="7">
        <f t="shared" si="185"/>
        <v>93</v>
      </c>
      <c r="E159" s="7">
        <f t="shared" si="186"/>
        <v>90</v>
      </c>
      <c r="F159" s="7">
        <f t="shared" si="187"/>
        <v>90</v>
      </c>
      <c r="G159" s="7">
        <f t="shared" si="161"/>
        <v>51</v>
      </c>
      <c r="H159" s="7">
        <f t="shared" si="162"/>
        <v>48</v>
      </c>
      <c r="I159" s="7">
        <f t="shared" si="163"/>
        <v>55</v>
      </c>
      <c r="J159" s="7">
        <f t="shared" si="164"/>
        <v>55</v>
      </c>
      <c r="K159" s="7">
        <f t="shared" si="165"/>
        <v>53</v>
      </c>
      <c r="L159" s="7">
        <f t="shared" si="166"/>
        <v>53</v>
      </c>
      <c r="M159" s="7">
        <f t="shared" si="167"/>
        <v>53</v>
      </c>
      <c r="N159" s="7">
        <f t="shared" si="168"/>
        <v>63</v>
      </c>
      <c r="O159" s="7">
        <f t="shared" si="169"/>
        <v>56</v>
      </c>
      <c r="P159" s="7">
        <f t="shared" si="170"/>
        <v>56</v>
      </c>
      <c r="Q159" s="7">
        <f t="shared" si="171"/>
        <v>56</v>
      </c>
      <c r="R159" s="7">
        <f t="shared" si="172"/>
        <v>56</v>
      </c>
      <c r="S159" s="7">
        <f t="shared" si="173"/>
        <v>56</v>
      </c>
      <c r="T159" s="7">
        <f t="shared" si="174"/>
        <v>48</v>
      </c>
      <c r="U159" s="7">
        <f t="shared" si="175"/>
        <v>48</v>
      </c>
      <c r="V159" s="7">
        <f t="shared" si="176"/>
        <v>48</v>
      </c>
      <c r="W159" s="7">
        <f t="shared" si="177"/>
        <v>48</v>
      </c>
      <c r="X159" s="47">
        <f t="shared" si="178"/>
        <v>55.175767918088738</v>
      </c>
      <c r="Y159" s="47">
        <f t="shared" si="179"/>
        <v>53.201304493517647</v>
      </c>
      <c r="Z159" s="47">
        <f t="shared" si="180"/>
        <v>53.121774949798457</v>
      </c>
      <c r="AA159" s="47">
        <f t="shared" si="181"/>
        <v>52.796770206058135</v>
      </c>
      <c r="AB159" s="7">
        <v>26</v>
      </c>
      <c r="AC159" s="44" t="str">
        <f t="shared" si="155"/>
        <v>2</v>
      </c>
      <c r="AD159" s="44" t="str">
        <f t="shared" si="156"/>
        <v>2컷원점</v>
      </c>
      <c r="AE159" s="44" t="str">
        <f t="shared" si="157"/>
        <v>2</v>
      </c>
      <c r="AF159" s="44" t="str">
        <f t="shared" si="158"/>
        <v>2</v>
      </c>
      <c r="AG159" s="44" t="str">
        <f t="shared" si="159"/>
        <v>2</v>
      </c>
      <c r="AH159" s="44" t="str">
        <f t="shared" si="116"/>
        <v>5</v>
      </c>
      <c r="AI159" s="44" t="str">
        <f t="shared" si="117"/>
        <v>5</v>
      </c>
      <c r="AJ159" s="44" t="str">
        <f t="shared" si="118"/>
        <v>5</v>
      </c>
      <c r="AK159" s="44" t="str">
        <f t="shared" si="119"/>
        <v>5</v>
      </c>
      <c r="AL159" s="44" t="str">
        <f t="shared" si="120"/>
        <v>5</v>
      </c>
      <c r="AM159" s="44" t="str">
        <f t="shared" si="121"/>
        <v>5</v>
      </c>
      <c r="AN159" s="44" t="str">
        <f t="shared" si="122"/>
        <v>5</v>
      </c>
      <c r="AO159" s="44" t="str">
        <f t="shared" si="123"/>
        <v>4</v>
      </c>
      <c r="AP159" s="44" t="str">
        <f t="shared" si="124"/>
        <v>5</v>
      </c>
      <c r="AQ159" s="44" t="str">
        <f t="shared" si="125"/>
        <v>5</v>
      </c>
      <c r="AR159" s="44" t="str">
        <f t="shared" si="126"/>
        <v>5</v>
      </c>
      <c r="AS159" s="44" t="str">
        <f t="shared" si="127"/>
        <v>5</v>
      </c>
      <c r="AT159" s="44" t="str">
        <f t="shared" si="128"/>
        <v>5</v>
      </c>
      <c r="AU159" s="44" t="str">
        <f t="shared" si="129"/>
        <v>5</v>
      </c>
      <c r="AV159" s="44" t="str">
        <f t="shared" si="130"/>
        <v>5</v>
      </c>
      <c r="AW159" s="44" t="str">
        <f t="shared" si="131"/>
        <v>5</v>
      </c>
      <c r="AX159" s="44" t="str">
        <f t="shared" si="132"/>
        <v>5</v>
      </c>
      <c r="AY159" s="7">
        <v>3</v>
      </c>
      <c r="AZ159" s="7">
        <v>4</v>
      </c>
    </row>
    <row r="160" spans="1:52" hidden="1" x14ac:dyDescent="0.3">
      <c r="A160" s="7">
        <v>75</v>
      </c>
      <c r="B160" s="7">
        <f t="shared" si="183"/>
        <v>89</v>
      </c>
      <c r="C160" s="7">
        <f t="shared" si="184"/>
        <v>88</v>
      </c>
      <c r="D160" s="7">
        <f t="shared" si="185"/>
        <v>92</v>
      </c>
      <c r="E160" s="7">
        <f t="shared" si="186"/>
        <v>90</v>
      </c>
      <c r="F160" s="7">
        <f t="shared" si="187"/>
        <v>89</v>
      </c>
      <c r="G160" s="7">
        <f t="shared" si="161"/>
        <v>48</v>
      </c>
      <c r="H160" s="7">
        <f t="shared" si="162"/>
        <v>46</v>
      </c>
      <c r="I160" s="7">
        <f t="shared" si="163"/>
        <v>53</v>
      </c>
      <c r="J160" s="7">
        <f t="shared" si="164"/>
        <v>53</v>
      </c>
      <c r="K160" s="7">
        <f t="shared" si="165"/>
        <v>51</v>
      </c>
      <c r="L160" s="7">
        <f t="shared" si="166"/>
        <v>51</v>
      </c>
      <c r="M160" s="7">
        <f t="shared" si="167"/>
        <v>52</v>
      </c>
      <c r="N160" s="7">
        <f t="shared" si="168"/>
        <v>62</v>
      </c>
      <c r="O160" s="7">
        <f t="shared" si="169"/>
        <v>54</v>
      </c>
      <c r="P160" s="7">
        <f t="shared" si="170"/>
        <v>54</v>
      </c>
      <c r="Q160" s="7">
        <f t="shared" si="171"/>
        <v>54</v>
      </c>
      <c r="R160" s="7">
        <f t="shared" si="172"/>
        <v>54</v>
      </c>
      <c r="S160" s="7">
        <f t="shared" si="173"/>
        <v>54</v>
      </c>
      <c r="T160" s="7">
        <f t="shared" si="174"/>
        <v>45</v>
      </c>
      <c r="U160" s="7">
        <f t="shared" si="175"/>
        <v>45</v>
      </c>
      <c r="V160" s="7">
        <f t="shared" si="176"/>
        <v>45</v>
      </c>
      <c r="W160" s="7">
        <f t="shared" si="177"/>
        <v>45</v>
      </c>
      <c r="X160" s="47">
        <f t="shared" si="178"/>
        <v>53.79040711847879</v>
      </c>
      <c r="Y160" s="47">
        <f t="shared" si="179"/>
        <v>51.077594710288224</v>
      </c>
      <c r="Z160" s="47">
        <f t="shared" si="180"/>
        <v>50.968325158705611</v>
      </c>
      <c r="AA160" s="47">
        <f t="shared" si="181"/>
        <v>50.396366481815399</v>
      </c>
      <c r="AB160" s="7">
        <v>25</v>
      </c>
      <c r="AC160" s="44" t="str">
        <f t="shared" si="155"/>
        <v>2컷원점</v>
      </c>
      <c r="AD160" s="44" t="str">
        <f t="shared" si="156"/>
        <v>3</v>
      </c>
      <c r="AE160" s="44" t="str">
        <f t="shared" si="157"/>
        <v>2</v>
      </c>
      <c r="AF160" s="44" t="str">
        <f t="shared" si="158"/>
        <v>2</v>
      </c>
      <c r="AG160" s="44" t="str">
        <f t="shared" si="159"/>
        <v>2컷원점</v>
      </c>
      <c r="AH160" s="44" t="str">
        <f t="shared" si="116"/>
        <v>5</v>
      </c>
      <c r="AI160" s="44" t="str">
        <f t="shared" si="117"/>
        <v>5</v>
      </c>
      <c r="AJ160" s="44" t="str">
        <f t="shared" si="118"/>
        <v>5</v>
      </c>
      <c r="AK160" s="44" t="str">
        <f t="shared" si="119"/>
        <v>5</v>
      </c>
      <c r="AL160" s="44" t="str">
        <f t="shared" si="120"/>
        <v>5</v>
      </c>
      <c r="AM160" s="44" t="str">
        <f t="shared" si="121"/>
        <v>5</v>
      </c>
      <c r="AN160" s="44" t="str">
        <f t="shared" si="122"/>
        <v>5</v>
      </c>
      <c r="AO160" s="44" t="str">
        <f t="shared" si="123"/>
        <v>4</v>
      </c>
      <c r="AP160" s="44" t="str">
        <f t="shared" si="124"/>
        <v>5</v>
      </c>
      <c r="AQ160" s="44" t="str">
        <f t="shared" si="125"/>
        <v>5</v>
      </c>
      <c r="AR160" s="44" t="str">
        <f t="shared" si="126"/>
        <v>5</v>
      </c>
      <c r="AS160" s="44" t="str">
        <f t="shared" si="127"/>
        <v>5</v>
      </c>
      <c r="AT160" s="44" t="str">
        <f t="shared" si="128"/>
        <v>5</v>
      </c>
      <c r="AU160" s="44" t="str">
        <f t="shared" si="129"/>
        <v>5</v>
      </c>
      <c r="AV160" s="44" t="str">
        <f t="shared" si="130"/>
        <v>5</v>
      </c>
      <c r="AW160" s="44" t="str">
        <f t="shared" si="131"/>
        <v>5</v>
      </c>
      <c r="AX160" s="44" t="str">
        <f t="shared" si="132"/>
        <v>5</v>
      </c>
      <c r="AY160" s="7">
        <v>3</v>
      </c>
      <c r="AZ160" s="7">
        <v>4</v>
      </c>
    </row>
    <row r="161" spans="1:52" hidden="1" x14ac:dyDescent="0.3">
      <c r="A161" s="7">
        <v>74</v>
      </c>
      <c r="B161" s="7">
        <f t="shared" si="183"/>
        <v>88</v>
      </c>
      <c r="C161" s="7">
        <f t="shared" si="184"/>
        <v>86</v>
      </c>
      <c r="D161" s="7">
        <f t="shared" si="185"/>
        <v>91</v>
      </c>
      <c r="E161" s="7">
        <f t="shared" si="186"/>
        <v>89</v>
      </c>
      <c r="F161" s="7">
        <f t="shared" si="187"/>
        <v>88</v>
      </c>
      <c r="G161" s="7">
        <f t="shared" si="161"/>
        <v>46</v>
      </c>
      <c r="H161" s="7">
        <f t="shared" si="162"/>
        <v>43</v>
      </c>
      <c r="I161" s="7">
        <f t="shared" si="163"/>
        <v>50</v>
      </c>
      <c r="J161" s="7">
        <f t="shared" si="164"/>
        <v>50</v>
      </c>
      <c r="K161" s="7">
        <f t="shared" si="165"/>
        <v>49</v>
      </c>
      <c r="L161" s="7">
        <f t="shared" si="166"/>
        <v>49</v>
      </c>
      <c r="M161" s="7">
        <f t="shared" si="167"/>
        <v>50</v>
      </c>
      <c r="N161" s="7">
        <f t="shared" si="168"/>
        <v>60</v>
      </c>
      <c r="O161" s="7">
        <f t="shared" si="169"/>
        <v>52</v>
      </c>
      <c r="P161" s="7">
        <f t="shared" si="170"/>
        <v>52</v>
      </c>
      <c r="Q161" s="7">
        <f t="shared" si="171"/>
        <v>52</v>
      </c>
      <c r="R161" s="7">
        <f t="shared" si="172"/>
        <v>52</v>
      </c>
      <c r="S161" s="7">
        <f t="shared" si="173"/>
        <v>52</v>
      </c>
      <c r="T161" s="7">
        <f t="shared" si="174"/>
        <v>43</v>
      </c>
      <c r="U161" s="7">
        <f t="shared" si="175"/>
        <v>43</v>
      </c>
      <c r="V161" s="7">
        <f t="shared" si="176"/>
        <v>43</v>
      </c>
      <c r="W161" s="7">
        <f t="shared" si="177"/>
        <v>43</v>
      </c>
      <c r="X161" s="47">
        <f t="shared" si="178"/>
        <v>51.79040711847879</v>
      </c>
      <c r="Y161" s="47">
        <f t="shared" si="179"/>
        <v>48.263822486938544</v>
      </c>
      <c r="Z161" s="47">
        <f t="shared" si="180"/>
        <v>48.121774949798457</v>
      </c>
      <c r="AA161" s="47">
        <f t="shared" si="181"/>
        <v>48.396366481815399</v>
      </c>
      <c r="AB161" s="7">
        <v>24</v>
      </c>
      <c r="AC161" s="44" t="str">
        <f t="shared" si="155"/>
        <v>3</v>
      </c>
      <c r="AD161" s="44" t="str">
        <f t="shared" si="156"/>
        <v>3</v>
      </c>
      <c r="AE161" s="44" t="str">
        <f t="shared" si="157"/>
        <v>2</v>
      </c>
      <c r="AF161" s="44" t="str">
        <f t="shared" si="158"/>
        <v>2컷원점</v>
      </c>
      <c r="AG161" s="44" t="str">
        <f t="shared" si="159"/>
        <v>3</v>
      </c>
      <c r="AH161" s="44" t="str">
        <f t="shared" si="116"/>
        <v>5</v>
      </c>
      <c r="AI161" s="44" t="str">
        <f t="shared" si="117"/>
        <v>5</v>
      </c>
      <c r="AJ161" s="44" t="str">
        <f t="shared" si="118"/>
        <v>5</v>
      </c>
      <c r="AK161" s="44" t="str">
        <f t="shared" si="119"/>
        <v>5</v>
      </c>
      <c r="AL161" s="44" t="str">
        <f t="shared" si="120"/>
        <v>5</v>
      </c>
      <c r="AM161" s="44" t="str">
        <f t="shared" si="121"/>
        <v>5</v>
      </c>
      <c r="AN161" s="44" t="str">
        <f t="shared" si="122"/>
        <v>5</v>
      </c>
      <c r="AO161" s="44" t="str">
        <f t="shared" si="123"/>
        <v>4컷원점</v>
      </c>
      <c r="AP161" s="44" t="str">
        <f t="shared" si="124"/>
        <v>5</v>
      </c>
      <c r="AQ161" s="44" t="str">
        <f t="shared" si="125"/>
        <v>5</v>
      </c>
      <c r="AR161" s="44" t="str">
        <f t="shared" si="126"/>
        <v>5</v>
      </c>
      <c r="AS161" s="44" t="str">
        <f t="shared" si="127"/>
        <v>5</v>
      </c>
      <c r="AT161" s="44" t="str">
        <f t="shared" si="128"/>
        <v>5</v>
      </c>
      <c r="AU161" s="44" t="str">
        <f t="shared" si="129"/>
        <v>5</v>
      </c>
      <c r="AV161" s="44" t="str">
        <f t="shared" si="130"/>
        <v>5</v>
      </c>
      <c r="AW161" s="44" t="str">
        <f t="shared" si="131"/>
        <v>5</v>
      </c>
      <c r="AX161" s="44" t="str">
        <f t="shared" si="132"/>
        <v>5</v>
      </c>
      <c r="AY161" s="7">
        <v>3</v>
      </c>
      <c r="AZ161" s="7">
        <v>5</v>
      </c>
    </row>
    <row r="162" spans="1:52" hidden="1" x14ac:dyDescent="0.3">
      <c r="A162" s="7">
        <v>73</v>
      </c>
      <c r="B162" s="7">
        <f t="shared" si="183"/>
        <v>86</v>
      </c>
      <c r="C162" s="7">
        <f t="shared" si="184"/>
        <v>85</v>
      </c>
      <c r="D162" s="7">
        <f t="shared" si="185"/>
        <v>90</v>
      </c>
      <c r="E162" s="7">
        <f t="shared" si="186"/>
        <v>88</v>
      </c>
      <c r="F162" s="7">
        <f t="shared" si="187"/>
        <v>86</v>
      </c>
      <c r="G162" s="7">
        <f t="shared" si="161"/>
        <v>43</v>
      </c>
      <c r="H162" s="7">
        <f t="shared" si="162"/>
        <v>41</v>
      </c>
      <c r="I162" s="7">
        <f t="shared" si="163"/>
        <v>48</v>
      </c>
      <c r="J162" s="7">
        <f t="shared" si="164"/>
        <v>48</v>
      </c>
      <c r="K162" s="7">
        <f t="shared" si="165"/>
        <v>47</v>
      </c>
      <c r="L162" s="7">
        <f t="shared" si="166"/>
        <v>47</v>
      </c>
      <c r="M162" s="7">
        <f t="shared" si="167"/>
        <v>48</v>
      </c>
      <c r="N162" s="7">
        <f t="shared" si="168"/>
        <v>58</v>
      </c>
      <c r="O162" s="7">
        <f t="shared" si="169"/>
        <v>50</v>
      </c>
      <c r="P162" s="7">
        <f t="shared" si="170"/>
        <v>50</v>
      </c>
      <c r="Q162" s="7">
        <f t="shared" si="171"/>
        <v>50</v>
      </c>
      <c r="R162" s="7">
        <f t="shared" si="172"/>
        <v>50</v>
      </c>
      <c r="S162" s="7">
        <f t="shared" si="173"/>
        <v>50</v>
      </c>
      <c r="T162" s="7">
        <f t="shared" si="174"/>
        <v>40</v>
      </c>
      <c r="U162" s="7">
        <f t="shared" si="175"/>
        <v>40</v>
      </c>
      <c r="V162" s="7">
        <f t="shared" si="176"/>
        <v>40</v>
      </c>
      <c r="W162" s="7">
        <f t="shared" si="177"/>
        <v>40</v>
      </c>
      <c r="X162" s="47">
        <f t="shared" si="178"/>
        <v>49.79040711847879</v>
      </c>
      <c r="Y162" s="47">
        <f t="shared" si="179"/>
        <v>46.116314192266486</v>
      </c>
      <c r="Z162" s="47">
        <f t="shared" si="180"/>
        <v>45.968325158705611</v>
      </c>
      <c r="AA162" s="47">
        <f t="shared" si="181"/>
        <v>45.995962757572663</v>
      </c>
      <c r="AB162" s="7">
        <v>23</v>
      </c>
      <c r="AC162" s="44" t="str">
        <f t="shared" si="155"/>
        <v>3</v>
      </c>
      <c r="AD162" s="44" t="str">
        <f t="shared" si="156"/>
        <v>3</v>
      </c>
      <c r="AE162" s="44" t="str">
        <f t="shared" si="157"/>
        <v>2</v>
      </c>
      <c r="AF162" s="44" t="str">
        <f t="shared" si="158"/>
        <v>3</v>
      </c>
      <c r="AG162" s="44" t="str">
        <f t="shared" si="159"/>
        <v>3</v>
      </c>
      <c r="AH162" s="44" t="str">
        <f t="shared" si="116"/>
        <v>5</v>
      </c>
      <c r="AI162" s="44" t="str">
        <f t="shared" si="117"/>
        <v>5컷원점</v>
      </c>
      <c r="AJ162" s="44" t="str">
        <f t="shared" si="118"/>
        <v>5</v>
      </c>
      <c r="AK162" s="44" t="str">
        <f t="shared" si="119"/>
        <v>5</v>
      </c>
      <c r="AL162" s="44" t="str">
        <f t="shared" si="120"/>
        <v>5</v>
      </c>
      <c r="AM162" s="44" t="str">
        <f t="shared" si="121"/>
        <v>5</v>
      </c>
      <c r="AN162" s="44" t="str">
        <f t="shared" si="122"/>
        <v>5</v>
      </c>
      <c r="AO162" s="44" t="str">
        <f t="shared" si="123"/>
        <v>5</v>
      </c>
      <c r="AP162" s="44" t="str">
        <f t="shared" si="124"/>
        <v>5</v>
      </c>
      <c r="AQ162" s="44" t="str">
        <f t="shared" si="125"/>
        <v>5</v>
      </c>
      <c r="AR162" s="44" t="str">
        <f t="shared" si="126"/>
        <v>5</v>
      </c>
      <c r="AS162" s="44" t="str">
        <f t="shared" si="127"/>
        <v>5</v>
      </c>
      <c r="AT162" s="44" t="str">
        <f t="shared" si="128"/>
        <v>5</v>
      </c>
      <c r="AU162" s="44" t="str">
        <f t="shared" si="129"/>
        <v>5컷원점</v>
      </c>
      <c r="AV162" s="44" t="str">
        <f t="shared" si="130"/>
        <v>5컷원점</v>
      </c>
      <c r="AW162" s="44" t="str">
        <f t="shared" si="131"/>
        <v>5컷원점</v>
      </c>
      <c r="AX162" s="44" t="str">
        <f t="shared" si="132"/>
        <v>5컷원점</v>
      </c>
      <c r="AY162" s="7">
        <v>3</v>
      </c>
      <c r="AZ162" s="7">
        <v>5</v>
      </c>
    </row>
    <row r="163" spans="1:52" hidden="1" x14ac:dyDescent="0.3">
      <c r="A163" s="7">
        <v>72</v>
      </c>
      <c r="B163" s="7">
        <f t="shared" si="183"/>
        <v>85</v>
      </c>
      <c r="C163" s="7">
        <f t="shared" si="184"/>
        <v>83</v>
      </c>
      <c r="D163" s="7">
        <f t="shared" si="185"/>
        <v>90</v>
      </c>
      <c r="E163" s="7">
        <f t="shared" si="186"/>
        <v>87</v>
      </c>
      <c r="F163" s="7">
        <f t="shared" si="187"/>
        <v>85</v>
      </c>
      <c r="G163" s="7">
        <f t="shared" si="161"/>
        <v>40</v>
      </c>
      <c r="H163" s="7">
        <f t="shared" si="162"/>
        <v>39</v>
      </c>
      <c r="I163" s="7">
        <f t="shared" si="163"/>
        <v>45</v>
      </c>
      <c r="J163" s="7">
        <f t="shared" si="164"/>
        <v>45</v>
      </c>
      <c r="K163" s="7">
        <f t="shared" si="165"/>
        <v>46</v>
      </c>
      <c r="L163" s="7">
        <f t="shared" si="166"/>
        <v>46</v>
      </c>
      <c r="M163" s="7">
        <f t="shared" si="167"/>
        <v>46</v>
      </c>
      <c r="N163" s="7">
        <f t="shared" si="168"/>
        <v>55</v>
      </c>
      <c r="O163" s="7">
        <f t="shared" si="169"/>
        <v>48</v>
      </c>
      <c r="P163" s="7">
        <f t="shared" si="170"/>
        <v>48</v>
      </c>
      <c r="Q163" s="7">
        <f t="shared" si="171"/>
        <v>48</v>
      </c>
      <c r="R163" s="7">
        <f t="shared" si="172"/>
        <v>48</v>
      </c>
      <c r="S163" s="7">
        <f t="shared" si="173"/>
        <v>48</v>
      </c>
      <c r="T163" s="7">
        <f t="shared" si="174"/>
        <v>38</v>
      </c>
      <c r="U163" s="7">
        <f t="shared" si="175"/>
        <v>38</v>
      </c>
      <c r="V163" s="7">
        <f t="shared" si="176"/>
        <v>38</v>
      </c>
      <c r="W163" s="7">
        <f t="shared" si="177"/>
        <v>38</v>
      </c>
      <c r="X163" s="47">
        <f t="shared" si="178"/>
        <v>47.958191126279864</v>
      </c>
      <c r="Y163" s="47">
        <f t="shared" si="179"/>
        <v>43.33516846561546</v>
      </c>
      <c r="Z163" s="47">
        <f t="shared" si="180"/>
        <v>43.148957428109917</v>
      </c>
      <c r="AA163" s="47">
        <f t="shared" si="181"/>
        <v>43.995962757572663</v>
      </c>
      <c r="AB163" s="7">
        <v>22</v>
      </c>
      <c r="AC163" s="44" t="str">
        <f t="shared" si="155"/>
        <v>3</v>
      </c>
      <c r="AD163" s="44" t="str">
        <f t="shared" si="156"/>
        <v>3</v>
      </c>
      <c r="AE163" s="44" t="str">
        <f t="shared" si="157"/>
        <v>2</v>
      </c>
      <c r="AF163" s="44" t="str">
        <f t="shared" si="158"/>
        <v>3</v>
      </c>
      <c r="AG163" s="44" t="str">
        <f t="shared" si="159"/>
        <v>3</v>
      </c>
      <c r="AH163" s="44" t="str">
        <f t="shared" si="116"/>
        <v>5컷원점</v>
      </c>
      <c r="AI163" s="44" t="str">
        <f t="shared" si="117"/>
        <v>6</v>
      </c>
      <c r="AJ163" s="44" t="str">
        <f t="shared" si="118"/>
        <v>5</v>
      </c>
      <c r="AK163" s="44" t="str">
        <f t="shared" si="119"/>
        <v>5</v>
      </c>
      <c r="AL163" s="44" t="str">
        <f t="shared" si="120"/>
        <v>5</v>
      </c>
      <c r="AM163" s="44" t="str">
        <f t="shared" si="121"/>
        <v>5</v>
      </c>
      <c r="AN163" s="44" t="str">
        <f t="shared" si="122"/>
        <v>5</v>
      </c>
      <c r="AO163" s="44" t="str">
        <f t="shared" si="123"/>
        <v>5</v>
      </c>
      <c r="AP163" s="44" t="str">
        <f t="shared" si="124"/>
        <v>5</v>
      </c>
      <c r="AQ163" s="44" t="str">
        <f t="shared" si="125"/>
        <v>5</v>
      </c>
      <c r="AR163" s="44" t="str">
        <f t="shared" si="126"/>
        <v>5</v>
      </c>
      <c r="AS163" s="44" t="str">
        <f t="shared" si="127"/>
        <v>5</v>
      </c>
      <c r="AT163" s="44" t="str">
        <f t="shared" si="128"/>
        <v>5</v>
      </c>
      <c r="AU163" s="44" t="str">
        <f t="shared" si="129"/>
        <v>6</v>
      </c>
      <c r="AV163" s="44" t="str">
        <f t="shared" si="130"/>
        <v>6</v>
      </c>
      <c r="AW163" s="44" t="str">
        <f t="shared" si="131"/>
        <v>6</v>
      </c>
      <c r="AX163" s="44" t="str">
        <f t="shared" si="132"/>
        <v>6</v>
      </c>
      <c r="AY163" s="7">
        <v>3</v>
      </c>
      <c r="AZ163" s="7">
        <v>5</v>
      </c>
    </row>
    <row r="164" spans="1:52" hidden="1" x14ac:dyDescent="0.3">
      <c r="A164" s="7">
        <v>71</v>
      </c>
      <c r="B164" s="7">
        <f t="shared" si="183"/>
        <v>83</v>
      </c>
      <c r="C164" s="7">
        <f t="shared" si="184"/>
        <v>82</v>
      </c>
      <c r="D164" s="7">
        <f t="shared" si="185"/>
        <v>89</v>
      </c>
      <c r="E164" s="7">
        <f t="shared" si="186"/>
        <v>86</v>
      </c>
      <c r="F164" s="7">
        <f t="shared" si="187"/>
        <v>84</v>
      </c>
      <c r="G164" s="7">
        <f t="shared" si="161"/>
        <v>37</v>
      </c>
      <c r="H164" s="7">
        <f t="shared" si="162"/>
        <v>37</v>
      </c>
      <c r="I164" s="7">
        <f t="shared" si="163"/>
        <v>43</v>
      </c>
      <c r="J164" s="7">
        <f t="shared" si="164"/>
        <v>43</v>
      </c>
      <c r="K164" s="7">
        <f t="shared" si="165"/>
        <v>44</v>
      </c>
      <c r="L164" s="7">
        <f t="shared" si="166"/>
        <v>44</v>
      </c>
      <c r="M164" s="7">
        <f t="shared" si="167"/>
        <v>45</v>
      </c>
      <c r="N164" s="7">
        <f t="shared" si="168"/>
        <v>53</v>
      </c>
      <c r="O164" s="7">
        <f t="shared" si="169"/>
        <v>46</v>
      </c>
      <c r="P164" s="7">
        <f t="shared" si="170"/>
        <v>46</v>
      </c>
      <c r="Q164" s="7">
        <f t="shared" si="171"/>
        <v>46</v>
      </c>
      <c r="R164" s="7">
        <f t="shared" si="172"/>
        <v>46</v>
      </c>
      <c r="S164" s="7">
        <f t="shared" si="173"/>
        <v>46</v>
      </c>
      <c r="T164" s="7">
        <f t="shared" si="174"/>
        <v>35</v>
      </c>
      <c r="U164" s="7">
        <f t="shared" si="175"/>
        <v>35</v>
      </c>
      <c r="V164" s="7">
        <f t="shared" si="176"/>
        <v>35</v>
      </c>
      <c r="W164" s="7">
        <f t="shared" si="177"/>
        <v>35</v>
      </c>
      <c r="X164" s="47">
        <f t="shared" si="178"/>
        <v>46.355253534861042</v>
      </c>
      <c r="Y164" s="47">
        <f t="shared" si="179"/>
        <v>41.203034221716699</v>
      </c>
      <c r="Z164" s="47">
        <f t="shared" si="180"/>
        <v>40.99550763701707</v>
      </c>
      <c r="AA164" s="47">
        <f t="shared" si="181"/>
        <v>41.595559033329934</v>
      </c>
      <c r="AB164" s="7">
        <v>21</v>
      </c>
      <c r="AC164" s="44" t="str">
        <f t="shared" si="155"/>
        <v>3</v>
      </c>
      <c r="AD164" s="44" t="str">
        <f t="shared" si="156"/>
        <v>3</v>
      </c>
      <c r="AE164" s="44" t="str">
        <f t="shared" si="157"/>
        <v>2컷원점</v>
      </c>
      <c r="AF164" s="44" t="str">
        <f t="shared" si="158"/>
        <v>3</v>
      </c>
      <c r="AG164" s="44" t="str">
        <f t="shared" si="159"/>
        <v>3</v>
      </c>
      <c r="AH164" s="44" t="str">
        <f t="shared" si="116"/>
        <v>6</v>
      </c>
      <c r="AI164" s="44" t="str">
        <f t="shared" si="117"/>
        <v>6</v>
      </c>
      <c r="AJ164" s="44" t="str">
        <f t="shared" si="118"/>
        <v>5</v>
      </c>
      <c r="AK164" s="44" t="str">
        <f t="shared" si="119"/>
        <v>5</v>
      </c>
      <c r="AL164" s="44" t="str">
        <f t="shared" si="120"/>
        <v>5</v>
      </c>
      <c r="AM164" s="44" t="str">
        <f t="shared" si="121"/>
        <v>5</v>
      </c>
      <c r="AN164" s="44" t="str">
        <f t="shared" si="122"/>
        <v>5</v>
      </c>
      <c r="AO164" s="44" t="str">
        <f t="shared" si="123"/>
        <v>5</v>
      </c>
      <c r="AP164" s="44" t="str">
        <f t="shared" si="124"/>
        <v>5</v>
      </c>
      <c r="AQ164" s="44" t="str">
        <f t="shared" si="125"/>
        <v>5</v>
      </c>
      <c r="AR164" s="44" t="str">
        <f t="shared" si="126"/>
        <v>5</v>
      </c>
      <c r="AS164" s="44" t="str">
        <f t="shared" si="127"/>
        <v>5</v>
      </c>
      <c r="AT164" s="44" t="str">
        <f t="shared" si="128"/>
        <v>5</v>
      </c>
      <c r="AU164" s="44" t="str">
        <f t="shared" si="129"/>
        <v>6</v>
      </c>
      <c r="AV164" s="44" t="str">
        <f t="shared" si="130"/>
        <v>6</v>
      </c>
      <c r="AW164" s="44" t="str">
        <f t="shared" si="131"/>
        <v>6</v>
      </c>
      <c r="AX164" s="44" t="str">
        <f t="shared" si="132"/>
        <v>6</v>
      </c>
      <c r="AY164" s="7">
        <v>3</v>
      </c>
      <c r="AZ164" s="7">
        <v>5</v>
      </c>
    </row>
    <row r="165" spans="1:52" hidden="1" x14ac:dyDescent="0.3">
      <c r="A165" s="7">
        <v>70</v>
      </c>
      <c r="B165" s="7">
        <f t="shared" si="183"/>
        <v>82</v>
      </c>
      <c r="C165" s="7">
        <f t="shared" si="184"/>
        <v>80</v>
      </c>
      <c r="D165" s="7">
        <f t="shared" si="185"/>
        <v>88</v>
      </c>
      <c r="E165" s="7">
        <f t="shared" si="186"/>
        <v>85</v>
      </c>
      <c r="F165" s="7">
        <f t="shared" si="187"/>
        <v>83</v>
      </c>
      <c r="G165" s="7">
        <f t="shared" si="161"/>
        <v>34</v>
      </c>
      <c r="H165" s="7">
        <f t="shared" si="162"/>
        <v>35</v>
      </c>
      <c r="I165" s="7">
        <f t="shared" si="163"/>
        <v>40</v>
      </c>
      <c r="J165" s="7">
        <f t="shared" si="164"/>
        <v>40</v>
      </c>
      <c r="K165" s="7">
        <f t="shared" si="165"/>
        <v>42</v>
      </c>
      <c r="L165" s="7">
        <f t="shared" si="166"/>
        <v>42</v>
      </c>
      <c r="M165" s="7">
        <f t="shared" si="167"/>
        <v>43</v>
      </c>
      <c r="N165" s="7">
        <f t="shared" si="168"/>
        <v>50</v>
      </c>
      <c r="O165" s="7">
        <f t="shared" si="169"/>
        <v>44</v>
      </c>
      <c r="P165" s="7">
        <f t="shared" si="170"/>
        <v>44</v>
      </c>
      <c r="Q165" s="7">
        <f t="shared" si="171"/>
        <v>44</v>
      </c>
      <c r="R165" s="7">
        <f t="shared" si="172"/>
        <v>44</v>
      </c>
      <c r="S165" s="7">
        <f t="shared" si="173"/>
        <v>44</v>
      </c>
      <c r="T165" s="7">
        <f t="shared" si="174"/>
        <v>33</v>
      </c>
      <c r="U165" s="7">
        <f t="shared" si="175"/>
        <v>33</v>
      </c>
      <c r="V165" s="7">
        <f t="shared" si="176"/>
        <v>33</v>
      </c>
      <c r="W165" s="7">
        <f t="shared" si="177"/>
        <v>33</v>
      </c>
      <c r="X165" s="47">
        <f t="shared" si="178"/>
        <v>44.137676743052168</v>
      </c>
      <c r="Y165" s="47">
        <f t="shared" si="179"/>
        <v>38.406967524530046</v>
      </c>
      <c r="Z165" s="47">
        <f t="shared" si="180"/>
        <v>38.176139906421376</v>
      </c>
      <c r="AA165" s="47">
        <f t="shared" si="181"/>
        <v>39.595559033329934</v>
      </c>
      <c r="AB165" s="7">
        <v>20</v>
      </c>
      <c r="AC165" s="44" t="str">
        <f t="shared" si="155"/>
        <v>3</v>
      </c>
      <c r="AD165" s="44" t="str">
        <f t="shared" si="156"/>
        <v>3</v>
      </c>
      <c r="AE165" s="44" t="str">
        <f t="shared" si="157"/>
        <v>3</v>
      </c>
      <c r="AF165" s="44" t="str">
        <f t="shared" si="158"/>
        <v>3</v>
      </c>
      <c r="AG165" s="44" t="str">
        <f t="shared" si="159"/>
        <v>3</v>
      </c>
      <c r="AH165" s="44" t="str">
        <f t="shared" si="116"/>
        <v>6</v>
      </c>
      <c r="AI165" s="44" t="str">
        <f t="shared" si="117"/>
        <v>6</v>
      </c>
      <c r="AJ165" s="44" t="str">
        <f t="shared" si="118"/>
        <v>5컷원점</v>
      </c>
      <c r="AK165" s="44" t="str">
        <f t="shared" si="119"/>
        <v>5컷원점</v>
      </c>
      <c r="AL165" s="44" t="str">
        <f t="shared" si="120"/>
        <v>5</v>
      </c>
      <c r="AM165" s="44" t="str">
        <f t="shared" si="121"/>
        <v>5</v>
      </c>
      <c r="AN165" s="44" t="str">
        <f t="shared" si="122"/>
        <v>5</v>
      </c>
      <c r="AO165" s="44" t="str">
        <f t="shared" si="123"/>
        <v>5</v>
      </c>
      <c r="AP165" s="44" t="str">
        <f t="shared" si="124"/>
        <v>5</v>
      </c>
      <c r="AQ165" s="44" t="str">
        <f t="shared" si="125"/>
        <v>5</v>
      </c>
      <c r="AR165" s="44" t="str">
        <f t="shared" si="126"/>
        <v>5</v>
      </c>
      <c r="AS165" s="44" t="str">
        <f t="shared" si="127"/>
        <v>5</v>
      </c>
      <c r="AT165" s="44" t="str">
        <f t="shared" si="128"/>
        <v>5</v>
      </c>
      <c r="AU165" s="44" t="str">
        <f t="shared" si="129"/>
        <v>6</v>
      </c>
      <c r="AV165" s="44" t="str">
        <f t="shared" si="130"/>
        <v>6</v>
      </c>
      <c r="AW165" s="44" t="str">
        <f t="shared" si="131"/>
        <v>6</v>
      </c>
      <c r="AX165" s="44" t="str">
        <f t="shared" si="132"/>
        <v>6</v>
      </c>
      <c r="AY165" s="7">
        <v>3</v>
      </c>
      <c r="AZ165" s="7">
        <v>5</v>
      </c>
    </row>
    <row r="166" spans="1:52" hidden="1" x14ac:dyDescent="0.3">
      <c r="A166" s="7">
        <v>69</v>
      </c>
      <c r="B166" s="7">
        <f t="shared" si="183"/>
        <v>80</v>
      </c>
      <c r="C166" s="7">
        <f t="shared" si="184"/>
        <v>79</v>
      </c>
      <c r="D166" s="7">
        <f t="shared" si="185"/>
        <v>86</v>
      </c>
      <c r="E166" s="7">
        <f t="shared" si="186"/>
        <v>84</v>
      </c>
      <c r="F166" s="7">
        <f t="shared" si="187"/>
        <v>81</v>
      </c>
      <c r="G166" s="7">
        <f t="shared" si="161"/>
        <v>32</v>
      </c>
      <c r="H166" s="7">
        <f t="shared" si="162"/>
        <v>33</v>
      </c>
      <c r="I166" s="7">
        <f t="shared" si="163"/>
        <v>37</v>
      </c>
      <c r="J166" s="7">
        <f t="shared" si="164"/>
        <v>36</v>
      </c>
      <c r="K166" s="7">
        <f t="shared" si="165"/>
        <v>40</v>
      </c>
      <c r="L166" s="7">
        <f t="shared" si="166"/>
        <v>40</v>
      </c>
      <c r="M166" s="7">
        <f t="shared" si="167"/>
        <v>41</v>
      </c>
      <c r="N166" s="7">
        <f t="shared" si="168"/>
        <v>48</v>
      </c>
      <c r="O166" s="7">
        <f t="shared" si="169"/>
        <v>42</v>
      </c>
      <c r="P166" s="7">
        <f t="shared" si="170"/>
        <v>42</v>
      </c>
      <c r="Q166" s="7">
        <f t="shared" si="171"/>
        <v>42</v>
      </c>
      <c r="R166" s="7">
        <f t="shared" si="172"/>
        <v>42</v>
      </c>
      <c r="S166" s="7">
        <f t="shared" si="173"/>
        <v>42</v>
      </c>
      <c r="T166" s="7">
        <f t="shared" si="174"/>
        <v>30</v>
      </c>
      <c r="U166" s="7">
        <f t="shared" si="175"/>
        <v>30</v>
      </c>
      <c r="V166" s="7">
        <f t="shared" si="176"/>
        <v>30</v>
      </c>
      <c r="W166" s="7">
        <f t="shared" si="177"/>
        <v>30</v>
      </c>
      <c r="X166" s="47">
        <f t="shared" si="178"/>
        <v>42.137676743052168</v>
      </c>
      <c r="Y166" s="47">
        <f t="shared" si="179"/>
        <v>35.444625099701248</v>
      </c>
      <c r="Z166" s="47">
        <f t="shared" si="180"/>
        <v>35.175035226999348</v>
      </c>
      <c r="AA166" s="47">
        <f t="shared" si="181"/>
        <v>37.195155309087198</v>
      </c>
      <c r="AB166" s="7">
        <v>19</v>
      </c>
      <c r="AC166" s="44" t="str">
        <f t="shared" si="155"/>
        <v>3</v>
      </c>
      <c r="AD166" s="44" t="str">
        <f t="shared" si="156"/>
        <v>3</v>
      </c>
      <c r="AE166" s="44" t="str">
        <f t="shared" si="157"/>
        <v>3</v>
      </c>
      <c r="AF166" s="44" t="str">
        <f t="shared" si="158"/>
        <v>3</v>
      </c>
      <c r="AG166" s="44" t="str">
        <f t="shared" si="159"/>
        <v>3</v>
      </c>
      <c r="AH166" s="44" t="str">
        <f t="shared" si="116"/>
        <v>6</v>
      </c>
      <c r="AI166" s="44" t="str">
        <f t="shared" si="117"/>
        <v>6</v>
      </c>
      <c r="AJ166" s="44" t="str">
        <f t="shared" si="118"/>
        <v>6</v>
      </c>
      <c r="AK166" s="44" t="str">
        <f t="shared" si="119"/>
        <v>6</v>
      </c>
      <c r="AL166" s="44" t="str">
        <f t="shared" si="120"/>
        <v>5컷원점</v>
      </c>
      <c r="AM166" s="44" t="str">
        <f t="shared" si="121"/>
        <v>5컷원점</v>
      </c>
      <c r="AN166" s="44" t="str">
        <f t="shared" si="122"/>
        <v>5</v>
      </c>
      <c r="AO166" s="44" t="str">
        <f t="shared" si="123"/>
        <v>5</v>
      </c>
      <c r="AP166" s="44" t="str">
        <f t="shared" si="124"/>
        <v>5</v>
      </c>
      <c r="AQ166" s="44" t="str">
        <f t="shared" si="125"/>
        <v>5</v>
      </c>
      <c r="AR166" s="44" t="str">
        <f t="shared" si="126"/>
        <v>5</v>
      </c>
      <c r="AS166" s="44" t="str">
        <f t="shared" si="127"/>
        <v>5</v>
      </c>
      <c r="AT166" s="44" t="str">
        <f t="shared" si="128"/>
        <v>5</v>
      </c>
      <c r="AU166" s="44" t="str">
        <f t="shared" si="129"/>
        <v>6</v>
      </c>
      <c r="AV166" s="44" t="str">
        <f t="shared" si="130"/>
        <v>6</v>
      </c>
      <c r="AW166" s="44" t="str">
        <f t="shared" si="131"/>
        <v>6</v>
      </c>
      <c r="AX166" s="44" t="str">
        <f t="shared" si="132"/>
        <v>6</v>
      </c>
      <c r="AY166" s="7">
        <v>4</v>
      </c>
      <c r="AZ166" s="7">
        <v>6</v>
      </c>
    </row>
    <row r="167" spans="1:52" hidden="1" x14ac:dyDescent="0.3">
      <c r="A167" s="7">
        <v>68</v>
      </c>
      <c r="B167" s="7">
        <f t="shared" si="183"/>
        <v>79</v>
      </c>
      <c r="C167" s="7">
        <f t="shared" si="184"/>
        <v>77</v>
      </c>
      <c r="D167" s="7">
        <f t="shared" si="185"/>
        <v>85</v>
      </c>
      <c r="E167" s="7">
        <f t="shared" si="186"/>
        <v>82</v>
      </c>
      <c r="F167" s="7">
        <f t="shared" si="187"/>
        <v>80</v>
      </c>
      <c r="G167" s="7">
        <f t="shared" si="161"/>
        <v>29</v>
      </c>
      <c r="H167" s="7">
        <f t="shared" si="162"/>
        <v>31</v>
      </c>
      <c r="I167" s="7">
        <f t="shared" si="163"/>
        <v>34</v>
      </c>
      <c r="J167" s="7">
        <f t="shared" si="164"/>
        <v>31</v>
      </c>
      <c r="K167" s="7">
        <f t="shared" si="165"/>
        <v>37</v>
      </c>
      <c r="L167" s="7">
        <f t="shared" si="166"/>
        <v>38</v>
      </c>
      <c r="M167" s="7">
        <f t="shared" si="167"/>
        <v>40</v>
      </c>
      <c r="N167" s="7">
        <f t="shared" si="168"/>
        <v>45</v>
      </c>
      <c r="O167" s="7">
        <f t="shared" si="169"/>
        <v>40</v>
      </c>
      <c r="P167" s="7">
        <f t="shared" si="170"/>
        <v>40</v>
      </c>
      <c r="Q167" s="7">
        <f t="shared" si="171"/>
        <v>40</v>
      </c>
      <c r="R167" s="7">
        <f t="shared" si="172"/>
        <v>40</v>
      </c>
      <c r="S167" s="7">
        <f t="shared" si="173"/>
        <v>40</v>
      </c>
      <c r="T167" s="7">
        <f t="shared" si="174"/>
        <v>28</v>
      </c>
      <c r="U167" s="7">
        <f t="shared" si="175"/>
        <v>28</v>
      </c>
      <c r="V167" s="7">
        <f t="shared" si="176"/>
        <v>28</v>
      </c>
      <c r="W167" s="7">
        <f t="shared" si="177"/>
        <v>28</v>
      </c>
      <c r="X167" s="47">
        <f t="shared" si="178"/>
        <v>40.133959044368602</v>
      </c>
      <c r="Y167" s="47">
        <f t="shared" si="179"/>
        <v>32.012421949849681</v>
      </c>
      <c r="Z167" s="47">
        <f t="shared" si="180"/>
        <v>31.685294016565283</v>
      </c>
      <c r="AA167" s="47">
        <f t="shared" si="181"/>
        <v>35.195155309087198</v>
      </c>
      <c r="AB167" s="7">
        <v>18</v>
      </c>
      <c r="AC167" s="44" t="str">
        <f t="shared" si="155"/>
        <v>3</v>
      </c>
      <c r="AD167" s="44" t="str">
        <f t="shared" si="156"/>
        <v>3컷원점</v>
      </c>
      <c r="AE167" s="44" t="str">
        <f t="shared" si="157"/>
        <v>3</v>
      </c>
      <c r="AF167" s="44" t="str">
        <f t="shared" si="158"/>
        <v>3</v>
      </c>
      <c r="AG167" s="44" t="str">
        <f t="shared" si="159"/>
        <v>3</v>
      </c>
      <c r="AH167" s="44" t="str">
        <f t="shared" si="116"/>
        <v>6</v>
      </c>
      <c r="AI167" s="44" t="str">
        <f t="shared" si="117"/>
        <v>6</v>
      </c>
      <c r="AJ167" s="44" t="str">
        <f t="shared" si="118"/>
        <v>6</v>
      </c>
      <c r="AK167" s="44" t="str">
        <f t="shared" si="119"/>
        <v>6</v>
      </c>
      <c r="AL167" s="44" t="str">
        <f t="shared" si="120"/>
        <v>6</v>
      </c>
      <c r="AM167" s="44" t="str">
        <f t="shared" si="121"/>
        <v>6</v>
      </c>
      <c r="AN167" s="44" t="str">
        <f t="shared" si="122"/>
        <v>5컷원점</v>
      </c>
      <c r="AO167" s="44" t="str">
        <f t="shared" si="123"/>
        <v>5</v>
      </c>
      <c r="AP167" s="44" t="str">
        <f t="shared" si="124"/>
        <v>5컷원점</v>
      </c>
      <c r="AQ167" s="44" t="str">
        <f t="shared" si="125"/>
        <v>5컷원점</v>
      </c>
      <c r="AR167" s="44" t="str">
        <f t="shared" si="126"/>
        <v>5컷원점</v>
      </c>
      <c r="AS167" s="44" t="str">
        <f t="shared" si="127"/>
        <v>5컷원점</v>
      </c>
      <c r="AT167" s="44" t="str">
        <f t="shared" si="128"/>
        <v>5컷원점</v>
      </c>
      <c r="AU167" s="44" t="str">
        <f t="shared" si="129"/>
        <v>6</v>
      </c>
      <c r="AV167" s="44" t="str">
        <f t="shared" si="130"/>
        <v>6</v>
      </c>
      <c r="AW167" s="44" t="str">
        <f t="shared" si="131"/>
        <v>6</v>
      </c>
      <c r="AX167" s="44" t="str">
        <f t="shared" si="132"/>
        <v>6</v>
      </c>
      <c r="AY167" s="7">
        <v>4</v>
      </c>
      <c r="AZ167" s="7">
        <v>6</v>
      </c>
    </row>
    <row r="168" spans="1:52" hidden="1" x14ac:dyDescent="0.3">
      <c r="A168" s="7">
        <v>67</v>
      </c>
      <c r="B168" s="7">
        <f t="shared" si="183"/>
        <v>77</v>
      </c>
      <c r="C168" s="7">
        <f t="shared" si="184"/>
        <v>75</v>
      </c>
      <c r="D168" s="7">
        <f t="shared" si="185"/>
        <v>84</v>
      </c>
      <c r="E168" s="7">
        <f t="shared" si="186"/>
        <v>81</v>
      </c>
      <c r="F168" s="7">
        <f t="shared" si="187"/>
        <v>79</v>
      </c>
      <c r="G168" s="7">
        <f t="shared" si="161"/>
        <v>26</v>
      </c>
      <c r="H168" s="7">
        <f t="shared" si="162"/>
        <v>28</v>
      </c>
      <c r="I168" s="7">
        <f t="shared" si="163"/>
        <v>32</v>
      </c>
      <c r="J168" s="7">
        <f t="shared" si="164"/>
        <v>27</v>
      </c>
      <c r="K168" s="7">
        <f t="shared" si="165"/>
        <v>33</v>
      </c>
      <c r="L168" s="7">
        <f t="shared" si="166"/>
        <v>35</v>
      </c>
      <c r="M168" s="7">
        <f t="shared" si="167"/>
        <v>37</v>
      </c>
      <c r="N168" s="7">
        <f t="shared" si="168"/>
        <v>43</v>
      </c>
      <c r="O168" s="7">
        <f t="shared" si="169"/>
        <v>37</v>
      </c>
      <c r="P168" s="7">
        <f t="shared" si="170"/>
        <v>37</v>
      </c>
      <c r="Q168" s="7">
        <f t="shared" si="171"/>
        <v>37</v>
      </c>
      <c r="R168" s="7">
        <f t="shared" si="172"/>
        <v>37</v>
      </c>
      <c r="S168" s="7">
        <f t="shared" si="173"/>
        <v>37</v>
      </c>
      <c r="T168" s="7">
        <f t="shared" si="174"/>
        <v>26</v>
      </c>
      <c r="U168" s="7">
        <f t="shared" si="175"/>
        <v>26</v>
      </c>
      <c r="V168" s="7">
        <f t="shared" si="176"/>
        <v>26</v>
      </c>
      <c r="W168" s="7">
        <f t="shared" si="177"/>
        <v>26</v>
      </c>
      <c r="X168" s="47">
        <f t="shared" si="178"/>
        <v>37.168332520721599</v>
      </c>
      <c r="Y168" s="47">
        <f t="shared" si="179"/>
        <v>29.009469848926059</v>
      </c>
      <c r="Z168" s="47">
        <f t="shared" si="180"/>
        <v>28.680838476229752</v>
      </c>
      <c r="AA168" s="47">
        <f t="shared" si="181"/>
        <v>32.595559033329934</v>
      </c>
      <c r="AB168" s="7">
        <v>17</v>
      </c>
      <c r="AC168" s="44" t="str">
        <f t="shared" si="155"/>
        <v>3컷원점</v>
      </c>
      <c r="AD168" s="44" t="str">
        <f t="shared" si="156"/>
        <v>4</v>
      </c>
      <c r="AE168" s="44" t="str">
        <f t="shared" si="157"/>
        <v>3</v>
      </c>
      <c r="AF168" s="44" t="str">
        <f t="shared" si="158"/>
        <v>3</v>
      </c>
      <c r="AG168" s="44" t="str">
        <f t="shared" si="159"/>
        <v>3</v>
      </c>
      <c r="AH168" s="44" t="str">
        <f t="shared" si="116"/>
        <v>6</v>
      </c>
      <c r="AI168" s="44" t="str">
        <f t="shared" si="117"/>
        <v>6</v>
      </c>
      <c r="AJ168" s="44" t="str">
        <f t="shared" si="118"/>
        <v>6</v>
      </c>
      <c r="AK168" s="44" t="str">
        <f t="shared" si="119"/>
        <v>6</v>
      </c>
      <c r="AL168" s="44" t="str">
        <f t="shared" si="120"/>
        <v>6</v>
      </c>
      <c r="AM168" s="44" t="str">
        <f t="shared" si="121"/>
        <v>6</v>
      </c>
      <c r="AN168" s="44" t="str">
        <f t="shared" si="122"/>
        <v>6</v>
      </c>
      <c r="AO168" s="44" t="str">
        <f t="shared" si="123"/>
        <v>5</v>
      </c>
      <c r="AP168" s="44" t="str">
        <f t="shared" si="124"/>
        <v>6</v>
      </c>
      <c r="AQ168" s="44" t="str">
        <f t="shared" si="125"/>
        <v>6</v>
      </c>
      <c r="AR168" s="44" t="str">
        <f t="shared" si="126"/>
        <v>6</v>
      </c>
      <c r="AS168" s="44" t="str">
        <f t="shared" si="127"/>
        <v>6</v>
      </c>
      <c r="AT168" s="44" t="str">
        <f t="shared" si="128"/>
        <v>6</v>
      </c>
      <c r="AU168" s="44" t="str">
        <f t="shared" si="129"/>
        <v>6</v>
      </c>
      <c r="AV168" s="44" t="str">
        <f t="shared" si="130"/>
        <v>6</v>
      </c>
      <c r="AW168" s="44" t="str">
        <f t="shared" si="131"/>
        <v>6</v>
      </c>
      <c r="AX168" s="44" t="str">
        <f t="shared" si="132"/>
        <v>6</v>
      </c>
      <c r="AY168" s="7">
        <v>4</v>
      </c>
      <c r="AZ168" s="7">
        <v>6</v>
      </c>
    </row>
    <row r="169" spans="1:52" hidden="1" x14ac:dyDescent="0.3">
      <c r="A169" s="7">
        <v>66</v>
      </c>
      <c r="B169" s="7">
        <f t="shared" si="183"/>
        <v>75</v>
      </c>
      <c r="C169" s="7">
        <f t="shared" si="184"/>
        <v>73</v>
      </c>
      <c r="D169" s="7">
        <f t="shared" si="185"/>
        <v>83</v>
      </c>
      <c r="E169" s="7">
        <f t="shared" si="186"/>
        <v>80</v>
      </c>
      <c r="F169" s="7">
        <f t="shared" si="187"/>
        <v>77</v>
      </c>
      <c r="G169" s="7">
        <f t="shared" si="161"/>
        <v>23</v>
      </c>
      <c r="H169" s="7">
        <f t="shared" si="162"/>
        <v>26</v>
      </c>
      <c r="I169" s="7">
        <f t="shared" si="163"/>
        <v>29</v>
      </c>
      <c r="J169" s="7">
        <f t="shared" si="164"/>
        <v>23</v>
      </c>
      <c r="K169" s="7">
        <f t="shared" si="165"/>
        <v>30</v>
      </c>
      <c r="L169" s="7">
        <f t="shared" si="166"/>
        <v>33</v>
      </c>
      <c r="M169" s="7">
        <f t="shared" si="167"/>
        <v>34</v>
      </c>
      <c r="N169" s="7">
        <f t="shared" si="168"/>
        <v>40</v>
      </c>
      <c r="O169" s="7">
        <f t="shared" si="169"/>
        <v>33</v>
      </c>
      <c r="P169" s="7">
        <f t="shared" si="170"/>
        <v>33</v>
      </c>
      <c r="Q169" s="7">
        <f t="shared" si="171"/>
        <v>33</v>
      </c>
      <c r="R169" s="7">
        <f t="shared" si="172"/>
        <v>33</v>
      </c>
      <c r="S169" s="7">
        <f t="shared" si="173"/>
        <v>33</v>
      </c>
      <c r="T169" s="7">
        <f t="shared" si="174"/>
        <v>23</v>
      </c>
      <c r="U169" s="7">
        <f t="shared" si="175"/>
        <v>23</v>
      </c>
      <c r="V169" s="7">
        <f t="shared" si="176"/>
        <v>23</v>
      </c>
      <c r="W169" s="7">
        <f t="shared" si="177"/>
        <v>23</v>
      </c>
      <c r="X169" s="47">
        <f t="shared" si="178"/>
        <v>34.37049000487567</v>
      </c>
      <c r="Y169" s="47">
        <f t="shared" si="179"/>
        <v>25.868727080511416</v>
      </c>
      <c r="Z169" s="47">
        <f t="shared" si="180"/>
        <v>25.526284005714874</v>
      </c>
      <c r="AA169" s="47">
        <f t="shared" si="181"/>
        <v>28.995962757572666</v>
      </c>
      <c r="AB169" s="7">
        <v>16</v>
      </c>
      <c r="AC169" s="44" t="str">
        <f t="shared" si="155"/>
        <v>4</v>
      </c>
      <c r="AD169" s="44" t="str">
        <f t="shared" si="156"/>
        <v>4</v>
      </c>
      <c r="AE169" s="44" t="str">
        <f t="shared" si="157"/>
        <v>3</v>
      </c>
      <c r="AF169" s="44" t="str">
        <f t="shared" si="158"/>
        <v>3</v>
      </c>
      <c r="AG169" s="44" t="str">
        <f t="shared" si="159"/>
        <v>3컷원점</v>
      </c>
      <c r="AH169" s="44" t="str">
        <f t="shared" si="116"/>
        <v>6컷원점</v>
      </c>
      <c r="AI169" s="44" t="str">
        <f t="shared" si="117"/>
        <v>6</v>
      </c>
      <c r="AJ169" s="44" t="str">
        <f t="shared" si="118"/>
        <v>6</v>
      </c>
      <c r="AK169" s="44" t="str">
        <f t="shared" si="119"/>
        <v>6컷원점</v>
      </c>
      <c r="AL169" s="44" t="str">
        <f t="shared" si="120"/>
        <v>6</v>
      </c>
      <c r="AM169" s="44" t="str">
        <f t="shared" si="121"/>
        <v>6</v>
      </c>
      <c r="AN169" s="44" t="str">
        <f t="shared" si="122"/>
        <v>6</v>
      </c>
      <c r="AO169" s="44" t="str">
        <f t="shared" si="123"/>
        <v>5컷원점</v>
      </c>
      <c r="AP169" s="44" t="str">
        <f t="shared" si="124"/>
        <v>6</v>
      </c>
      <c r="AQ169" s="44" t="str">
        <f t="shared" si="125"/>
        <v>6</v>
      </c>
      <c r="AR169" s="44" t="str">
        <f t="shared" si="126"/>
        <v>6</v>
      </c>
      <c r="AS169" s="44" t="str">
        <f t="shared" si="127"/>
        <v>6</v>
      </c>
      <c r="AT169" s="44" t="str">
        <f t="shared" si="128"/>
        <v>6</v>
      </c>
      <c r="AU169" s="44" t="str">
        <f t="shared" si="129"/>
        <v>6컷원점</v>
      </c>
      <c r="AV169" s="44" t="str">
        <f t="shared" si="130"/>
        <v>6컷원점</v>
      </c>
      <c r="AW169" s="44" t="str">
        <f t="shared" si="131"/>
        <v>6컷원점</v>
      </c>
      <c r="AX169" s="44" t="str">
        <f t="shared" si="132"/>
        <v>6컷원점</v>
      </c>
      <c r="AY169" s="7">
        <v>4</v>
      </c>
      <c r="AZ169" s="7">
        <v>6</v>
      </c>
    </row>
    <row r="170" spans="1:52" hidden="1" x14ac:dyDescent="0.3">
      <c r="A170" s="7">
        <v>65</v>
      </c>
      <c r="B170" s="7">
        <f t="shared" si="183"/>
        <v>74</v>
      </c>
      <c r="C170" s="7">
        <f t="shared" si="184"/>
        <v>71</v>
      </c>
      <c r="D170" s="7">
        <f t="shared" si="185"/>
        <v>81</v>
      </c>
      <c r="E170" s="7">
        <f t="shared" si="186"/>
        <v>79</v>
      </c>
      <c r="F170" s="7">
        <f t="shared" si="187"/>
        <v>76</v>
      </c>
      <c r="G170" s="7">
        <f t="shared" si="161"/>
        <v>21</v>
      </c>
      <c r="H170" s="7">
        <f t="shared" si="162"/>
        <v>24</v>
      </c>
      <c r="I170" s="7">
        <f t="shared" si="163"/>
        <v>26</v>
      </c>
      <c r="J170" s="7">
        <f t="shared" si="164"/>
        <v>21</v>
      </c>
      <c r="K170" s="7">
        <f t="shared" si="165"/>
        <v>26</v>
      </c>
      <c r="L170" s="7">
        <f t="shared" si="166"/>
        <v>30</v>
      </c>
      <c r="M170" s="7">
        <f t="shared" si="167"/>
        <v>32</v>
      </c>
      <c r="N170" s="7">
        <f t="shared" si="168"/>
        <v>37</v>
      </c>
      <c r="O170" s="7">
        <f t="shared" si="169"/>
        <v>30</v>
      </c>
      <c r="P170" s="7">
        <f t="shared" si="170"/>
        <v>30</v>
      </c>
      <c r="Q170" s="7">
        <f t="shared" si="171"/>
        <v>30</v>
      </c>
      <c r="R170" s="7">
        <f t="shared" si="172"/>
        <v>30</v>
      </c>
      <c r="S170" s="7">
        <f t="shared" si="173"/>
        <v>30</v>
      </c>
      <c r="T170" s="7">
        <f t="shared" si="174"/>
        <v>21</v>
      </c>
      <c r="U170" s="7">
        <f t="shared" si="175"/>
        <v>21</v>
      </c>
      <c r="V170" s="7">
        <f t="shared" si="176"/>
        <v>21</v>
      </c>
      <c r="W170" s="7">
        <f t="shared" si="177"/>
        <v>21</v>
      </c>
      <c r="X170" s="47">
        <f t="shared" si="178"/>
        <v>31.584349098000974</v>
      </c>
      <c r="Y170" s="47">
        <f t="shared" si="179"/>
        <v>23.520362652973574</v>
      </c>
      <c r="Z170" s="47">
        <f t="shared" si="180"/>
        <v>23.195552806131218</v>
      </c>
      <c r="AA170" s="47">
        <f t="shared" si="181"/>
        <v>26.396366481815399</v>
      </c>
      <c r="AB170" s="7">
        <v>15</v>
      </c>
      <c r="AC170" s="44" t="str">
        <f t="shared" si="155"/>
        <v>4</v>
      </c>
      <c r="AD170" s="44" t="str">
        <f t="shared" si="156"/>
        <v>4</v>
      </c>
      <c r="AE170" s="44" t="str">
        <f t="shared" si="157"/>
        <v>3</v>
      </c>
      <c r="AF170" s="44" t="str">
        <f t="shared" si="158"/>
        <v>3</v>
      </c>
      <c r="AG170" s="44" t="str">
        <f t="shared" si="159"/>
        <v>4</v>
      </c>
      <c r="AH170" s="44" t="str">
        <f t="shared" si="116"/>
        <v>7</v>
      </c>
      <c r="AI170" s="44" t="str">
        <f t="shared" si="117"/>
        <v>6컷원점</v>
      </c>
      <c r="AJ170" s="44" t="str">
        <f t="shared" si="118"/>
        <v>6</v>
      </c>
      <c r="AK170" s="44" t="str">
        <f t="shared" si="119"/>
        <v>7</v>
      </c>
      <c r="AL170" s="44" t="str">
        <f t="shared" si="120"/>
        <v>6</v>
      </c>
      <c r="AM170" s="44" t="str">
        <f t="shared" si="121"/>
        <v>6</v>
      </c>
      <c r="AN170" s="44" t="str">
        <f t="shared" si="122"/>
        <v>6</v>
      </c>
      <c r="AO170" s="44" t="str">
        <f t="shared" si="123"/>
        <v>6</v>
      </c>
      <c r="AP170" s="44" t="str">
        <f t="shared" si="124"/>
        <v>6</v>
      </c>
      <c r="AQ170" s="44" t="str">
        <f t="shared" si="125"/>
        <v>6</v>
      </c>
      <c r="AR170" s="44" t="str">
        <f t="shared" si="126"/>
        <v>6</v>
      </c>
      <c r="AS170" s="44" t="str">
        <f t="shared" si="127"/>
        <v>6</v>
      </c>
      <c r="AT170" s="44" t="str">
        <f t="shared" si="128"/>
        <v>6</v>
      </c>
      <c r="AU170" s="44" t="str">
        <f t="shared" si="129"/>
        <v>7</v>
      </c>
      <c r="AV170" s="44" t="str">
        <f t="shared" si="130"/>
        <v>7</v>
      </c>
      <c r="AW170" s="44" t="str">
        <f t="shared" si="131"/>
        <v>7</v>
      </c>
      <c r="AX170" s="44" t="str">
        <f t="shared" si="132"/>
        <v>7</v>
      </c>
      <c r="AY170" s="7">
        <v>4</v>
      </c>
      <c r="AZ170" s="7">
        <v>6</v>
      </c>
    </row>
    <row r="171" spans="1:52" hidden="1" x14ac:dyDescent="0.3">
      <c r="A171" s="7">
        <v>64</v>
      </c>
      <c r="B171" s="7">
        <f t="shared" si="183"/>
        <v>72</v>
      </c>
      <c r="C171" s="7">
        <f t="shared" si="184"/>
        <v>69</v>
      </c>
      <c r="D171" s="7">
        <f t="shared" si="185"/>
        <v>80</v>
      </c>
      <c r="E171" s="7">
        <f t="shared" si="186"/>
        <v>78</v>
      </c>
      <c r="F171" s="7">
        <f t="shared" si="187"/>
        <v>74</v>
      </c>
      <c r="G171" s="7">
        <f t="shared" si="161"/>
        <v>18</v>
      </c>
      <c r="H171" s="7">
        <f t="shared" si="162"/>
        <v>21</v>
      </c>
      <c r="I171" s="7">
        <f t="shared" si="163"/>
        <v>23</v>
      </c>
      <c r="J171" s="7">
        <f t="shared" si="164"/>
        <v>19</v>
      </c>
      <c r="K171" s="7">
        <f t="shared" si="165"/>
        <v>23</v>
      </c>
      <c r="L171" s="7">
        <f t="shared" si="166"/>
        <v>28</v>
      </c>
      <c r="M171" s="7">
        <f t="shared" si="167"/>
        <v>29</v>
      </c>
      <c r="N171" s="7">
        <f t="shared" si="168"/>
        <v>34</v>
      </c>
      <c r="O171" s="7">
        <f t="shared" si="169"/>
        <v>26</v>
      </c>
      <c r="P171" s="7">
        <f t="shared" si="170"/>
        <v>26</v>
      </c>
      <c r="Q171" s="7">
        <f t="shared" si="171"/>
        <v>26</v>
      </c>
      <c r="R171" s="7">
        <f t="shared" si="172"/>
        <v>26</v>
      </c>
      <c r="S171" s="7">
        <f t="shared" si="173"/>
        <v>26</v>
      </c>
      <c r="T171" s="7">
        <f t="shared" si="174"/>
        <v>18</v>
      </c>
      <c r="U171" s="7">
        <f t="shared" si="175"/>
        <v>18</v>
      </c>
      <c r="V171" s="7">
        <f t="shared" si="176"/>
        <v>18</v>
      </c>
      <c r="W171" s="7">
        <f t="shared" si="177"/>
        <v>18</v>
      </c>
      <c r="X171" s="47">
        <f t="shared" si="178"/>
        <v>28.786506582155045</v>
      </c>
      <c r="Y171" s="47">
        <f t="shared" si="179"/>
        <v>20.850398569021582</v>
      </c>
      <c r="Z171" s="47">
        <f t="shared" si="180"/>
        <v>20.530739546050402</v>
      </c>
      <c r="AA171" s="47">
        <f t="shared" si="181"/>
        <v>22.796770206058131</v>
      </c>
      <c r="AB171" s="7">
        <v>14</v>
      </c>
      <c r="AC171" s="44" t="str">
        <f t="shared" si="155"/>
        <v>4</v>
      </c>
      <c r="AD171" s="44" t="str">
        <f t="shared" si="156"/>
        <v>4</v>
      </c>
      <c r="AE171" s="44" t="str">
        <f t="shared" si="157"/>
        <v>3</v>
      </c>
      <c r="AF171" s="44" t="str">
        <f t="shared" si="158"/>
        <v>3</v>
      </c>
      <c r="AG171" s="44" t="str">
        <f t="shared" si="159"/>
        <v>4</v>
      </c>
      <c r="AH171" s="44" t="str">
        <f t="shared" si="116"/>
        <v>7</v>
      </c>
      <c r="AI171" s="44" t="str">
        <f t="shared" si="117"/>
        <v>7</v>
      </c>
      <c r="AJ171" s="44" t="str">
        <f t="shared" si="118"/>
        <v>6컷원점</v>
      </c>
      <c r="AK171" s="44" t="str">
        <f t="shared" si="119"/>
        <v>7</v>
      </c>
      <c r="AL171" s="44" t="str">
        <f t="shared" si="120"/>
        <v>6컷원점</v>
      </c>
      <c r="AM171" s="44" t="str">
        <f t="shared" si="121"/>
        <v>6</v>
      </c>
      <c r="AN171" s="44" t="str">
        <f t="shared" si="122"/>
        <v>6</v>
      </c>
      <c r="AO171" s="44" t="str">
        <f t="shared" si="123"/>
        <v>6</v>
      </c>
      <c r="AP171" s="44" t="str">
        <f t="shared" si="124"/>
        <v>6</v>
      </c>
      <c r="AQ171" s="44" t="str">
        <f t="shared" si="125"/>
        <v>6</v>
      </c>
      <c r="AR171" s="44" t="str">
        <f t="shared" si="126"/>
        <v>6</v>
      </c>
      <c r="AS171" s="44" t="str">
        <f t="shared" si="127"/>
        <v>6</v>
      </c>
      <c r="AT171" s="44" t="str">
        <f t="shared" si="128"/>
        <v>6</v>
      </c>
      <c r="AU171" s="44" t="str">
        <f t="shared" si="129"/>
        <v>7</v>
      </c>
      <c r="AV171" s="44" t="str">
        <f t="shared" si="130"/>
        <v>7</v>
      </c>
      <c r="AW171" s="44" t="str">
        <f t="shared" si="131"/>
        <v>7</v>
      </c>
      <c r="AX171" s="44" t="str">
        <f t="shared" si="132"/>
        <v>7</v>
      </c>
      <c r="AY171" s="7">
        <v>4</v>
      </c>
      <c r="AZ171" s="7">
        <v>7</v>
      </c>
    </row>
    <row r="172" spans="1:52" hidden="1" x14ac:dyDescent="0.3">
      <c r="A172" s="7">
        <v>63</v>
      </c>
      <c r="B172" s="7">
        <f t="shared" si="183"/>
        <v>70</v>
      </c>
      <c r="C172" s="7">
        <f t="shared" si="184"/>
        <v>68</v>
      </c>
      <c r="D172" s="7">
        <f t="shared" si="185"/>
        <v>79</v>
      </c>
      <c r="E172" s="7">
        <f t="shared" si="186"/>
        <v>77</v>
      </c>
      <c r="F172" s="7">
        <f t="shared" si="187"/>
        <v>73</v>
      </c>
      <c r="G172" s="7">
        <f t="shared" si="161"/>
        <v>16</v>
      </c>
      <c r="H172" s="7">
        <f t="shared" si="162"/>
        <v>19</v>
      </c>
      <c r="I172" s="7">
        <f t="shared" si="163"/>
        <v>21</v>
      </c>
      <c r="J172" s="7">
        <f t="shared" si="164"/>
        <v>17</v>
      </c>
      <c r="K172" s="7">
        <f t="shared" si="165"/>
        <v>21</v>
      </c>
      <c r="L172" s="7">
        <f t="shared" si="166"/>
        <v>26</v>
      </c>
      <c r="M172" s="7">
        <f t="shared" si="167"/>
        <v>26</v>
      </c>
      <c r="N172" s="7">
        <f t="shared" si="168"/>
        <v>32</v>
      </c>
      <c r="O172" s="7">
        <f t="shared" si="169"/>
        <v>23</v>
      </c>
      <c r="P172" s="7">
        <f t="shared" si="170"/>
        <v>23</v>
      </c>
      <c r="Q172" s="7">
        <f t="shared" si="171"/>
        <v>23</v>
      </c>
      <c r="R172" s="7">
        <f t="shared" si="172"/>
        <v>23</v>
      </c>
      <c r="S172" s="7">
        <f t="shared" si="173"/>
        <v>23</v>
      </c>
      <c r="T172" s="7">
        <f t="shared" si="174"/>
        <v>16</v>
      </c>
      <c r="U172" s="7">
        <f t="shared" si="175"/>
        <v>16</v>
      </c>
      <c r="V172" s="7">
        <f t="shared" si="176"/>
        <v>16</v>
      </c>
      <c r="W172" s="7">
        <f t="shared" si="177"/>
        <v>16</v>
      </c>
      <c r="X172" s="47">
        <f t="shared" si="178"/>
        <v>26.389444173573867</v>
      </c>
      <c r="Y172" s="47">
        <f t="shared" si="179"/>
        <v>18.835024518248279</v>
      </c>
      <c r="Z172" s="47">
        <f t="shared" si="180"/>
        <v>18.530739546050402</v>
      </c>
      <c r="AA172" s="47">
        <f t="shared" si="181"/>
        <v>20.197173930300867</v>
      </c>
      <c r="AB172" s="7">
        <v>13</v>
      </c>
      <c r="AC172" s="44" t="str">
        <f t="shared" si="155"/>
        <v>4</v>
      </c>
      <c r="AD172" s="44" t="str">
        <f t="shared" si="156"/>
        <v>4</v>
      </c>
      <c r="AE172" s="44" t="str">
        <f t="shared" si="157"/>
        <v>3</v>
      </c>
      <c r="AF172" s="44" t="str">
        <f t="shared" si="158"/>
        <v>3컷원점</v>
      </c>
      <c r="AG172" s="44" t="str">
        <f t="shared" si="159"/>
        <v>4</v>
      </c>
      <c r="AH172" s="44" t="str">
        <f t="shared" si="116"/>
        <v>7</v>
      </c>
      <c r="AI172" s="44" t="str">
        <f t="shared" si="117"/>
        <v>7</v>
      </c>
      <c r="AJ172" s="44" t="str">
        <f t="shared" si="118"/>
        <v>7</v>
      </c>
      <c r="AK172" s="44" t="str">
        <f t="shared" si="119"/>
        <v>7</v>
      </c>
      <c r="AL172" s="44" t="str">
        <f t="shared" si="120"/>
        <v>7</v>
      </c>
      <c r="AM172" s="44" t="str">
        <f t="shared" si="121"/>
        <v>6</v>
      </c>
      <c r="AN172" s="44" t="str">
        <f t="shared" si="122"/>
        <v>6</v>
      </c>
      <c r="AO172" s="44" t="str">
        <f t="shared" si="123"/>
        <v>6</v>
      </c>
      <c r="AP172" s="44" t="str">
        <f t="shared" si="124"/>
        <v>6컷원점</v>
      </c>
      <c r="AQ172" s="44" t="str">
        <f t="shared" si="125"/>
        <v>6컷원점</v>
      </c>
      <c r="AR172" s="44" t="str">
        <f t="shared" si="126"/>
        <v>6컷원점</v>
      </c>
      <c r="AS172" s="44" t="str">
        <f t="shared" si="127"/>
        <v>6컷원점</v>
      </c>
      <c r="AT172" s="44" t="str">
        <f t="shared" si="128"/>
        <v>6컷원점</v>
      </c>
      <c r="AU172" s="44" t="str">
        <f t="shared" si="129"/>
        <v>7</v>
      </c>
      <c r="AV172" s="44" t="str">
        <f t="shared" si="130"/>
        <v>7</v>
      </c>
      <c r="AW172" s="44" t="str">
        <f t="shared" si="131"/>
        <v>7</v>
      </c>
      <c r="AX172" s="44" t="str">
        <f t="shared" si="132"/>
        <v>7</v>
      </c>
      <c r="AY172" s="7">
        <v>4</v>
      </c>
      <c r="AZ172" s="7">
        <v>7</v>
      </c>
    </row>
    <row r="173" spans="1:52" hidden="1" x14ac:dyDescent="0.3">
      <c r="A173" s="7">
        <v>62</v>
      </c>
      <c r="B173" s="7">
        <f t="shared" si="183"/>
        <v>69</v>
      </c>
      <c r="C173" s="7">
        <f t="shared" si="184"/>
        <v>66</v>
      </c>
      <c r="D173" s="7">
        <f t="shared" si="185"/>
        <v>77</v>
      </c>
      <c r="E173" s="7">
        <f t="shared" si="186"/>
        <v>76</v>
      </c>
      <c r="F173" s="7">
        <f t="shared" si="187"/>
        <v>71</v>
      </c>
      <c r="G173" s="7">
        <f t="shared" si="161"/>
        <v>13</v>
      </c>
      <c r="H173" s="7">
        <f t="shared" si="162"/>
        <v>16</v>
      </c>
      <c r="I173" s="7">
        <f t="shared" si="163"/>
        <v>18</v>
      </c>
      <c r="J173" s="7">
        <f t="shared" si="164"/>
        <v>15</v>
      </c>
      <c r="K173" s="7">
        <f t="shared" si="165"/>
        <v>18</v>
      </c>
      <c r="L173" s="7">
        <f t="shared" si="166"/>
        <v>23</v>
      </c>
      <c r="M173" s="7">
        <f t="shared" si="167"/>
        <v>23</v>
      </c>
      <c r="N173" s="7">
        <f t="shared" si="168"/>
        <v>29</v>
      </c>
      <c r="O173" s="7">
        <f t="shared" si="169"/>
        <v>20</v>
      </c>
      <c r="P173" s="7">
        <f t="shared" si="170"/>
        <v>20</v>
      </c>
      <c r="Q173" s="7">
        <f t="shared" si="171"/>
        <v>20</v>
      </c>
      <c r="R173" s="7">
        <f t="shared" si="172"/>
        <v>20</v>
      </c>
      <c r="S173" s="7">
        <f t="shared" si="173"/>
        <v>20</v>
      </c>
      <c r="T173" s="7">
        <f t="shared" si="174"/>
        <v>13</v>
      </c>
      <c r="U173" s="7">
        <f t="shared" si="175"/>
        <v>13</v>
      </c>
      <c r="V173" s="7">
        <f t="shared" si="176"/>
        <v>13</v>
      </c>
      <c r="W173" s="7">
        <f t="shared" si="177"/>
        <v>13</v>
      </c>
      <c r="X173" s="47">
        <f t="shared" si="178"/>
        <v>23.389444173573867</v>
      </c>
      <c r="Y173" s="47">
        <f t="shared" si="179"/>
        <v>16.157233001231813</v>
      </c>
      <c r="Z173" s="47">
        <f t="shared" si="180"/>
        <v>15.865926285969589</v>
      </c>
      <c r="AA173" s="47">
        <f t="shared" si="181"/>
        <v>17.197173930300867</v>
      </c>
      <c r="AB173" s="7">
        <v>12</v>
      </c>
      <c r="AC173" s="44" t="str">
        <f t="shared" si="155"/>
        <v>4</v>
      </c>
      <c r="AD173" s="44" t="str">
        <f t="shared" si="156"/>
        <v>4</v>
      </c>
      <c r="AE173" s="44" t="str">
        <f t="shared" si="157"/>
        <v>3컷원점</v>
      </c>
      <c r="AF173" s="44" t="str">
        <f t="shared" si="158"/>
        <v>4</v>
      </c>
      <c r="AG173" s="44" t="str">
        <f t="shared" si="159"/>
        <v>4</v>
      </c>
      <c r="AH173" s="44" t="str">
        <f t="shared" si="116"/>
        <v>7</v>
      </c>
      <c r="AI173" s="44" t="str">
        <f t="shared" si="117"/>
        <v>7</v>
      </c>
      <c r="AJ173" s="44" t="str">
        <f t="shared" si="118"/>
        <v>7</v>
      </c>
      <c r="AK173" s="44" t="str">
        <f t="shared" si="119"/>
        <v>7</v>
      </c>
      <c r="AL173" s="44" t="str">
        <f t="shared" si="120"/>
        <v>7</v>
      </c>
      <c r="AM173" s="44" t="str">
        <f t="shared" si="121"/>
        <v>6컷원점</v>
      </c>
      <c r="AN173" s="44" t="str">
        <f t="shared" si="122"/>
        <v>6컷원점</v>
      </c>
      <c r="AO173" s="44" t="str">
        <f t="shared" si="123"/>
        <v>6</v>
      </c>
      <c r="AP173" s="44" t="str">
        <f t="shared" si="124"/>
        <v>7</v>
      </c>
      <c r="AQ173" s="44" t="str">
        <f t="shared" si="125"/>
        <v>7</v>
      </c>
      <c r="AR173" s="44" t="str">
        <f t="shared" si="126"/>
        <v>7</v>
      </c>
      <c r="AS173" s="44" t="str">
        <f t="shared" si="127"/>
        <v>7</v>
      </c>
      <c r="AT173" s="44" t="str">
        <f t="shared" si="128"/>
        <v>7</v>
      </c>
      <c r="AU173" s="44" t="str">
        <f t="shared" si="129"/>
        <v>7</v>
      </c>
      <c r="AV173" s="44" t="str">
        <f t="shared" si="130"/>
        <v>7</v>
      </c>
      <c r="AW173" s="44" t="str">
        <f t="shared" si="131"/>
        <v>7</v>
      </c>
      <c r="AX173" s="44" t="str">
        <f t="shared" si="132"/>
        <v>7</v>
      </c>
      <c r="AY173" s="7">
        <v>4</v>
      </c>
      <c r="AZ173" s="7">
        <v>7</v>
      </c>
    </row>
    <row r="174" spans="1:52" hidden="1" x14ac:dyDescent="0.3">
      <c r="A174" s="7">
        <v>61</v>
      </c>
      <c r="B174" s="7">
        <f t="shared" si="183"/>
        <v>67</v>
      </c>
      <c r="C174" s="7">
        <f t="shared" si="184"/>
        <v>64</v>
      </c>
      <c r="D174" s="7">
        <f t="shared" si="185"/>
        <v>76</v>
      </c>
      <c r="E174" s="7">
        <f t="shared" si="186"/>
        <v>74</v>
      </c>
      <c r="F174" s="7">
        <f t="shared" si="187"/>
        <v>70</v>
      </c>
      <c r="G174" s="7">
        <f t="shared" si="161"/>
        <v>11</v>
      </c>
      <c r="H174" s="7">
        <f t="shared" si="162"/>
        <v>14</v>
      </c>
      <c r="I174" s="7">
        <f t="shared" si="163"/>
        <v>16</v>
      </c>
      <c r="J174" s="7">
        <f t="shared" si="164"/>
        <v>13</v>
      </c>
      <c r="K174" s="7">
        <f t="shared" si="165"/>
        <v>16</v>
      </c>
      <c r="L174" s="7">
        <f t="shared" si="166"/>
        <v>19</v>
      </c>
      <c r="M174" s="7">
        <f t="shared" si="167"/>
        <v>19</v>
      </c>
      <c r="N174" s="7">
        <f t="shared" si="168"/>
        <v>26</v>
      </c>
      <c r="O174" s="7">
        <f t="shared" si="169"/>
        <v>17</v>
      </c>
      <c r="P174" s="7">
        <f t="shared" si="170"/>
        <v>17</v>
      </c>
      <c r="Q174" s="7">
        <f t="shared" si="171"/>
        <v>17</v>
      </c>
      <c r="R174" s="7">
        <f t="shared" si="172"/>
        <v>17</v>
      </c>
      <c r="S174" s="7">
        <f t="shared" si="173"/>
        <v>17</v>
      </c>
      <c r="T174" s="7">
        <f t="shared" si="174"/>
        <v>11</v>
      </c>
      <c r="U174" s="7">
        <f t="shared" si="175"/>
        <v>11</v>
      </c>
      <c r="V174" s="7">
        <f t="shared" si="176"/>
        <v>11</v>
      </c>
      <c r="W174" s="7">
        <f t="shared" si="177"/>
        <v>11</v>
      </c>
      <c r="X174" s="47">
        <f t="shared" si="178"/>
        <v>19.973427596294492</v>
      </c>
      <c r="Y174" s="47">
        <f t="shared" si="179"/>
        <v>14.102405572886923</v>
      </c>
      <c r="Z174" s="47">
        <f t="shared" si="180"/>
        <v>13.865926285969589</v>
      </c>
      <c r="AA174" s="47">
        <f t="shared" si="181"/>
        <v>14.597577654543599</v>
      </c>
      <c r="AB174" s="7">
        <v>11</v>
      </c>
      <c r="AC174" s="44" t="str">
        <f t="shared" si="155"/>
        <v>4</v>
      </c>
      <c r="AD174" s="44" t="str">
        <f t="shared" si="156"/>
        <v>4</v>
      </c>
      <c r="AE174" s="44" t="str">
        <f t="shared" si="157"/>
        <v>4</v>
      </c>
      <c r="AF174" s="44" t="str">
        <f t="shared" si="158"/>
        <v>4</v>
      </c>
      <c r="AG174" s="44" t="str">
        <f t="shared" si="159"/>
        <v>4</v>
      </c>
      <c r="AH174" s="44" t="str">
        <f t="shared" si="116"/>
        <v>7컷원점</v>
      </c>
      <c r="AI174" s="44" t="str">
        <f t="shared" si="117"/>
        <v>7</v>
      </c>
      <c r="AJ174" s="44" t="str">
        <f t="shared" si="118"/>
        <v>7</v>
      </c>
      <c r="AK174" s="44" t="str">
        <f t="shared" si="119"/>
        <v>7</v>
      </c>
      <c r="AL174" s="44" t="str">
        <f t="shared" si="120"/>
        <v>7</v>
      </c>
      <c r="AM174" s="44" t="str">
        <f t="shared" si="121"/>
        <v>7</v>
      </c>
      <c r="AN174" s="44" t="str">
        <f t="shared" si="122"/>
        <v>7</v>
      </c>
      <c r="AO174" s="44" t="str">
        <f t="shared" si="123"/>
        <v>6</v>
      </c>
      <c r="AP174" s="44" t="str">
        <f t="shared" si="124"/>
        <v>7</v>
      </c>
      <c r="AQ174" s="44" t="str">
        <f t="shared" si="125"/>
        <v>7</v>
      </c>
      <c r="AR174" s="44" t="str">
        <f t="shared" si="126"/>
        <v>7</v>
      </c>
      <c r="AS174" s="44" t="str">
        <f t="shared" si="127"/>
        <v>7</v>
      </c>
      <c r="AT174" s="44" t="str">
        <f t="shared" si="128"/>
        <v>7</v>
      </c>
      <c r="AU174" s="44" t="str">
        <f t="shared" si="129"/>
        <v>7컷원점</v>
      </c>
      <c r="AV174" s="44" t="str">
        <f t="shared" si="130"/>
        <v>7컷원점</v>
      </c>
      <c r="AW174" s="44" t="str">
        <f t="shared" si="131"/>
        <v>7컷원점</v>
      </c>
      <c r="AX174" s="44" t="str">
        <f t="shared" si="132"/>
        <v>7컷원점</v>
      </c>
      <c r="AY174" s="7">
        <v>4</v>
      </c>
      <c r="AZ174" s="7">
        <v>7</v>
      </c>
    </row>
    <row r="175" spans="1:52" hidden="1" x14ac:dyDescent="0.3">
      <c r="A175" s="7">
        <v>60</v>
      </c>
      <c r="B175" s="7">
        <f t="shared" si="183"/>
        <v>65</v>
      </c>
      <c r="C175" s="7">
        <f t="shared" si="184"/>
        <v>62</v>
      </c>
      <c r="D175" s="7">
        <f t="shared" si="185"/>
        <v>74</v>
      </c>
      <c r="E175" s="7">
        <f t="shared" si="186"/>
        <v>73</v>
      </c>
      <c r="F175" s="7">
        <f t="shared" si="187"/>
        <v>69</v>
      </c>
      <c r="G175" s="7">
        <f t="shared" si="161"/>
        <v>9</v>
      </c>
      <c r="H175" s="7">
        <f t="shared" si="162"/>
        <v>11</v>
      </c>
      <c r="I175" s="7">
        <f t="shared" si="163"/>
        <v>13</v>
      </c>
      <c r="J175" s="7">
        <f t="shared" si="164"/>
        <v>11</v>
      </c>
      <c r="K175" s="7">
        <f t="shared" si="165"/>
        <v>13</v>
      </c>
      <c r="L175" s="7">
        <f t="shared" si="166"/>
        <v>15</v>
      </c>
      <c r="M175" s="7">
        <f t="shared" si="167"/>
        <v>15</v>
      </c>
      <c r="N175" s="7">
        <f t="shared" si="168"/>
        <v>23</v>
      </c>
      <c r="O175" s="7">
        <f t="shared" si="169"/>
        <v>14</v>
      </c>
      <c r="P175" s="7">
        <f t="shared" si="170"/>
        <v>14</v>
      </c>
      <c r="Q175" s="7">
        <f t="shared" si="171"/>
        <v>14</v>
      </c>
      <c r="R175" s="7">
        <f t="shared" si="172"/>
        <v>14</v>
      </c>
      <c r="S175" s="7">
        <f t="shared" si="173"/>
        <v>14</v>
      </c>
      <c r="T175" s="7">
        <f t="shared" si="174"/>
        <v>9</v>
      </c>
      <c r="U175" s="7">
        <f t="shared" si="175"/>
        <v>9</v>
      </c>
      <c r="V175" s="7">
        <f t="shared" si="176"/>
        <v>9</v>
      </c>
      <c r="W175" s="7">
        <f t="shared" si="177"/>
        <v>9</v>
      </c>
      <c r="X175" s="47">
        <f t="shared" si="178"/>
        <v>16.374207703559239</v>
      </c>
      <c r="Y175" s="47">
        <f t="shared" si="179"/>
        <v>11.548920866704737</v>
      </c>
      <c r="Z175" s="47">
        <f t="shared" si="180"/>
        <v>11.354562816981623</v>
      </c>
      <c r="AA175" s="47">
        <f t="shared" si="181"/>
        <v>11.997981378786333</v>
      </c>
      <c r="AB175" s="7">
        <v>10</v>
      </c>
      <c r="AC175" s="44" t="str">
        <f t="shared" si="155"/>
        <v>4</v>
      </c>
      <c r="AD175" s="44" t="str">
        <f t="shared" si="156"/>
        <v>4</v>
      </c>
      <c r="AE175" s="44" t="str">
        <f t="shared" si="157"/>
        <v>4</v>
      </c>
      <c r="AF175" s="44" t="str">
        <f t="shared" si="158"/>
        <v>4</v>
      </c>
      <c r="AG175" s="44" t="str">
        <f t="shared" si="159"/>
        <v>4</v>
      </c>
      <c r="AH175" s="44" t="str">
        <f t="shared" si="116"/>
        <v>8</v>
      </c>
      <c r="AI175" s="44" t="str">
        <f t="shared" si="117"/>
        <v>7컷원점</v>
      </c>
      <c r="AJ175" s="44" t="str">
        <f t="shared" si="118"/>
        <v>7</v>
      </c>
      <c r="AK175" s="44" t="str">
        <f t="shared" si="119"/>
        <v>7컷원점</v>
      </c>
      <c r="AL175" s="44" t="str">
        <f t="shared" si="120"/>
        <v>7</v>
      </c>
      <c r="AM175" s="44" t="str">
        <f t="shared" si="121"/>
        <v>7</v>
      </c>
      <c r="AN175" s="44" t="str">
        <f t="shared" si="122"/>
        <v>7</v>
      </c>
      <c r="AO175" s="44" t="str">
        <f t="shared" si="123"/>
        <v>6컷원점</v>
      </c>
      <c r="AP175" s="44" t="str">
        <f t="shared" si="124"/>
        <v>7</v>
      </c>
      <c r="AQ175" s="44" t="str">
        <f t="shared" si="125"/>
        <v>7</v>
      </c>
      <c r="AR175" s="44" t="str">
        <f t="shared" si="126"/>
        <v>7</v>
      </c>
      <c r="AS175" s="44" t="str">
        <f t="shared" si="127"/>
        <v>7</v>
      </c>
      <c r="AT175" s="44" t="str">
        <f t="shared" si="128"/>
        <v>7</v>
      </c>
      <c r="AU175" s="44" t="str">
        <f t="shared" si="129"/>
        <v>8</v>
      </c>
      <c r="AV175" s="44" t="str">
        <f t="shared" si="130"/>
        <v>8</v>
      </c>
      <c r="AW175" s="44" t="str">
        <f t="shared" si="131"/>
        <v>8</v>
      </c>
      <c r="AX175" s="44" t="str">
        <f t="shared" si="132"/>
        <v>8</v>
      </c>
      <c r="AY175" s="7">
        <v>4</v>
      </c>
      <c r="AZ175" s="7">
        <v>7</v>
      </c>
    </row>
    <row r="176" spans="1:52" hidden="1" x14ac:dyDescent="0.3">
      <c r="A176" s="7">
        <v>59</v>
      </c>
      <c r="B176" s="7">
        <f t="shared" si="183"/>
        <v>63</v>
      </c>
      <c r="C176" s="7">
        <f t="shared" si="184"/>
        <v>60</v>
      </c>
      <c r="D176" s="7">
        <f t="shared" si="185"/>
        <v>73</v>
      </c>
      <c r="E176" s="7">
        <f t="shared" si="186"/>
        <v>71</v>
      </c>
      <c r="F176" s="7">
        <f t="shared" si="187"/>
        <v>67</v>
      </c>
      <c r="G176" s="7">
        <f t="shared" si="161"/>
        <v>7</v>
      </c>
      <c r="H176" s="7">
        <f t="shared" si="162"/>
        <v>9</v>
      </c>
      <c r="I176" s="7">
        <f t="shared" si="163"/>
        <v>11</v>
      </c>
      <c r="J176" s="7">
        <f t="shared" si="164"/>
        <v>9</v>
      </c>
      <c r="K176" s="7">
        <f t="shared" si="165"/>
        <v>11</v>
      </c>
      <c r="L176" s="7">
        <f t="shared" si="166"/>
        <v>11</v>
      </c>
      <c r="M176" s="7">
        <f t="shared" si="167"/>
        <v>11</v>
      </c>
      <c r="N176" s="7">
        <f t="shared" si="168"/>
        <v>17</v>
      </c>
      <c r="O176" s="7">
        <f t="shared" si="169"/>
        <v>11</v>
      </c>
      <c r="P176" s="7">
        <f t="shared" si="170"/>
        <v>11</v>
      </c>
      <c r="Q176" s="7">
        <f t="shared" si="171"/>
        <v>11</v>
      </c>
      <c r="R176" s="7">
        <f t="shared" si="172"/>
        <v>11</v>
      </c>
      <c r="S176" s="7">
        <f t="shared" si="173"/>
        <v>11</v>
      </c>
      <c r="T176" s="7">
        <f t="shared" si="174"/>
        <v>7</v>
      </c>
      <c r="U176" s="7">
        <f t="shared" si="175"/>
        <v>7</v>
      </c>
      <c r="V176" s="7">
        <f t="shared" si="176"/>
        <v>7</v>
      </c>
      <c r="W176" s="7">
        <f t="shared" si="177"/>
        <v>7</v>
      </c>
      <c r="X176" s="47">
        <f t="shared" si="178"/>
        <v>12.305460750853243</v>
      </c>
      <c r="Y176" s="47">
        <f t="shared" si="179"/>
        <v>9.4688200563518539</v>
      </c>
      <c r="Z176" s="47">
        <f t="shared" si="180"/>
        <v>9.3545628169816233</v>
      </c>
      <c r="AA176" s="47">
        <f t="shared" si="181"/>
        <v>9.3983851030290655</v>
      </c>
      <c r="AB176" s="7">
        <v>9</v>
      </c>
      <c r="AC176" s="44" t="str">
        <f t="shared" si="155"/>
        <v>4</v>
      </c>
      <c r="AD176" s="44" t="str">
        <f t="shared" si="156"/>
        <v>4컷원점</v>
      </c>
      <c r="AE176" s="44" t="str">
        <f t="shared" si="157"/>
        <v>4</v>
      </c>
      <c r="AF176" s="44" t="str">
        <f t="shared" si="158"/>
        <v>4</v>
      </c>
      <c r="AG176" s="44" t="str">
        <f t="shared" si="159"/>
        <v>4</v>
      </c>
      <c r="AH176" s="44" t="str">
        <f t="shared" si="116"/>
        <v>8</v>
      </c>
      <c r="AI176" s="44" t="str">
        <f t="shared" si="117"/>
        <v>8</v>
      </c>
      <c r="AJ176" s="44" t="str">
        <f t="shared" si="118"/>
        <v>7컷원점</v>
      </c>
      <c r="AK176" s="44" t="str">
        <f t="shared" si="119"/>
        <v>8</v>
      </c>
      <c r="AL176" s="44" t="str">
        <f t="shared" si="120"/>
        <v>7컷원점</v>
      </c>
      <c r="AM176" s="44" t="str">
        <f t="shared" si="121"/>
        <v>7컷원점</v>
      </c>
      <c r="AN176" s="44" t="str">
        <f t="shared" si="122"/>
        <v>7컷원점</v>
      </c>
      <c r="AO176" s="44" t="str">
        <f t="shared" si="123"/>
        <v>7</v>
      </c>
      <c r="AP176" s="44" t="str">
        <f t="shared" si="124"/>
        <v>7컷원점</v>
      </c>
      <c r="AQ176" s="44" t="str">
        <f t="shared" si="125"/>
        <v>7컷원점</v>
      </c>
      <c r="AR176" s="44" t="str">
        <f t="shared" si="126"/>
        <v>7컷원점</v>
      </c>
      <c r="AS176" s="44" t="str">
        <f t="shared" si="127"/>
        <v>7컷원점</v>
      </c>
      <c r="AT176" s="44" t="str">
        <f t="shared" si="128"/>
        <v>7컷원점</v>
      </c>
      <c r="AU176" s="44" t="str">
        <f t="shared" si="129"/>
        <v>8</v>
      </c>
      <c r="AV176" s="44" t="str">
        <f t="shared" si="130"/>
        <v>8</v>
      </c>
      <c r="AW176" s="44" t="str">
        <f t="shared" si="131"/>
        <v>8</v>
      </c>
      <c r="AX176" s="44" t="str">
        <f t="shared" si="132"/>
        <v>8</v>
      </c>
      <c r="AY176" s="7">
        <v>5</v>
      </c>
      <c r="AZ176" s="7">
        <v>8</v>
      </c>
    </row>
    <row r="177" spans="1:52" hidden="1" x14ac:dyDescent="0.3">
      <c r="A177" s="7">
        <v>58</v>
      </c>
      <c r="B177" s="7">
        <f t="shared" si="183"/>
        <v>62</v>
      </c>
      <c r="C177" s="7">
        <f t="shared" si="184"/>
        <v>58</v>
      </c>
      <c r="D177" s="7">
        <f t="shared" si="185"/>
        <v>71</v>
      </c>
      <c r="E177" s="7">
        <f t="shared" si="186"/>
        <v>70</v>
      </c>
      <c r="F177" s="7">
        <f t="shared" si="187"/>
        <v>66</v>
      </c>
      <c r="G177" s="7">
        <f t="shared" si="161"/>
        <v>6</v>
      </c>
      <c r="H177" s="7">
        <f t="shared" si="162"/>
        <v>6</v>
      </c>
      <c r="I177" s="7">
        <f t="shared" si="163"/>
        <v>9</v>
      </c>
      <c r="J177" s="7">
        <f t="shared" si="164"/>
        <v>6</v>
      </c>
      <c r="K177" s="7">
        <f t="shared" si="165"/>
        <v>9</v>
      </c>
      <c r="L177" s="7">
        <f t="shared" si="166"/>
        <v>9</v>
      </c>
      <c r="M177" s="7">
        <f t="shared" si="167"/>
        <v>9</v>
      </c>
      <c r="N177" s="7">
        <f t="shared" si="168"/>
        <v>11</v>
      </c>
      <c r="O177" s="7">
        <f t="shared" si="169"/>
        <v>9</v>
      </c>
      <c r="P177" s="7">
        <f t="shared" si="170"/>
        <v>9</v>
      </c>
      <c r="Q177" s="7">
        <f t="shared" si="171"/>
        <v>9</v>
      </c>
      <c r="R177" s="7">
        <f t="shared" si="172"/>
        <v>9</v>
      </c>
      <c r="S177" s="7">
        <f t="shared" si="173"/>
        <v>9</v>
      </c>
      <c r="T177" s="7">
        <f t="shared" si="174"/>
        <v>6</v>
      </c>
      <c r="U177" s="7">
        <f t="shared" si="175"/>
        <v>6</v>
      </c>
      <c r="V177" s="7">
        <f t="shared" si="176"/>
        <v>6</v>
      </c>
      <c r="W177" s="7">
        <f t="shared" si="177"/>
        <v>6</v>
      </c>
      <c r="X177" s="47">
        <f t="shared" si="178"/>
        <v>9.4351535836177476</v>
      </c>
      <c r="Y177" s="47">
        <f t="shared" si="179"/>
        <v>7.0867837438586392</v>
      </c>
      <c r="Z177" s="47">
        <f t="shared" si="180"/>
        <v>6.9921935987509762</v>
      </c>
      <c r="AA177" s="47">
        <f t="shared" si="181"/>
        <v>7.7987888272717996</v>
      </c>
      <c r="AB177" s="7">
        <v>8</v>
      </c>
      <c r="AC177" s="44" t="str">
        <f t="shared" si="155"/>
        <v>4</v>
      </c>
      <c r="AD177" s="44" t="str">
        <f t="shared" si="156"/>
        <v>5</v>
      </c>
      <c r="AE177" s="44" t="str">
        <f t="shared" si="157"/>
        <v>4</v>
      </c>
      <c r="AF177" s="44" t="str">
        <f t="shared" si="158"/>
        <v>4</v>
      </c>
      <c r="AG177" s="44" t="str">
        <f t="shared" si="159"/>
        <v>4</v>
      </c>
      <c r="AH177" s="44" t="str">
        <f t="shared" si="116"/>
        <v>8</v>
      </c>
      <c r="AI177" s="44" t="str">
        <f t="shared" si="117"/>
        <v>8</v>
      </c>
      <c r="AJ177" s="44" t="str">
        <f t="shared" si="118"/>
        <v>8</v>
      </c>
      <c r="AK177" s="44" t="str">
        <f t="shared" si="119"/>
        <v>8</v>
      </c>
      <c r="AL177" s="44" t="str">
        <f t="shared" si="120"/>
        <v>8</v>
      </c>
      <c r="AM177" s="44" t="str">
        <f t="shared" si="121"/>
        <v>8</v>
      </c>
      <c r="AN177" s="44" t="str">
        <f t="shared" si="122"/>
        <v>8</v>
      </c>
      <c r="AO177" s="44" t="str">
        <f t="shared" si="123"/>
        <v>7컷원점</v>
      </c>
      <c r="AP177" s="44" t="str">
        <f t="shared" si="124"/>
        <v>8</v>
      </c>
      <c r="AQ177" s="44" t="str">
        <f t="shared" si="125"/>
        <v>8</v>
      </c>
      <c r="AR177" s="44" t="str">
        <f t="shared" si="126"/>
        <v>8</v>
      </c>
      <c r="AS177" s="44" t="str">
        <f t="shared" si="127"/>
        <v>8</v>
      </c>
      <c r="AT177" s="44" t="str">
        <f t="shared" si="128"/>
        <v>8</v>
      </c>
      <c r="AU177" s="44" t="str">
        <f t="shared" si="129"/>
        <v>8</v>
      </c>
      <c r="AV177" s="44" t="str">
        <f t="shared" si="130"/>
        <v>8</v>
      </c>
      <c r="AW177" s="44" t="str">
        <f t="shared" si="131"/>
        <v>8</v>
      </c>
      <c r="AX177" s="44" t="str">
        <f t="shared" si="132"/>
        <v>8</v>
      </c>
      <c r="AY177" s="7">
        <v>5</v>
      </c>
      <c r="AZ177" s="7">
        <v>8</v>
      </c>
    </row>
    <row r="178" spans="1:52" hidden="1" x14ac:dyDescent="0.3">
      <c r="A178" s="7">
        <v>57</v>
      </c>
      <c r="B178" s="7">
        <f t="shared" si="183"/>
        <v>60</v>
      </c>
      <c r="C178" s="7">
        <f t="shared" si="184"/>
        <v>56</v>
      </c>
      <c r="D178" s="7">
        <f t="shared" si="185"/>
        <v>70</v>
      </c>
      <c r="E178" s="7">
        <f t="shared" si="186"/>
        <v>68</v>
      </c>
      <c r="F178" s="7">
        <f t="shared" si="187"/>
        <v>64</v>
      </c>
      <c r="G178" s="7">
        <f t="shared" si="161"/>
        <v>4</v>
      </c>
      <c r="H178" s="7">
        <f t="shared" si="162"/>
        <v>4</v>
      </c>
      <c r="I178" s="7">
        <f t="shared" si="163"/>
        <v>6</v>
      </c>
      <c r="J178" s="7">
        <f t="shared" si="164"/>
        <v>4</v>
      </c>
      <c r="K178" s="7">
        <f t="shared" si="165"/>
        <v>6</v>
      </c>
      <c r="L178" s="7">
        <f t="shared" si="166"/>
        <v>7</v>
      </c>
      <c r="M178" s="7">
        <f t="shared" si="167"/>
        <v>6</v>
      </c>
      <c r="N178" s="7">
        <f t="shared" si="168"/>
        <v>8</v>
      </c>
      <c r="O178" s="7">
        <f t="shared" si="169"/>
        <v>6</v>
      </c>
      <c r="P178" s="7">
        <f t="shared" si="170"/>
        <v>6</v>
      </c>
      <c r="Q178" s="7">
        <f t="shared" si="171"/>
        <v>6</v>
      </c>
      <c r="R178" s="7">
        <f t="shared" si="172"/>
        <v>6</v>
      </c>
      <c r="S178" s="7">
        <f t="shared" si="173"/>
        <v>6</v>
      </c>
      <c r="T178" s="7">
        <f t="shared" si="174"/>
        <v>4</v>
      </c>
      <c r="U178" s="7">
        <f t="shared" si="175"/>
        <v>4</v>
      </c>
      <c r="V178" s="7">
        <f t="shared" si="176"/>
        <v>4</v>
      </c>
      <c r="W178" s="7">
        <f t="shared" si="177"/>
        <v>4</v>
      </c>
      <c r="X178" s="47">
        <f t="shared" si="178"/>
        <v>6.6373110677718188</v>
      </c>
      <c r="Y178" s="47">
        <f t="shared" si="179"/>
        <v>4.7379662360831212</v>
      </c>
      <c r="Z178" s="47">
        <f t="shared" si="180"/>
        <v>4.6614623991673172</v>
      </c>
      <c r="AA178" s="47">
        <f t="shared" si="181"/>
        <v>5.1991925515145327</v>
      </c>
      <c r="AB178" s="7">
        <v>7</v>
      </c>
      <c r="AC178" s="44" t="str">
        <f t="shared" si="155"/>
        <v>4컷원점</v>
      </c>
      <c r="AD178" s="44" t="str">
        <f t="shared" si="156"/>
        <v>5</v>
      </c>
      <c r="AE178" s="44" t="str">
        <f t="shared" si="157"/>
        <v>4</v>
      </c>
      <c r="AF178" s="44" t="str">
        <f t="shared" si="158"/>
        <v>4</v>
      </c>
      <c r="AG178" s="44" t="str">
        <f t="shared" si="159"/>
        <v>4</v>
      </c>
      <c r="AH178" s="44" t="str">
        <f t="shared" ref="AH178:AH241" si="188">IF(COUNTIF(G$32:G$39,$AB178)=1,INDEX($A$32:$A$39,MATCH($AB178,G$32:G$39,0)),IF($AB178&gt;=G$32,"1",IF($AB178&gt;=G$33,"2",IF($AB178&gt;=G$34,"3",IF($AB178&gt;=G$35,"4",IF($AB178&gt;=G$36,"5",IF($AB178&gt;=G$37,"6",IF($AB178&gt;=G$38,"7",IF($AB178&gt;=G$39,"8")))))))))</f>
        <v>8컷원점</v>
      </c>
      <c r="AI178" s="44" t="str">
        <f t="shared" ref="AI178:AI241" si="189">IF(COUNTIF(H$32:H$39,$AB178)=1,INDEX($A$32:$A$39,MATCH($AB178,H$32:H$39,0)),IF($AB178&gt;=H$32,"1",IF($AB178&gt;=H$33,"2",IF($AB178&gt;=H$34,"3",IF($AB178&gt;=H$35,"4",IF($AB178&gt;=H$36,"5",IF($AB178&gt;=H$37,"6",IF($AB178&gt;=H$38,"7",IF($AB178&gt;=H$39,"8")))))))))</f>
        <v>8컷원점</v>
      </c>
      <c r="AJ178" s="44" t="str">
        <f t="shared" ref="AJ178:AJ241" si="190">IF(COUNTIF(I$32:I$39,$AB178)=1,INDEX($A$32:$A$39,MATCH($AB178,I$32:I$39,0)),IF($AB178&gt;=I$32,"1",IF($AB178&gt;=I$33,"2",IF($AB178&gt;=I$34,"3",IF($AB178&gt;=I$35,"4",IF($AB178&gt;=I$36,"5",IF($AB178&gt;=I$37,"6",IF($AB178&gt;=I$38,"7",IF($AB178&gt;=I$39,"8")))))))))</f>
        <v>8</v>
      </c>
      <c r="AK178" s="44" t="str">
        <f t="shared" ref="AK178:AK241" si="191">IF(COUNTIF(J$32:J$39,$AB178)=1,INDEX($A$32:$A$39,MATCH($AB178,J$32:J$39,0)),IF($AB178&gt;=J$32,"1",IF($AB178&gt;=J$33,"2",IF($AB178&gt;=J$34,"3",IF($AB178&gt;=J$35,"4",IF($AB178&gt;=J$36,"5",IF($AB178&gt;=J$37,"6",IF($AB178&gt;=J$38,"7",IF($AB178&gt;=J$39,"8")))))))))</f>
        <v>8컷원점</v>
      </c>
      <c r="AL178" s="44" t="str">
        <f t="shared" ref="AL178:AL241" si="192">IF(COUNTIF(K$32:K$39,$AB178)=1,INDEX($A$32:$A$39,MATCH($AB178,K$32:K$39,0)),IF($AB178&gt;=K$32,"1",IF($AB178&gt;=K$33,"2",IF($AB178&gt;=K$34,"3",IF($AB178&gt;=K$35,"4",IF($AB178&gt;=K$36,"5",IF($AB178&gt;=K$37,"6",IF($AB178&gt;=K$38,"7",IF($AB178&gt;=K$39,"8")))))))))</f>
        <v>8</v>
      </c>
      <c r="AM178" s="44" t="str">
        <f t="shared" ref="AM178:AM241" si="193">IF(COUNTIF(L$32:L$39,$AB178)=1,INDEX($A$32:$A$39,MATCH($AB178,L$32:L$39,0)),IF($AB178&gt;=L$32,"1",IF($AB178&gt;=L$33,"2",IF($AB178&gt;=L$34,"3",IF($AB178&gt;=L$35,"4",IF($AB178&gt;=L$36,"5",IF($AB178&gt;=L$37,"6",IF($AB178&gt;=L$38,"7",IF($AB178&gt;=L$39,"8")))))))))</f>
        <v>8</v>
      </c>
      <c r="AN178" s="44" t="str">
        <f t="shared" ref="AN178:AN241" si="194">IF(COUNTIF(M$32:M$39,$AB178)=1,INDEX($A$32:$A$39,MATCH($AB178,M$32:M$39,0)),IF($AB178&gt;=M$32,"1",IF($AB178&gt;=M$33,"2",IF($AB178&gt;=M$34,"3",IF($AB178&gt;=M$35,"4",IF($AB178&gt;=M$36,"5",IF($AB178&gt;=M$37,"6",IF($AB178&gt;=M$38,"7",IF($AB178&gt;=M$39,"8")))))))))</f>
        <v>8</v>
      </c>
      <c r="AO178" s="44" t="str">
        <f t="shared" ref="AO178:AO241" si="195">IF(COUNTIF(N$32:N$39,$AB178)=1,INDEX($A$32:$A$39,MATCH($AB178,N$32:N$39,0)),IF($AB178&gt;=N$32,"1",IF($AB178&gt;=N$33,"2",IF($AB178&gt;=N$34,"3",IF($AB178&gt;=N$35,"4",IF($AB178&gt;=N$36,"5",IF($AB178&gt;=N$37,"6",IF($AB178&gt;=N$38,"7",IF($AB178&gt;=N$39,"8")))))))))</f>
        <v>8</v>
      </c>
      <c r="AP178" s="44" t="str">
        <f t="shared" ref="AP178:AP241" si="196">IF(COUNTIF(O$32:O$39,$AB178)=1,INDEX($A$32:$A$39,MATCH($AB178,O$32:O$39,0)),IF($AB178&gt;=O$32,"1",IF($AB178&gt;=O$33,"2",IF($AB178&gt;=O$34,"3",IF($AB178&gt;=O$35,"4",IF($AB178&gt;=O$36,"5",IF($AB178&gt;=O$37,"6",IF($AB178&gt;=O$38,"7",IF($AB178&gt;=O$39,"8")))))))))</f>
        <v>8</v>
      </c>
      <c r="AQ178" s="44" t="str">
        <f t="shared" ref="AQ178:AQ241" si="197">IF(COUNTIF(P$32:P$39,$AB178)=1,INDEX($A$32:$A$39,MATCH($AB178,P$32:P$39,0)),IF($AB178&gt;=P$32,"1",IF($AB178&gt;=P$33,"2",IF($AB178&gt;=P$34,"3",IF($AB178&gt;=P$35,"4",IF($AB178&gt;=P$36,"5",IF($AB178&gt;=P$37,"6",IF($AB178&gt;=P$38,"7",IF($AB178&gt;=P$39,"8")))))))))</f>
        <v>8</v>
      </c>
      <c r="AR178" s="44" t="str">
        <f t="shared" ref="AR178:AR241" si="198">IF(COUNTIF(Q$32:Q$39,$AB178)=1,INDEX($A$32:$A$39,MATCH($AB178,Q$32:Q$39,0)),IF($AB178&gt;=Q$32,"1",IF($AB178&gt;=Q$33,"2",IF($AB178&gt;=Q$34,"3",IF($AB178&gt;=Q$35,"4",IF($AB178&gt;=Q$36,"5",IF($AB178&gt;=Q$37,"6",IF($AB178&gt;=Q$38,"7",IF($AB178&gt;=Q$39,"8")))))))))</f>
        <v>8</v>
      </c>
      <c r="AS178" s="44" t="str">
        <f t="shared" ref="AS178:AS241" si="199">IF(COUNTIF(R$32:R$39,$AB178)=1,INDEX($A$32:$A$39,MATCH($AB178,R$32:R$39,0)),IF($AB178&gt;=R$32,"1",IF($AB178&gt;=R$33,"2",IF($AB178&gt;=R$34,"3",IF($AB178&gt;=R$35,"4",IF($AB178&gt;=R$36,"5",IF($AB178&gt;=R$37,"6",IF($AB178&gt;=R$38,"7",IF($AB178&gt;=R$39,"8")))))))))</f>
        <v>8</v>
      </c>
      <c r="AT178" s="44" t="str">
        <f t="shared" ref="AT178:AT241" si="200">IF(COUNTIF(S$32:S$39,$AB178)=1,INDEX($A$32:$A$39,MATCH($AB178,S$32:S$39,0)),IF($AB178&gt;=S$32,"1",IF($AB178&gt;=S$33,"2",IF($AB178&gt;=S$34,"3",IF($AB178&gt;=S$35,"4",IF($AB178&gt;=S$36,"5",IF($AB178&gt;=S$37,"6",IF($AB178&gt;=S$38,"7",IF($AB178&gt;=S$39,"8")))))))))</f>
        <v>8</v>
      </c>
      <c r="AU178" s="44" t="str">
        <f t="shared" ref="AU178:AU241" si="201">IF(COUNTIF(T$32:T$39,$AB178)=1,INDEX($A$32:$A$39,MATCH($AB178,T$32:T$39,0)),IF($AB178&gt;=T$32,"1",IF($AB178&gt;=T$33,"2",IF($AB178&gt;=T$34,"3",IF($AB178&gt;=T$35,"4",IF($AB178&gt;=T$36,"5",IF($AB178&gt;=T$37,"6",IF($AB178&gt;=T$38,"7",IF($AB178&gt;=T$39,"8")))))))))</f>
        <v>8컷원점</v>
      </c>
      <c r="AV178" s="44" t="str">
        <f t="shared" ref="AV178:AV241" si="202">IF(COUNTIF(U$32:U$39,$AB178)=1,INDEX($A$32:$A$39,MATCH($AB178,U$32:U$39,0)),IF($AB178&gt;=U$32,"1",IF($AB178&gt;=U$33,"2",IF($AB178&gt;=U$34,"3",IF($AB178&gt;=U$35,"4",IF($AB178&gt;=U$36,"5",IF($AB178&gt;=U$37,"6",IF($AB178&gt;=U$38,"7",IF($AB178&gt;=U$39,"8")))))))))</f>
        <v>8컷원점</v>
      </c>
      <c r="AW178" s="44" t="str">
        <f t="shared" ref="AW178:AW241" si="203">IF(COUNTIF(V$32:V$39,$AB178)=1,INDEX($A$32:$A$39,MATCH($AB178,V$32:V$39,0)),IF($AB178&gt;=V$32,"1",IF($AB178&gt;=V$33,"2",IF($AB178&gt;=V$34,"3",IF($AB178&gt;=V$35,"4",IF($AB178&gt;=V$36,"5",IF($AB178&gt;=V$37,"6",IF($AB178&gt;=V$38,"7",IF($AB178&gt;=V$39,"8")))))))))</f>
        <v>8컷원점</v>
      </c>
      <c r="AX178" s="44" t="str">
        <f t="shared" ref="AX178:AX241" si="204">IF(COUNTIF(W$32:W$39,$AB178)=1,INDEX($A$32:$A$39,MATCH($AB178,W$32:W$39,0)),IF($AB178&gt;=W$32,"1",IF($AB178&gt;=W$33,"2",IF($AB178&gt;=W$34,"3",IF($AB178&gt;=W$35,"4",IF($AB178&gt;=W$36,"5",IF($AB178&gt;=W$37,"6",IF($AB178&gt;=W$38,"7",IF($AB178&gt;=W$39,"8")))))))))</f>
        <v>8컷원점</v>
      </c>
      <c r="AY178" s="7">
        <v>5</v>
      </c>
      <c r="AZ178" s="7">
        <v>8</v>
      </c>
    </row>
    <row r="179" spans="1:52" hidden="1" x14ac:dyDescent="0.3">
      <c r="A179" s="7">
        <v>56</v>
      </c>
      <c r="B179" s="7">
        <f t="shared" si="183"/>
        <v>58</v>
      </c>
      <c r="C179" s="7">
        <f t="shared" si="184"/>
        <v>55</v>
      </c>
      <c r="D179" s="7">
        <f t="shared" si="185"/>
        <v>69</v>
      </c>
      <c r="E179" s="7">
        <f t="shared" si="186"/>
        <v>67</v>
      </c>
      <c r="F179" s="7">
        <f t="shared" si="187"/>
        <v>63</v>
      </c>
      <c r="G179" s="7">
        <f t="shared" si="161"/>
        <v>4</v>
      </c>
      <c r="H179" s="7">
        <f t="shared" si="162"/>
        <v>4</v>
      </c>
      <c r="I179" s="7">
        <f t="shared" si="163"/>
        <v>4</v>
      </c>
      <c r="J179" s="7">
        <f t="shared" si="164"/>
        <v>4</v>
      </c>
      <c r="K179" s="7">
        <f t="shared" si="165"/>
        <v>4</v>
      </c>
      <c r="L179" s="7">
        <f t="shared" si="166"/>
        <v>6</v>
      </c>
      <c r="M179" s="7">
        <f t="shared" si="167"/>
        <v>4</v>
      </c>
      <c r="N179" s="7">
        <f t="shared" si="168"/>
        <v>4</v>
      </c>
      <c r="O179" s="7">
        <f t="shared" si="169"/>
        <v>4</v>
      </c>
      <c r="P179" s="7">
        <f t="shared" si="170"/>
        <v>4</v>
      </c>
      <c r="Q179" s="7">
        <f t="shared" si="171"/>
        <v>4</v>
      </c>
      <c r="R179" s="7">
        <f t="shared" si="172"/>
        <v>4</v>
      </c>
      <c r="S179" s="7">
        <f t="shared" si="173"/>
        <v>4</v>
      </c>
      <c r="T179" s="7">
        <f t="shared" si="174"/>
        <v>4</v>
      </c>
      <c r="U179" s="7">
        <f t="shared" si="175"/>
        <v>4</v>
      </c>
      <c r="V179" s="7">
        <f t="shared" si="176"/>
        <v>4</v>
      </c>
      <c r="W179" s="7">
        <f t="shared" si="177"/>
        <v>4</v>
      </c>
      <c r="X179" s="47">
        <f t="shared" si="178"/>
        <v>4.4043149683081424</v>
      </c>
      <c r="Y179" s="47">
        <f t="shared" si="179"/>
        <v>4.0156548661289486</v>
      </c>
      <c r="Z179" s="47">
        <f t="shared" si="180"/>
        <v>4</v>
      </c>
      <c r="AA179" s="47">
        <f t="shared" si="181"/>
        <v>4</v>
      </c>
      <c r="AB179" s="7">
        <v>6</v>
      </c>
      <c r="AC179" s="44" t="str">
        <f t="shared" si="155"/>
        <v>5</v>
      </c>
      <c r="AD179" s="44" t="str">
        <f t="shared" si="156"/>
        <v>5</v>
      </c>
      <c r="AE179" s="44" t="str">
        <f t="shared" si="157"/>
        <v>4</v>
      </c>
      <c r="AF179" s="44" t="str">
        <f t="shared" si="158"/>
        <v>4</v>
      </c>
      <c r="AG179" s="44" t="str">
        <f t="shared" si="159"/>
        <v>4</v>
      </c>
      <c r="AH179" s="44" t="b">
        <f t="shared" si="188"/>
        <v>0</v>
      </c>
      <c r="AI179" s="44" t="b">
        <f t="shared" si="189"/>
        <v>0</v>
      </c>
      <c r="AJ179" s="44" t="str">
        <f t="shared" si="190"/>
        <v>8컷원점</v>
      </c>
      <c r="AK179" s="44" t="b">
        <f t="shared" si="191"/>
        <v>0</v>
      </c>
      <c r="AL179" s="44" t="str">
        <f t="shared" si="192"/>
        <v>8컷원점</v>
      </c>
      <c r="AM179" s="44" t="str">
        <f t="shared" si="193"/>
        <v>8</v>
      </c>
      <c r="AN179" s="44" t="str">
        <f t="shared" si="194"/>
        <v>8컷원점</v>
      </c>
      <c r="AO179" s="44" t="str">
        <f t="shared" si="195"/>
        <v>8컷원점</v>
      </c>
      <c r="AP179" s="44" t="str">
        <f t="shared" si="196"/>
        <v>8컷원점</v>
      </c>
      <c r="AQ179" s="44" t="str">
        <f t="shared" si="197"/>
        <v>8컷원점</v>
      </c>
      <c r="AR179" s="44" t="str">
        <f t="shared" si="198"/>
        <v>8컷원점</v>
      </c>
      <c r="AS179" s="44" t="str">
        <f t="shared" si="199"/>
        <v>8컷원점</v>
      </c>
      <c r="AT179" s="44" t="str">
        <f t="shared" si="200"/>
        <v>8컷원점</v>
      </c>
      <c r="AU179" s="44" t="b">
        <f t="shared" si="201"/>
        <v>0</v>
      </c>
      <c r="AV179" s="44" t="b">
        <f t="shared" si="202"/>
        <v>0</v>
      </c>
      <c r="AW179" s="44" t="b">
        <f t="shared" si="203"/>
        <v>0</v>
      </c>
      <c r="AX179" s="44" t="b">
        <f t="shared" si="204"/>
        <v>0</v>
      </c>
      <c r="AY179" s="7">
        <v>5</v>
      </c>
      <c r="AZ179" s="7">
        <v>8</v>
      </c>
    </row>
    <row r="180" spans="1:52" hidden="1" x14ac:dyDescent="0.3">
      <c r="A180" s="7">
        <v>55</v>
      </c>
      <c r="B180" s="7">
        <f t="shared" si="183"/>
        <v>56</v>
      </c>
      <c r="C180" s="7">
        <f t="shared" si="184"/>
        <v>53</v>
      </c>
      <c r="D180" s="7">
        <f t="shared" si="185"/>
        <v>67</v>
      </c>
      <c r="E180" s="7">
        <f t="shared" si="186"/>
        <v>65</v>
      </c>
      <c r="F180" s="7">
        <f t="shared" si="187"/>
        <v>62</v>
      </c>
      <c r="G180" s="7">
        <f t="shared" si="161"/>
        <v>4</v>
      </c>
      <c r="H180" s="7">
        <f t="shared" si="162"/>
        <v>4</v>
      </c>
      <c r="I180" s="7">
        <f t="shared" si="163"/>
        <v>4</v>
      </c>
      <c r="J180" s="7">
        <f t="shared" si="164"/>
        <v>4</v>
      </c>
      <c r="K180" s="7">
        <f t="shared" si="165"/>
        <v>4</v>
      </c>
      <c r="L180" s="7">
        <f t="shared" si="166"/>
        <v>4</v>
      </c>
      <c r="M180" s="7">
        <f t="shared" si="167"/>
        <v>4</v>
      </c>
      <c r="N180" s="7">
        <f t="shared" si="168"/>
        <v>4</v>
      </c>
      <c r="O180" s="7">
        <f t="shared" si="169"/>
        <v>4</v>
      </c>
      <c r="P180" s="7">
        <f t="shared" si="170"/>
        <v>4</v>
      </c>
      <c r="Q180" s="7">
        <f t="shared" si="171"/>
        <v>4</v>
      </c>
      <c r="R180" s="7">
        <f t="shared" si="172"/>
        <v>4</v>
      </c>
      <c r="S180" s="7">
        <f t="shared" si="173"/>
        <v>4</v>
      </c>
      <c r="T180" s="7">
        <f t="shared" si="174"/>
        <v>4</v>
      </c>
      <c r="U180" s="7">
        <f t="shared" si="175"/>
        <v>4</v>
      </c>
      <c r="V180" s="7">
        <f t="shared" si="176"/>
        <v>4</v>
      </c>
      <c r="W180" s="7">
        <f t="shared" si="177"/>
        <v>4</v>
      </c>
      <c r="X180" s="47">
        <f t="shared" si="178"/>
        <v>4</v>
      </c>
      <c r="Y180" s="47">
        <f t="shared" si="179"/>
        <v>4</v>
      </c>
      <c r="Z180" s="47">
        <f t="shared" si="180"/>
        <v>4</v>
      </c>
      <c r="AA180" s="47">
        <f t="shared" si="181"/>
        <v>4</v>
      </c>
      <c r="AB180" s="7">
        <v>5</v>
      </c>
      <c r="AC180" s="44" t="str">
        <f t="shared" si="155"/>
        <v>5</v>
      </c>
      <c r="AD180" s="44" t="str">
        <f t="shared" si="156"/>
        <v>5</v>
      </c>
      <c r="AE180" s="44" t="str">
        <f t="shared" si="157"/>
        <v>4</v>
      </c>
      <c r="AF180" s="44" t="str">
        <f t="shared" si="158"/>
        <v>4</v>
      </c>
      <c r="AG180" s="44" t="str">
        <f t="shared" si="159"/>
        <v>4</v>
      </c>
      <c r="AH180" s="44" t="b">
        <f t="shared" si="188"/>
        <v>0</v>
      </c>
      <c r="AI180" s="44" t="b">
        <f t="shared" si="189"/>
        <v>0</v>
      </c>
      <c r="AJ180" s="44" t="b">
        <f t="shared" si="190"/>
        <v>0</v>
      </c>
      <c r="AK180" s="44" t="b">
        <f t="shared" si="191"/>
        <v>0</v>
      </c>
      <c r="AL180" s="44" t="b">
        <f t="shared" si="192"/>
        <v>0</v>
      </c>
      <c r="AM180" s="44" t="str">
        <f t="shared" si="193"/>
        <v>8컷원점</v>
      </c>
      <c r="AN180" s="44" t="b">
        <f t="shared" si="194"/>
        <v>0</v>
      </c>
      <c r="AO180" s="44" t="b">
        <f t="shared" si="195"/>
        <v>0</v>
      </c>
      <c r="AP180" s="44" t="b">
        <f t="shared" si="196"/>
        <v>0</v>
      </c>
      <c r="AQ180" s="44" t="b">
        <f t="shared" si="197"/>
        <v>0</v>
      </c>
      <c r="AR180" s="44" t="b">
        <f t="shared" si="198"/>
        <v>0</v>
      </c>
      <c r="AS180" s="44" t="b">
        <f t="shared" si="199"/>
        <v>0</v>
      </c>
      <c r="AT180" s="44" t="b">
        <f t="shared" si="200"/>
        <v>0</v>
      </c>
      <c r="AU180" s="44" t="b">
        <f t="shared" si="201"/>
        <v>0</v>
      </c>
      <c r="AV180" s="44" t="b">
        <f t="shared" si="202"/>
        <v>0</v>
      </c>
      <c r="AW180" s="44" t="b">
        <f t="shared" si="203"/>
        <v>0</v>
      </c>
      <c r="AX180" s="44" t="b">
        <f t="shared" si="204"/>
        <v>0</v>
      </c>
      <c r="AY180" s="7">
        <v>5</v>
      </c>
      <c r="AZ180" s="7">
        <v>8</v>
      </c>
    </row>
    <row r="181" spans="1:52" hidden="1" x14ac:dyDescent="0.3">
      <c r="A181" s="7">
        <v>54</v>
      </c>
      <c r="B181" s="7">
        <f t="shared" si="183"/>
        <v>54</v>
      </c>
      <c r="C181" s="7">
        <f t="shared" si="184"/>
        <v>51</v>
      </c>
      <c r="D181" s="7">
        <f t="shared" si="185"/>
        <v>66</v>
      </c>
      <c r="E181" s="7">
        <f t="shared" si="186"/>
        <v>64</v>
      </c>
      <c r="F181" s="7">
        <f t="shared" si="187"/>
        <v>60</v>
      </c>
      <c r="G181" s="7">
        <f t="shared" si="161"/>
        <v>4</v>
      </c>
      <c r="H181" s="7">
        <f t="shared" si="162"/>
        <v>4</v>
      </c>
      <c r="I181" s="7">
        <f t="shared" si="163"/>
        <v>4</v>
      </c>
      <c r="J181" s="7">
        <f t="shared" si="164"/>
        <v>4</v>
      </c>
      <c r="K181" s="7">
        <f t="shared" si="165"/>
        <v>4</v>
      </c>
      <c r="L181" s="7">
        <f t="shared" si="166"/>
        <v>4</v>
      </c>
      <c r="M181" s="7">
        <f t="shared" si="167"/>
        <v>4</v>
      </c>
      <c r="N181" s="7">
        <f t="shared" si="168"/>
        <v>4</v>
      </c>
      <c r="O181" s="7">
        <f t="shared" si="169"/>
        <v>4</v>
      </c>
      <c r="P181" s="7">
        <f t="shared" si="170"/>
        <v>4</v>
      </c>
      <c r="Q181" s="7">
        <f t="shared" si="171"/>
        <v>4</v>
      </c>
      <c r="R181" s="7">
        <f t="shared" si="172"/>
        <v>4</v>
      </c>
      <c r="S181" s="7">
        <f t="shared" si="173"/>
        <v>4</v>
      </c>
      <c r="T181" s="7">
        <f t="shared" si="174"/>
        <v>4</v>
      </c>
      <c r="U181" s="7">
        <f t="shared" si="175"/>
        <v>4</v>
      </c>
      <c r="V181" s="7">
        <f t="shared" si="176"/>
        <v>4</v>
      </c>
      <c r="W181" s="7">
        <f t="shared" si="177"/>
        <v>4</v>
      </c>
      <c r="X181" s="47">
        <f t="shared" si="178"/>
        <v>4</v>
      </c>
      <c r="Y181" s="47">
        <f t="shared" si="179"/>
        <v>4</v>
      </c>
      <c r="Z181" s="47">
        <f t="shared" si="180"/>
        <v>4</v>
      </c>
      <c r="AA181" s="47">
        <f t="shared" si="181"/>
        <v>4</v>
      </c>
      <c r="AB181" s="7">
        <v>4</v>
      </c>
      <c r="AC181" s="44" t="str">
        <f t="shared" si="155"/>
        <v>5</v>
      </c>
      <c r="AD181" s="44" t="str">
        <f t="shared" si="156"/>
        <v>5</v>
      </c>
      <c r="AE181" s="44" t="str">
        <f t="shared" si="157"/>
        <v>4</v>
      </c>
      <c r="AF181" s="44" t="str">
        <f t="shared" si="158"/>
        <v>4</v>
      </c>
      <c r="AG181" s="44" t="str">
        <f t="shared" si="159"/>
        <v>4컷원점</v>
      </c>
      <c r="AH181" s="44" t="b">
        <f t="shared" si="188"/>
        <v>0</v>
      </c>
      <c r="AI181" s="44" t="b">
        <f t="shared" si="189"/>
        <v>0</v>
      </c>
      <c r="AJ181" s="44" t="b">
        <f t="shared" si="190"/>
        <v>0</v>
      </c>
      <c r="AK181" s="44" t="b">
        <f t="shared" si="191"/>
        <v>0</v>
      </c>
      <c r="AL181" s="44" t="b">
        <f t="shared" si="192"/>
        <v>0</v>
      </c>
      <c r="AM181" s="44" t="b">
        <f t="shared" si="193"/>
        <v>0</v>
      </c>
      <c r="AN181" s="44" t="b">
        <f t="shared" si="194"/>
        <v>0</v>
      </c>
      <c r="AO181" s="44" t="b">
        <f t="shared" si="195"/>
        <v>0</v>
      </c>
      <c r="AP181" s="44" t="b">
        <f t="shared" si="196"/>
        <v>0</v>
      </c>
      <c r="AQ181" s="44" t="b">
        <f t="shared" si="197"/>
        <v>0</v>
      </c>
      <c r="AR181" s="44" t="b">
        <f t="shared" si="198"/>
        <v>0</v>
      </c>
      <c r="AS181" s="44" t="b">
        <f t="shared" si="199"/>
        <v>0</v>
      </c>
      <c r="AT181" s="44" t="b">
        <f t="shared" si="200"/>
        <v>0</v>
      </c>
      <c r="AU181" s="44" t="b">
        <f t="shared" si="201"/>
        <v>0</v>
      </c>
      <c r="AV181" s="44" t="b">
        <f t="shared" si="202"/>
        <v>0</v>
      </c>
      <c r="AW181" s="44" t="b">
        <f t="shared" si="203"/>
        <v>0</v>
      </c>
      <c r="AX181" s="44" t="b">
        <f t="shared" si="204"/>
        <v>0</v>
      </c>
      <c r="AY181" s="7">
        <v>5</v>
      </c>
      <c r="AZ181" s="7">
        <v>9</v>
      </c>
    </row>
    <row r="182" spans="1:52" hidden="1" x14ac:dyDescent="0.3">
      <c r="A182" s="7">
        <v>53</v>
      </c>
      <c r="B182" s="7">
        <f t="shared" si="183"/>
        <v>52</v>
      </c>
      <c r="C182" s="7">
        <f t="shared" si="184"/>
        <v>49</v>
      </c>
      <c r="D182" s="7">
        <f t="shared" si="185"/>
        <v>64</v>
      </c>
      <c r="E182" s="7">
        <f t="shared" si="186"/>
        <v>62</v>
      </c>
      <c r="F182" s="7">
        <f t="shared" si="187"/>
        <v>59</v>
      </c>
      <c r="G182" s="7">
        <f t="shared" si="161"/>
        <v>4</v>
      </c>
      <c r="H182" s="7">
        <f t="shared" si="162"/>
        <v>4</v>
      </c>
      <c r="I182" s="7">
        <f t="shared" si="163"/>
        <v>4</v>
      </c>
      <c r="J182" s="7">
        <f t="shared" si="164"/>
        <v>4</v>
      </c>
      <c r="K182" s="7">
        <f t="shared" si="165"/>
        <v>4</v>
      </c>
      <c r="L182" s="7">
        <f t="shared" si="166"/>
        <v>4</v>
      </c>
      <c r="M182" s="7">
        <f t="shared" si="167"/>
        <v>4</v>
      </c>
      <c r="N182" s="7">
        <f t="shared" si="168"/>
        <v>4</v>
      </c>
      <c r="O182" s="7">
        <f t="shared" si="169"/>
        <v>4</v>
      </c>
      <c r="P182" s="7">
        <f t="shared" si="170"/>
        <v>4</v>
      </c>
      <c r="Q182" s="7">
        <f t="shared" si="171"/>
        <v>4</v>
      </c>
      <c r="R182" s="7">
        <f t="shared" si="172"/>
        <v>4</v>
      </c>
      <c r="S182" s="7">
        <f t="shared" si="173"/>
        <v>4</v>
      </c>
      <c r="T182" s="7">
        <f t="shared" si="174"/>
        <v>4</v>
      </c>
      <c r="U182" s="7">
        <f t="shared" si="175"/>
        <v>4</v>
      </c>
      <c r="V182" s="7">
        <f t="shared" si="176"/>
        <v>4</v>
      </c>
      <c r="W182" s="7">
        <f t="shared" si="177"/>
        <v>4</v>
      </c>
      <c r="X182" s="47">
        <f t="shared" si="178"/>
        <v>4</v>
      </c>
      <c r="Y182" s="47">
        <f t="shared" si="179"/>
        <v>4</v>
      </c>
      <c r="Z182" s="47">
        <f t="shared" si="180"/>
        <v>4</v>
      </c>
      <c r="AA182" s="47">
        <f t="shared" si="181"/>
        <v>4</v>
      </c>
      <c r="AB182" s="7">
        <v>3</v>
      </c>
      <c r="AC182" s="44" t="str">
        <f t="shared" si="155"/>
        <v>5</v>
      </c>
      <c r="AD182" s="44" t="str">
        <f t="shared" si="156"/>
        <v>5</v>
      </c>
      <c r="AE182" s="44" t="str">
        <f t="shared" si="157"/>
        <v>4</v>
      </c>
      <c r="AF182" s="44" t="str">
        <f t="shared" si="158"/>
        <v>4</v>
      </c>
      <c r="AG182" s="44" t="str">
        <f t="shared" si="159"/>
        <v>5</v>
      </c>
      <c r="AH182" s="44" t="b">
        <f t="shared" si="188"/>
        <v>0</v>
      </c>
      <c r="AI182" s="44" t="b">
        <f t="shared" si="189"/>
        <v>0</v>
      </c>
      <c r="AJ182" s="44" t="b">
        <f t="shared" si="190"/>
        <v>0</v>
      </c>
      <c r="AK182" s="44" t="b">
        <f t="shared" si="191"/>
        <v>0</v>
      </c>
      <c r="AL182" s="44" t="b">
        <f t="shared" si="192"/>
        <v>0</v>
      </c>
      <c r="AM182" s="44" t="b">
        <f t="shared" si="193"/>
        <v>0</v>
      </c>
      <c r="AN182" s="44" t="b">
        <f t="shared" si="194"/>
        <v>0</v>
      </c>
      <c r="AO182" s="44" t="b">
        <f t="shared" si="195"/>
        <v>0</v>
      </c>
      <c r="AP182" s="44" t="b">
        <f t="shared" si="196"/>
        <v>0</v>
      </c>
      <c r="AQ182" s="44" t="b">
        <f t="shared" si="197"/>
        <v>0</v>
      </c>
      <c r="AR182" s="44" t="b">
        <f t="shared" si="198"/>
        <v>0</v>
      </c>
      <c r="AS182" s="44" t="b">
        <f t="shared" si="199"/>
        <v>0</v>
      </c>
      <c r="AT182" s="44" t="b">
        <f t="shared" si="200"/>
        <v>0</v>
      </c>
      <c r="AU182" s="44" t="b">
        <f t="shared" si="201"/>
        <v>0</v>
      </c>
      <c r="AV182" s="44" t="b">
        <f t="shared" si="202"/>
        <v>0</v>
      </c>
      <c r="AW182" s="44" t="b">
        <f t="shared" si="203"/>
        <v>0</v>
      </c>
      <c r="AX182" s="44" t="b">
        <f t="shared" si="204"/>
        <v>0</v>
      </c>
      <c r="AY182" s="7">
        <v>5</v>
      </c>
      <c r="AZ182" s="7">
        <v>9</v>
      </c>
    </row>
    <row r="183" spans="1:52" hidden="1" x14ac:dyDescent="0.3">
      <c r="A183" s="7">
        <v>52</v>
      </c>
      <c r="B183" s="7">
        <f t="shared" si="183"/>
        <v>50</v>
      </c>
      <c r="C183" s="7">
        <f t="shared" si="184"/>
        <v>47</v>
      </c>
      <c r="D183" s="7">
        <f t="shared" si="185"/>
        <v>63</v>
      </c>
      <c r="E183" s="7">
        <f t="shared" si="186"/>
        <v>60</v>
      </c>
      <c r="F183" s="7">
        <f t="shared" si="187"/>
        <v>58</v>
      </c>
      <c r="G183" s="7">
        <f t="shared" si="161"/>
        <v>4</v>
      </c>
      <c r="H183" s="7">
        <f t="shared" si="162"/>
        <v>4</v>
      </c>
      <c r="I183" s="7">
        <f t="shared" si="163"/>
        <v>4</v>
      </c>
      <c r="J183" s="7">
        <f t="shared" si="164"/>
        <v>4</v>
      </c>
      <c r="K183" s="7">
        <f t="shared" si="165"/>
        <v>4</v>
      </c>
      <c r="L183" s="7">
        <f t="shared" si="166"/>
        <v>4</v>
      </c>
      <c r="M183" s="7">
        <f t="shared" si="167"/>
        <v>4</v>
      </c>
      <c r="N183" s="7">
        <f t="shared" si="168"/>
        <v>4</v>
      </c>
      <c r="O183" s="7">
        <f t="shared" si="169"/>
        <v>4</v>
      </c>
      <c r="P183" s="7">
        <f t="shared" si="170"/>
        <v>4</v>
      </c>
      <c r="Q183" s="7">
        <f t="shared" si="171"/>
        <v>4</v>
      </c>
      <c r="R183" s="7">
        <f t="shared" si="172"/>
        <v>4</v>
      </c>
      <c r="S183" s="7">
        <f t="shared" si="173"/>
        <v>4</v>
      </c>
      <c r="T183" s="7">
        <f t="shared" si="174"/>
        <v>4</v>
      </c>
      <c r="U183" s="7">
        <f t="shared" si="175"/>
        <v>4</v>
      </c>
      <c r="V183" s="7">
        <f t="shared" si="176"/>
        <v>4</v>
      </c>
      <c r="W183" s="7">
        <f t="shared" si="177"/>
        <v>4</v>
      </c>
      <c r="X183" s="47">
        <f t="shared" si="178"/>
        <v>4</v>
      </c>
      <c r="Y183" s="47">
        <f t="shared" si="179"/>
        <v>4</v>
      </c>
      <c r="Z183" s="47">
        <f t="shared" si="180"/>
        <v>4</v>
      </c>
      <c r="AA183" s="47">
        <f t="shared" si="181"/>
        <v>4</v>
      </c>
      <c r="AB183" s="7">
        <v>2</v>
      </c>
      <c r="AC183" s="44" t="str">
        <f t="shared" si="155"/>
        <v>5</v>
      </c>
      <c r="AD183" s="44" t="str">
        <f t="shared" si="156"/>
        <v>5</v>
      </c>
      <c r="AE183" s="44" t="str">
        <f t="shared" si="157"/>
        <v>4</v>
      </c>
      <c r="AF183" s="44" t="str">
        <f t="shared" si="158"/>
        <v>4컷원점</v>
      </c>
      <c r="AG183" s="44" t="str">
        <f t="shared" si="159"/>
        <v>5</v>
      </c>
      <c r="AH183" s="44" t="b">
        <f t="shared" si="188"/>
        <v>0</v>
      </c>
      <c r="AI183" s="44" t="b">
        <f t="shared" si="189"/>
        <v>0</v>
      </c>
      <c r="AJ183" s="44" t="b">
        <f t="shared" si="190"/>
        <v>0</v>
      </c>
      <c r="AK183" s="44" t="b">
        <f t="shared" si="191"/>
        <v>0</v>
      </c>
      <c r="AL183" s="44" t="b">
        <f t="shared" si="192"/>
        <v>0</v>
      </c>
      <c r="AM183" s="44" t="b">
        <f t="shared" si="193"/>
        <v>0</v>
      </c>
      <c r="AN183" s="44" t="b">
        <f t="shared" si="194"/>
        <v>0</v>
      </c>
      <c r="AO183" s="44" t="b">
        <f t="shared" si="195"/>
        <v>0</v>
      </c>
      <c r="AP183" s="44" t="b">
        <f t="shared" si="196"/>
        <v>0</v>
      </c>
      <c r="AQ183" s="44" t="b">
        <f t="shared" si="197"/>
        <v>0</v>
      </c>
      <c r="AR183" s="44" t="b">
        <f t="shared" si="198"/>
        <v>0</v>
      </c>
      <c r="AS183" s="44" t="b">
        <f t="shared" si="199"/>
        <v>0</v>
      </c>
      <c r="AT183" s="44" t="b">
        <f t="shared" si="200"/>
        <v>0</v>
      </c>
      <c r="AU183" s="44" t="b">
        <f t="shared" si="201"/>
        <v>0</v>
      </c>
      <c r="AV183" s="44" t="b">
        <f t="shared" si="202"/>
        <v>0</v>
      </c>
      <c r="AW183" s="44" t="b">
        <f t="shared" si="203"/>
        <v>0</v>
      </c>
      <c r="AX183" s="44" t="b">
        <f t="shared" si="204"/>
        <v>0</v>
      </c>
      <c r="AY183" s="7">
        <v>5</v>
      </c>
      <c r="AZ183" s="7">
        <v>9</v>
      </c>
    </row>
    <row r="184" spans="1:52" hidden="1" x14ac:dyDescent="0.3">
      <c r="A184" s="7">
        <v>51</v>
      </c>
      <c r="B184" s="7">
        <f t="shared" si="183"/>
        <v>48</v>
      </c>
      <c r="C184" s="7">
        <f t="shared" si="184"/>
        <v>46</v>
      </c>
      <c r="D184" s="7">
        <f t="shared" si="185"/>
        <v>62</v>
      </c>
      <c r="E184" s="7">
        <f t="shared" si="186"/>
        <v>59</v>
      </c>
      <c r="F184" s="7">
        <f t="shared" si="187"/>
        <v>57</v>
      </c>
      <c r="G184" s="7">
        <f t="shared" si="161"/>
        <v>4</v>
      </c>
      <c r="H184" s="7">
        <f t="shared" si="162"/>
        <v>4</v>
      </c>
      <c r="I184" s="7">
        <f t="shared" si="163"/>
        <v>4</v>
      </c>
      <c r="J184" s="7">
        <f t="shared" si="164"/>
        <v>4</v>
      </c>
      <c r="K184" s="7">
        <f t="shared" si="165"/>
        <v>4</v>
      </c>
      <c r="L184" s="7">
        <f t="shared" si="166"/>
        <v>4</v>
      </c>
      <c r="M184" s="7">
        <f t="shared" si="167"/>
        <v>4</v>
      </c>
      <c r="N184" s="7">
        <f t="shared" si="168"/>
        <v>4</v>
      </c>
      <c r="O184" s="7">
        <f t="shared" si="169"/>
        <v>4</v>
      </c>
      <c r="P184" s="7">
        <f t="shared" si="170"/>
        <v>4</v>
      </c>
      <c r="Q184" s="7">
        <f t="shared" si="171"/>
        <v>4</v>
      </c>
      <c r="R184" s="7">
        <f t="shared" si="172"/>
        <v>4</v>
      </c>
      <c r="S184" s="7">
        <f t="shared" si="173"/>
        <v>4</v>
      </c>
      <c r="T184" s="7">
        <f t="shared" si="174"/>
        <v>4</v>
      </c>
      <c r="U184" s="7">
        <f t="shared" si="175"/>
        <v>4</v>
      </c>
      <c r="V184" s="7">
        <f t="shared" si="176"/>
        <v>4</v>
      </c>
      <c r="W184" s="7">
        <f t="shared" si="177"/>
        <v>4</v>
      </c>
      <c r="X184" s="47">
        <f t="shared" si="178"/>
        <v>4</v>
      </c>
      <c r="Y184" s="47">
        <f t="shared" si="179"/>
        <v>4</v>
      </c>
      <c r="Z184" s="47">
        <f t="shared" si="180"/>
        <v>4</v>
      </c>
      <c r="AA184" s="47">
        <f t="shared" si="181"/>
        <v>4</v>
      </c>
      <c r="AB184" s="7">
        <v>1</v>
      </c>
      <c r="AC184" s="44" t="str">
        <f t="shared" si="155"/>
        <v>5</v>
      </c>
      <c r="AD184" s="44" t="str">
        <f t="shared" si="156"/>
        <v>5</v>
      </c>
      <c r="AE184" s="44" t="str">
        <f t="shared" si="157"/>
        <v>4</v>
      </c>
      <c r="AF184" s="44" t="str">
        <f t="shared" si="158"/>
        <v>5</v>
      </c>
      <c r="AG184" s="44" t="str">
        <f t="shared" si="159"/>
        <v>5</v>
      </c>
      <c r="AH184" s="44" t="b">
        <f t="shared" si="188"/>
        <v>0</v>
      </c>
      <c r="AI184" s="44" t="b">
        <f t="shared" si="189"/>
        <v>0</v>
      </c>
      <c r="AJ184" s="44" t="b">
        <f t="shared" si="190"/>
        <v>0</v>
      </c>
      <c r="AK184" s="44" t="b">
        <f t="shared" si="191"/>
        <v>0</v>
      </c>
      <c r="AL184" s="44" t="b">
        <f t="shared" si="192"/>
        <v>0</v>
      </c>
      <c r="AM184" s="44" t="b">
        <f t="shared" si="193"/>
        <v>0</v>
      </c>
      <c r="AN184" s="44" t="b">
        <f t="shared" si="194"/>
        <v>0</v>
      </c>
      <c r="AO184" s="44" t="b">
        <f t="shared" si="195"/>
        <v>0</v>
      </c>
      <c r="AP184" s="44" t="b">
        <f t="shared" si="196"/>
        <v>0</v>
      </c>
      <c r="AQ184" s="44" t="b">
        <f t="shared" si="197"/>
        <v>0</v>
      </c>
      <c r="AR184" s="44" t="b">
        <f t="shared" si="198"/>
        <v>0</v>
      </c>
      <c r="AS184" s="44" t="b">
        <f t="shared" si="199"/>
        <v>0</v>
      </c>
      <c r="AT184" s="44" t="b">
        <f t="shared" si="200"/>
        <v>0</v>
      </c>
      <c r="AU184" s="44" t="b">
        <f t="shared" si="201"/>
        <v>0</v>
      </c>
      <c r="AV184" s="44" t="b">
        <f t="shared" si="202"/>
        <v>0</v>
      </c>
      <c r="AW184" s="44" t="b">
        <f t="shared" si="203"/>
        <v>0</v>
      </c>
      <c r="AX184" s="44" t="b">
        <f t="shared" si="204"/>
        <v>0</v>
      </c>
      <c r="AY184" s="7">
        <v>5</v>
      </c>
      <c r="AZ184" s="7">
        <v>9</v>
      </c>
    </row>
    <row r="185" spans="1:52" hidden="1" x14ac:dyDescent="0.3">
      <c r="A185" s="7">
        <v>50</v>
      </c>
      <c r="B185" s="7">
        <f t="shared" si="183"/>
        <v>46</v>
      </c>
      <c r="C185" s="7">
        <f t="shared" si="184"/>
        <v>44</v>
      </c>
      <c r="D185" s="7">
        <f t="shared" si="185"/>
        <v>60</v>
      </c>
      <c r="E185" s="7">
        <f t="shared" si="186"/>
        <v>58</v>
      </c>
      <c r="F185" s="7">
        <f t="shared" si="187"/>
        <v>56</v>
      </c>
      <c r="G185" s="7">
        <f t="shared" si="161"/>
        <v>4</v>
      </c>
      <c r="H185" s="7">
        <f t="shared" si="162"/>
        <v>4</v>
      </c>
      <c r="I185" s="7">
        <f t="shared" si="163"/>
        <v>4</v>
      </c>
      <c r="J185" s="7">
        <f t="shared" si="164"/>
        <v>4</v>
      </c>
      <c r="K185" s="7">
        <f t="shared" si="165"/>
        <v>4</v>
      </c>
      <c r="L185" s="7">
        <f t="shared" si="166"/>
        <v>4</v>
      </c>
      <c r="M185" s="7">
        <f t="shared" si="167"/>
        <v>4</v>
      </c>
      <c r="N185" s="7">
        <f t="shared" si="168"/>
        <v>4</v>
      </c>
      <c r="O185" s="7">
        <f t="shared" si="169"/>
        <v>4</v>
      </c>
      <c r="P185" s="7">
        <f t="shared" si="170"/>
        <v>4</v>
      </c>
      <c r="Q185" s="7">
        <f t="shared" si="171"/>
        <v>4</v>
      </c>
      <c r="R185" s="7">
        <f t="shared" si="172"/>
        <v>4</v>
      </c>
      <c r="S185" s="7">
        <f t="shared" si="173"/>
        <v>4</v>
      </c>
      <c r="T185" s="7">
        <f t="shared" si="174"/>
        <v>4</v>
      </c>
      <c r="U185" s="7">
        <f t="shared" si="175"/>
        <v>4</v>
      </c>
      <c r="V185" s="7">
        <f t="shared" si="176"/>
        <v>4</v>
      </c>
      <c r="W185" s="7">
        <f t="shared" si="177"/>
        <v>4</v>
      </c>
      <c r="X185" s="47">
        <f t="shared" si="178"/>
        <v>4</v>
      </c>
      <c r="Y185" s="47">
        <f t="shared" si="179"/>
        <v>4</v>
      </c>
      <c r="Z185" s="47">
        <f t="shared" si="180"/>
        <v>4</v>
      </c>
      <c r="AA185" s="47">
        <f t="shared" si="181"/>
        <v>4</v>
      </c>
      <c r="AB185" s="7">
        <v>0</v>
      </c>
      <c r="AC185" s="44" t="str">
        <f t="shared" si="155"/>
        <v>5</v>
      </c>
      <c r="AD185" s="44" t="str">
        <f t="shared" si="156"/>
        <v>5</v>
      </c>
      <c r="AE185" s="44" t="str">
        <f t="shared" si="157"/>
        <v>4컷원점</v>
      </c>
      <c r="AF185" s="44" t="str">
        <f t="shared" si="158"/>
        <v>5</v>
      </c>
      <c r="AG185" s="44" t="str">
        <f t="shared" si="159"/>
        <v>5</v>
      </c>
      <c r="AH185" s="44" t="b">
        <f t="shared" si="188"/>
        <v>0</v>
      </c>
      <c r="AI185" s="44" t="b">
        <f t="shared" si="189"/>
        <v>0</v>
      </c>
      <c r="AJ185" s="44" t="b">
        <f t="shared" si="190"/>
        <v>0</v>
      </c>
      <c r="AK185" s="44" t="b">
        <f t="shared" si="191"/>
        <v>0</v>
      </c>
      <c r="AL185" s="44" t="b">
        <f t="shared" si="192"/>
        <v>0</v>
      </c>
      <c r="AM185" s="44" t="b">
        <f t="shared" si="193"/>
        <v>0</v>
      </c>
      <c r="AN185" s="44" t="b">
        <f t="shared" si="194"/>
        <v>0</v>
      </c>
      <c r="AO185" s="44" t="b">
        <f t="shared" si="195"/>
        <v>0</v>
      </c>
      <c r="AP185" s="44" t="b">
        <f t="shared" si="196"/>
        <v>0</v>
      </c>
      <c r="AQ185" s="44" t="b">
        <f t="shared" si="197"/>
        <v>0</v>
      </c>
      <c r="AR185" s="44" t="b">
        <f t="shared" si="198"/>
        <v>0</v>
      </c>
      <c r="AS185" s="44" t="b">
        <f t="shared" si="199"/>
        <v>0</v>
      </c>
      <c r="AT185" s="44" t="b">
        <f t="shared" si="200"/>
        <v>0</v>
      </c>
      <c r="AU185" s="44" t="b">
        <f t="shared" si="201"/>
        <v>0</v>
      </c>
      <c r="AV185" s="44" t="b">
        <f t="shared" si="202"/>
        <v>0</v>
      </c>
      <c r="AW185" s="44" t="b">
        <f t="shared" si="203"/>
        <v>0</v>
      </c>
      <c r="AX185" s="44" t="b">
        <f t="shared" si="204"/>
        <v>0</v>
      </c>
      <c r="AY185" s="7">
        <v>5</v>
      </c>
      <c r="AZ185" s="7">
        <v>9</v>
      </c>
    </row>
    <row r="186" spans="1:52" hidden="1" x14ac:dyDescent="0.3">
      <c r="A186" s="7">
        <v>49</v>
      </c>
      <c r="B186" s="7">
        <f t="shared" si="183"/>
        <v>44</v>
      </c>
      <c r="C186" s="7">
        <f t="shared" si="184"/>
        <v>42</v>
      </c>
      <c r="D186" s="7">
        <f t="shared" si="185"/>
        <v>59</v>
      </c>
      <c r="E186" s="7">
        <f t="shared" si="186"/>
        <v>57</v>
      </c>
      <c r="F186" s="7">
        <f t="shared" si="187"/>
        <v>55</v>
      </c>
      <c r="G186" s="7">
        <f t="shared" si="161"/>
        <v>4</v>
      </c>
      <c r="H186" s="7">
        <f t="shared" si="162"/>
        <v>4</v>
      </c>
      <c r="I186" s="7">
        <f t="shared" si="163"/>
        <v>4</v>
      </c>
      <c r="J186" s="7">
        <f t="shared" si="164"/>
        <v>4</v>
      </c>
      <c r="K186" s="7">
        <f t="shared" si="165"/>
        <v>4</v>
      </c>
      <c r="L186" s="7">
        <f t="shared" si="166"/>
        <v>4</v>
      </c>
      <c r="M186" s="7">
        <f t="shared" si="167"/>
        <v>4</v>
      </c>
      <c r="N186" s="7">
        <f t="shared" si="168"/>
        <v>4</v>
      </c>
      <c r="O186" s="7">
        <f t="shared" si="169"/>
        <v>4</v>
      </c>
      <c r="P186" s="7">
        <f t="shared" si="170"/>
        <v>4</v>
      </c>
      <c r="Q186" s="7">
        <f t="shared" si="171"/>
        <v>4</v>
      </c>
      <c r="R186" s="7">
        <f t="shared" si="172"/>
        <v>4</v>
      </c>
      <c r="S186" s="7">
        <f t="shared" si="173"/>
        <v>4</v>
      </c>
      <c r="T186" s="7">
        <f t="shared" si="174"/>
        <v>4</v>
      </c>
      <c r="U186" s="7">
        <f t="shared" si="175"/>
        <v>4</v>
      </c>
      <c r="V186" s="7">
        <f t="shared" si="176"/>
        <v>4</v>
      </c>
      <c r="W186" s="7">
        <f t="shared" si="177"/>
        <v>4</v>
      </c>
      <c r="AC186" s="44" t="str">
        <f t="shared" si="155"/>
        <v>5</v>
      </c>
      <c r="AD186" s="44" t="str">
        <f t="shared" si="156"/>
        <v>5</v>
      </c>
      <c r="AE186" s="44" t="str">
        <f t="shared" si="157"/>
        <v>5</v>
      </c>
      <c r="AF186" s="44" t="str">
        <f t="shared" si="158"/>
        <v>5</v>
      </c>
      <c r="AG186" s="44" t="str">
        <f t="shared" si="159"/>
        <v>5</v>
      </c>
      <c r="AH186" s="44" t="b">
        <f t="shared" si="188"/>
        <v>0</v>
      </c>
      <c r="AI186" s="44" t="b">
        <f t="shared" si="189"/>
        <v>0</v>
      </c>
      <c r="AJ186" s="44" t="b">
        <f t="shared" si="190"/>
        <v>0</v>
      </c>
      <c r="AK186" s="44" t="b">
        <f t="shared" si="191"/>
        <v>0</v>
      </c>
      <c r="AL186" s="44" t="b">
        <f t="shared" si="192"/>
        <v>0</v>
      </c>
      <c r="AM186" s="44" t="b">
        <f t="shared" si="193"/>
        <v>0</v>
      </c>
      <c r="AN186" s="44" t="b">
        <f t="shared" si="194"/>
        <v>0</v>
      </c>
      <c r="AO186" s="44" t="b">
        <f t="shared" si="195"/>
        <v>0</v>
      </c>
      <c r="AP186" s="44" t="b">
        <f t="shared" si="196"/>
        <v>0</v>
      </c>
      <c r="AQ186" s="44" t="b">
        <f t="shared" si="197"/>
        <v>0</v>
      </c>
      <c r="AR186" s="44" t="b">
        <f t="shared" si="198"/>
        <v>0</v>
      </c>
      <c r="AS186" s="44" t="b">
        <f t="shared" si="199"/>
        <v>0</v>
      </c>
      <c r="AT186" s="44" t="b">
        <f t="shared" si="200"/>
        <v>0</v>
      </c>
      <c r="AU186" s="44" t="b">
        <f t="shared" si="201"/>
        <v>0</v>
      </c>
      <c r="AV186" s="44" t="b">
        <f t="shared" si="202"/>
        <v>0</v>
      </c>
      <c r="AW186" s="44" t="b">
        <f t="shared" si="203"/>
        <v>0</v>
      </c>
      <c r="AX186" s="44" t="b">
        <f t="shared" si="204"/>
        <v>0</v>
      </c>
      <c r="AY186" s="7">
        <v>6</v>
      </c>
    </row>
    <row r="187" spans="1:52" hidden="1" x14ac:dyDescent="0.3">
      <c r="A187" s="7">
        <v>48</v>
      </c>
      <c r="B187" s="7">
        <f t="shared" si="183"/>
        <v>42</v>
      </c>
      <c r="C187" s="7">
        <f t="shared" si="184"/>
        <v>40</v>
      </c>
      <c r="D187" s="7">
        <f t="shared" si="185"/>
        <v>58</v>
      </c>
      <c r="E187" s="7">
        <f t="shared" si="186"/>
        <v>56</v>
      </c>
      <c r="F187" s="7">
        <f t="shared" si="187"/>
        <v>54</v>
      </c>
      <c r="G187" s="7">
        <f t="shared" si="161"/>
        <v>4</v>
      </c>
      <c r="H187" s="7">
        <f t="shared" si="162"/>
        <v>4</v>
      </c>
      <c r="I187" s="7">
        <f t="shared" si="163"/>
        <v>4</v>
      </c>
      <c r="J187" s="7">
        <f t="shared" si="164"/>
        <v>4</v>
      </c>
      <c r="K187" s="7">
        <f t="shared" si="165"/>
        <v>4</v>
      </c>
      <c r="L187" s="7">
        <f t="shared" si="166"/>
        <v>4</v>
      </c>
      <c r="M187" s="7">
        <f t="shared" si="167"/>
        <v>4</v>
      </c>
      <c r="N187" s="7">
        <f t="shared" si="168"/>
        <v>4</v>
      </c>
      <c r="O187" s="7">
        <f t="shared" si="169"/>
        <v>4</v>
      </c>
      <c r="P187" s="7">
        <f t="shared" si="170"/>
        <v>4</v>
      </c>
      <c r="Q187" s="7">
        <f t="shared" si="171"/>
        <v>4</v>
      </c>
      <c r="R187" s="7">
        <f t="shared" si="172"/>
        <v>4</v>
      </c>
      <c r="S187" s="7">
        <f t="shared" si="173"/>
        <v>4</v>
      </c>
      <c r="T187" s="7">
        <f t="shared" si="174"/>
        <v>4</v>
      </c>
      <c r="U187" s="7">
        <f t="shared" si="175"/>
        <v>4</v>
      </c>
      <c r="V187" s="7">
        <f t="shared" si="176"/>
        <v>4</v>
      </c>
      <c r="W187" s="7">
        <f t="shared" si="177"/>
        <v>4</v>
      </c>
      <c r="AC187" s="44" t="str">
        <f t="shared" si="155"/>
        <v>5</v>
      </c>
      <c r="AD187" s="44" t="str">
        <f t="shared" si="156"/>
        <v>5컷원점</v>
      </c>
      <c r="AE187" s="44" t="str">
        <f t="shared" si="157"/>
        <v>5</v>
      </c>
      <c r="AF187" s="44" t="str">
        <f t="shared" si="158"/>
        <v>5</v>
      </c>
      <c r="AG187" s="44" t="str">
        <f t="shared" si="159"/>
        <v>5</v>
      </c>
      <c r="AH187" s="44" t="b">
        <f t="shared" si="188"/>
        <v>0</v>
      </c>
      <c r="AI187" s="44" t="b">
        <f t="shared" si="189"/>
        <v>0</v>
      </c>
      <c r="AJ187" s="44" t="b">
        <f t="shared" si="190"/>
        <v>0</v>
      </c>
      <c r="AK187" s="44" t="b">
        <f t="shared" si="191"/>
        <v>0</v>
      </c>
      <c r="AL187" s="44" t="b">
        <f t="shared" si="192"/>
        <v>0</v>
      </c>
      <c r="AM187" s="44" t="b">
        <f t="shared" si="193"/>
        <v>0</v>
      </c>
      <c r="AN187" s="44" t="b">
        <f t="shared" si="194"/>
        <v>0</v>
      </c>
      <c r="AO187" s="44" t="b">
        <f t="shared" si="195"/>
        <v>0</v>
      </c>
      <c r="AP187" s="44" t="b">
        <f t="shared" si="196"/>
        <v>0</v>
      </c>
      <c r="AQ187" s="44" t="b">
        <f t="shared" si="197"/>
        <v>0</v>
      </c>
      <c r="AR187" s="44" t="b">
        <f t="shared" si="198"/>
        <v>0</v>
      </c>
      <c r="AS187" s="44" t="b">
        <f t="shared" si="199"/>
        <v>0</v>
      </c>
      <c r="AT187" s="44" t="b">
        <f t="shared" si="200"/>
        <v>0</v>
      </c>
      <c r="AU187" s="44" t="b">
        <f t="shared" si="201"/>
        <v>0</v>
      </c>
      <c r="AV187" s="44" t="b">
        <f t="shared" si="202"/>
        <v>0</v>
      </c>
      <c r="AW187" s="44" t="b">
        <f t="shared" si="203"/>
        <v>0</v>
      </c>
      <c r="AX187" s="44" t="b">
        <f t="shared" si="204"/>
        <v>0</v>
      </c>
      <c r="AY187" s="7">
        <v>6</v>
      </c>
    </row>
    <row r="188" spans="1:52" hidden="1" x14ac:dyDescent="0.3">
      <c r="A188" s="7">
        <v>47</v>
      </c>
      <c r="B188" s="7">
        <f t="shared" si="183"/>
        <v>40</v>
      </c>
      <c r="C188" s="7">
        <f t="shared" si="184"/>
        <v>39</v>
      </c>
      <c r="D188" s="7">
        <f t="shared" si="185"/>
        <v>57</v>
      </c>
      <c r="E188" s="7">
        <f t="shared" si="186"/>
        <v>55</v>
      </c>
      <c r="F188" s="7">
        <f t="shared" si="187"/>
        <v>53</v>
      </c>
      <c r="G188" s="7">
        <f t="shared" si="161"/>
        <v>4</v>
      </c>
      <c r="H188" s="7">
        <f t="shared" si="162"/>
        <v>4</v>
      </c>
      <c r="I188" s="7">
        <f t="shared" si="163"/>
        <v>4</v>
      </c>
      <c r="J188" s="7">
        <f t="shared" si="164"/>
        <v>4</v>
      </c>
      <c r="K188" s="7">
        <f t="shared" si="165"/>
        <v>4</v>
      </c>
      <c r="L188" s="7">
        <f t="shared" si="166"/>
        <v>4</v>
      </c>
      <c r="M188" s="7">
        <f t="shared" si="167"/>
        <v>4</v>
      </c>
      <c r="N188" s="7">
        <f t="shared" si="168"/>
        <v>4</v>
      </c>
      <c r="O188" s="7">
        <f t="shared" si="169"/>
        <v>4</v>
      </c>
      <c r="P188" s="7">
        <f t="shared" si="170"/>
        <v>4</v>
      </c>
      <c r="Q188" s="7">
        <f t="shared" si="171"/>
        <v>4</v>
      </c>
      <c r="R188" s="7">
        <f t="shared" si="172"/>
        <v>4</v>
      </c>
      <c r="S188" s="7">
        <f t="shared" si="173"/>
        <v>4</v>
      </c>
      <c r="T188" s="7">
        <f t="shared" si="174"/>
        <v>4</v>
      </c>
      <c r="U188" s="7">
        <f t="shared" si="175"/>
        <v>4</v>
      </c>
      <c r="V188" s="7">
        <f t="shared" si="176"/>
        <v>4</v>
      </c>
      <c r="W188" s="7">
        <f t="shared" si="177"/>
        <v>4</v>
      </c>
      <c r="AC188" s="44" t="str">
        <f t="shared" si="155"/>
        <v>5컷원점</v>
      </c>
      <c r="AD188" s="44" t="str">
        <f t="shared" si="156"/>
        <v>6</v>
      </c>
      <c r="AE188" s="44" t="str">
        <f t="shared" si="157"/>
        <v>5</v>
      </c>
      <c r="AF188" s="44" t="str">
        <f t="shared" si="158"/>
        <v>5</v>
      </c>
      <c r="AG188" s="44" t="str">
        <f t="shared" si="159"/>
        <v>5</v>
      </c>
      <c r="AH188" s="44" t="b">
        <f t="shared" si="188"/>
        <v>0</v>
      </c>
      <c r="AI188" s="44" t="b">
        <f t="shared" si="189"/>
        <v>0</v>
      </c>
      <c r="AJ188" s="44" t="b">
        <f t="shared" si="190"/>
        <v>0</v>
      </c>
      <c r="AK188" s="44" t="b">
        <f t="shared" si="191"/>
        <v>0</v>
      </c>
      <c r="AL188" s="44" t="b">
        <f t="shared" si="192"/>
        <v>0</v>
      </c>
      <c r="AM188" s="44" t="b">
        <f t="shared" si="193"/>
        <v>0</v>
      </c>
      <c r="AN188" s="44" t="b">
        <f t="shared" si="194"/>
        <v>0</v>
      </c>
      <c r="AO188" s="44" t="b">
        <f t="shared" si="195"/>
        <v>0</v>
      </c>
      <c r="AP188" s="44" t="b">
        <f t="shared" si="196"/>
        <v>0</v>
      </c>
      <c r="AQ188" s="44" t="b">
        <f t="shared" si="197"/>
        <v>0</v>
      </c>
      <c r="AR188" s="44" t="b">
        <f t="shared" si="198"/>
        <v>0</v>
      </c>
      <c r="AS188" s="44" t="b">
        <f t="shared" si="199"/>
        <v>0</v>
      </c>
      <c r="AT188" s="44" t="b">
        <f t="shared" si="200"/>
        <v>0</v>
      </c>
      <c r="AU188" s="44" t="b">
        <f t="shared" si="201"/>
        <v>0</v>
      </c>
      <c r="AV188" s="44" t="b">
        <f t="shared" si="202"/>
        <v>0</v>
      </c>
      <c r="AW188" s="44" t="b">
        <f t="shared" si="203"/>
        <v>0</v>
      </c>
      <c r="AX188" s="44" t="b">
        <f t="shared" si="204"/>
        <v>0</v>
      </c>
      <c r="AY188" s="7">
        <v>6</v>
      </c>
    </row>
    <row r="189" spans="1:52" hidden="1" x14ac:dyDescent="0.3">
      <c r="A189" s="7">
        <v>46</v>
      </c>
      <c r="B189" s="7">
        <f t="shared" si="183"/>
        <v>39</v>
      </c>
      <c r="C189" s="7">
        <f t="shared" si="184"/>
        <v>37</v>
      </c>
      <c r="D189" s="7">
        <f t="shared" si="185"/>
        <v>56</v>
      </c>
      <c r="E189" s="7">
        <f t="shared" si="186"/>
        <v>53</v>
      </c>
      <c r="F189" s="7">
        <f t="shared" si="187"/>
        <v>52</v>
      </c>
      <c r="G189" s="7">
        <f t="shared" si="161"/>
        <v>4</v>
      </c>
      <c r="H189" s="7">
        <f t="shared" si="162"/>
        <v>4</v>
      </c>
      <c r="I189" s="7">
        <f t="shared" si="163"/>
        <v>4</v>
      </c>
      <c r="J189" s="7">
        <f t="shared" si="164"/>
        <v>4</v>
      </c>
      <c r="K189" s="7">
        <f t="shared" si="165"/>
        <v>4</v>
      </c>
      <c r="L189" s="7">
        <f t="shared" si="166"/>
        <v>4</v>
      </c>
      <c r="M189" s="7">
        <f t="shared" si="167"/>
        <v>4</v>
      </c>
      <c r="N189" s="7">
        <f t="shared" si="168"/>
        <v>4</v>
      </c>
      <c r="O189" s="7">
        <f t="shared" si="169"/>
        <v>4</v>
      </c>
      <c r="P189" s="7">
        <f t="shared" si="170"/>
        <v>4</v>
      </c>
      <c r="Q189" s="7">
        <f t="shared" si="171"/>
        <v>4</v>
      </c>
      <c r="R189" s="7">
        <f t="shared" si="172"/>
        <v>4</v>
      </c>
      <c r="S189" s="7">
        <f t="shared" si="173"/>
        <v>4</v>
      </c>
      <c r="T189" s="7">
        <f t="shared" si="174"/>
        <v>4</v>
      </c>
      <c r="U189" s="7">
        <f t="shared" si="175"/>
        <v>4</v>
      </c>
      <c r="V189" s="7">
        <f t="shared" si="176"/>
        <v>4</v>
      </c>
      <c r="W189" s="7">
        <f t="shared" si="177"/>
        <v>4</v>
      </c>
      <c r="AC189" s="44" t="str">
        <f t="shared" si="155"/>
        <v>6</v>
      </c>
      <c r="AD189" s="44" t="str">
        <f t="shared" si="156"/>
        <v>6</v>
      </c>
      <c r="AE189" s="44" t="str">
        <f t="shared" si="157"/>
        <v>5</v>
      </c>
      <c r="AF189" s="44" t="str">
        <f t="shared" si="158"/>
        <v>5</v>
      </c>
      <c r="AG189" s="44" t="str">
        <f t="shared" si="159"/>
        <v>5</v>
      </c>
      <c r="AH189" s="44" t="b">
        <f t="shared" si="188"/>
        <v>0</v>
      </c>
      <c r="AI189" s="44" t="b">
        <f t="shared" si="189"/>
        <v>0</v>
      </c>
      <c r="AJ189" s="44" t="b">
        <f t="shared" si="190"/>
        <v>0</v>
      </c>
      <c r="AK189" s="44" t="b">
        <f t="shared" si="191"/>
        <v>0</v>
      </c>
      <c r="AL189" s="44" t="b">
        <f t="shared" si="192"/>
        <v>0</v>
      </c>
      <c r="AM189" s="44" t="b">
        <f t="shared" si="193"/>
        <v>0</v>
      </c>
      <c r="AN189" s="44" t="b">
        <f t="shared" si="194"/>
        <v>0</v>
      </c>
      <c r="AO189" s="44" t="b">
        <f t="shared" si="195"/>
        <v>0</v>
      </c>
      <c r="AP189" s="44" t="b">
        <f t="shared" si="196"/>
        <v>0</v>
      </c>
      <c r="AQ189" s="44" t="b">
        <f t="shared" si="197"/>
        <v>0</v>
      </c>
      <c r="AR189" s="44" t="b">
        <f t="shared" si="198"/>
        <v>0</v>
      </c>
      <c r="AS189" s="44" t="b">
        <f t="shared" si="199"/>
        <v>0</v>
      </c>
      <c r="AT189" s="44" t="b">
        <f t="shared" si="200"/>
        <v>0</v>
      </c>
      <c r="AU189" s="44" t="b">
        <f t="shared" si="201"/>
        <v>0</v>
      </c>
      <c r="AV189" s="44" t="b">
        <f t="shared" si="202"/>
        <v>0</v>
      </c>
      <c r="AW189" s="44" t="b">
        <f t="shared" si="203"/>
        <v>0</v>
      </c>
      <c r="AX189" s="44" t="b">
        <f t="shared" si="204"/>
        <v>0</v>
      </c>
      <c r="AY189" s="7">
        <v>6</v>
      </c>
    </row>
    <row r="190" spans="1:52" hidden="1" x14ac:dyDescent="0.3">
      <c r="A190" s="7">
        <v>45</v>
      </c>
      <c r="B190" s="7">
        <f t="shared" si="183"/>
        <v>37</v>
      </c>
      <c r="C190" s="7">
        <f t="shared" si="184"/>
        <v>36</v>
      </c>
      <c r="D190" s="7">
        <f t="shared" si="185"/>
        <v>55</v>
      </c>
      <c r="E190" s="7">
        <f t="shared" si="186"/>
        <v>52</v>
      </c>
      <c r="F190" s="7">
        <f t="shared" si="187"/>
        <v>51</v>
      </c>
      <c r="G190" s="7">
        <f t="shared" si="161"/>
        <v>4</v>
      </c>
      <c r="H190" s="7">
        <f t="shared" si="162"/>
        <v>4</v>
      </c>
      <c r="I190" s="7">
        <f t="shared" si="163"/>
        <v>4</v>
      </c>
      <c r="J190" s="7">
        <f t="shared" si="164"/>
        <v>4</v>
      </c>
      <c r="K190" s="7">
        <f t="shared" si="165"/>
        <v>4</v>
      </c>
      <c r="L190" s="7">
        <f t="shared" si="166"/>
        <v>4</v>
      </c>
      <c r="M190" s="7">
        <f t="shared" si="167"/>
        <v>4</v>
      </c>
      <c r="N190" s="7">
        <f t="shared" si="168"/>
        <v>4</v>
      </c>
      <c r="O190" s="7">
        <f t="shared" si="169"/>
        <v>4</v>
      </c>
      <c r="P190" s="7">
        <f t="shared" si="170"/>
        <v>4</v>
      </c>
      <c r="Q190" s="7">
        <f t="shared" si="171"/>
        <v>4</v>
      </c>
      <c r="R190" s="7">
        <f t="shared" si="172"/>
        <v>4</v>
      </c>
      <c r="S190" s="7">
        <f t="shared" si="173"/>
        <v>4</v>
      </c>
      <c r="T190" s="7">
        <f t="shared" si="174"/>
        <v>4</v>
      </c>
      <c r="U190" s="7">
        <f t="shared" si="175"/>
        <v>4</v>
      </c>
      <c r="V190" s="7">
        <f t="shared" si="176"/>
        <v>4</v>
      </c>
      <c r="W190" s="7">
        <f t="shared" si="177"/>
        <v>4</v>
      </c>
      <c r="AC190" s="44" t="str">
        <f t="shared" si="155"/>
        <v>6</v>
      </c>
      <c r="AD190" s="44" t="str">
        <f t="shared" si="156"/>
        <v>6</v>
      </c>
      <c r="AE190" s="44" t="str">
        <f t="shared" si="157"/>
        <v>5</v>
      </c>
      <c r="AF190" s="44" t="str">
        <f t="shared" si="158"/>
        <v>5</v>
      </c>
      <c r="AG190" s="44" t="str">
        <f t="shared" si="159"/>
        <v>5</v>
      </c>
      <c r="AH190" s="44" t="b">
        <f t="shared" si="188"/>
        <v>0</v>
      </c>
      <c r="AI190" s="44" t="b">
        <f t="shared" si="189"/>
        <v>0</v>
      </c>
      <c r="AJ190" s="44" t="b">
        <f t="shared" si="190"/>
        <v>0</v>
      </c>
      <c r="AK190" s="44" t="b">
        <f t="shared" si="191"/>
        <v>0</v>
      </c>
      <c r="AL190" s="44" t="b">
        <f t="shared" si="192"/>
        <v>0</v>
      </c>
      <c r="AM190" s="44" t="b">
        <f t="shared" si="193"/>
        <v>0</v>
      </c>
      <c r="AN190" s="44" t="b">
        <f t="shared" si="194"/>
        <v>0</v>
      </c>
      <c r="AO190" s="44" t="b">
        <f t="shared" si="195"/>
        <v>0</v>
      </c>
      <c r="AP190" s="44" t="b">
        <f t="shared" si="196"/>
        <v>0</v>
      </c>
      <c r="AQ190" s="44" t="b">
        <f t="shared" si="197"/>
        <v>0</v>
      </c>
      <c r="AR190" s="44" t="b">
        <f t="shared" si="198"/>
        <v>0</v>
      </c>
      <c r="AS190" s="44" t="b">
        <f t="shared" si="199"/>
        <v>0</v>
      </c>
      <c r="AT190" s="44" t="b">
        <f t="shared" si="200"/>
        <v>0</v>
      </c>
      <c r="AU190" s="44" t="b">
        <f t="shared" si="201"/>
        <v>0</v>
      </c>
      <c r="AV190" s="44" t="b">
        <f t="shared" si="202"/>
        <v>0</v>
      </c>
      <c r="AW190" s="44" t="b">
        <f t="shared" si="203"/>
        <v>0</v>
      </c>
      <c r="AX190" s="44" t="b">
        <f t="shared" si="204"/>
        <v>0</v>
      </c>
      <c r="AY190" s="7">
        <v>6</v>
      </c>
    </row>
    <row r="191" spans="1:52" hidden="1" x14ac:dyDescent="0.3">
      <c r="A191" s="7">
        <v>44</v>
      </c>
      <c r="B191" s="7">
        <f t="shared" si="183"/>
        <v>36</v>
      </c>
      <c r="C191" s="7">
        <f t="shared" si="184"/>
        <v>35</v>
      </c>
      <c r="D191" s="7">
        <f t="shared" si="185"/>
        <v>54</v>
      </c>
      <c r="E191" s="7">
        <f t="shared" si="186"/>
        <v>51</v>
      </c>
      <c r="F191" s="7">
        <f t="shared" si="187"/>
        <v>50</v>
      </c>
      <c r="G191" s="7">
        <f t="shared" si="161"/>
        <v>4</v>
      </c>
      <c r="H191" s="7">
        <f t="shared" si="162"/>
        <v>4</v>
      </c>
      <c r="I191" s="7">
        <f t="shared" si="163"/>
        <v>4</v>
      </c>
      <c r="J191" s="7">
        <f t="shared" si="164"/>
        <v>4</v>
      </c>
      <c r="K191" s="7">
        <f t="shared" si="165"/>
        <v>4</v>
      </c>
      <c r="L191" s="7">
        <f t="shared" si="166"/>
        <v>4</v>
      </c>
      <c r="M191" s="7">
        <f t="shared" si="167"/>
        <v>4</v>
      </c>
      <c r="N191" s="7">
        <f t="shared" si="168"/>
        <v>4</v>
      </c>
      <c r="O191" s="7">
        <f t="shared" si="169"/>
        <v>4</v>
      </c>
      <c r="P191" s="7">
        <f t="shared" si="170"/>
        <v>4</v>
      </c>
      <c r="Q191" s="7">
        <f t="shared" si="171"/>
        <v>4</v>
      </c>
      <c r="R191" s="7">
        <f t="shared" si="172"/>
        <v>4</v>
      </c>
      <c r="S191" s="7">
        <f t="shared" si="173"/>
        <v>4</v>
      </c>
      <c r="T191" s="7">
        <f t="shared" si="174"/>
        <v>4</v>
      </c>
      <c r="U191" s="7">
        <f t="shared" si="175"/>
        <v>4</v>
      </c>
      <c r="V191" s="7">
        <f t="shared" si="176"/>
        <v>4</v>
      </c>
      <c r="W191" s="7">
        <f t="shared" si="177"/>
        <v>4</v>
      </c>
      <c r="AC191" s="44" t="str">
        <f t="shared" si="155"/>
        <v>6</v>
      </c>
      <c r="AD191" s="44" t="str">
        <f t="shared" si="156"/>
        <v>6</v>
      </c>
      <c r="AE191" s="44" t="str">
        <f t="shared" si="157"/>
        <v>5</v>
      </c>
      <c r="AF191" s="44" t="str">
        <f t="shared" si="158"/>
        <v>5</v>
      </c>
      <c r="AG191" s="44" t="str">
        <f t="shared" si="159"/>
        <v>5</v>
      </c>
      <c r="AH191" s="44" t="b">
        <f t="shared" si="188"/>
        <v>0</v>
      </c>
      <c r="AI191" s="44" t="b">
        <f t="shared" si="189"/>
        <v>0</v>
      </c>
      <c r="AJ191" s="44" t="b">
        <f t="shared" si="190"/>
        <v>0</v>
      </c>
      <c r="AK191" s="44" t="b">
        <f t="shared" si="191"/>
        <v>0</v>
      </c>
      <c r="AL191" s="44" t="b">
        <f t="shared" si="192"/>
        <v>0</v>
      </c>
      <c r="AM191" s="44" t="b">
        <f t="shared" si="193"/>
        <v>0</v>
      </c>
      <c r="AN191" s="44" t="b">
        <f t="shared" si="194"/>
        <v>0</v>
      </c>
      <c r="AO191" s="44" t="b">
        <f t="shared" si="195"/>
        <v>0</v>
      </c>
      <c r="AP191" s="44" t="b">
        <f t="shared" si="196"/>
        <v>0</v>
      </c>
      <c r="AQ191" s="44" t="b">
        <f t="shared" si="197"/>
        <v>0</v>
      </c>
      <c r="AR191" s="44" t="b">
        <f t="shared" si="198"/>
        <v>0</v>
      </c>
      <c r="AS191" s="44" t="b">
        <f t="shared" si="199"/>
        <v>0</v>
      </c>
      <c r="AT191" s="44" t="b">
        <f t="shared" si="200"/>
        <v>0</v>
      </c>
      <c r="AU191" s="44" t="b">
        <f t="shared" si="201"/>
        <v>0</v>
      </c>
      <c r="AV191" s="44" t="b">
        <f t="shared" si="202"/>
        <v>0</v>
      </c>
      <c r="AW191" s="44" t="b">
        <f t="shared" si="203"/>
        <v>0</v>
      </c>
      <c r="AX191" s="44" t="b">
        <f t="shared" si="204"/>
        <v>0</v>
      </c>
      <c r="AY191" s="7">
        <v>6</v>
      </c>
    </row>
    <row r="192" spans="1:52" hidden="1" x14ac:dyDescent="0.3">
      <c r="A192" s="7">
        <v>43</v>
      </c>
      <c r="B192" s="7">
        <f t="shared" si="183"/>
        <v>35</v>
      </c>
      <c r="C192" s="7">
        <f t="shared" si="184"/>
        <v>34</v>
      </c>
      <c r="D192" s="7">
        <f t="shared" si="185"/>
        <v>53</v>
      </c>
      <c r="E192" s="7">
        <f t="shared" si="186"/>
        <v>50</v>
      </c>
      <c r="F192" s="7">
        <f t="shared" si="187"/>
        <v>49</v>
      </c>
      <c r="G192" s="7">
        <f t="shared" si="161"/>
        <v>4</v>
      </c>
      <c r="H192" s="7">
        <f t="shared" si="162"/>
        <v>4</v>
      </c>
      <c r="I192" s="7">
        <f t="shared" si="163"/>
        <v>4</v>
      </c>
      <c r="J192" s="7">
        <f t="shared" si="164"/>
        <v>4</v>
      </c>
      <c r="K192" s="7">
        <f t="shared" si="165"/>
        <v>4</v>
      </c>
      <c r="L192" s="7">
        <f t="shared" si="166"/>
        <v>4</v>
      </c>
      <c r="M192" s="7">
        <f t="shared" si="167"/>
        <v>4</v>
      </c>
      <c r="N192" s="7">
        <f t="shared" si="168"/>
        <v>4</v>
      </c>
      <c r="O192" s="7">
        <f t="shared" si="169"/>
        <v>4</v>
      </c>
      <c r="P192" s="7">
        <f t="shared" si="170"/>
        <v>4</v>
      </c>
      <c r="Q192" s="7">
        <f t="shared" si="171"/>
        <v>4</v>
      </c>
      <c r="R192" s="7">
        <f t="shared" si="172"/>
        <v>4</v>
      </c>
      <c r="S192" s="7">
        <f t="shared" si="173"/>
        <v>4</v>
      </c>
      <c r="T192" s="7">
        <f t="shared" si="174"/>
        <v>4</v>
      </c>
      <c r="U192" s="7">
        <f t="shared" si="175"/>
        <v>4</v>
      </c>
      <c r="V192" s="7">
        <f t="shared" si="176"/>
        <v>4</v>
      </c>
      <c r="W192" s="7">
        <f t="shared" si="177"/>
        <v>4</v>
      </c>
      <c r="AC192" s="44" t="str">
        <f t="shared" ref="AC192:AC255" si="205">IF(COUNTIF(B$32:B$39,$A192)=1,INDEX($A$32:$A$39,MATCH($A192,B$32:B$39,0)),IF($A192&gt;=B$32,"1",IF($A192&gt;=B$33,"2",IF($A192&gt;=B$34,"3",IF($A192&gt;=B$35,"4",IF($A192&gt;=B$36,"5",IF($A192&gt;=B$37,"6",IF($A192&gt;=B$38,"7",IF($A192&gt;=B$39,"8")))))))))</f>
        <v>6</v>
      </c>
      <c r="AD192" s="44" t="str">
        <f t="shared" ref="AD192:AD255" si="206">IF(COUNTIF(C$32:C$39,$A192)=1,INDEX($A$32:$A$39,MATCH($A192,C$32:C$39,0)),IF($A192&gt;=C$32,"1",IF($A192&gt;=C$33,"2",IF($A192&gt;=C$34,"3",IF($A192&gt;=C$35,"4",IF($A192&gt;=C$36,"5",IF($A192&gt;=C$37,"6",IF($A192&gt;=C$38,"7",IF($A192&gt;=C$39,"8")))))))))</f>
        <v>6</v>
      </c>
      <c r="AE192" s="44" t="str">
        <f t="shared" ref="AE192:AE255" si="207">IF(COUNTIF(D$32:D$39,$A192)=1,INDEX($A$32:$A$39,MATCH($A192,D$32:D$39,0)),IF($A192&gt;=D$32,"1",IF($A192&gt;=D$33,"2",IF($A192&gt;=D$34,"3",IF($A192&gt;=D$35,"4",IF($A192&gt;=D$36,"5",IF($A192&gt;=D$37,"6",IF($A192&gt;=D$38,"7",IF($A192&gt;=D$39,"8")))))))))</f>
        <v>5</v>
      </c>
      <c r="AF192" s="44" t="str">
        <f t="shared" ref="AF192:AF255" si="208">IF(COUNTIF(E$32:E$39,$A192)=1,INDEX($A$32:$A$39,MATCH($A192,E$32:E$39,0)),IF($A192&gt;=E$32,"1",IF($A192&gt;=E$33,"2",IF($A192&gt;=E$34,"3",IF($A192&gt;=E$35,"4",IF($A192&gt;=E$36,"5",IF($A192&gt;=E$37,"6",IF($A192&gt;=E$38,"7",IF($A192&gt;=E$39,"8")))))))))</f>
        <v>5</v>
      </c>
      <c r="AG192" s="44" t="str">
        <f t="shared" ref="AG192:AG255" si="209">IF(COUNTIF(F$32:F$39,$A192)=1,INDEX($A$32:$A$39,MATCH($A192,F$32:F$39,0)),IF($A192&gt;=F$32,"1",IF($A192&gt;=F$33,"2",IF($A192&gt;=F$34,"3",IF($A192&gt;=F$35,"4",IF($A192&gt;=F$36,"5",IF($A192&gt;=F$37,"6",IF($A192&gt;=F$38,"7",IF($A192&gt;=F$39,"8")))))))))</f>
        <v>5</v>
      </c>
      <c r="AH192" s="44" t="b">
        <f t="shared" si="188"/>
        <v>0</v>
      </c>
      <c r="AI192" s="44" t="b">
        <f t="shared" si="189"/>
        <v>0</v>
      </c>
      <c r="AJ192" s="44" t="b">
        <f t="shared" si="190"/>
        <v>0</v>
      </c>
      <c r="AK192" s="44" t="b">
        <f t="shared" si="191"/>
        <v>0</v>
      </c>
      <c r="AL192" s="44" t="b">
        <f t="shared" si="192"/>
        <v>0</v>
      </c>
      <c r="AM192" s="44" t="b">
        <f t="shared" si="193"/>
        <v>0</v>
      </c>
      <c r="AN192" s="44" t="b">
        <f t="shared" si="194"/>
        <v>0</v>
      </c>
      <c r="AO192" s="44" t="b">
        <f t="shared" si="195"/>
        <v>0</v>
      </c>
      <c r="AP192" s="44" t="b">
        <f t="shared" si="196"/>
        <v>0</v>
      </c>
      <c r="AQ192" s="44" t="b">
        <f t="shared" si="197"/>
        <v>0</v>
      </c>
      <c r="AR192" s="44" t="b">
        <f t="shared" si="198"/>
        <v>0</v>
      </c>
      <c r="AS192" s="44" t="b">
        <f t="shared" si="199"/>
        <v>0</v>
      </c>
      <c r="AT192" s="44" t="b">
        <f t="shared" si="200"/>
        <v>0</v>
      </c>
      <c r="AU192" s="44" t="b">
        <f t="shared" si="201"/>
        <v>0</v>
      </c>
      <c r="AV192" s="44" t="b">
        <f t="shared" si="202"/>
        <v>0</v>
      </c>
      <c r="AW192" s="44" t="b">
        <f t="shared" si="203"/>
        <v>0</v>
      </c>
      <c r="AX192" s="44" t="b">
        <f t="shared" si="204"/>
        <v>0</v>
      </c>
      <c r="AY192" s="7">
        <v>6</v>
      </c>
    </row>
    <row r="193" spans="1:53" hidden="1" x14ac:dyDescent="0.3">
      <c r="A193" s="7">
        <v>42</v>
      </c>
      <c r="B193" s="7">
        <f t="shared" si="183"/>
        <v>34</v>
      </c>
      <c r="C193" s="7">
        <f t="shared" si="184"/>
        <v>32</v>
      </c>
      <c r="D193" s="7">
        <f t="shared" si="185"/>
        <v>52</v>
      </c>
      <c r="E193" s="7">
        <f t="shared" si="186"/>
        <v>49</v>
      </c>
      <c r="F193" s="7">
        <f t="shared" si="187"/>
        <v>48</v>
      </c>
      <c r="G193" s="7">
        <f t="shared" si="161"/>
        <v>4</v>
      </c>
      <c r="H193" s="7">
        <f t="shared" si="162"/>
        <v>4</v>
      </c>
      <c r="I193" s="7">
        <f t="shared" si="163"/>
        <v>4</v>
      </c>
      <c r="J193" s="7">
        <f t="shared" si="164"/>
        <v>4</v>
      </c>
      <c r="K193" s="7">
        <f t="shared" si="165"/>
        <v>4</v>
      </c>
      <c r="L193" s="7">
        <f t="shared" si="166"/>
        <v>4</v>
      </c>
      <c r="M193" s="7">
        <f t="shared" si="167"/>
        <v>4</v>
      </c>
      <c r="N193" s="7">
        <f t="shared" si="168"/>
        <v>4</v>
      </c>
      <c r="O193" s="7">
        <f t="shared" si="169"/>
        <v>4</v>
      </c>
      <c r="P193" s="7">
        <f t="shared" si="170"/>
        <v>4</v>
      </c>
      <c r="Q193" s="7">
        <f t="shared" si="171"/>
        <v>4</v>
      </c>
      <c r="R193" s="7">
        <f t="shared" si="172"/>
        <v>4</v>
      </c>
      <c r="S193" s="7">
        <f t="shared" si="173"/>
        <v>4</v>
      </c>
      <c r="T193" s="7">
        <f t="shared" si="174"/>
        <v>4</v>
      </c>
      <c r="U193" s="7">
        <f t="shared" si="175"/>
        <v>4</v>
      </c>
      <c r="V193" s="7">
        <f t="shared" si="176"/>
        <v>4</v>
      </c>
      <c r="W193" s="7">
        <f t="shared" si="177"/>
        <v>4</v>
      </c>
      <c r="AC193" s="44" t="str">
        <f t="shared" si="205"/>
        <v>6</v>
      </c>
      <c r="AD193" s="44" t="str">
        <f t="shared" si="206"/>
        <v>6</v>
      </c>
      <c r="AE193" s="44" t="str">
        <f t="shared" si="207"/>
        <v>5</v>
      </c>
      <c r="AF193" s="44" t="str">
        <f t="shared" si="208"/>
        <v>5</v>
      </c>
      <c r="AG193" s="44" t="str">
        <f t="shared" si="209"/>
        <v>5</v>
      </c>
      <c r="AH193" s="44" t="b">
        <f t="shared" si="188"/>
        <v>0</v>
      </c>
      <c r="AI193" s="44" t="b">
        <f t="shared" si="189"/>
        <v>0</v>
      </c>
      <c r="AJ193" s="44" t="b">
        <f t="shared" si="190"/>
        <v>0</v>
      </c>
      <c r="AK193" s="44" t="b">
        <f t="shared" si="191"/>
        <v>0</v>
      </c>
      <c r="AL193" s="44" t="b">
        <f t="shared" si="192"/>
        <v>0</v>
      </c>
      <c r="AM193" s="44" t="b">
        <f t="shared" si="193"/>
        <v>0</v>
      </c>
      <c r="AN193" s="44" t="b">
        <f t="shared" si="194"/>
        <v>0</v>
      </c>
      <c r="AO193" s="44" t="b">
        <f t="shared" si="195"/>
        <v>0</v>
      </c>
      <c r="AP193" s="44" t="b">
        <f t="shared" si="196"/>
        <v>0</v>
      </c>
      <c r="AQ193" s="44" t="b">
        <f t="shared" si="197"/>
        <v>0</v>
      </c>
      <c r="AR193" s="44" t="b">
        <f t="shared" si="198"/>
        <v>0</v>
      </c>
      <c r="AS193" s="44" t="b">
        <f t="shared" si="199"/>
        <v>0</v>
      </c>
      <c r="AT193" s="44" t="b">
        <f t="shared" si="200"/>
        <v>0</v>
      </c>
      <c r="AU193" s="44" t="b">
        <f t="shared" si="201"/>
        <v>0</v>
      </c>
      <c r="AV193" s="44" t="b">
        <f t="shared" si="202"/>
        <v>0</v>
      </c>
      <c r="AW193" s="44" t="b">
        <f t="shared" si="203"/>
        <v>0</v>
      </c>
      <c r="AX193" s="44" t="b">
        <f t="shared" si="204"/>
        <v>0</v>
      </c>
      <c r="AY193" s="7">
        <v>6</v>
      </c>
    </row>
    <row r="194" spans="1:53" hidden="1" x14ac:dyDescent="0.3">
      <c r="A194" s="7">
        <v>41</v>
      </c>
      <c r="B194" s="7">
        <f t="shared" si="183"/>
        <v>32</v>
      </c>
      <c r="C194" s="7">
        <f t="shared" si="184"/>
        <v>31</v>
      </c>
      <c r="D194" s="7">
        <f t="shared" si="185"/>
        <v>51</v>
      </c>
      <c r="E194" s="7">
        <f t="shared" si="186"/>
        <v>48</v>
      </c>
      <c r="F194" s="7">
        <f t="shared" si="187"/>
        <v>47</v>
      </c>
      <c r="G194" s="7">
        <f t="shared" si="161"/>
        <v>4</v>
      </c>
      <c r="H194" s="7">
        <f t="shared" si="162"/>
        <v>4</v>
      </c>
      <c r="I194" s="7">
        <f t="shared" si="163"/>
        <v>4</v>
      </c>
      <c r="J194" s="7">
        <f t="shared" si="164"/>
        <v>4</v>
      </c>
      <c r="K194" s="7">
        <f t="shared" si="165"/>
        <v>4</v>
      </c>
      <c r="L194" s="7">
        <f t="shared" si="166"/>
        <v>4</v>
      </c>
      <c r="M194" s="7">
        <f t="shared" si="167"/>
        <v>4</v>
      </c>
      <c r="N194" s="7">
        <f t="shared" si="168"/>
        <v>4</v>
      </c>
      <c r="O194" s="7">
        <f t="shared" si="169"/>
        <v>4</v>
      </c>
      <c r="P194" s="7">
        <f t="shared" si="170"/>
        <v>4</v>
      </c>
      <c r="Q194" s="7">
        <f t="shared" si="171"/>
        <v>4</v>
      </c>
      <c r="R194" s="7">
        <f t="shared" si="172"/>
        <v>4</v>
      </c>
      <c r="S194" s="7">
        <f t="shared" si="173"/>
        <v>4</v>
      </c>
      <c r="T194" s="7">
        <f t="shared" si="174"/>
        <v>4</v>
      </c>
      <c r="U194" s="7">
        <f t="shared" si="175"/>
        <v>4</v>
      </c>
      <c r="V194" s="7">
        <f t="shared" si="176"/>
        <v>4</v>
      </c>
      <c r="W194" s="7">
        <f t="shared" si="177"/>
        <v>4</v>
      </c>
      <c r="AC194" s="44" t="str">
        <f t="shared" si="205"/>
        <v>6</v>
      </c>
      <c r="AD194" s="44" t="str">
        <f t="shared" si="206"/>
        <v>6</v>
      </c>
      <c r="AE194" s="44" t="str">
        <f t="shared" si="207"/>
        <v>5</v>
      </c>
      <c r="AF194" s="44" t="str">
        <f t="shared" si="208"/>
        <v>5</v>
      </c>
      <c r="AG194" s="44" t="str">
        <f t="shared" si="209"/>
        <v>5</v>
      </c>
      <c r="AH194" s="44" t="b">
        <f t="shared" si="188"/>
        <v>0</v>
      </c>
      <c r="AI194" s="44" t="b">
        <f t="shared" si="189"/>
        <v>0</v>
      </c>
      <c r="AJ194" s="44" t="b">
        <f t="shared" si="190"/>
        <v>0</v>
      </c>
      <c r="AK194" s="44" t="b">
        <f t="shared" si="191"/>
        <v>0</v>
      </c>
      <c r="AL194" s="44" t="b">
        <f t="shared" si="192"/>
        <v>0</v>
      </c>
      <c r="AM194" s="44" t="b">
        <f t="shared" si="193"/>
        <v>0</v>
      </c>
      <c r="AN194" s="44" t="b">
        <f t="shared" si="194"/>
        <v>0</v>
      </c>
      <c r="AO194" s="44" t="b">
        <f t="shared" si="195"/>
        <v>0</v>
      </c>
      <c r="AP194" s="44" t="b">
        <f t="shared" si="196"/>
        <v>0</v>
      </c>
      <c r="AQ194" s="44" t="b">
        <f t="shared" si="197"/>
        <v>0</v>
      </c>
      <c r="AR194" s="44" t="b">
        <f t="shared" si="198"/>
        <v>0</v>
      </c>
      <c r="AS194" s="44" t="b">
        <f t="shared" si="199"/>
        <v>0</v>
      </c>
      <c r="AT194" s="44" t="b">
        <f t="shared" si="200"/>
        <v>0</v>
      </c>
      <c r="AU194" s="44" t="b">
        <f t="shared" si="201"/>
        <v>0</v>
      </c>
      <c r="AV194" s="44" t="b">
        <f t="shared" si="202"/>
        <v>0</v>
      </c>
      <c r="AW194" s="44" t="b">
        <f t="shared" si="203"/>
        <v>0</v>
      </c>
      <c r="AX194" s="44" t="b">
        <f t="shared" si="204"/>
        <v>0</v>
      </c>
      <c r="AY194" s="7">
        <v>6</v>
      </c>
    </row>
    <row r="195" spans="1:53" hidden="1" x14ac:dyDescent="0.3">
      <c r="A195" s="7">
        <v>40</v>
      </c>
      <c r="B195" s="7">
        <f t="shared" si="183"/>
        <v>31</v>
      </c>
      <c r="C195" s="7">
        <f t="shared" si="184"/>
        <v>30</v>
      </c>
      <c r="D195" s="7">
        <f t="shared" si="185"/>
        <v>50</v>
      </c>
      <c r="E195" s="7">
        <f t="shared" si="186"/>
        <v>47</v>
      </c>
      <c r="F195" s="7">
        <f t="shared" si="187"/>
        <v>46</v>
      </c>
      <c r="G195" s="7">
        <f t="shared" si="161"/>
        <v>4</v>
      </c>
      <c r="H195" s="7">
        <f t="shared" si="162"/>
        <v>4</v>
      </c>
      <c r="I195" s="7">
        <f t="shared" si="163"/>
        <v>4</v>
      </c>
      <c r="J195" s="7">
        <f t="shared" si="164"/>
        <v>4</v>
      </c>
      <c r="K195" s="7">
        <f t="shared" si="165"/>
        <v>4</v>
      </c>
      <c r="L195" s="7">
        <f t="shared" si="166"/>
        <v>4</v>
      </c>
      <c r="M195" s="7">
        <f t="shared" si="167"/>
        <v>4</v>
      </c>
      <c r="N195" s="7">
        <f t="shared" si="168"/>
        <v>4</v>
      </c>
      <c r="O195" s="7">
        <f t="shared" si="169"/>
        <v>4</v>
      </c>
      <c r="P195" s="7">
        <f t="shared" si="170"/>
        <v>4</v>
      </c>
      <c r="Q195" s="7">
        <f t="shared" si="171"/>
        <v>4</v>
      </c>
      <c r="R195" s="7">
        <f t="shared" si="172"/>
        <v>4</v>
      </c>
      <c r="S195" s="7">
        <f t="shared" si="173"/>
        <v>4</v>
      </c>
      <c r="T195" s="7">
        <f t="shared" si="174"/>
        <v>4</v>
      </c>
      <c r="U195" s="7">
        <f t="shared" si="175"/>
        <v>4</v>
      </c>
      <c r="V195" s="7">
        <f t="shared" si="176"/>
        <v>4</v>
      </c>
      <c r="W195" s="7">
        <f t="shared" si="177"/>
        <v>4</v>
      </c>
      <c r="AC195" s="44" t="str">
        <f t="shared" si="205"/>
        <v>6</v>
      </c>
      <c r="AD195" s="44" t="str">
        <f t="shared" si="206"/>
        <v>6</v>
      </c>
      <c r="AE195" s="44" t="str">
        <f t="shared" si="207"/>
        <v>5</v>
      </c>
      <c r="AF195" s="44" t="str">
        <f t="shared" si="208"/>
        <v>5</v>
      </c>
      <c r="AG195" s="44" t="str">
        <f t="shared" si="209"/>
        <v>5</v>
      </c>
      <c r="AH195" s="44" t="b">
        <f t="shared" si="188"/>
        <v>0</v>
      </c>
      <c r="AI195" s="44" t="b">
        <f t="shared" si="189"/>
        <v>0</v>
      </c>
      <c r="AJ195" s="44" t="b">
        <f t="shared" si="190"/>
        <v>0</v>
      </c>
      <c r="AK195" s="44" t="b">
        <f t="shared" si="191"/>
        <v>0</v>
      </c>
      <c r="AL195" s="44" t="b">
        <f t="shared" si="192"/>
        <v>0</v>
      </c>
      <c r="AM195" s="44" t="b">
        <f t="shared" si="193"/>
        <v>0</v>
      </c>
      <c r="AN195" s="44" t="b">
        <f t="shared" si="194"/>
        <v>0</v>
      </c>
      <c r="AO195" s="44" t="b">
        <f t="shared" si="195"/>
        <v>0</v>
      </c>
      <c r="AP195" s="44" t="b">
        <f t="shared" si="196"/>
        <v>0</v>
      </c>
      <c r="AQ195" s="44" t="b">
        <f t="shared" si="197"/>
        <v>0</v>
      </c>
      <c r="AR195" s="44" t="b">
        <f t="shared" si="198"/>
        <v>0</v>
      </c>
      <c r="AS195" s="44" t="b">
        <f t="shared" si="199"/>
        <v>0</v>
      </c>
      <c r="AT195" s="44" t="b">
        <f t="shared" si="200"/>
        <v>0</v>
      </c>
      <c r="AU195" s="44" t="b">
        <f t="shared" si="201"/>
        <v>0</v>
      </c>
      <c r="AV195" s="44" t="b">
        <f t="shared" si="202"/>
        <v>0</v>
      </c>
      <c r="AW195" s="44" t="b">
        <f t="shared" si="203"/>
        <v>0</v>
      </c>
      <c r="AX195" s="44" t="b">
        <f t="shared" si="204"/>
        <v>0</v>
      </c>
      <c r="AY195" s="7">
        <v>6</v>
      </c>
    </row>
    <row r="196" spans="1:53" hidden="1" x14ac:dyDescent="0.3">
      <c r="A196" s="7">
        <v>39</v>
      </c>
      <c r="B196" s="7">
        <f t="shared" si="183"/>
        <v>30</v>
      </c>
      <c r="C196" s="7">
        <f t="shared" si="184"/>
        <v>28</v>
      </c>
      <c r="D196" s="7">
        <f t="shared" si="185"/>
        <v>49</v>
      </c>
      <c r="E196" s="7">
        <f t="shared" si="186"/>
        <v>46</v>
      </c>
      <c r="F196" s="7">
        <f t="shared" si="187"/>
        <v>45</v>
      </c>
      <c r="G196" s="7">
        <f t="shared" si="161"/>
        <v>4</v>
      </c>
      <c r="H196" s="7">
        <f t="shared" si="162"/>
        <v>4</v>
      </c>
      <c r="I196" s="7">
        <f t="shared" si="163"/>
        <v>4</v>
      </c>
      <c r="J196" s="7">
        <f t="shared" si="164"/>
        <v>4</v>
      </c>
      <c r="K196" s="7">
        <f t="shared" si="165"/>
        <v>4</v>
      </c>
      <c r="L196" s="7">
        <f t="shared" si="166"/>
        <v>4</v>
      </c>
      <c r="M196" s="7">
        <f t="shared" si="167"/>
        <v>4</v>
      </c>
      <c r="N196" s="7">
        <f t="shared" si="168"/>
        <v>4</v>
      </c>
      <c r="O196" s="7">
        <f t="shared" si="169"/>
        <v>4</v>
      </c>
      <c r="P196" s="7">
        <f t="shared" si="170"/>
        <v>4</v>
      </c>
      <c r="Q196" s="7">
        <f t="shared" si="171"/>
        <v>4</v>
      </c>
      <c r="R196" s="7">
        <f t="shared" si="172"/>
        <v>4</v>
      </c>
      <c r="S196" s="7">
        <f t="shared" si="173"/>
        <v>4</v>
      </c>
      <c r="T196" s="7">
        <f t="shared" si="174"/>
        <v>4</v>
      </c>
      <c r="U196" s="7">
        <f t="shared" si="175"/>
        <v>4</v>
      </c>
      <c r="V196" s="7">
        <f t="shared" si="176"/>
        <v>4</v>
      </c>
      <c r="W196" s="7">
        <f t="shared" si="177"/>
        <v>4</v>
      </c>
      <c r="AC196" s="44" t="str">
        <f t="shared" si="205"/>
        <v>6</v>
      </c>
      <c r="AD196" s="44" t="str">
        <f t="shared" si="206"/>
        <v>6</v>
      </c>
      <c r="AE196" s="44" t="str">
        <f t="shared" si="207"/>
        <v>5</v>
      </c>
      <c r="AF196" s="44" t="str">
        <f t="shared" si="208"/>
        <v>5</v>
      </c>
      <c r="AG196" s="44" t="str">
        <f t="shared" si="209"/>
        <v>5</v>
      </c>
      <c r="AH196" s="44" t="b">
        <f t="shared" si="188"/>
        <v>0</v>
      </c>
      <c r="AI196" s="44" t="b">
        <f t="shared" si="189"/>
        <v>0</v>
      </c>
      <c r="AJ196" s="44" t="b">
        <f t="shared" si="190"/>
        <v>0</v>
      </c>
      <c r="AK196" s="44" t="b">
        <f t="shared" si="191"/>
        <v>0</v>
      </c>
      <c r="AL196" s="44" t="b">
        <f t="shared" si="192"/>
        <v>0</v>
      </c>
      <c r="AM196" s="44" t="b">
        <f t="shared" si="193"/>
        <v>0</v>
      </c>
      <c r="AN196" s="44" t="b">
        <f t="shared" si="194"/>
        <v>0</v>
      </c>
      <c r="AO196" s="44" t="b">
        <f t="shared" si="195"/>
        <v>0</v>
      </c>
      <c r="AP196" s="44" t="b">
        <f t="shared" si="196"/>
        <v>0</v>
      </c>
      <c r="AQ196" s="44" t="b">
        <f t="shared" si="197"/>
        <v>0</v>
      </c>
      <c r="AR196" s="44" t="b">
        <f t="shared" si="198"/>
        <v>0</v>
      </c>
      <c r="AS196" s="44" t="b">
        <f t="shared" si="199"/>
        <v>0</v>
      </c>
      <c r="AT196" s="44" t="b">
        <f t="shared" si="200"/>
        <v>0</v>
      </c>
      <c r="AU196" s="44" t="b">
        <f t="shared" si="201"/>
        <v>0</v>
      </c>
      <c r="AV196" s="44" t="b">
        <f t="shared" si="202"/>
        <v>0</v>
      </c>
      <c r="AW196" s="44" t="b">
        <f t="shared" si="203"/>
        <v>0</v>
      </c>
      <c r="AX196" s="44" t="b">
        <f t="shared" si="204"/>
        <v>0</v>
      </c>
      <c r="AY196" s="7">
        <v>7</v>
      </c>
    </row>
    <row r="197" spans="1:53" hidden="1" x14ac:dyDescent="0.3">
      <c r="A197" s="7">
        <v>38</v>
      </c>
      <c r="B197" s="7">
        <f t="shared" si="183"/>
        <v>28</v>
      </c>
      <c r="C197" s="7">
        <f t="shared" si="184"/>
        <v>27</v>
      </c>
      <c r="D197" s="7">
        <f t="shared" si="185"/>
        <v>48</v>
      </c>
      <c r="E197" s="7">
        <f t="shared" si="186"/>
        <v>45</v>
      </c>
      <c r="F197" s="7">
        <f t="shared" si="187"/>
        <v>44</v>
      </c>
      <c r="G197" s="7">
        <f t="shared" si="161"/>
        <v>4</v>
      </c>
      <c r="H197" s="7">
        <f t="shared" si="162"/>
        <v>4</v>
      </c>
      <c r="I197" s="7">
        <f t="shared" si="163"/>
        <v>4</v>
      </c>
      <c r="J197" s="7">
        <f t="shared" si="164"/>
        <v>4</v>
      </c>
      <c r="K197" s="7">
        <f t="shared" si="165"/>
        <v>4</v>
      </c>
      <c r="L197" s="7">
        <f t="shared" si="166"/>
        <v>4</v>
      </c>
      <c r="M197" s="7">
        <f t="shared" si="167"/>
        <v>4</v>
      </c>
      <c r="N197" s="7">
        <f t="shared" si="168"/>
        <v>4</v>
      </c>
      <c r="O197" s="7">
        <f t="shared" si="169"/>
        <v>4</v>
      </c>
      <c r="P197" s="7">
        <f t="shared" si="170"/>
        <v>4</v>
      </c>
      <c r="Q197" s="7">
        <f t="shared" si="171"/>
        <v>4</v>
      </c>
      <c r="R197" s="7">
        <f t="shared" si="172"/>
        <v>4</v>
      </c>
      <c r="S197" s="7">
        <f t="shared" si="173"/>
        <v>4</v>
      </c>
      <c r="T197" s="7">
        <f t="shared" si="174"/>
        <v>4</v>
      </c>
      <c r="U197" s="7">
        <f t="shared" si="175"/>
        <v>4</v>
      </c>
      <c r="V197" s="7">
        <f t="shared" si="176"/>
        <v>4</v>
      </c>
      <c r="W197" s="7">
        <f t="shared" si="177"/>
        <v>4</v>
      </c>
      <c r="AC197" s="44" t="str">
        <f t="shared" si="205"/>
        <v>6</v>
      </c>
      <c r="AD197" s="44" t="str">
        <f t="shared" si="206"/>
        <v>6</v>
      </c>
      <c r="AE197" s="44" t="str">
        <f t="shared" si="207"/>
        <v>5</v>
      </c>
      <c r="AF197" s="44" t="str">
        <f t="shared" si="208"/>
        <v>5</v>
      </c>
      <c r="AG197" s="44" t="str">
        <f t="shared" si="209"/>
        <v>5</v>
      </c>
      <c r="AH197" s="44" t="b">
        <f t="shared" si="188"/>
        <v>0</v>
      </c>
      <c r="AI197" s="44" t="b">
        <f t="shared" si="189"/>
        <v>0</v>
      </c>
      <c r="AJ197" s="44" t="b">
        <f t="shared" si="190"/>
        <v>0</v>
      </c>
      <c r="AK197" s="44" t="b">
        <f t="shared" si="191"/>
        <v>0</v>
      </c>
      <c r="AL197" s="44" t="b">
        <f t="shared" si="192"/>
        <v>0</v>
      </c>
      <c r="AM197" s="44" t="b">
        <f t="shared" si="193"/>
        <v>0</v>
      </c>
      <c r="AN197" s="44" t="b">
        <f t="shared" si="194"/>
        <v>0</v>
      </c>
      <c r="AO197" s="44" t="b">
        <f t="shared" si="195"/>
        <v>0</v>
      </c>
      <c r="AP197" s="44" t="b">
        <f t="shared" si="196"/>
        <v>0</v>
      </c>
      <c r="AQ197" s="44" t="b">
        <f t="shared" si="197"/>
        <v>0</v>
      </c>
      <c r="AR197" s="44" t="b">
        <f t="shared" si="198"/>
        <v>0</v>
      </c>
      <c r="AS197" s="44" t="b">
        <f t="shared" si="199"/>
        <v>0</v>
      </c>
      <c r="AT197" s="44" t="b">
        <f t="shared" si="200"/>
        <v>0</v>
      </c>
      <c r="AU197" s="44" t="b">
        <f t="shared" si="201"/>
        <v>0</v>
      </c>
      <c r="AV197" s="44" t="b">
        <f t="shared" si="202"/>
        <v>0</v>
      </c>
      <c r="AW197" s="44" t="b">
        <f t="shared" si="203"/>
        <v>0</v>
      </c>
      <c r="AX197" s="44" t="b">
        <f t="shared" si="204"/>
        <v>0</v>
      </c>
      <c r="AY197" s="7">
        <v>7</v>
      </c>
    </row>
    <row r="198" spans="1:53" hidden="1" x14ac:dyDescent="0.3">
      <c r="A198" s="7">
        <v>37</v>
      </c>
      <c r="B198" s="7">
        <f t="shared" si="183"/>
        <v>27</v>
      </c>
      <c r="C198" s="7">
        <f t="shared" si="184"/>
        <v>26</v>
      </c>
      <c r="D198" s="7">
        <f t="shared" si="185"/>
        <v>47</v>
      </c>
      <c r="E198" s="7">
        <f t="shared" si="186"/>
        <v>44</v>
      </c>
      <c r="F198" s="7">
        <f t="shared" si="187"/>
        <v>43</v>
      </c>
      <c r="G198" s="7">
        <f t="shared" si="161"/>
        <v>4</v>
      </c>
      <c r="H198" s="7">
        <f t="shared" si="162"/>
        <v>4</v>
      </c>
      <c r="I198" s="7">
        <f t="shared" si="163"/>
        <v>4</v>
      </c>
      <c r="J198" s="7">
        <f t="shared" si="164"/>
        <v>4</v>
      </c>
      <c r="K198" s="7">
        <f t="shared" si="165"/>
        <v>4</v>
      </c>
      <c r="L198" s="7">
        <f t="shared" si="166"/>
        <v>4</v>
      </c>
      <c r="M198" s="7">
        <f t="shared" si="167"/>
        <v>4</v>
      </c>
      <c r="N198" s="7">
        <f t="shared" si="168"/>
        <v>4</v>
      </c>
      <c r="O198" s="7">
        <f t="shared" si="169"/>
        <v>4</v>
      </c>
      <c r="P198" s="7">
        <f t="shared" si="170"/>
        <v>4</v>
      </c>
      <c r="Q198" s="7">
        <f t="shared" si="171"/>
        <v>4</v>
      </c>
      <c r="R198" s="7">
        <f t="shared" si="172"/>
        <v>4</v>
      </c>
      <c r="S198" s="7">
        <f t="shared" si="173"/>
        <v>4</v>
      </c>
      <c r="T198" s="7">
        <f t="shared" si="174"/>
        <v>4</v>
      </c>
      <c r="U198" s="7">
        <f t="shared" si="175"/>
        <v>4</v>
      </c>
      <c r="V198" s="7">
        <f t="shared" si="176"/>
        <v>4</v>
      </c>
      <c r="W198" s="7">
        <f t="shared" si="177"/>
        <v>4</v>
      </c>
      <c r="AC198" s="44" t="str">
        <f t="shared" si="205"/>
        <v>6</v>
      </c>
      <c r="AD198" s="44" t="str">
        <f t="shared" si="206"/>
        <v>6</v>
      </c>
      <c r="AE198" s="44" t="str">
        <f t="shared" si="207"/>
        <v>5</v>
      </c>
      <c r="AF198" s="44" t="str">
        <f t="shared" si="208"/>
        <v>5</v>
      </c>
      <c r="AG198" s="44" t="str">
        <f t="shared" si="209"/>
        <v>5</v>
      </c>
      <c r="AH198" s="44" t="b">
        <f t="shared" si="188"/>
        <v>0</v>
      </c>
      <c r="AI198" s="44" t="b">
        <f t="shared" si="189"/>
        <v>0</v>
      </c>
      <c r="AJ198" s="44" t="b">
        <f t="shared" si="190"/>
        <v>0</v>
      </c>
      <c r="AK198" s="44" t="b">
        <f t="shared" si="191"/>
        <v>0</v>
      </c>
      <c r="AL198" s="44" t="b">
        <f t="shared" si="192"/>
        <v>0</v>
      </c>
      <c r="AM198" s="44" t="b">
        <f t="shared" si="193"/>
        <v>0</v>
      </c>
      <c r="AN198" s="44" t="b">
        <f t="shared" si="194"/>
        <v>0</v>
      </c>
      <c r="AO198" s="44" t="b">
        <f t="shared" si="195"/>
        <v>0</v>
      </c>
      <c r="AP198" s="44" t="b">
        <f t="shared" si="196"/>
        <v>0</v>
      </c>
      <c r="AQ198" s="44" t="b">
        <f t="shared" si="197"/>
        <v>0</v>
      </c>
      <c r="AR198" s="44" t="b">
        <f t="shared" si="198"/>
        <v>0</v>
      </c>
      <c r="AS198" s="44" t="b">
        <f t="shared" si="199"/>
        <v>0</v>
      </c>
      <c r="AT198" s="44" t="b">
        <f t="shared" si="200"/>
        <v>0</v>
      </c>
      <c r="AU198" s="44" t="b">
        <f t="shared" si="201"/>
        <v>0</v>
      </c>
      <c r="AV198" s="44" t="b">
        <f t="shared" si="202"/>
        <v>0</v>
      </c>
      <c r="AW198" s="44" t="b">
        <f t="shared" si="203"/>
        <v>0</v>
      </c>
      <c r="AX198" s="44" t="b">
        <f t="shared" si="204"/>
        <v>0</v>
      </c>
      <c r="AY198" s="7">
        <v>7</v>
      </c>
    </row>
    <row r="199" spans="1:53" hidden="1" x14ac:dyDescent="0.3">
      <c r="A199" s="7">
        <v>36</v>
      </c>
      <c r="B199" s="7">
        <f t="shared" si="183"/>
        <v>26</v>
      </c>
      <c r="C199" s="7">
        <f t="shared" si="184"/>
        <v>24</v>
      </c>
      <c r="D199" s="7">
        <f t="shared" si="185"/>
        <v>46</v>
      </c>
      <c r="E199" s="7">
        <f t="shared" si="186"/>
        <v>42</v>
      </c>
      <c r="F199" s="7">
        <f t="shared" si="187"/>
        <v>42</v>
      </c>
      <c r="G199" s="7">
        <f t="shared" si="161"/>
        <v>4</v>
      </c>
      <c r="H199" s="7">
        <f t="shared" si="162"/>
        <v>4</v>
      </c>
      <c r="I199" s="7">
        <f t="shared" si="163"/>
        <v>4</v>
      </c>
      <c r="J199" s="7">
        <f t="shared" si="164"/>
        <v>4</v>
      </c>
      <c r="K199" s="7">
        <f t="shared" si="165"/>
        <v>4</v>
      </c>
      <c r="L199" s="7">
        <f t="shared" si="166"/>
        <v>4</v>
      </c>
      <c r="M199" s="7">
        <f t="shared" si="167"/>
        <v>4</v>
      </c>
      <c r="N199" s="7">
        <f t="shared" si="168"/>
        <v>4</v>
      </c>
      <c r="O199" s="7">
        <f t="shared" si="169"/>
        <v>4</v>
      </c>
      <c r="P199" s="7">
        <f t="shared" si="170"/>
        <v>4</v>
      </c>
      <c r="Q199" s="7">
        <f t="shared" si="171"/>
        <v>4</v>
      </c>
      <c r="R199" s="7">
        <f t="shared" si="172"/>
        <v>4</v>
      </c>
      <c r="S199" s="7">
        <f t="shared" si="173"/>
        <v>4</v>
      </c>
      <c r="T199" s="7">
        <f t="shared" si="174"/>
        <v>4</v>
      </c>
      <c r="U199" s="7">
        <f t="shared" si="175"/>
        <v>4</v>
      </c>
      <c r="V199" s="7">
        <f t="shared" si="176"/>
        <v>4</v>
      </c>
      <c r="W199" s="7">
        <f t="shared" si="177"/>
        <v>4</v>
      </c>
      <c r="AC199" s="44" t="str">
        <f t="shared" si="205"/>
        <v>6</v>
      </c>
      <c r="AD199" s="44" t="str">
        <f t="shared" si="206"/>
        <v>6</v>
      </c>
      <c r="AE199" s="44" t="str">
        <f t="shared" si="207"/>
        <v>5</v>
      </c>
      <c r="AF199" s="44" t="str">
        <f t="shared" si="208"/>
        <v>5</v>
      </c>
      <c r="AG199" s="44" t="str">
        <f t="shared" si="209"/>
        <v>5</v>
      </c>
      <c r="AH199" s="44" t="b">
        <f t="shared" si="188"/>
        <v>0</v>
      </c>
      <c r="AI199" s="44" t="b">
        <f t="shared" si="189"/>
        <v>0</v>
      </c>
      <c r="AJ199" s="44" t="b">
        <f t="shared" si="190"/>
        <v>0</v>
      </c>
      <c r="AK199" s="44" t="b">
        <f t="shared" si="191"/>
        <v>0</v>
      </c>
      <c r="AL199" s="44" t="b">
        <f t="shared" si="192"/>
        <v>0</v>
      </c>
      <c r="AM199" s="44" t="b">
        <f t="shared" si="193"/>
        <v>0</v>
      </c>
      <c r="AN199" s="44" t="b">
        <f t="shared" si="194"/>
        <v>0</v>
      </c>
      <c r="AO199" s="44" t="b">
        <f t="shared" si="195"/>
        <v>0</v>
      </c>
      <c r="AP199" s="44" t="b">
        <f t="shared" si="196"/>
        <v>0</v>
      </c>
      <c r="AQ199" s="44" t="b">
        <f t="shared" si="197"/>
        <v>0</v>
      </c>
      <c r="AR199" s="44" t="b">
        <f t="shared" si="198"/>
        <v>0</v>
      </c>
      <c r="AS199" s="44" t="b">
        <f t="shared" si="199"/>
        <v>0</v>
      </c>
      <c r="AT199" s="44" t="b">
        <f t="shared" si="200"/>
        <v>0</v>
      </c>
      <c r="AU199" s="44" t="b">
        <f t="shared" si="201"/>
        <v>0</v>
      </c>
      <c r="AV199" s="44" t="b">
        <f t="shared" si="202"/>
        <v>0</v>
      </c>
      <c r="AW199" s="44" t="b">
        <f t="shared" si="203"/>
        <v>0</v>
      </c>
      <c r="AX199" s="44" t="b">
        <f t="shared" si="204"/>
        <v>0</v>
      </c>
      <c r="AY199" s="7">
        <v>7</v>
      </c>
    </row>
    <row r="200" spans="1:53" hidden="1" x14ac:dyDescent="0.3">
      <c r="A200" s="7">
        <v>35</v>
      </c>
      <c r="B200" s="7">
        <f t="shared" si="183"/>
        <v>24</v>
      </c>
      <c r="C200" s="7">
        <f t="shared" si="184"/>
        <v>23</v>
      </c>
      <c r="D200" s="7">
        <f t="shared" si="185"/>
        <v>45</v>
      </c>
      <c r="E200" s="7">
        <f t="shared" si="186"/>
        <v>41</v>
      </c>
      <c r="F200" s="7">
        <f t="shared" si="187"/>
        <v>41</v>
      </c>
      <c r="G200" s="7">
        <f t="shared" ref="G200:G205" si="210">IF(LEN(AH200)=LEN($A$32),INDEX(G$52:G$59,MATCH(AH200,$AA$42:$AA$49,0)),IF(AH200=$AB$31,ROUND(G$51-(G$31-$AB200)*AH$51,0),IF(AH200=$AB$32,ROUND(G$52-(G$32-$AB200)*AH$52,0),IF(AH200=$AB$33,ROUND(G$53-(G$33-$AB200)*AH$53,0),IF(AH200=$AB$34,ROUND(G$54-(G$34-$AB200)*AH$54,0),IF(AH200=$AB$35,ROUND(G$55-(G$35-$AB200)*AH$55,0),IF(AH200=$AB$36,ROUND(G$56-(G$36-$AB200)*AH$56,0),IF(AH200=$AB$37,ROUND(G$57-(G$37-$AB200)*AH$57,0),IF(AH200=$AB$38,ROUND(G$58-(G$38-$AB200)*AH$58,0),IF(AH200=$AB$39,ROUND(G$59-(G$39-$AB200)*AH$49,0)))))))))))</f>
        <v>4</v>
      </c>
      <c r="H200" s="7">
        <f t="shared" ref="H200:H205" si="211">IF(LEN(AI200)=LEN($A$32),INDEX(H$52:H$59,MATCH(AI200,$AA$42:$AA$49,0)),IF(AI200=$AB$31,ROUND(H$51-(H$31-$AB200)*AI$51,0),IF(AI200=$AB$32,ROUND(H$52-(H$32-$AB200)*AI$52,0),IF(AI200=$AB$33,ROUND(H$53-(H$33-$AB200)*AI$53,0),IF(AI200=$AB$34,ROUND(H$54-(H$34-$AB200)*AI$54,0),IF(AI200=$AB$35,ROUND(H$55-(H$35-$AB200)*AI$55,0),IF(AI200=$AB$36,ROUND(H$56-(H$36-$AB200)*AI$56,0),IF(AI200=$AB$37,ROUND(H$57-(H$37-$AB200)*AI$57,0),IF(AI200=$AB$38,ROUND(H$58-(H$38-$AB200)*AI$58,0),IF(AI200=$AB$39,ROUND(H$59-(H$39-$AB200)*AI$49,0)))))))))))</f>
        <v>4</v>
      </c>
      <c r="I200" s="7">
        <f t="shared" ref="I200:I205" si="212">IF(LEN(AJ200)=LEN($A$32),INDEX(I$52:I$59,MATCH(AJ200,$AA$42:$AA$49,0)),IF(AJ200=$AB$31,ROUND(I$51-(I$31-$AB200)*AJ$51,0),IF(AJ200=$AB$32,ROUND(I$52-(I$32-$AB200)*AJ$52,0),IF(AJ200=$AB$33,ROUND(I$53-(I$33-$AB200)*AJ$53,0),IF(AJ200=$AB$34,ROUND(I$54-(I$34-$AB200)*AJ$54,0),IF(AJ200=$AB$35,ROUND(I$55-(I$35-$AB200)*AJ$55,0),IF(AJ200=$AB$36,ROUND(I$56-(I$36-$AB200)*AJ$56,0),IF(AJ200=$AB$37,ROUND(I$57-(I$37-$AB200)*AJ$57,0),IF(AJ200=$AB$38,ROUND(I$58-(I$38-$AB200)*AJ$58,0),IF(AJ200=$AB$39,ROUND(I$59-(I$39-$AB200)*AJ$49,0)))))))))))</f>
        <v>4</v>
      </c>
      <c r="J200" s="7">
        <f t="shared" ref="J200:J205" si="213">IF(LEN(AK200)=LEN($A$32),INDEX(J$52:J$59,MATCH(AK200,$AA$42:$AA$49,0)),IF(AK200=$AB$31,ROUND(J$51-(J$31-$AB200)*AK$51,0),IF(AK200=$AB$32,ROUND(J$52-(J$32-$AB200)*AK$52,0),IF(AK200=$AB$33,ROUND(J$53-(J$33-$AB200)*AK$53,0),IF(AK200=$AB$34,ROUND(J$54-(J$34-$AB200)*AK$54,0),IF(AK200=$AB$35,ROUND(J$55-(J$35-$AB200)*AK$55,0),IF(AK200=$AB$36,ROUND(J$56-(J$36-$AB200)*AK$56,0),IF(AK200=$AB$37,ROUND(J$57-(J$37-$AB200)*AK$57,0),IF(AK200=$AB$38,ROUND(J$58-(J$38-$AB200)*AK$58,0),IF(AK200=$AB$39,ROUND(J$59-(J$39-$AB200)*AK$49,0)))))))))))</f>
        <v>4</v>
      </c>
      <c r="K200" s="7">
        <f t="shared" ref="K200:K205" si="214">IF(LEN(AL200)=LEN($A$32),INDEX(K$52:K$59,MATCH(AL200,$AA$42:$AA$49,0)),IF(AL200=$AB$31,ROUND(K$51-(K$31-$AB200)*AL$51,0),IF(AL200=$AB$32,ROUND(K$52-(K$32-$AB200)*AL$52,0),IF(AL200=$AB$33,ROUND(K$53-(K$33-$AB200)*AL$53,0),IF(AL200=$AB$34,ROUND(K$54-(K$34-$AB200)*AL$54,0),IF(AL200=$AB$35,ROUND(K$55-(K$35-$AB200)*AL$55,0),IF(AL200=$AB$36,ROUND(K$56-(K$36-$AB200)*AL$56,0),IF(AL200=$AB$37,ROUND(K$57-(K$37-$AB200)*AL$57,0),IF(AL200=$AB$38,ROUND(K$58-(K$38-$AB200)*AL$58,0),IF(AL200=$AB$39,ROUND(K$59-(K$39-$AB200)*AL$49,0)))))))))))</f>
        <v>4</v>
      </c>
      <c r="L200" s="7">
        <f t="shared" ref="L200:L205" si="215">IF(LEN(AM200)=LEN($A$32),INDEX(L$52:L$59,MATCH(AM200,$AA$42:$AA$49,0)),IF(AM200=$AB$31,ROUND(L$51-(L$31-$AB200)*AM$51,0),IF(AM200=$AB$32,ROUND(L$52-(L$32-$AB200)*AM$52,0),IF(AM200=$AB$33,ROUND(L$53-(L$33-$AB200)*AM$53,0),IF(AM200=$AB$34,ROUND(L$54-(L$34-$AB200)*AM$54,0),IF(AM200=$AB$35,ROUND(L$55-(L$35-$AB200)*AM$55,0),IF(AM200=$AB$36,ROUND(L$56-(L$36-$AB200)*AM$56,0),IF(AM200=$AB$37,ROUND(L$57-(L$37-$AB200)*AM$57,0),IF(AM200=$AB$38,ROUND(L$58-(L$38-$AB200)*AM$58,0),IF(AM200=$AB$39,ROUND(L$59-(L$39-$AB200)*AM$49,0)))))))))))</f>
        <v>4</v>
      </c>
      <c r="M200" s="7">
        <f t="shared" ref="M200:M205" si="216">IF(LEN(AN200)=LEN($A$32),INDEX(M$52:M$59,MATCH(AN200,$AA$42:$AA$49,0)),IF(AN200=$AB$31,ROUND(M$51-(M$31-$AB200)*AN$51,0),IF(AN200=$AB$32,ROUND(M$52-(M$32-$AB200)*AN$52,0),IF(AN200=$AB$33,ROUND(M$53-(M$33-$AB200)*AN$53,0),IF(AN200=$AB$34,ROUND(M$54-(M$34-$AB200)*AN$54,0),IF(AN200=$AB$35,ROUND(M$55-(M$35-$AB200)*AN$55,0),IF(AN200=$AB$36,ROUND(M$56-(M$36-$AB200)*AN$56,0),IF(AN200=$AB$37,ROUND(M$57-(M$37-$AB200)*AN$57,0),IF(AN200=$AB$38,ROUND(M$58-(M$38-$AB200)*AN$58,0),IF(AN200=$AB$39,ROUND(M$59-(M$39-$AB200)*AN$49,0)))))))))))</f>
        <v>4</v>
      </c>
      <c r="N200" s="7">
        <f t="shared" ref="N200:N205" si="217">IF(LEN(AO200)=LEN($A$32),INDEX(N$52:N$59,MATCH(AO200,$AA$42:$AA$49,0)),IF(AO200=$AB$31,ROUND(N$51-(N$31-$AB200)*AO$51,0),IF(AO200=$AB$32,ROUND(N$52-(N$32-$AB200)*AO$52,0),IF(AO200=$AB$33,ROUND(N$53-(N$33-$AB200)*AO$53,0),IF(AO200=$AB$34,ROUND(N$54-(N$34-$AB200)*AO$54,0),IF(AO200=$AB$35,ROUND(N$55-(N$35-$AB200)*AO$55,0),IF(AO200=$AB$36,ROUND(N$56-(N$36-$AB200)*AO$56,0),IF(AO200=$AB$37,ROUND(N$57-(N$37-$AB200)*AO$57,0),IF(AO200=$AB$38,ROUND(N$58-(N$38-$AB200)*AO$58,0),IF(AO200=$AB$39,ROUND(N$59-(N$39-$AB200)*AO$49,0)))))))))))</f>
        <v>4</v>
      </c>
      <c r="O200" s="7">
        <f t="shared" ref="O200:O205" si="218">IF(LEN(AP200)=LEN($A$32),INDEX(O$52:O$59,MATCH(AP200,$AA$42:$AA$49,0)),IF(AP200=$AB$31,ROUND(O$51-(O$31-$AB200)*AP$51,0),IF(AP200=$AB$32,ROUND(O$52-(O$32-$AB200)*AP$52,0),IF(AP200=$AB$33,ROUND(O$53-(O$33-$AB200)*AP$53,0),IF(AP200=$AB$34,ROUND(O$54-(O$34-$AB200)*AP$54,0),IF(AP200=$AB$35,ROUND(O$55-(O$35-$AB200)*AP$55,0),IF(AP200=$AB$36,ROUND(O$56-(O$36-$AB200)*AP$56,0),IF(AP200=$AB$37,ROUND(O$57-(O$37-$AB200)*AP$57,0),IF(AP200=$AB$38,ROUND(O$58-(O$38-$AB200)*AP$58,0),IF(AP200=$AB$39,ROUND(O$59-(O$39-$AB200)*AP$49,0)))))))))))</f>
        <v>4</v>
      </c>
      <c r="P200" s="7">
        <f t="shared" ref="P200:P205" si="219">IF(LEN(AQ200)=LEN($A$32),INDEX(P$52:P$59,MATCH(AQ200,$AA$42:$AA$49,0)),IF(AQ200=$AB$31,ROUND(P$51-(P$31-$AB200)*AQ$51,0),IF(AQ200=$AB$32,ROUND(P$52-(P$32-$AB200)*AQ$52,0),IF(AQ200=$AB$33,ROUND(P$53-(P$33-$AB200)*AQ$53,0),IF(AQ200=$AB$34,ROUND(P$54-(P$34-$AB200)*AQ$54,0),IF(AQ200=$AB$35,ROUND(P$55-(P$35-$AB200)*AQ$55,0),IF(AQ200=$AB$36,ROUND(P$56-(P$36-$AB200)*AQ$56,0),IF(AQ200=$AB$37,ROUND(P$57-(P$37-$AB200)*AQ$57,0),IF(AQ200=$AB$38,ROUND(P$58-(P$38-$AB200)*AQ$58,0),IF(AQ200=$AB$39,ROUND(P$59-(P$39-$AB200)*AQ$49,0)))))))))))</f>
        <v>4</v>
      </c>
      <c r="Q200" s="7">
        <f t="shared" ref="Q200:Q205" si="220">IF(LEN(AR200)=LEN($A$32),INDEX(Q$52:Q$59,MATCH(AR200,$AA$42:$AA$49,0)),IF(AR200=$AB$31,ROUND(Q$51-(Q$31-$AB200)*AR$51,0),IF(AR200=$AB$32,ROUND(Q$52-(Q$32-$AB200)*AR$52,0),IF(AR200=$AB$33,ROUND(Q$53-(Q$33-$AB200)*AR$53,0),IF(AR200=$AB$34,ROUND(Q$54-(Q$34-$AB200)*AR$54,0),IF(AR200=$AB$35,ROUND(Q$55-(Q$35-$AB200)*AR$55,0),IF(AR200=$AB$36,ROUND(Q$56-(Q$36-$AB200)*AR$56,0),IF(AR200=$AB$37,ROUND(Q$57-(Q$37-$AB200)*AR$57,0),IF(AR200=$AB$38,ROUND(Q$58-(Q$38-$AB200)*AR$58,0),IF(AR200=$AB$39,ROUND(Q$59-(Q$39-$AB200)*AR$49,0)))))))))))</f>
        <v>4</v>
      </c>
      <c r="R200" s="7">
        <f t="shared" ref="R200:R205" si="221">IF(LEN(AS200)=LEN($A$32),INDEX(R$52:R$59,MATCH(AS200,$AA$42:$AA$49,0)),IF(AS200=$AB$31,ROUND(R$51-(R$31-$AB200)*AS$51,0),IF(AS200=$AB$32,ROUND(R$52-(R$32-$AB200)*AS$52,0),IF(AS200=$AB$33,ROUND(R$53-(R$33-$AB200)*AS$53,0),IF(AS200=$AB$34,ROUND(R$54-(R$34-$AB200)*AS$54,0),IF(AS200=$AB$35,ROUND(R$55-(R$35-$AB200)*AS$55,0),IF(AS200=$AB$36,ROUND(R$56-(R$36-$AB200)*AS$56,0),IF(AS200=$AB$37,ROUND(R$57-(R$37-$AB200)*AS$57,0),IF(AS200=$AB$38,ROUND(R$58-(R$38-$AB200)*AS$58,0),IF(AS200=$AB$39,ROUND(R$59-(R$39-$AB200)*AS$49,0)))))))))))</f>
        <v>4</v>
      </c>
      <c r="S200" s="7">
        <f t="shared" ref="S200:S205" si="222">IF(LEN(AT200)=LEN($A$32),INDEX(S$52:S$59,MATCH(AT200,$AA$42:$AA$49,0)),IF(AT200=$AB$31,ROUND(S$51-(S$31-$AB200)*AT$51,0),IF(AT200=$AB$32,ROUND(S$52-(S$32-$AB200)*AT$52,0),IF(AT200=$AB$33,ROUND(S$53-(S$33-$AB200)*AT$53,0),IF(AT200=$AB$34,ROUND(S$54-(S$34-$AB200)*AT$54,0),IF(AT200=$AB$35,ROUND(S$55-(S$35-$AB200)*AT$55,0),IF(AT200=$AB$36,ROUND(S$56-(S$36-$AB200)*AT$56,0),IF(AT200=$AB$37,ROUND(S$57-(S$37-$AB200)*AT$57,0),IF(AT200=$AB$38,ROUND(S$58-(S$38-$AB200)*AT$58,0),IF(AT200=$AB$39,ROUND(S$59-(S$39-$AB200)*AT$49,0)))))))))))</f>
        <v>4</v>
      </c>
      <c r="T200" s="7">
        <f t="shared" ref="T200:T205" si="223">IF(LEN(AU200)=LEN($A$32),INDEX(T$52:T$59,MATCH(AU200,$AA$42:$AA$49,0)),IF(AU200=$AB$31,ROUND(T$51-(T$31-$AB200)*AU$51,0),IF(AU200=$AB$32,ROUND(T$52-(T$32-$AB200)*AU$52,0),IF(AU200=$AB$33,ROUND(T$53-(T$33-$AB200)*AU$53,0),IF(AU200=$AB$34,ROUND(T$54-(T$34-$AB200)*AU$54,0),IF(AU200=$AB$35,ROUND(T$55-(T$35-$AB200)*AU$55,0),IF(AU200=$AB$36,ROUND(T$56-(T$36-$AB200)*AU$56,0),IF(AU200=$AB$37,ROUND(T$57-(T$37-$AB200)*AU$57,0),IF(AU200=$AB$38,ROUND(T$58-(T$38-$AB200)*AU$58,0),IF(AU200=$AB$39,ROUND(T$59-(T$39-$AB200)*AU$49,0)))))))))))</f>
        <v>4</v>
      </c>
      <c r="U200" s="7">
        <f t="shared" ref="U200:U205" si="224">IF(LEN(AV200)=LEN($A$32),INDEX(U$52:U$59,MATCH(AV200,$AA$42:$AA$49,0)),IF(AV200=$AB$31,ROUND(U$51-(U$31-$AB200)*AV$51,0),IF(AV200=$AB$32,ROUND(U$52-(U$32-$AB200)*AV$52,0),IF(AV200=$AB$33,ROUND(U$53-(U$33-$AB200)*AV$53,0),IF(AV200=$AB$34,ROUND(U$54-(U$34-$AB200)*AV$54,0),IF(AV200=$AB$35,ROUND(U$55-(U$35-$AB200)*AV$55,0),IF(AV200=$AB$36,ROUND(U$56-(U$36-$AB200)*AV$56,0),IF(AV200=$AB$37,ROUND(U$57-(U$37-$AB200)*AV$57,0),IF(AV200=$AB$38,ROUND(U$58-(U$38-$AB200)*AV$58,0),IF(AV200=$AB$39,ROUND(U$59-(U$39-$AB200)*AV$49,0)))))))))))</f>
        <v>4</v>
      </c>
      <c r="V200" s="7">
        <f t="shared" ref="V200:V205" si="225">IF(LEN(AW200)=LEN($A$32),INDEX(V$52:V$59,MATCH(AW200,$AA$42:$AA$49,0)),IF(AW200=$AB$31,ROUND(V$51-(V$31-$AB200)*AW$51,0),IF(AW200=$AB$32,ROUND(V$52-(V$32-$AB200)*AW$52,0),IF(AW200=$AB$33,ROUND(V$53-(V$33-$AB200)*AW$53,0),IF(AW200=$AB$34,ROUND(V$54-(V$34-$AB200)*AW$54,0),IF(AW200=$AB$35,ROUND(V$55-(V$35-$AB200)*AW$55,0),IF(AW200=$AB$36,ROUND(V$56-(V$36-$AB200)*AW$56,0),IF(AW200=$AB$37,ROUND(V$57-(V$37-$AB200)*AW$57,0),IF(AW200=$AB$38,ROUND(V$58-(V$38-$AB200)*AW$58,0),IF(AW200=$AB$39,ROUND(V$59-(V$39-$AB200)*AW$49,0)))))))))))</f>
        <v>4</v>
      </c>
      <c r="W200" s="7">
        <f t="shared" ref="W200:W205" si="226">IF(LEN(AX200)=LEN($A$32),INDEX(W$52:W$59,MATCH(AX200,$AA$42:$AA$49,0)),IF(AX200=$AB$31,ROUND(W$51-(W$31-$AB200)*AX$51,0),IF(AX200=$AB$32,ROUND(W$52-(W$32-$AB200)*AX$52,0),IF(AX200=$AB$33,ROUND(W$53-(W$33-$AB200)*AX$53,0),IF(AX200=$AB$34,ROUND(W$54-(W$34-$AB200)*AX$54,0),IF(AX200=$AB$35,ROUND(W$55-(W$35-$AB200)*AX$55,0),IF(AX200=$AB$36,ROUND(W$56-(W$36-$AB200)*AX$56,0),IF(AX200=$AB$37,ROUND(W$57-(W$37-$AB200)*AX$57,0),IF(AX200=$AB$38,ROUND(W$58-(W$38-$AB200)*AX$58,0),IF(AX200=$AB$39,ROUND(W$59-(W$39-$AB200)*AX$49,0)))))))))))</f>
        <v>4</v>
      </c>
      <c r="AC200" s="44" t="str">
        <f t="shared" si="205"/>
        <v>6</v>
      </c>
      <c r="AD200" s="44" t="str">
        <f t="shared" si="206"/>
        <v>6컷원점</v>
      </c>
      <c r="AE200" s="44" t="str">
        <f t="shared" si="207"/>
        <v>5</v>
      </c>
      <c r="AF200" s="44" t="str">
        <f t="shared" si="208"/>
        <v>5</v>
      </c>
      <c r="AG200" s="44" t="str">
        <f t="shared" si="209"/>
        <v>5</v>
      </c>
      <c r="AH200" s="44" t="b">
        <f t="shared" si="188"/>
        <v>0</v>
      </c>
      <c r="AI200" s="44" t="b">
        <f t="shared" si="189"/>
        <v>0</v>
      </c>
      <c r="AJ200" s="44" t="b">
        <f t="shared" si="190"/>
        <v>0</v>
      </c>
      <c r="AK200" s="44" t="b">
        <f t="shared" si="191"/>
        <v>0</v>
      </c>
      <c r="AL200" s="44" t="b">
        <f t="shared" si="192"/>
        <v>0</v>
      </c>
      <c r="AM200" s="44" t="b">
        <f t="shared" si="193"/>
        <v>0</v>
      </c>
      <c r="AN200" s="44" t="b">
        <f t="shared" si="194"/>
        <v>0</v>
      </c>
      <c r="AO200" s="44" t="b">
        <f t="shared" si="195"/>
        <v>0</v>
      </c>
      <c r="AP200" s="44" t="b">
        <f t="shared" si="196"/>
        <v>0</v>
      </c>
      <c r="AQ200" s="44" t="b">
        <f t="shared" si="197"/>
        <v>0</v>
      </c>
      <c r="AR200" s="44" t="b">
        <f t="shared" si="198"/>
        <v>0</v>
      </c>
      <c r="AS200" s="44" t="b">
        <f t="shared" si="199"/>
        <v>0</v>
      </c>
      <c r="AT200" s="44" t="b">
        <f t="shared" si="200"/>
        <v>0</v>
      </c>
      <c r="AU200" s="44" t="b">
        <f t="shared" si="201"/>
        <v>0</v>
      </c>
      <c r="AV200" s="44" t="b">
        <f t="shared" si="202"/>
        <v>0</v>
      </c>
      <c r="AW200" s="44" t="b">
        <f t="shared" si="203"/>
        <v>0</v>
      </c>
      <c r="AX200" s="44" t="b">
        <f t="shared" si="204"/>
        <v>0</v>
      </c>
      <c r="AY200" s="7">
        <v>7</v>
      </c>
    </row>
    <row r="201" spans="1:53" hidden="1" x14ac:dyDescent="0.3">
      <c r="A201" s="7">
        <v>34</v>
      </c>
      <c r="B201" s="7">
        <f t="shared" si="183"/>
        <v>23</v>
      </c>
      <c r="C201" s="7">
        <f t="shared" si="184"/>
        <v>22</v>
      </c>
      <c r="D201" s="7">
        <f t="shared" si="185"/>
        <v>44</v>
      </c>
      <c r="E201" s="7">
        <f t="shared" si="186"/>
        <v>40</v>
      </c>
      <c r="F201" s="7">
        <f t="shared" si="187"/>
        <v>40</v>
      </c>
      <c r="G201" s="7">
        <f t="shared" si="210"/>
        <v>4</v>
      </c>
      <c r="H201" s="7">
        <f t="shared" si="211"/>
        <v>4</v>
      </c>
      <c r="I201" s="7">
        <f t="shared" si="212"/>
        <v>4</v>
      </c>
      <c r="J201" s="7">
        <f t="shared" si="213"/>
        <v>4</v>
      </c>
      <c r="K201" s="7">
        <f t="shared" si="214"/>
        <v>4</v>
      </c>
      <c r="L201" s="7">
        <f t="shared" si="215"/>
        <v>4</v>
      </c>
      <c r="M201" s="7">
        <f t="shared" si="216"/>
        <v>4</v>
      </c>
      <c r="N201" s="7">
        <f t="shared" si="217"/>
        <v>4</v>
      </c>
      <c r="O201" s="7">
        <f t="shared" si="218"/>
        <v>4</v>
      </c>
      <c r="P201" s="7">
        <f t="shared" si="219"/>
        <v>4</v>
      </c>
      <c r="Q201" s="7">
        <f t="shared" si="220"/>
        <v>4</v>
      </c>
      <c r="R201" s="7">
        <f t="shared" si="221"/>
        <v>4</v>
      </c>
      <c r="S201" s="7">
        <f t="shared" si="222"/>
        <v>4</v>
      </c>
      <c r="T201" s="7">
        <f t="shared" si="223"/>
        <v>4</v>
      </c>
      <c r="U201" s="7">
        <f t="shared" si="224"/>
        <v>4</v>
      </c>
      <c r="V201" s="7">
        <f t="shared" si="225"/>
        <v>4</v>
      </c>
      <c r="W201" s="7">
        <f t="shared" si="226"/>
        <v>4</v>
      </c>
      <c r="AC201" s="44" t="str">
        <f t="shared" si="205"/>
        <v>6컷원점</v>
      </c>
      <c r="AD201" s="44" t="str">
        <f t="shared" si="206"/>
        <v>7</v>
      </c>
      <c r="AE201" s="44" t="str">
        <f t="shared" si="207"/>
        <v>5</v>
      </c>
      <c r="AF201" s="44" t="str">
        <f t="shared" si="208"/>
        <v>5</v>
      </c>
      <c r="AG201" s="44" t="str">
        <f t="shared" si="209"/>
        <v>5컷원점</v>
      </c>
      <c r="AH201" s="44" t="b">
        <f t="shared" si="188"/>
        <v>0</v>
      </c>
      <c r="AI201" s="44" t="b">
        <f t="shared" si="189"/>
        <v>0</v>
      </c>
      <c r="AJ201" s="44" t="b">
        <f t="shared" si="190"/>
        <v>0</v>
      </c>
      <c r="AK201" s="44" t="b">
        <f t="shared" si="191"/>
        <v>0</v>
      </c>
      <c r="AL201" s="44" t="b">
        <f t="shared" si="192"/>
        <v>0</v>
      </c>
      <c r="AM201" s="44" t="b">
        <f t="shared" si="193"/>
        <v>0</v>
      </c>
      <c r="AN201" s="44" t="b">
        <f t="shared" si="194"/>
        <v>0</v>
      </c>
      <c r="AO201" s="44" t="b">
        <f t="shared" si="195"/>
        <v>0</v>
      </c>
      <c r="AP201" s="44" t="b">
        <f t="shared" si="196"/>
        <v>0</v>
      </c>
      <c r="AQ201" s="44" t="b">
        <f t="shared" si="197"/>
        <v>0</v>
      </c>
      <c r="AR201" s="44" t="b">
        <f t="shared" si="198"/>
        <v>0</v>
      </c>
      <c r="AS201" s="44" t="b">
        <f t="shared" si="199"/>
        <v>0</v>
      </c>
      <c r="AT201" s="44" t="b">
        <f t="shared" si="200"/>
        <v>0</v>
      </c>
      <c r="AU201" s="44" t="b">
        <f t="shared" si="201"/>
        <v>0</v>
      </c>
      <c r="AV201" s="44" t="b">
        <f t="shared" si="202"/>
        <v>0</v>
      </c>
      <c r="AW201" s="44" t="b">
        <f t="shared" si="203"/>
        <v>0</v>
      </c>
      <c r="AX201" s="44" t="b">
        <f t="shared" si="204"/>
        <v>0</v>
      </c>
      <c r="AY201" s="7">
        <v>7</v>
      </c>
    </row>
    <row r="202" spans="1:53" hidden="1" x14ac:dyDescent="0.3">
      <c r="A202" s="7">
        <v>33</v>
      </c>
      <c r="B202" s="7">
        <f t="shared" si="183"/>
        <v>22</v>
      </c>
      <c r="C202" s="7">
        <f t="shared" si="184"/>
        <v>20</v>
      </c>
      <c r="D202" s="7">
        <f t="shared" si="185"/>
        <v>43</v>
      </c>
      <c r="E202" s="7">
        <f t="shared" si="186"/>
        <v>40</v>
      </c>
      <c r="F202" s="7">
        <f t="shared" si="187"/>
        <v>39</v>
      </c>
      <c r="G202" s="7">
        <f t="shared" si="210"/>
        <v>4</v>
      </c>
      <c r="H202" s="7">
        <f t="shared" si="211"/>
        <v>4</v>
      </c>
      <c r="I202" s="7">
        <f t="shared" si="212"/>
        <v>4</v>
      </c>
      <c r="J202" s="7">
        <f t="shared" si="213"/>
        <v>4</v>
      </c>
      <c r="K202" s="7">
        <f t="shared" si="214"/>
        <v>4</v>
      </c>
      <c r="L202" s="7">
        <f t="shared" si="215"/>
        <v>4</v>
      </c>
      <c r="M202" s="7">
        <f t="shared" si="216"/>
        <v>4</v>
      </c>
      <c r="N202" s="7">
        <f t="shared" si="217"/>
        <v>4</v>
      </c>
      <c r="O202" s="7">
        <f t="shared" si="218"/>
        <v>4</v>
      </c>
      <c r="P202" s="7">
        <f t="shared" si="219"/>
        <v>4</v>
      </c>
      <c r="Q202" s="7">
        <f t="shared" si="220"/>
        <v>4</v>
      </c>
      <c r="R202" s="7">
        <f t="shared" si="221"/>
        <v>4</v>
      </c>
      <c r="S202" s="7">
        <f t="shared" si="222"/>
        <v>4</v>
      </c>
      <c r="T202" s="7">
        <f t="shared" si="223"/>
        <v>4</v>
      </c>
      <c r="U202" s="7">
        <f t="shared" si="224"/>
        <v>4</v>
      </c>
      <c r="V202" s="7">
        <f t="shared" si="225"/>
        <v>4</v>
      </c>
      <c r="W202" s="7">
        <f t="shared" si="226"/>
        <v>4</v>
      </c>
      <c r="AC202" s="44" t="str">
        <f t="shared" si="205"/>
        <v>7</v>
      </c>
      <c r="AD202" s="44" t="str">
        <f t="shared" si="206"/>
        <v>7</v>
      </c>
      <c r="AE202" s="44" t="str">
        <f t="shared" si="207"/>
        <v>5</v>
      </c>
      <c r="AF202" s="44" t="str">
        <f t="shared" si="208"/>
        <v>5컷원점</v>
      </c>
      <c r="AG202" s="44" t="str">
        <f t="shared" si="209"/>
        <v>6</v>
      </c>
      <c r="AH202" s="44" t="b">
        <f t="shared" si="188"/>
        <v>0</v>
      </c>
      <c r="AI202" s="44" t="b">
        <f t="shared" si="189"/>
        <v>0</v>
      </c>
      <c r="AJ202" s="44" t="b">
        <f t="shared" si="190"/>
        <v>0</v>
      </c>
      <c r="AK202" s="44" t="b">
        <f t="shared" si="191"/>
        <v>0</v>
      </c>
      <c r="AL202" s="44" t="b">
        <f t="shared" si="192"/>
        <v>0</v>
      </c>
      <c r="AM202" s="44" t="b">
        <f t="shared" si="193"/>
        <v>0</v>
      </c>
      <c r="AN202" s="44" t="b">
        <f t="shared" si="194"/>
        <v>0</v>
      </c>
      <c r="AO202" s="44" t="b">
        <f t="shared" si="195"/>
        <v>0</v>
      </c>
      <c r="AP202" s="44" t="b">
        <f t="shared" si="196"/>
        <v>0</v>
      </c>
      <c r="AQ202" s="44" t="b">
        <f t="shared" si="197"/>
        <v>0</v>
      </c>
      <c r="AR202" s="44" t="b">
        <f t="shared" si="198"/>
        <v>0</v>
      </c>
      <c r="AS202" s="44" t="b">
        <f t="shared" si="199"/>
        <v>0</v>
      </c>
      <c r="AT202" s="44" t="b">
        <f t="shared" si="200"/>
        <v>0</v>
      </c>
      <c r="AU202" s="44" t="b">
        <f t="shared" si="201"/>
        <v>0</v>
      </c>
      <c r="AV202" s="44" t="b">
        <f t="shared" si="202"/>
        <v>0</v>
      </c>
      <c r="AW202" s="44" t="b">
        <f t="shared" si="203"/>
        <v>0</v>
      </c>
      <c r="AX202" s="44" t="b">
        <f t="shared" si="204"/>
        <v>0</v>
      </c>
      <c r="AY202" s="7">
        <v>7</v>
      </c>
    </row>
    <row r="203" spans="1:53" hidden="1" x14ac:dyDescent="0.3">
      <c r="A203" s="7">
        <v>32</v>
      </c>
      <c r="B203" s="7">
        <f t="shared" si="183"/>
        <v>20</v>
      </c>
      <c r="C203" s="7">
        <f t="shared" si="184"/>
        <v>19</v>
      </c>
      <c r="D203" s="7">
        <f t="shared" si="185"/>
        <v>42</v>
      </c>
      <c r="E203" s="7">
        <f t="shared" si="186"/>
        <v>39</v>
      </c>
      <c r="F203" s="7">
        <f t="shared" si="187"/>
        <v>38</v>
      </c>
      <c r="G203" s="7">
        <f t="shared" si="210"/>
        <v>4</v>
      </c>
      <c r="H203" s="7">
        <f t="shared" si="211"/>
        <v>4</v>
      </c>
      <c r="I203" s="7">
        <f t="shared" si="212"/>
        <v>4</v>
      </c>
      <c r="J203" s="7">
        <f t="shared" si="213"/>
        <v>4</v>
      </c>
      <c r="K203" s="7">
        <f t="shared" si="214"/>
        <v>4</v>
      </c>
      <c r="L203" s="7">
        <f t="shared" si="215"/>
        <v>4</v>
      </c>
      <c r="M203" s="7">
        <f t="shared" si="216"/>
        <v>4</v>
      </c>
      <c r="N203" s="7">
        <f t="shared" si="217"/>
        <v>4</v>
      </c>
      <c r="O203" s="7">
        <f t="shared" si="218"/>
        <v>4</v>
      </c>
      <c r="P203" s="7">
        <f t="shared" si="219"/>
        <v>4</v>
      </c>
      <c r="Q203" s="7">
        <f t="shared" si="220"/>
        <v>4</v>
      </c>
      <c r="R203" s="7">
        <f t="shared" si="221"/>
        <v>4</v>
      </c>
      <c r="S203" s="7">
        <f t="shared" si="222"/>
        <v>4</v>
      </c>
      <c r="T203" s="7">
        <f t="shared" si="223"/>
        <v>4</v>
      </c>
      <c r="U203" s="7">
        <f t="shared" si="224"/>
        <v>4</v>
      </c>
      <c r="V203" s="7">
        <f t="shared" si="225"/>
        <v>4</v>
      </c>
      <c r="W203" s="7">
        <f t="shared" si="226"/>
        <v>4</v>
      </c>
      <c r="AC203" s="44" t="str">
        <f t="shared" si="205"/>
        <v>7</v>
      </c>
      <c r="AD203" s="44" t="str">
        <f t="shared" si="206"/>
        <v>7</v>
      </c>
      <c r="AE203" s="44" t="str">
        <f t="shared" si="207"/>
        <v>5</v>
      </c>
      <c r="AF203" s="44" t="str">
        <f t="shared" si="208"/>
        <v>6</v>
      </c>
      <c r="AG203" s="44" t="str">
        <f t="shared" si="209"/>
        <v>6</v>
      </c>
      <c r="AH203" s="44" t="b">
        <f t="shared" si="188"/>
        <v>0</v>
      </c>
      <c r="AI203" s="44" t="b">
        <f t="shared" si="189"/>
        <v>0</v>
      </c>
      <c r="AJ203" s="44" t="b">
        <f t="shared" si="190"/>
        <v>0</v>
      </c>
      <c r="AK203" s="44" t="b">
        <f t="shared" si="191"/>
        <v>0</v>
      </c>
      <c r="AL203" s="44" t="b">
        <f t="shared" si="192"/>
        <v>0</v>
      </c>
      <c r="AM203" s="44" t="b">
        <f t="shared" si="193"/>
        <v>0</v>
      </c>
      <c r="AN203" s="44" t="b">
        <f t="shared" si="194"/>
        <v>0</v>
      </c>
      <c r="AO203" s="44" t="b">
        <f t="shared" si="195"/>
        <v>0</v>
      </c>
      <c r="AP203" s="44" t="b">
        <f t="shared" si="196"/>
        <v>0</v>
      </c>
      <c r="AQ203" s="44" t="b">
        <f t="shared" si="197"/>
        <v>0</v>
      </c>
      <c r="AR203" s="44" t="b">
        <f t="shared" si="198"/>
        <v>0</v>
      </c>
      <c r="AS203" s="44" t="b">
        <f t="shared" si="199"/>
        <v>0</v>
      </c>
      <c r="AT203" s="44" t="b">
        <f t="shared" si="200"/>
        <v>0</v>
      </c>
      <c r="AU203" s="44" t="b">
        <f t="shared" si="201"/>
        <v>0</v>
      </c>
      <c r="AV203" s="44" t="b">
        <f t="shared" si="202"/>
        <v>0</v>
      </c>
      <c r="AW203" s="44" t="b">
        <f t="shared" si="203"/>
        <v>0</v>
      </c>
      <c r="AX203" s="44" t="b">
        <f t="shared" si="204"/>
        <v>0</v>
      </c>
      <c r="AY203" s="7">
        <v>7</v>
      </c>
    </row>
    <row r="204" spans="1:53" hidden="1" x14ac:dyDescent="0.3">
      <c r="A204" s="7">
        <v>31</v>
      </c>
      <c r="B204" s="7">
        <f t="shared" si="183"/>
        <v>19</v>
      </c>
      <c r="C204" s="7">
        <f t="shared" si="184"/>
        <v>18</v>
      </c>
      <c r="D204" s="7">
        <f t="shared" si="185"/>
        <v>41</v>
      </c>
      <c r="E204" s="7">
        <f t="shared" si="186"/>
        <v>38</v>
      </c>
      <c r="F204" s="7">
        <f t="shared" si="187"/>
        <v>37</v>
      </c>
      <c r="G204" s="7">
        <f t="shared" si="210"/>
        <v>4</v>
      </c>
      <c r="H204" s="7">
        <f t="shared" si="211"/>
        <v>4</v>
      </c>
      <c r="I204" s="7">
        <f t="shared" si="212"/>
        <v>4</v>
      </c>
      <c r="J204" s="7">
        <f t="shared" si="213"/>
        <v>4</v>
      </c>
      <c r="K204" s="7">
        <f t="shared" si="214"/>
        <v>4</v>
      </c>
      <c r="L204" s="7">
        <f t="shared" si="215"/>
        <v>4</v>
      </c>
      <c r="M204" s="7">
        <f t="shared" si="216"/>
        <v>4</v>
      </c>
      <c r="N204" s="7">
        <f t="shared" si="217"/>
        <v>4</v>
      </c>
      <c r="O204" s="7">
        <f t="shared" si="218"/>
        <v>4</v>
      </c>
      <c r="P204" s="7">
        <f t="shared" si="219"/>
        <v>4</v>
      </c>
      <c r="Q204" s="7">
        <f t="shared" si="220"/>
        <v>4</v>
      </c>
      <c r="R204" s="7">
        <f t="shared" si="221"/>
        <v>4</v>
      </c>
      <c r="S204" s="7">
        <f t="shared" si="222"/>
        <v>4</v>
      </c>
      <c r="T204" s="7">
        <f t="shared" si="223"/>
        <v>4</v>
      </c>
      <c r="U204" s="7">
        <f t="shared" si="224"/>
        <v>4</v>
      </c>
      <c r="V204" s="7">
        <f t="shared" si="225"/>
        <v>4</v>
      </c>
      <c r="W204" s="7">
        <f t="shared" si="226"/>
        <v>4</v>
      </c>
      <c r="AC204" s="44" t="str">
        <f t="shared" si="205"/>
        <v>7</v>
      </c>
      <c r="AD204" s="44" t="str">
        <f t="shared" si="206"/>
        <v>7</v>
      </c>
      <c r="AE204" s="44" t="str">
        <f t="shared" si="207"/>
        <v>5</v>
      </c>
      <c r="AF204" s="44" t="str">
        <f t="shared" si="208"/>
        <v>6</v>
      </c>
      <c r="AG204" s="44" t="str">
        <f t="shared" si="209"/>
        <v>6</v>
      </c>
      <c r="AH204" s="44" t="b">
        <f t="shared" si="188"/>
        <v>0</v>
      </c>
      <c r="AI204" s="44" t="b">
        <f t="shared" si="189"/>
        <v>0</v>
      </c>
      <c r="AJ204" s="44" t="b">
        <f t="shared" si="190"/>
        <v>0</v>
      </c>
      <c r="AK204" s="44" t="b">
        <f t="shared" si="191"/>
        <v>0</v>
      </c>
      <c r="AL204" s="44" t="b">
        <f t="shared" si="192"/>
        <v>0</v>
      </c>
      <c r="AM204" s="44" t="b">
        <f t="shared" si="193"/>
        <v>0</v>
      </c>
      <c r="AN204" s="44" t="b">
        <f t="shared" si="194"/>
        <v>0</v>
      </c>
      <c r="AO204" s="44" t="b">
        <f t="shared" si="195"/>
        <v>0</v>
      </c>
      <c r="AP204" s="44" t="b">
        <f t="shared" si="196"/>
        <v>0</v>
      </c>
      <c r="AQ204" s="44" t="b">
        <f t="shared" si="197"/>
        <v>0</v>
      </c>
      <c r="AR204" s="44" t="b">
        <f t="shared" si="198"/>
        <v>0</v>
      </c>
      <c r="AS204" s="44" t="b">
        <f t="shared" si="199"/>
        <v>0</v>
      </c>
      <c r="AT204" s="44" t="b">
        <f t="shared" si="200"/>
        <v>0</v>
      </c>
      <c r="AU204" s="44" t="b">
        <f t="shared" si="201"/>
        <v>0</v>
      </c>
      <c r="AV204" s="44" t="b">
        <f t="shared" si="202"/>
        <v>0</v>
      </c>
      <c r="AW204" s="44" t="b">
        <f t="shared" si="203"/>
        <v>0</v>
      </c>
      <c r="AX204" s="44" t="b">
        <f t="shared" si="204"/>
        <v>0</v>
      </c>
      <c r="AY204" s="7">
        <v>7</v>
      </c>
    </row>
    <row r="205" spans="1:53" hidden="1" x14ac:dyDescent="0.3">
      <c r="A205" s="7">
        <v>30</v>
      </c>
      <c r="B205" s="7">
        <f t="shared" si="183"/>
        <v>18</v>
      </c>
      <c r="C205" s="7">
        <f t="shared" si="184"/>
        <v>17</v>
      </c>
      <c r="D205" s="7">
        <f t="shared" si="185"/>
        <v>40</v>
      </c>
      <c r="E205" s="7">
        <f t="shared" si="186"/>
        <v>37</v>
      </c>
      <c r="F205" s="7">
        <f t="shared" si="187"/>
        <v>36</v>
      </c>
      <c r="G205" s="7">
        <f t="shared" si="210"/>
        <v>4</v>
      </c>
      <c r="H205" s="7">
        <f t="shared" si="211"/>
        <v>4</v>
      </c>
      <c r="I205" s="7">
        <f t="shared" si="212"/>
        <v>4</v>
      </c>
      <c r="J205" s="7">
        <f t="shared" si="213"/>
        <v>4</v>
      </c>
      <c r="K205" s="7">
        <f t="shared" si="214"/>
        <v>4</v>
      </c>
      <c r="L205" s="7">
        <f t="shared" si="215"/>
        <v>4</v>
      </c>
      <c r="M205" s="7">
        <f t="shared" si="216"/>
        <v>4</v>
      </c>
      <c r="N205" s="7">
        <f t="shared" si="217"/>
        <v>4</v>
      </c>
      <c r="O205" s="7">
        <f t="shared" si="218"/>
        <v>4</v>
      </c>
      <c r="P205" s="7">
        <f t="shared" si="219"/>
        <v>4</v>
      </c>
      <c r="Q205" s="7">
        <f t="shared" si="220"/>
        <v>4</v>
      </c>
      <c r="R205" s="7">
        <f t="shared" si="221"/>
        <v>4</v>
      </c>
      <c r="S205" s="7">
        <f t="shared" si="222"/>
        <v>4</v>
      </c>
      <c r="T205" s="7">
        <f t="shared" si="223"/>
        <v>4</v>
      </c>
      <c r="U205" s="7">
        <f t="shared" si="224"/>
        <v>4</v>
      </c>
      <c r="V205" s="7">
        <f t="shared" si="225"/>
        <v>4</v>
      </c>
      <c r="W205" s="7">
        <f t="shared" si="226"/>
        <v>4</v>
      </c>
      <c r="AB205" s="55"/>
      <c r="AC205" s="44" t="str">
        <f t="shared" si="205"/>
        <v>7</v>
      </c>
      <c r="AD205" s="44" t="str">
        <f t="shared" si="206"/>
        <v>7</v>
      </c>
      <c r="AE205" s="44" t="str">
        <f t="shared" si="207"/>
        <v>5컷원점</v>
      </c>
      <c r="AF205" s="44" t="str">
        <f t="shared" si="208"/>
        <v>6</v>
      </c>
      <c r="AG205" s="44" t="str">
        <f t="shared" si="209"/>
        <v>6</v>
      </c>
      <c r="AH205" s="44" t="b">
        <f t="shared" si="188"/>
        <v>0</v>
      </c>
      <c r="AI205" s="44" t="b">
        <f t="shared" si="189"/>
        <v>0</v>
      </c>
      <c r="AJ205" s="44" t="b">
        <f t="shared" si="190"/>
        <v>0</v>
      </c>
      <c r="AK205" s="44" t="b">
        <f t="shared" si="191"/>
        <v>0</v>
      </c>
      <c r="AL205" s="44" t="b">
        <f t="shared" si="192"/>
        <v>0</v>
      </c>
      <c r="AM205" s="44" t="b">
        <f t="shared" si="193"/>
        <v>0</v>
      </c>
      <c r="AN205" s="44" t="b">
        <f t="shared" si="194"/>
        <v>0</v>
      </c>
      <c r="AO205" s="44" t="b">
        <f t="shared" si="195"/>
        <v>0</v>
      </c>
      <c r="AP205" s="44" t="b">
        <f t="shared" si="196"/>
        <v>0</v>
      </c>
      <c r="AQ205" s="44" t="b">
        <f t="shared" si="197"/>
        <v>0</v>
      </c>
      <c r="AR205" s="44" t="b">
        <f t="shared" si="198"/>
        <v>0</v>
      </c>
      <c r="AS205" s="44" t="b">
        <f t="shared" si="199"/>
        <v>0</v>
      </c>
      <c r="AT205" s="44" t="b">
        <f t="shared" si="200"/>
        <v>0</v>
      </c>
      <c r="AU205" s="44" t="b">
        <f t="shared" si="201"/>
        <v>0</v>
      </c>
      <c r="AV205" s="44" t="b">
        <f t="shared" si="202"/>
        <v>0</v>
      </c>
      <c r="AW205" s="44" t="b">
        <f t="shared" si="203"/>
        <v>0</v>
      </c>
      <c r="AX205" s="44" t="b">
        <f t="shared" si="204"/>
        <v>0</v>
      </c>
      <c r="AY205" s="7">
        <v>7</v>
      </c>
    </row>
    <row r="206" spans="1:53" hidden="1" x14ac:dyDescent="0.3">
      <c r="A206" s="7" t="s">
        <v>31</v>
      </c>
      <c r="B206" s="7" t="s">
        <v>22</v>
      </c>
      <c r="AB206" s="7" t="s">
        <v>64</v>
      </c>
      <c r="AC206" s="44" t="str">
        <f t="shared" si="205"/>
        <v>1</v>
      </c>
      <c r="AD206" s="44" t="str">
        <f t="shared" si="206"/>
        <v>1</v>
      </c>
      <c r="AE206" s="44" t="str">
        <f t="shared" si="207"/>
        <v>1</v>
      </c>
      <c r="AF206" s="44" t="str">
        <f t="shared" si="208"/>
        <v>1</v>
      </c>
      <c r="AG206" s="44" t="str">
        <f t="shared" si="209"/>
        <v>1</v>
      </c>
      <c r="AH206" s="44" t="str">
        <f t="shared" si="188"/>
        <v>1</v>
      </c>
      <c r="AI206" s="44" t="str">
        <f t="shared" si="189"/>
        <v>1</v>
      </c>
      <c r="AJ206" s="44" t="str">
        <f t="shared" si="190"/>
        <v>1</v>
      </c>
      <c r="AK206" s="44" t="str">
        <f t="shared" si="191"/>
        <v>1</v>
      </c>
      <c r="AL206" s="44" t="str">
        <f t="shared" si="192"/>
        <v>1</v>
      </c>
      <c r="AM206" s="44" t="str">
        <f t="shared" si="193"/>
        <v>1</v>
      </c>
      <c r="AN206" s="44" t="str">
        <f t="shared" si="194"/>
        <v>1</v>
      </c>
      <c r="AO206" s="44" t="str">
        <f t="shared" si="195"/>
        <v>1</v>
      </c>
      <c r="AP206" s="44" t="str">
        <f t="shared" si="196"/>
        <v>1</v>
      </c>
      <c r="AQ206" s="44" t="str">
        <f t="shared" si="197"/>
        <v>1</v>
      </c>
      <c r="AR206" s="44" t="str">
        <f t="shared" si="198"/>
        <v>1</v>
      </c>
      <c r="AS206" s="44" t="str">
        <f t="shared" si="199"/>
        <v>1</v>
      </c>
      <c r="AT206" s="44" t="str">
        <f t="shared" si="200"/>
        <v>1</v>
      </c>
      <c r="AU206" s="44" t="str">
        <f t="shared" si="201"/>
        <v>1</v>
      </c>
      <c r="AV206" s="44" t="str">
        <f t="shared" si="202"/>
        <v>1</v>
      </c>
      <c r="AW206" s="44" t="str">
        <f t="shared" si="203"/>
        <v>1</v>
      </c>
      <c r="AX206" s="44" t="str">
        <f t="shared" si="204"/>
        <v>1</v>
      </c>
      <c r="BA206" s="7" t="s">
        <v>128</v>
      </c>
    </row>
    <row r="207" spans="1:53" hidden="1" x14ac:dyDescent="0.3">
      <c r="A207" s="7">
        <v>100</v>
      </c>
      <c r="B207" s="44">
        <f>LEFT(AC207,1)+0</f>
        <v>1</v>
      </c>
      <c r="C207" s="44">
        <f t="shared" ref="C207:Z207" si="227">LEFT(AD207,1)+0</f>
        <v>1</v>
      </c>
      <c r="D207" s="44">
        <f t="shared" si="227"/>
        <v>1</v>
      </c>
      <c r="E207" s="44">
        <f t="shared" si="227"/>
        <v>1</v>
      </c>
      <c r="F207" s="44">
        <f t="shared" si="227"/>
        <v>1</v>
      </c>
      <c r="G207" s="44">
        <f t="shared" si="227"/>
        <v>1</v>
      </c>
      <c r="H207" s="44">
        <f t="shared" si="227"/>
        <v>1</v>
      </c>
      <c r="I207" s="44">
        <f t="shared" si="227"/>
        <v>1</v>
      </c>
      <c r="J207" s="44">
        <f t="shared" si="227"/>
        <v>1</v>
      </c>
      <c r="K207" s="44">
        <f t="shared" si="227"/>
        <v>1</v>
      </c>
      <c r="L207" s="44">
        <f t="shared" si="227"/>
        <v>1</v>
      </c>
      <c r="M207" s="44">
        <f t="shared" si="227"/>
        <v>1</v>
      </c>
      <c r="N207" s="44">
        <f t="shared" si="227"/>
        <v>1</v>
      </c>
      <c r="O207" s="44">
        <f t="shared" si="227"/>
        <v>1</v>
      </c>
      <c r="P207" s="44">
        <f t="shared" si="227"/>
        <v>1</v>
      </c>
      <c r="Q207" s="44">
        <f t="shared" si="227"/>
        <v>1</v>
      </c>
      <c r="R207" s="44">
        <f t="shared" si="227"/>
        <v>1</v>
      </c>
      <c r="S207" s="44">
        <f t="shared" si="227"/>
        <v>1</v>
      </c>
      <c r="T207" s="44">
        <f t="shared" si="227"/>
        <v>1</v>
      </c>
      <c r="U207" s="44">
        <f t="shared" si="227"/>
        <v>1</v>
      </c>
      <c r="V207" s="44">
        <f t="shared" si="227"/>
        <v>1</v>
      </c>
      <c r="W207" s="44">
        <f t="shared" si="227"/>
        <v>1</v>
      </c>
      <c r="X207" s="44">
        <f t="shared" si="227"/>
        <v>1</v>
      </c>
      <c r="Y207" s="44">
        <f t="shared" si="227"/>
        <v>1</v>
      </c>
      <c r="Z207" s="44">
        <f t="shared" si="227"/>
        <v>1</v>
      </c>
      <c r="AB207" s="7">
        <v>50</v>
      </c>
      <c r="AC207" s="44" t="str">
        <f t="shared" si="205"/>
        <v>1</v>
      </c>
      <c r="AD207" s="44" t="str">
        <f t="shared" si="206"/>
        <v>1</v>
      </c>
      <c r="AE207" s="44" t="str">
        <f t="shared" si="207"/>
        <v>1</v>
      </c>
      <c r="AF207" s="44" t="str">
        <f t="shared" si="208"/>
        <v>1</v>
      </c>
      <c r="AG207" s="44" t="str">
        <f t="shared" si="209"/>
        <v>1</v>
      </c>
      <c r="AH207" s="44" t="str">
        <f t="shared" si="188"/>
        <v>1</v>
      </c>
      <c r="AI207" s="44" t="str">
        <f t="shared" si="189"/>
        <v>1</v>
      </c>
      <c r="AJ207" s="44" t="str">
        <f t="shared" si="190"/>
        <v>1</v>
      </c>
      <c r="AK207" s="44" t="str">
        <f t="shared" si="191"/>
        <v>1</v>
      </c>
      <c r="AL207" s="44" t="str">
        <f t="shared" si="192"/>
        <v>1</v>
      </c>
      <c r="AM207" s="44" t="str">
        <f t="shared" si="193"/>
        <v>1</v>
      </c>
      <c r="AN207" s="44" t="str">
        <f t="shared" si="194"/>
        <v>1</v>
      </c>
      <c r="AO207" s="44" t="str">
        <f t="shared" si="195"/>
        <v>1</v>
      </c>
      <c r="AP207" s="44" t="str">
        <f t="shared" si="196"/>
        <v>1</v>
      </c>
      <c r="AQ207" s="44" t="str">
        <f t="shared" si="197"/>
        <v>1</v>
      </c>
      <c r="AR207" s="44" t="str">
        <f t="shared" si="198"/>
        <v>1</v>
      </c>
      <c r="AS207" s="44" t="str">
        <f t="shared" si="199"/>
        <v>1</v>
      </c>
      <c r="AT207" s="44" t="str">
        <f t="shared" si="200"/>
        <v>1</v>
      </c>
      <c r="AU207" s="44" t="str">
        <f t="shared" si="201"/>
        <v>1</v>
      </c>
      <c r="AV207" s="44" t="str">
        <f t="shared" si="202"/>
        <v>1</v>
      </c>
      <c r="AW207" s="44" t="str">
        <f t="shared" si="203"/>
        <v>1</v>
      </c>
      <c r="AX207" s="44" t="str">
        <f t="shared" si="204"/>
        <v>1</v>
      </c>
      <c r="AY207" s="7">
        <v>1</v>
      </c>
      <c r="AZ207" s="7">
        <v>1</v>
      </c>
      <c r="BA207" s="7">
        <v>1</v>
      </c>
    </row>
    <row r="208" spans="1:53" hidden="1" x14ac:dyDescent="0.3">
      <c r="A208" s="7">
        <v>99</v>
      </c>
      <c r="B208" s="44">
        <f t="shared" ref="B208:B257" si="228">LEFT(AC208,1)+0</f>
        <v>1</v>
      </c>
      <c r="C208" s="44">
        <f t="shared" ref="C208:C258" si="229">LEFT(AD208,1)+0</f>
        <v>1</v>
      </c>
      <c r="D208" s="44">
        <f t="shared" ref="D208:D258" si="230">LEFT(AE208,1)+0</f>
        <v>1</v>
      </c>
      <c r="E208" s="44">
        <f t="shared" ref="E208:E258" si="231">LEFT(AF208,1)+0</f>
        <v>1</v>
      </c>
      <c r="F208" s="44">
        <f t="shared" ref="F208:F258" si="232">LEFT(AG208,1)+0</f>
        <v>1</v>
      </c>
      <c r="G208" s="44">
        <f t="shared" ref="G208:G254" si="233">LEFT(AH208,1)+0</f>
        <v>1</v>
      </c>
      <c r="H208" s="44">
        <f t="shared" ref="H208:H254" si="234">LEFT(AI208,1)+0</f>
        <v>1</v>
      </c>
      <c r="I208" s="44">
        <f t="shared" ref="I208:I254" si="235">LEFT(AJ208,1)+0</f>
        <v>1</v>
      </c>
      <c r="J208" s="44">
        <f t="shared" ref="J208:J254" si="236">LEFT(AK208,1)+0</f>
        <v>1</v>
      </c>
      <c r="K208" s="44">
        <f t="shared" ref="K208:K254" si="237">LEFT(AL208,1)+0</f>
        <v>1</v>
      </c>
      <c r="L208" s="44">
        <f t="shared" ref="L208:L254" si="238">LEFT(AM208,1)+0</f>
        <v>1</v>
      </c>
      <c r="M208" s="44">
        <f t="shared" ref="M208:M254" si="239">LEFT(AN208,1)+0</f>
        <v>1</v>
      </c>
      <c r="N208" s="44">
        <f t="shared" ref="N208:N254" si="240">LEFT(AO208,1)+0</f>
        <v>1</v>
      </c>
      <c r="O208" s="44">
        <f t="shared" ref="O208:O254" si="241">LEFT(AP208,1)+0</f>
        <v>1</v>
      </c>
      <c r="P208" s="44">
        <f t="shared" ref="P208:P254" si="242">LEFT(AQ208,1)+0</f>
        <v>1</v>
      </c>
      <c r="Q208" s="44">
        <f t="shared" ref="Q208:Q254" si="243">LEFT(AR208,1)+0</f>
        <v>1</v>
      </c>
      <c r="R208" s="44">
        <f t="shared" ref="R208:R254" si="244">LEFT(AS208,1)+0</f>
        <v>1</v>
      </c>
      <c r="S208" s="44">
        <f t="shared" ref="S208:S254" si="245">LEFT(AT208,1)+0</f>
        <v>1</v>
      </c>
      <c r="T208" s="44">
        <f t="shared" ref="T208:T254" si="246">LEFT(AU208,1)+0</f>
        <v>1</v>
      </c>
      <c r="U208" s="44">
        <f t="shared" ref="U208:U254" si="247">LEFT(AV208,1)+0</f>
        <v>1</v>
      </c>
      <c r="V208" s="44">
        <f t="shared" ref="V208:V254" si="248">LEFT(AW208,1)+0</f>
        <v>1</v>
      </c>
      <c r="W208" s="44">
        <f t="shared" ref="W208:W254" si="249">LEFT(AX208,1)+0</f>
        <v>1</v>
      </c>
      <c r="X208" s="44">
        <f t="shared" ref="X208:X258" si="250">LEFT(AY208,1)+0</f>
        <v>1</v>
      </c>
      <c r="Y208" s="44">
        <f t="shared" ref="Y208:Y257" si="251">LEFT(AZ208,1)+0</f>
        <v>1</v>
      </c>
      <c r="Z208" s="44">
        <f t="shared" ref="Z208:Z257" si="252">LEFT(BA208,1)+0</f>
        <v>1</v>
      </c>
      <c r="AB208" s="7">
        <v>49</v>
      </c>
      <c r="AC208" s="44" t="str">
        <f t="shared" si="205"/>
        <v>1</v>
      </c>
      <c r="AD208" s="44" t="str">
        <f t="shared" si="206"/>
        <v>1</v>
      </c>
      <c r="AE208" s="44" t="str">
        <f t="shared" si="207"/>
        <v>1</v>
      </c>
      <c r="AF208" s="44" t="str">
        <f t="shared" si="208"/>
        <v>1</v>
      </c>
      <c r="AG208" s="44" t="str">
        <f t="shared" si="209"/>
        <v>1</v>
      </c>
      <c r="AH208" s="44" t="str">
        <f t="shared" si="188"/>
        <v>1</v>
      </c>
      <c r="AI208" s="44" t="str">
        <f t="shared" si="189"/>
        <v>1</v>
      </c>
      <c r="AJ208" s="44" t="str">
        <f t="shared" si="190"/>
        <v>1</v>
      </c>
      <c r="AK208" s="44" t="str">
        <f t="shared" si="191"/>
        <v>1</v>
      </c>
      <c r="AL208" s="44" t="str">
        <f t="shared" si="192"/>
        <v>1</v>
      </c>
      <c r="AM208" s="44" t="str">
        <f t="shared" si="193"/>
        <v>1</v>
      </c>
      <c r="AN208" s="44" t="str">
        <f t="shared" si="194"/>
        <v>1</v>
      </c>
      <c r="AO208" s="44" t="str">
        <f t="shared" si="195"/>
        <v>1</v>
      </c>
      <c r="AP208" s="44" t="str">
        <f t="shared" si="196"/>
        <v>1</v>
      </c>
      <c r="AQ208" s="44" t="str">
        <f t="shared" si="197"/>
        <v>1</v>
      </c>
      <c r="AR208" s="44" t="str">
        <f t="shared" si="198"/>
        <v>1</v>
      </c>
      <c r="AS208" s="44" t="str">
        <f t="shared" si="199"/>
        <v>1</v>
      </c>
      <c r="AT208" s="44" t="str">
        <f t="shared" si="200"/>
        <v>1</v>
      </c>
      <c r="AU208" s="44" t="str">
        <f t="shared" si="201"/>
        <v>1</v>
      </c>
      <c r="AV208" s="44" t="str">
        <f t="shared" si="202"/>
        <v>1</v>
      </c>
      <c r="AW208" s="44" t="str">
        <f t="shared" si="203"/>
        <v>1</v>
      </c>
      <c r="AX208" s="44" t="str">
        <f t="shared" si="204"/>
        <v>1</v>
      </c>
      <c r="AY208" s="7">
        <v>1</v>
      </c>
      <c r="AZ208" s="7">
        <v>1</v>
      </c>
      <c r="BA208" s="7">
        <v>1</v>
      </c>
    </row>
    <row r="209" spans="1:53" hidden="1" x14ac:dyDescent="0.3">
      <c r="A209" s="7">
        <v>98</v>
      </c>
      <c r="B209" s="44">
        <f t="shared" si="228"/>
        <v>1</v>
      </c>
      <c r="C209" s="44">
        <f t="shared" si="229"/>
        <v>1</v>
      </c>
      <c r="D209" s="44">
        <f t="shared" si="230"/>
        <v>1</v>
      </c>
      <c r="E209" s="44">
        <f t="shared" si="231"/>
        <v>1</v>
      </c>
      <c r="F209" s="44">
        <f t="shared" si="232"/>
        <v>1</v>
      </c>
      <c r="G209" s="44">
        <f t="shared" si="233"/>
        <v>1</v>
      </c>
      <c r="H209" s="44">
        <f t="shared" si="234"/>
        <v>1</v>
      </c>
      <c r="I209" s="44">
        <f t="shared" si="235"/>
        <v>1</v>
      </c>
      <c r="J209" s="44">
        <f t="shared" si="236"/>
        <v>1</v>
      </c>
      <c r="K209" s="44">
        <f t="shared" si="237"/>
        <v>1</v>
      </c>
      <c r="L209" s="44">
        <f t="shared" si="238"/>
        <v>1</v>
      </c>
      <c r="M209" s="44">
        <f t="shared" si="239"/>
        <v>1</v>
      </c>
      <c r="N209" s="44">
        <f t="shared" si="240"/>
        <v>1</v>
      </c>
      <c r="O209" s="44">
        <f t="shared" si="241"/>
        <v>1</v>
      </c>
      <c r="P209" s="44">
        <f t="shared" si="242"/>
        <v>1</v>
      </c>
      <c r="Q209" s="44">
        <f t="shared" si="243"/>
        <v>1</v>
      </c>
      <c r="R209" s="44">
        <f t="shared" si="244"/>
        <v>1</v>
      </c>
      <c r="S209" s="44">
        <f t="shared" si="245"/>
        <v>1</v>
      </c>
      <c r="T209" s="44">
        <f t="shared" si="246"/>
        <v>1</v>
      </c>
      <c r="U209" s="44">
        <f t="shared" si="247"/>
        <v>1</v>
      </c>
      <c r="V209" s="44">
        <f t="shared" si="248"/>
        <v>1</v>
      </c>
      <c r="W209" s="44">
        <f t="shared" si="249"/>
        <v>1</v>
      </c>
      <c r="X209" s="44">
        <f t="shared" si="250"/>
        <v>1</v>
      </c>
      <c r="Y209" s="44">
        <f t="shared" si="251"/>
        <v>1</v>
      </c>
      <c r="Z209" s="44">
        <f t="shared" si="252"/>
        <v>1</v>
      </c>
      <c r="AB209" s="7">
        <v>48</v>
      </c>
      <c r="AC209" s="44" t="str">
        <f t="shared" si="205"/>
        <v>1</v>
      </c>
      <c r="AD209" s="44" t="str">
        <f t="shared" si="206"/>
        <v>1</v>
      </c>
      <c r="AE209" s="44" t="str">
        <f t="shared" si="207"/>
        <v>1</v>
      </c>
      <c r="AF209" s="44" t="str">
        <f t="shared" si="208"/>
        <v>1</v>
      </c>
      <c r="AG209" s="44" t="str">
        <f t="shared" si="209"/>
        <v>1</v>
      </c>
      <c r="AH209" s="44" t="str">
        <f t="shared" si="188"/>
        <v>1</v>
      </c>
      <c r="AI209" s="44" t="str">
        <f t="shared" si="189"/>
        <v>1</v>
      </c>
      <c r="AJ209" s="44" t="str">
        <f t="shared" si="190"/>
        <v>1</v>
      </c>
      <c r="AK209" s="44" t="str">
        <f t="shared" si="191"/>
        <v>1</v>
      </c>
      <c r="AL209" s="44" t="str">
        <f t="shared" si="192"/>
        <v>1</v>
      </c>
      <c r="AM209" s="44" t="str">
        <f t="shared" si="193"/>
        <v>1</v>
      </c>
      <c r="AN209" s="44" t="str">
        <f t="shared" si="194"/>
        <v>1</v>
      </c>
      <c r="AO209" s="44" t="str">
        <f t="shared" si="195"/>
        <v>1</v>
      </c>
      <c r="AP209" s="44" t="str">
        <f t="shared" si="196"/>
        <v>1</v>
      </c>
      <c r="AQ209" s="44" t="str">
        <f t="shared" si="197"/>
        <v>1</v>
      </c>
      <c r="AR209" s="44" t="str">
        <f t="shared" si="198"/>
        <v>1</v>
      </c>
      <c r="AS209" s="44" t="str">
        <f t="shared" si="199"/>
        <v>1</v>
      </c>
      <c r="AT209" s="44" t="str">
        <f t="shared" si="200"/>
        <v>1</v>
      </c>
      <c r="AU209" s="44" t="str">
        <f t="shared" si="201"/>
        <v>1컷원점</v>
      </c>
      <c r="AV209" s="44" t="str">
        <f t="shared" si="202"/>
        <v>1컷원점</v>
      </c>
      <c r="AW209" s="44" t="str">
        <f t="shared" si="203"/>
        <v>1컷원점</v>
      </c>
      <c r="AX209" s="44" t="str">
        <f t="shared" si="204"/>
        <v>1컷원점</v>
      </c>
      <c r="AY209" s="7">
        <v>1</v>
      </c>
      <c r="AZ209" s="7">
        <v>1</v>
      </c>
      <c r="BA209" s="7">
        <v>1</v>
      </c>
    </row>
    <row r="210" spans="1:53" hidden="1" x14ac:dyDescent="0.3">
      <c r="A210" s="7">
        <v>97</v>
      </c>
      <c r="B210" s="44">
        <f t="shared" si="228"/>
        <v>1</v>
      </c>
      <c r="C210" s="44">
        <f t="shared" si="229"/>
        <v>1</v>
      </c>
      <c r="D210" s="44">
        <f t="shared" si="230"/>
        <v>1</v>
      </c>
      <c r="E210" s="44">
        <f t="shared" si="231"/>
        <v>1</v>
      </c>
      <c r="F210" s="44">
        <f t="shared" si="232"/>
        <v>1</v>
      </c>
      <c r="G210" s="44">
        <f t="shared" si="233"/>
        <v>1</v>
      </c>
      <c r="H210" s="44">
        <f t="shared" si="234"/>
        <v>1</v>
      </c>
      <c r="I210" s="44">
        <f t="shared" si="235"/>
        <v>1</v>
      </c>
      <c r="J210" s="44">
        <f t="shared" si="236"/>
        <v>1</v>
      </c>
      <c r="K210" s="44">
        <f t="shared" si="237"/>
        <v>1</v>
      </c>
      <c r="L210" s="44">
        <f t="shared" si="238"/>
        <v>1</v>
      </c>
      <c r="M210" s="44">
        <f t="shared" si="239"/>
        <v>1</v>
      </c>
      <c r="N210" s="44">
        <f t="shared" si="240"/>
        <v>1</v>
      </c>
      <c r="O210" s="44">
        <f t="shared" si="241"/>
        <v>1</v>
      </c>
      <c r="P210" s="44">
        <f t="shared" si="242"/>
        <v>1</v>
      </c>
      <c r="Q210" s="44">
        <f t="shared" si="243"/>
        <v>1</v>
      </c>
      <c r="R210" s="44">
        <f t="shared" si="244"/>
        <v>1</v>
      </c>
      <c r="S210" s="44">
        <f t="shared" si="245"/>
        <v>1</v>
      </c>
      <c r="T210" s="44">
        <f t="shared" si="246"/>
        <v>2</v>
      </c>
      <c r="U210" s="44">
        <f t="shared" si="247"/>
        <v>2</v>
      </c>
      <c r="V210" s="44">
        <f t="shared" si="248"/>
        <v>2</v>
      </c>
      <c r="W210" s="44">
        <f t="shared" si="249"/>
        <v>2</v>
      </c>
      <c r="X210" s="44">
        <f t="shared" si="250"/>
        <v>1</v>
      </c>
      <c r="Y210" s="44">
        <f t="shared" si="251"/>
        <v>1</v>
      </c>
      <c r="Z210" s="44">
        <f t="shared" si="252"/>
        <v>1</v>
      </c>
      <c r="AB210" s="7">
        <v>47</v>
      </c>
      <c r="AC210" s="44" t="str">
        <f t="shared" si="205"/>
        <v>1</v>
      </c>
      <c r="AD210" s="44" t="str">
        <f t="shared" si="206"/>
        <v>1</v>
      </c>
      <c r="AE210" s="44" t="str">
        <f t="shared" si="207"/>
        <v>1</v>
      </c>
      <c r="AF210" s="44" t="str">
        <f t="shared" si="208"/>
        <v>1</v>
      </c>
      <c r="AG210" s="44" t="str">
        <f t="shared" si="209"/>
        <v>1</v>
      </c>
      <c r="AH210" s="44" t="str">
        <f t="shared" si="188"/>
        <v>1</v>
      </c>
      <c r="AI210" s="44" t="str">
        <f t="shared" si="189"/>
        <v>1</v>
      </c>
      <c r="AJ210" s="44" t="str">
        <f t="shared" si="190"/>
        <v>1</v>
      </c>
      <c r="AK210" s="44" t="str">
        <f t="shared" si="191"/>
        <v>1</v>
      </c>
      <c r="AL210" s="44" t="str">
        <f t="shared" si="192"/>
        <v>1</v>
      </c>
      <c r="AM210" s="44" t="str">
        <f t="shared" si="193"/>
        <v>1컷원점</v>
      </c>
      <c r="AN210" s="44" t="str">
        <f t="shared" si="194"/>
        <v>1</v>
      </c>
      <c r="AO210" s="44" t="str">
        <f t="shared" si="195"/>
        <v>1</v>
      </c>
      <c r="AP210" s="44" t="str">
        <f t="shared" si="196"/>
        <v>1컷원점</v>
      </c>
      <c r="AQ210" s="44" t="str">
        <f t="shared" si="197"/>
        <v>1컷원점</v>
      </c>
      <c r="AR210" s="44" t="str">
        <f t="shared" si="198"/>
        <v>1컷원점</v>
      </c>
      <c r="AS210" s="44" t="str">
        <f t="shared" si="199"/>
        <v>1컷원점</v>
      </c>
      <c r="AT210" s="44" t="str">
        <f t="shared" si="200"/>
        <v>1컷원점</v>
      </c>
      <c r="AU210" s="44" t="str">
        <f t="shared" si="201"/>
        <v>2</v>
      </c>
      <c r="AV210" s="44" t="str">
        <f t="shared" si="202"/>
        <v>2</v>
      </c>
      <c r="AW210" s="44" t="str">
        <f t="shared" si="203"/>
        <v>2</v>
      </c>
      <c r="AX210" s="44" t="str">
        <f t="shared" si="204"/>
        <v>2</v>
      </c>
      <c r="AY210" s="7">
        <v>1</v>
      </c>
      <c r="AZ210" s="7">
        <v>1</v>
      </c>
      <c r="BA210" s="7">
        <v>1</v>
      </c>
    </row>
    <row r="211" spans="1:53" hidden="1" x14ac:dyDescent="0.3">
      <c r="A211" s="7">
        <v>96</v>
      </c>
      <c r="B211" s="44">
        <f t="shared" si="228"/>
        <v>1</v>
      </c>
      <c r="C211" s="44">
        <f t="shared" si="229"/>
        <v>1</v>
      </c>
      <c r="D211" s="44">
        <f t="shared" si="230"/>
        <v>1</v>
      </c>
      <c r="E211" s="44">
        <f t="shared" si="231"/>
        <v>1</v>
      </c>
      <c r="F211" s="44">
        <f t="shared" si="232"/>
        <v>1</v>
      </c>
      <c r="G211" s="44">
        <f t="shared" si="233"/>
        <v>1</v>
      </c>
      <c r="H211" s="44">
        <f t="shared" si="234"/>
        <v>1</v>
      </c>
      <c r="I211" s="44">
        <f t="shared" si="235"/>
        <v>1</v>
      </c>
      <c r="J211" s="44">
        <f t="shared" si="236"/>
        <v>1</v>
      </c>
      <c r="K211" s="44">
        <f t="shared" si="237"/>
        <v>1</v>
      </c>
      <c r="L211" s="44">
        <f t="shared" si="238"/>
        <v>2</v>
      </c>
      <c r="M211" s="44">
        <f t="shared" si="239"/>
        <v>1</v>
      </c>
      <c r="N211" s="44">
        <f t="shared" si="240"/>
        <v>1</v>
      </c>
      <c r="O211" s="44">
        <f t="shared" si="241"/>
        <v>2</v>
      </c>
      <c r="P211" s="44">
        <f t="shared" si="242"/>
        <v>2</v>
      </c>
      <c r="Q211" s="44">
        <f t="shared" si="243"/>
        <v>2</v>
      </c>
      <c r="R211" s="44">
        <f t="shared" si="244"/>
        <v>2</v>
      </c>
      <c r="S211" s="44">
        <f t="shared" si="245"/>
        <v>2</v>
      </c>
      <c r="T211" s="44">
        <f t="shared" si="246"/>
        <v>2</v>
      </c>
      <c r="U211" s="44">
        <f t="shared" si="247"/>
        <v>2</v>
      </c>
      <c r="V211" s="44">
        <f t="shared" si="248"/>
        <v>2</v>
      </c>
      <c r="W211" s="44">
        <f t="shared" si="249"/>
        <v>2</v>
      </c>
      <c r="X211" s="44">
        <f t="shared" si="250"/>
        <v>1</v>
      </c>
      <c r="Y211" s="44">
        <f t="shared" si="251"/>
        <v>1</v>
      </c>
      <c r="Z211" s="44">
        <f t="shared" si="252"/>
        <v>1</v>
      </c>
      <c r="AB211" s="7">
        <v>46</v>
      </c>
      <c r="AC211" s="44" t="str">
        <f t="shared" si="205"/>
        <v>1</v>
      </c>
      <c r="AD211" s="44" t="str">
        <f t="shared" si="206"/>
        <v>1</v>
      </c>
      <c r="AE211" s="44" t="str">
        <f t="shared" si="207"/>
        <v>1</v>
      </c>
      <c r="AF211" s="44" t="str">
        <f t="shared" si="208"/>
        <v>1</v>
      </c>
      <c r="AG211" s="44" t="str">
        <f t="shared" si="209"/>
        <v>1</v>
      </c>
      <c r="AH211" s="44" t="str">
        <f t="shared" si="188"/>
        <v>1</v>
      </c>
      <c r="AI211" s="44" t="str">
        <f t="shared" si="189"/>
        <v>1</v>
      </c>
      <c r="AJ211" s="44" t="str">
        <f t="shared" si="190"/>
        <v>1</v>
      </c>
      <c r="AK211" s="44" t="str">
        <f t="shared" si="191"/>
        <v>1</v>
      </c>
      <c r="AL211" s="44" t="str">
        <f t="shared" si="192"/>
        <v>1컷원점</v>
      </c>
      <c r="AM211" s="44" t="str">
        <f t="shared" si="193"/>
        <v>2</v>
      </c>
      <c r="AN211" s="44" t="str">
        <f t="shared" si="194"/>
        <v>1컷원점</v>
      </c>
      <c r="AO211" s="44" t="str">
        <f t="shared" si="195"/>
        <v>1컷원점</v>
      </c>
      <c r="AP211" s="44" t="str">
        <f t="shared" si="196"/>
        <v>2</v>
      </c>
      <c r="AQ211" s="44" t="str">
        <f t="shared" si="197"/>
        <v>2</v>
      </c>
      <c r="AR211" s="44" t="str">
        <f t="shared" si="198"/>
        <v>2</v>
      </c>
      <c r="AS211" s="44" t="str">
        <f t="shared" si="199"/>
        <v>2</v>
      </c>
      <c r="AT211" s="44" t="str">
        <f t="shared" si="200"/>
        <v>2</v>
      </c>
      <c r="AU211" s="44" t="str">
        <f t="shared" si="201"/>
        <v>2</v>
      </c>
      <c r="AV211" s="44" t="str">
        <f t="shared" si="202"/>
        <v>2</v>
      </c>
      <c r="AW211" s="44" t="str">
        <f t="shared" si="203"/>
        <v>2</v>
      </c>
      <c r="AX211" s="44" t="str">
        <f t="shared" si="204"/>
        <v>2</v>
      </c>
      <c r="AY211" s="7">
        <v>1</v>
      </c>
      <c r="AZ211" s="7">
        <v>1</v>
      </c>
      <c r="BA211" s="7">
        <v>1</v>
      </c>
    </row>
    <row r="212" spans="1:53" hidden="1" x14ac:dyDescent="0.3">
      <c r="A212" s="7">
        <v>95</v>
      </c>
      <c r="B212" s="44">
        <f t="shared" si="228"/>
        <v>1</v>
      </c>
      <c r="C212" s="44">
        <f t="shared" si="229"/>
        <v>1</v>
      </c>
      <c r="D212" s="44">
        <f t="shared" si="230"/>
        <v>1</v>
      </c>
      <c r="E212" s="44">
        <f t="shared" si="231"/>
        <v>1</v>
      </c>
      <c r="F212" s="44">
        <f t="shared" si="232"/>
        <v>1</v>
      </c>
      <c r="G212" s="44">
        <f t="shared" si="233"/>
        <v>1</v>
      </c>
      <c r="H212" s="44">
        <f t="shared" si="234"/>
        <v>1</v>
      </c>
      <c r="I212" s="44">
        <f t="shared" si="235"/>
        <v>1</v>
      </c>
      <c r="J212" s="44">
        <f t="shared" si="236"/>
        <v>1</v>
      </c>
      <c r="K212" s="44">
        <f t="shared" si="237"/>
        <v>2</v>
      </c>
      <c r="L212" s="44">
        <f t="shared" si="238"/>
        <v>2</v>
      </c>
      <c r="M212" s="44">
        <f t="shared" si="239"/>
        <v>2</v>
      </c>
      <c r="N212" s="44">
        <f t="shared" si="240"/>
        <v>2</v>
      </c>
      <c r="O212" s="44">
        <f t="shared" si="241"/>
        <v>2</v>
      </c>
      <c r="P212" s="44">
        <f t="shared" si="242"/>
        <v>2</v>
      </c>
      <c r="Q212" s="44">
        <f t="shared" si="243"/>
        <v>2</v>
      </c>
      <c r="R212" s="44">
        <f t="shared" si="244"/>
        <v>2</v>
      </c>
      <c r="S212" s="44">
        <f t="shared" si="245"/>
        <v>2</v>
      </c>
      <c r="T212" s="44">
        <f t="shared" si="246"/>
        <v>2</v>
      </c>
      <c r="U212" s="44">
        <f t="shared" si="247"/>
        <v>2</v>
      </c>
      <c r="V212" s="44">
        <f t="shared" si="248"/>
        <v>2</v>
      </c>
      <c r="W212" s="44">
        <f t="shared" si="249"/>
        <v>2</v>
      </c>
      <c r="X212" s="44">
        <f t="shared" si="250"/>
        <v>1</v>
      </c>
      <c r="Y212" s="44">
        <f t="shared" si="251"/>
        <v>1</v>
      </c>
      <c r="Z212" s="44">
        <f t="shared" si="252"/>
        <v>1</v>
      </c>
      <c r="AB212" s="7">
        <v>45</v>
      </c>
      <c r="AC212" s="44" t="str">
        <f t="shared" si="205"/>
        <v>1</v>
      </c>
      <c r="AD212" s="44" t="str">
        <f t="shared" si="206"/>
        <v>1</v>
      </c>
      <c r="AE212" s="44" t="str">
        <f t="shared" si="207"/>
        <v>1</v>
      </c>
      <c r="AF212" s="44" t="str">
        <f t="shared" si="208"/>
        <v>1</v>
      </c>
      <c r="AG212" s="44" t="str">
        <f t="shared" si="209"/>
        <v>1</v>
      </c>
      <c r="AH212" s="44" t="str">
        <f t="shared" si="188"/>
        <v>1</v>
      </c>
      <c r="AI212" s="44" t="str">
        <f t="shared" si="189"/>
        <v>1</v>
      </c>
      <c r="AJ212" s="44" t="str">
        <f t="shared" si="190"/>
        <v>1</v>
      </c>
      <c r="AK212" s="44" t="str">
        <f t="shared" si="191"/>
        <v>1</v>
      </c>
      <c r="AL212" s="44" t="str">
        <f t="shared" si="192"/>
        <v>2</v>
      </c>
      <c r="AM212" s="44" t="str">
        <f t="shared" si="193"/>
        <v>2</v>
      </c>
      <c r="AN212" s="44" t="str">
        <f t="shared" si="194"/>
        <v>2</v>
      </c>
      <c r="AO212" s="44" t="str">
        <f t="shared" si="195"/>
        <v>2</v>
      </c>
      <c r="AP212" s="44" t="str">
        <f t="shared" si="196"/>
        <v>2</v>
      </c>
      <c r="AQ212" s="44" t="str">
        <f t="shared" si="197"/>
        <v>2</v>
      </c>
      <c r="AR212" s="44" t="str">
        <f t="shared" si="198"/>
        <v>2</v>
      </c>
      <c r="AS212" s="44" t="str">
        <f t="shared" si="199"/>
        <v>2</v>
      </c>
      <c r="AT212" s="44" t="str">
        <f t="shared" si="200"/>
        <v>2</v>
      </c>
      <c r="AU212" s="44" t="str">
        <f t="shared" si="201"/>
        <v>2</v>
      </c>
      <c r="AV212" s="44" t="str">
        <f t="shared" si="202"/>
        <v>2</v>
      </c>
      <c r="AW212" s="44" t="str">
        <f t="shared" si="203"/>
        <v>2</v>
      </c>
      <c r="AX212" s="44" t="str">
        <f t="shared" si="204"/>
        <v>2</v>
      </c>
      <c r="AY212" s="7">
        <v>1</v>
      </c>
      <c r="AZ212" s="7">
        <v>1</v>
      </c>
      <c r="BA212" s="7">
        <v>1</v>
      </c>
    </row>
    <row r="213" spans="1:53" hidden="1" x14ac:dyDescent="0.3">
      <c r="A213" s="7">
        <v>94</v>
      </c>
      <c r="B213" s="44">
        <f t="shared" si="228"/>
        <v>1</v>
      </c>
      <c r="C213" s="44">
        <f t="shared" si="229"/>
        <v>1</v>
      </c>
      <c r="D213" s="44">
        <f t="shared" si="230"/>
        <v>1</v>
      </c>
      <c r="E213" s="44">
        <f t="shared" si="231"/>
        <v>1</v>
      </c>
      <c r="F213" s="44">
        <f t="shared" si="232"/>
        <v>1</v>
      </c>
      <c r="G213" s="44">
        <f t="shared" si="233"/>
        <v>1</v>
      </c>
      <c r="H213" s="44">
        <f t="shared" si="234"/>
        <v>1</v>
      </c>
      <c r="I213" s="44">
        <f t="shared" si="235"/>
        <v>1</v>
      </c>
      <c r="J213" s="44">
        <f t="shared" si="236"/>
        <v>1</v>
      </c>
      <c r="K213" s="44">
        <f t="shared" si="237"/>
        <v>2</v>
      </c>
      <c r="L213" s="44">
        <f t="shared" si="238"/>
        <v>2</v>
      </c>
      <c r="M213" s="44">
        <f t="shared" si="239"/>
        <v>2</v>
      </c>
      <c r="N213" s="44">
        <f t="shared" si="240"/>
        <v>2</v>
      </c>
      <c r="O213" s="44">
        <f t="shared" si="241"/>
        <v>2</v>
      </c>
      <c r="P213" s="44">
        <f t="shared" si="242"/>
        <v>2</v>
      </c>
      <c r="Q213" s="44">
        <f t="shared" si="243"/>
        <v>2</v>
      </c>
      <c r="R213" s="44">
        <f t="shared" si="244"/>
        <v>2</v>
      </c>
      <c r="S213" s="44">
        <f t="shared" si="245"/>
        <v>2</v>
      </c>
      <c r="T213" s="44">
        <f t="shared" si="246"/>
        <v>2</v>
      </c>
      <c r="U213" s="44">
        <f t="shared" si="247"/>
        <v>2</v>
      </c>
      <c r="V213" s="44">
        <f t="shared" si="248"/>
        <v>2</v>
      </c>
      <c r="W213" s="44">
        <f t="shared" si="249"/>
        <v>2</v>
      </c>
      <c r="X213" s="44">
        <f t="shared" si="250"/>
        <v>1</v>
      </c>
      <c r="Y213" s="44">
        <f t="shared" si="251"/>
        <v>1</v>
      </c>
      <c r="Z213" s="44">
        <f t="shared" si="252"/>
        <v>2</v>
      </c>
      <c r="AB213" s="7">
        <v>44</v>
      </c>
      <c r="AC213" s="44" t="str">
        <f t="shared" si="205"/>
        <v>1</v>
      </c>
      <c r="AD213" s="44" t="str">
        <f t="shared" si="206"/>
        <v>1</v>
      </c>
      <c r="AE213" s="44" t="str">
        <f t="shared" si="207"/>
        <v>1</v>
      </c>
      <c r="AF213" s="44" t="str">
        <f t="shared" si="208"/>
        <v>1</v>
      </c>
      <c r="AG213" s="44" t="str">
        <f t="shared" si="209"/>
        <v>1</v>
      </c>
      <c r="AH213" s="44" t="str">
        <f t="shared" si="188"/>
        <v>1컷원점</v>
      </c>
      <c r="AI213" s="44" t="str">
        <f t="shared" si="189"/>
        <v>1컷원점</v>
      </c>
      <c r="AJ213" s="44" t="str">
        <f t="shared" si="190"/>
        <v>1컷원점</v>
      </c>
      <c r="AK213" s="44" t="str">
        <f t="shared" si="191"/>
        <v>1컷원점</v>
      </c>
      <c r="AL213" s="44" t="str">
        <f t="shared" si="192"/>
        <v>2</v>
      </c>
      <c r="AM213" s="44" t="str">
        <f t="shared" si="193"/>
        <v>2컷원점</v>
      </c>
      <c r="AN213" s="44" t="str">
        <f t="shared" si="194"/>
        <v>2</v>
      </c>
      <c r="AO213" s="44" t="str">
        <f t="shared" si="195"/>
        <v>2</v>
      </c>
      <c r="AP213" s="44" t="str">
        <f t="shared" si="196"/>
        <v>2</v>
      </c>
      <c r="AQ213" s="44" t="str">
        <f t="shared" si="197"/>
        <v>2</v>
      </c>
      <c r="AR213" s="44" t="str">
        <f t="shared" si="198"/>
        <v>2</v>
      </c>
      <c r="AS213" s="44" t="str">
        <f t="shared" si="199"/>
        <v>2</v>
      </c>
      <c r="AT213" s="44" t="str">
        <f t="shared" si="200"/>
        <v>2</v>
      </c>
      <c r="AU213" s="44" t="str">
        <f t="shared" si="201"/>
        <v>2컷원점</v>
      </c>
      <c r="AV213" s="44" t="str">
        <f t="shared" si="202"/>
        <v>2컷원점</v>
      </c>
      <c r="AW213" s="44" t="str">
        <f t="shared" si="203"/>
        <v>2컷원점</v>
      </c>
      <c r="AX213" s="44" t="str">
        <f t="shared" si="204"/>
        <v>2컷원점</v>
      </c>
      <c r="AY213" s="7">
        <v>1</v>
      </c>
      <c r="AZ213" s="7">
        <v>1</v>
      </c>
      <c r="BA213" s="7">
        <v>2</v>
      </c>
    </row>
    <row r="214" spans="1:53" hidden="1" x14ac:dyDescent="0.3">
      <c r="A214" s="7">
        <v>93</v>
      </c>
      <c r="B214" s="44">
        <f t="shared" si="228"/>
        <v>1</v>
      </c>
      <c r="C214" s="44">
        <f t="shared" si="229"/>
        <v>1</v>
      </c>
      <c r="D214" s="44">
        <f t="shared" si="230"/>
        <v>1</v>
      </c>
      <c r="E214" s="44">
        <f t="shared" si="231"/>
        <v>1</v>
      </c>
      <c r="F214" s="44">
        <f t="shared" si="232"/>
        <v>1</v>
      </c>
      <c r="G214" s="44">
        <f t="shared" si="233"/>
        <v>2</v>
      </c>
      <c r="H214" s="44">
        <f t="shared" si="234"/>
        <v>2</v>
      </c>
      <c r="I214" s="44">
        <f t="shared" si="235"/>
        <v>2</v>
      </c>
      <c r="J214" s="44">
        <f t="shared" si="236"/>
        <v>2</v>
      </c>
      <c r="K214" s="44">
        <f t="shared" si="237"/>
        <v>2</v>
      </c>
      <c r="L214" s="44">
        <f t="shared" si="238"/>
        <v>3</v>
      </c>
      <c r="M214" s="44">
        <f t="shared" si="239"/>
        <v>2</v>
      </c>
      <c r="N214" s="44">
        <f t="shared" si="240"/>
        <v>2</v>
      </c>
      <c r="O214" s="44">
        <f t="shared" si="241"/>
        <v>2</v>
      </c>
      <c r="P214" s="44">
        <f t="shared" si="242"/>
        <v>2</v>
      </c>
      <c r="Q214" s="44">
        <f t="shared" si="243"/>
        <v>2</v>
      </c>
      <c r="R214" s="44">
        <f t="shared" si="244"/>
        <v>2</v>
      </c>
      <c r="S214" s="44">
        <f t="shared" si="245"/>
        <v>2</v>
      </c>
      <c r="T214" s="44">
        <f t="shared" si="246"/>
        <v>3</v>
      </c>
      <c r="U214" s="44">
        <f t="shared" si="247"/>
        <v>3</v>
      </c>
      <c r="V214" s="44">
        <f t="shared" si="248"/>
        <v>3</v>
      </c>
      <c r="W214" s="44">
        <f t="shared" si="249"/>
        <v>3</v>
      </c>
      <c r="X214" s="44">
        <f t="shared" si="250"/>
        <v>1</v>
      </c>
      <c r="Y214" s="44">
        <f t="shared" si="251"/>
        <v>1</v>
      </c>
      <c r="Z214" s="44">
        <f t="shared" si="252"/>
        <v>2</v>
      </c>
      <c r="AB214" s="7">
        <v>43</v>
      </c>
      <c r="AC214" s="44" t="str">
        <f t="shared" si="205"/>
        <v>1</v>
      </c>
      <c r="AD214" s="44" t="str">
        <f t="shared" si="206"/>
        <v>1</v>
      </c>
      <c r="AE214" s="44" t="str">
        <f t="shared" si="207"/>
        <v>1</v>
      </c>
      <c r="AF214" s="44" t="str">
        <f t="shared" si="208"/>
        <v>1</v>
      </c>
      <c r="AG214" s="44" t="str">
        <f t="shared" si="209"/>
        <v>1</v>
      </c>
      <c r="AH214" s="44" t="str">
        <f t="shared" si="188"/>
        <v>2</v>
      </c>
      <c r="AI214" s="44" t="str">
        <f t="shared" si="189"/>
        <v>2</v>
      </c>
      <c r="AJ214" s="44" t="str">
        <f t="shared" si="190"/>
        <v>2</v>
      </c>
      <c r="AK214" s="44" t="str">
        <f t="shared" si="191"/>
        <v>2</v>
      </c>
      <c r="AL214" s="44" t="str">
        <f t="shared" si="192"/>
        <v>2</v>
      </c>
      <c r="AM214" s="44" t="str">
        <f t="shared" si="193"/>
        <v>3</v>
      </c>
      <c r="AN214" s="44" t="str">
        <f t="shared" si="194"/>
        <v>2컷원점</v>
      </c>
      <c r="AO214" s="44" t="str">
        <f t="shared" si="195"/>
        <v>2</v>
      </c>
      <c r="AP214" s="44" t="str">
        <f t="shared" si="196"/>
        <v>2컷원점</v>
      </c>
      <c r="AQ214" s="44" t="str">
        <f t="shared" si="197"/>
        <v>2컷원점</v>
      </c>
      <c r="AR214" s="44" t="str">
        <f t="shared" si="198"/>
        <v>2컷원점</v>
      </c>
      <c r="AS214" s="44" t="str">
        <f t="shared" si="199"/>
        <v>2컷원점</v>
      </c>
      <c r="AT214" s="44" t="str">
        <f t="shared" si="200"/>
        <v>2컷원점</v>
      </c>
      <c r="AU214" s="44" t="str">
        <f t="shared" si="201"/>
        <v>3</v>
      </c>
      <c r="AV214" s="44" t="str">
        <f t="shared" si="202"/>
        <v>3</v>
      </c>
      <c r="AW214" s="44" t="str">
        <f t="shared" si="203"/>
        <v>3</v>
      </c>
      <c r="AX214" s="44" t="str">
        <f t="shared" si="204"/>
        <v>3</v>
      </c>
      <c r="AY214" s="7">
        <v>1</v>
      </c>
      <c r="AZ214" s="7">
        <v>1</v>
      </c>
      <c r="BA214" s="7">
        <v>2</v>
      </c>
    </row>
    <row r="215" spans="1:53" hidden="1" x14ac:dyDescent="0.3">
      <c r="A215" s="7">
        <v>92</v>
      </c>
      <c r="B215" s="44">
        <f t="shared" si="228"/>
        <v>1</v>
      </c>
      <c r="C215" s="44">
        <f t="shared" si="229"/>
        <v>1</v>
      </c>
      <c r="D215" s="44">
        <f t="shared" si="230"/>
        <v>1</v>
      </c>
      <c r="E215" s="44">
        <f t="shared" si="231"/>
        <v>1</v>
      </c>
      <c r="F215" s="44">
        <f t="shared" si="232"/>
        <v>1</v>
      </c>
      <c r="G215" s="44">
        <f t="shared" si="233"/>
        <v>2</v>
      </c>
      <c r="H215" s="44">
        <f t="shared" si="234"/>
        <v>2</v>
      </c>
      <c r="I215" s="44">
        <f t="shared" si="235"/>
        <v>2</v>
      </c>
      <c r="J215" s="44">
        <f t="shared" si="236"/>
        <v>2</v>
      </c>
      <c r="K215" s="44">
        <f t="shared" si="237"/>
        <v>2</v>
      </c>
      <c r="L215" s="44">
        <f t="shared" si="238"/>
        <v>3</v>
      </c>
      <c r="M215" s="44">
        <f t="shared" si="239"/>
        <v>3</v>
      </c>
      <c r="N215" s="44">
        <f t="shared" si="240"/>
        <v>2</v>
      </c>
      <c r="O215" s="44">
        <f t="shared" si="241"/>
        <v>3</v>
      </c>
      <c r="P215" s="44">
        <f t="shared" si="242"/>
        <v>3</v>
      </c>
      <c r="Q215" s="44">
        <f t="shared" si="243"/>
        <v>3</v>
      </c>
      <c r="R215" s="44">
        <f t="shared" si="244"/>
        <v>3</v>
      </c>
      <c r="S215" s="44">
        <f t="shared" si="245"/>
        <v>3</v>
      </c>
      <c r="T215" s="44">
        <f t="shared" si="246"/>
        <v>3</v>
      </c>
      <c r="U215" s="44">
        <f t="shared" si="247"/>
        <v>3</v>
      </c>
      <c r="V215" s="44">
        <f t="shared" si="248"/>
        <v>3</v>
      </c>
      <c r="W215" s="44">
        <f t="shared" si="249"/>
        <v>3</v>
      </c>
      <c r="X215" s="44">
        <f t="shared" si="250"/>
        <v>1</v>
      </c>
      <c r="Y215" s="44">
        <f t="shared" si="251"/>
        <v>1</v>
      </c>
      <c r="Z215" s="44">
        <f t="shared" si="252"/>
        <v>2</v>
      </c>
      <c r="AB215" s="7">
        <v>42</v>
      </c>
      <c r="AC215" s="44" t="str">
        <f t="shared" si="205"/>
        <v>1</v>
      </c>
      <c r="AD215" s="44" t="str">
        <f t="shared" si="206"/>
        <v>1</v>
      </c>
      <c r="AE215" s="44" t="str">
        <f t="shared" si="207"/>
        <v>1</v>
      </c>
      <c r="AF215" s="44" t="str">
        <f t="shared" si="208"/>
        <v>1</v>
      </c>
      <c r="AG215" s="44" t="str">
        <f t="shared" si="209"/>
        <v>1</v>
      </c>
      <c r="AH215" s="44" t="str">
        <f t="shared" si="188"/>
        <v>2</v>
      </c>
      <c r="AI215" s="44" t="str">
        <f t="shared" si="189"/>
        <v>2컷원점</v>
      </c>
      <c r="AJ215" s="44" t="str">
        <f t="shared" si="190"/>
        <v>2</v>
      </c>
      <c r="AK215" s="44" t="str">
        <f t="shared" si="191"/>
        <v>2</v>
      </c>
      <c r="AL215" s="44" t="str">
        <f t="shared" si="192"/>
        <v>2컷원점</v>
      </c>
      <c r="AM215" s="44" t="str">
        <f t="shared" si="193"/>
        <v>3</v>
      </c>
      <c r="AN215" s="44" t="str">
        <f t="shared" si="194"/>
        <v>3</v>
      </c>
      <c r="AO215" s="44" t="str">
        <f t="shared" si="195"/>
        <v>2</v>
      </c>
      <c r="AP215" s="44" t="str">
        <f t="shared" si="196"/>
        <v>3</v>
      </c>
      <c r="AQ215" s="44" t="str">
        <f t="shared" si="197"/>
        <v>3</v>
      </c>
      <c r="AR215" s="44" t="str">
        <f t="shared" si="198"/>
        <v>3</v>
      </c>
      <c r="AS215" s="44" t="str">
        <f t="shared" si="199"/>
        <v>3</v>
      </c>
      <c r="AT215" s="44" t="str">
        <f t="shared" si="200"/>
        <v>3</v>
      </c>
      <c r="AU215" s="44" t="str">
        <f t="shared" si="201"/>
        <v>3</v>
      </c>
      <c r="AV215" s="44" t="str">
        <f t="shared" si="202"/>
        <v>3</v>
      </c>
      <c r="AW215" s="44" t="str">
        <f t="shared" si="203"/>
        <v>3</v>
      </c>
      <c r="AX215" s="44" t="str">
        <f t="shared" si="204"/>
        <v>3</v>
      </c>
      <c r="AY215" s="7">
        <v>1</v>
      </c>
      <c r="AZ215" s="7">
        <v>1</v>
      </c>
      <c r="BA215" s="7">
        <v>2</v>
      </c>
    </row>
    <row r="216" spans="1:53" hidden="1" x14ac:dyDescent="0.3">
      <c r="A216" s="7">
        <v>91</v>
      </c>
      <c r="B216" s="44">
        <f t="shared" si="228"/>
        <v>1</v>
      </c>
      <c r="C216" s="44">
        <f t="shared" si="229"/>
        <v>1</v>
      </c>
      <c r="D216" s="44">
        <f t="shared" si="230"/>
        <v>1</v>
      </c>
      <c r="E216" s="44">
        <f t="shared" si="231"/>
        <v>1</v>
      </c>
      <c r="F216" s="44">
        <f t="shared" si="232"/>
        <v>1</v>
      </c>
      <c r="G216" s="44">
        <f t="shared" si="233"/>
        <v>2</v>
      </c>
      <c r="H216" s="44">
        <f t="shared" si="234"/>
        <v>3</v>
      </c>
      <c r="I216" s="44">
        <f t="shared" si="235"/>
        <v>2</v>
      </c>
      <c r="J216" s="44">
        <f t="shared" si="236"/>
        <v>2</v>
      </c>
      <c r="K216" s="44">
        <f t="shared" si="237"/>
        <v>3</v>
      </c>
      <c r="L216" s="44">
        <f t="shared" si="238"/>
        <v>3</v>
      </c>
      <c r="M216" s="44">
        <f t="shared" si="239"/>
        <v>3</v>
      </c>
      <c r="N216" s="44">
        <f t="shared" si="240"/>
        <v>2</v>
      </c>
      <c r="O216" s="44">
        <f t="shared" si="241"/>
        <v>3</v>
      </c>
      <c r="P216" s="44">
        <f t="shared" si="242"/>
        <v>3</v>
      </c>
      <c r="Q216" s="44">
        <f t="shared" si="243"/>
        <v>3</v>
      </c>
      <c r="R216" s="44">
        <f t="shared" si="244"/>
        <v>3</v>
      </c>
      <c r="S216" s="44">
        <f t="shared" si="245"/>
        <v>3</v>
      </c>
      <c r="T216" s="44">
        <f t="shared" si="246"/>
        <v>3</v>
      </c>
      <c r="U216" s="44">
        <f t="shared" si="247"/>
        <v>3</v>
      </c>
      <c r="V216" s="44">
        <f t="shared" si="248"/>
        <v>3</v>
      </c>
      <c r="W216" s="44">
        <f t="shared" si="249"/>
        <v>3</v>
      </c>
      <c r="X216" s="44">
        <f t="shared" si="250"/>
        <v>1</v>
      </c>
      <c r="Y216" s="44">
        <f t="shared" si="251"/>
        <v>1</v>
      </c>
      <c r="Z216" s="44">
        <f t="shared" si="252"/>
        <v>2</v>
      </c>
      <c r="AB216" s="7">
        <v>41</v>
      </c>
      <c r="AC216" s="44" t="str">
        <f t="shared" si="205"/>
        <v>1</v>
      </c>
      <c r="AD216" s="44" t="str">
        <f t="shared" si="206"/>
        <v>1</v>
      </c>
      <c r="AE216" s="44" t="str">
        <f t="shared" si="207"/>
        <v>1</v>
      </c>
      <c r="AF216" s="44" t="str">
        <f t="shared" si="208"/>
        <v>1</v>
      </c>
      <c r="AG216" s="44" t="str">
        <f t="shared" si="209"/>
        <v>1</v>
      </c>
      <c r="AH216" s="44" t="str">
        <f t="shared" si="188"/>
        <v>2</v>
      </c>
      <c r="AI216" s="44" t="str">
        <f t="shared" si="189"/>
        <v>3</v>
      </c>
      <c r="AJ216" s="44" t="str">
        <f t="shared" si="190"/>
        <v>2</v>
      </c>
      <c r="AK216" s="44" t="str">
        <f t="shared" si="191"/>
        <v>2</v>
      </c>
      <c r="AL216" s="44" t="str">
        <f t="shared" si="192"/>
        <v>3</v>
      </c>
      <c r="AM216" s="44" t="str">
        <f t="shared" si="193"/>
        <v>3</v>
      </c>
      <c r="AN216" s="44" t="str">
        <f t="shared" si="194"/>
        <v>3</v>
      </c>
      <c r="AO216" s="44" t="str">
        <f t="shared" si="195"/>
        <v>2</v>
      </c>
      <c r="AP216" s="44" t="str">
        <f t="shared" si="196"/>
        <v>3</v>
      </c>
      <c r="AQ216" s="44" t="str">
        <f t="shared" si="197"/>
        <v>3</v>
      </c>
      <c r="AR216" s="44" t="str">
        <f t="shared" si="198"/>
        <v>3</v>
      </c>
      <c r="AS216" s="44" t="str">
        <f t="shared" si="199"/>
        <v>3</v>
      </c>
      <c r="AT216" s="44" t="str">
        <f t="shared" si="200"/>
        <v>3</v>
      </c>
      <c r="AU216" s="44" t="str">
        <f t="shared" si="201"/>
        <v>3</v>
      </c>
      <c r="AV216" s="44" t="str">
        <f t="shared" si="202"/>
        <v>3</v>
      </c>
      <c r="AW216" s="44" t="str">
        <f t="shared" si="203"/>
        <v>3</v>
      </c>
      <c r="AX216" s="44" t="str">
        <f t="shared" si="204"/>
        <v>3</v>
      </c>
      <c r="AY216" s="7">
        <v>1</v>
      </c>
      <c r="AZ216" s="7">
        <v>1</v>
      </c>
      <c r="BA216" s="7">
        <v>2</v>
      </c>
    </row>
    <row r="217" spans="1:53" hidden="1" x14ac:dyDescent="0.3">
      <c r="A217" s="7">
        <v>90</v>
      </c>
      <c r="B217" s="44">
        <f t="shared" si="228"/>
        <v>1</v>
      </c>
      <c r="C217" s="44">
        <f t="shared" si="229"/>
        <v>1</v>
      </c>
      <c r="D217" s="44">
        <f t="shared" si="230"/>
        <v>1</v>
      </c>
      <c r="E217" s="44">
        <f t="shared" si="231"/>
        <v>1</v>
      </c>
      <c r="F217" s="44">
        <f t="shared" si="232"/>
        <v>1</v>
      </c>
      <c r="G217" s="44">
        <f t="shared" si="233"/>
        <v>2</v>
      </c>
      <c r="H217" s="44">
        <f t="shared" si="234"/>
        <v>3</v>
      </c>
      <c r="I217" s="44">
        <f t="shared" si="235"/>
        <v>2</v>
      </c>
      <c r="J217" s="44">
        <f t="shared" si="236"/>
        <v>2</v>
      </c>
      <c r="K217" s="44">
        <f t="shared" si="237"/>
        <v>3</v>
      </c>
      <c r="L217" s="44">
        <f t="shared" si="238"/>
        <v>3</v>
      </c>
      <c r="M217" s="44">
        <f t="shared" si="239"/>
        <v>3</v>
      </c>
      <c r="N217" s="44">
        <f t="shared" si="240"/>
        <v>2</v>
      </c>
      <c r="O217" s="44">
        <f t="shared" si="241"/>
        <v>3</v>
      </c>
      <c r="P217" s="44">
        <f t="shared" si="242"/>
        <v>3</v>
      </c>
      <c r="Q217" s="44">
        <f t="shared" si="243"/>
        <v>3</v>
      </c>
      <c r="R217" s="44">
        <f t="shared" si="244"/>
        <v>3</v>
      </c>
      <c r="S217" s="44">
        <f t="shared" si="245"/>
        <v>3</v>
      </c>
      <c r="T217" s="44">
        <f t="shared" si="246"/>
        <v>3</v>
      </c>
      <c r="U217" s="44">
        <f t="shared" si="247"/>
        <v>3</v>
      </c>
      <c r="V217" s="44">
        <f t="shared" si="248"/>
        <v>3</v>
      </c>
      <c r="W217" s="44">
        <f t="shared" si="249"/>
        <v>3</v>
      </c>
      <c r="X217" s="44">
        <f t="shared" si="250"/>
        <v>1</v>
      </c>
      <c r="Y217" s="44">
        <f t="shared" si="251"/>
        <v>1</v>
      </c>
      <c r="Z217" s="44">
        <f t="shared" si="252"/>
        <v>2</v>
      </c>
      <c r="AB217" s="7">
        <v>40</v>
      </c>
      <c r="AC217" s="44" t="str">
        <f t="shared" si="205"/>
        <v>1</v>
      </c>
      <c r="AD217" s="44" t="str">
        <f t="shared" si="206"/>
        <v>1</v>
      </c>
      <c r="AE217" s="44" t="str">
        <f t="shared" si="207"/>
        <v>1</v>
      </c>
      <c r="AF217" s="44" t="str">
        <f t="shared" si="208"/>
        <v>1</v>
      </c>
      <c r="AG217" s="44" t="str">
        <f t="shared" si="209"/>
        <v>1</v>
      </c>
      <c r="AH217" s="44" t="str">
        <f t="shared" si="188"/>
        <v>2컷원점</v>
      </c>
      <c r="AI217" s="44" t="str">
        <f t="shared" si="189"/>
        <v>3</v>
      </c>
      <c r="AJ217" s="44" t="str">
        <f t="shared" si="190"/>
        <v>2컷원점</v>
      </c>
      <c r="AK217" s="44" t="str">
        <f t="shared" si="191"/>
        <v>2</v>
      </c>
      <c r="AL217" s="44" t="str">
        <f t="shared" si="192"/>
        <v>3</v>
      </c>
      <c r="AM217" s="44" t="str">
        <f t="shared" si="193"/>
        <v>3</v>
      </c>
      <c r="AN217" s="44" t="str">
        <f t="shared" si="194"/>
        <v>3</v>
      </c>
      <c r="AO217" s="44" t="str">
        <f t="shared" si="195"/>
        <v>2컷원점</v>
      </c>
      <c r="AP217" s="44" t="str">
        <f t="shared" si="196"/>
        <v>3</v>
      </c>
      <c r="AQ217" s="44" t="str">
        <f t="shared" si="197"/>
        <v>3</v>
      </c>
      <c r="AR217" s="44" t="str">
        <f t="shared" si="198"/>
        <v>3</v>
      </c>
      <c r="AS217" s="44" t="str">
        <f t="shared" si="199"/>
        <v>3</v>
      </c>
      <c r="AT217" s="44" t="str">
        <f t="shared" si="200"/>
        <v>3</v>
      </c>
      <c r="AU217" s="44" t="str">
        <f t="shared" si="201"/>
        <v>3</v>
      </c>
      <c r="AV217" s="44" t="str">
        <f t="shared" si="202"/>
        <v>3</v>
      </c>
      <c r="AW217" s="44" t="str">
        <f t="shared" si="203"/>
        <v>3</v>
      </c>
      <c r="AX217" s="44" t="str">
        <f t="shared" si="204"/>
        <v>3</v>
      </c>
      <c r="AY217" s="7">
        <v>1</v>
      </c>
      <c r="AZ217" s="7">
        <v>1</v>
      </c>
      <c r="BA217" s="7">
        <v>2</v>
      </c>
    </row>
    <row r="218" spans="1:53" hidden="1" x14ac:dyDescent="0.3">
      <c r="A218" s="7">
        <v>89</v>
      </c>
      <c r="B218" s="44">
        <f t="shared" si="228"/>
        <v>1</v>
      </c>
      <c r="C218" s="44">
        <f t="shared" si="229"/>
        <v>1</v>
      </c>
      <c r="D218" s="44">
        <f t="shared" si="230"/>
        <v>1</v>
      </c>
      <c r="E218" s="44">
        <f t="shared" si="231"/>
        <v>1</v>
      </c>
      <c r="F218" s="44">
        <f t="shared" si="232"/>
        <v>1</v>
      </c>
      <c r="G218" s="44">
        <f t="shared" si="233"/>
        <v>3</v>
      </c>
      <c r="H218" s="44">
        <f t="shared" si="234"/>
        <v>3</v>
      </c>
      <c r="I218" s="44">
        <f t="shared" si="235"/>
        <v>3</v>
      </c>
      <c r="J218" s="44">
        <f t="shared" si="236"/>
        <v>2</v>
      </c>
      <c r="K218" s="44">
        <f t="shared" si="237"/>
        <v>3</v>
      </c>
      <c r="L218" s="44">
        <f t="shared" si="238"/>
        <v>3</v>
      </c>
      <c r="M218" s="44">
        <f t="shared" si="239"/>
        <v>3</v>
      </c>
      <c r="N218" s="44">
        <f t="shared" si="240"/>
        <v>3</v>
      </c>
      <c r="O218" s="44">
        <f t="shared" si="241"/>
        <v>3</v>
      </c>
      <c r="P218" s="44">
        <f t="shared" si="242"/>
        <v>3</v>
      </c>
      <c r="Q218" s="44">
        <f t="shared" si="243"/>
        <v>3</v>
      </c>
      <c r="R218" s="44">
        <f t="shared" si="244"/>
        <v>3</v>
      </c>
      <c r="S218" s="44">
        <f t="shared" si="245"/>
        <v>3</v>
      </c>
      <c r="T218" s="44">
        <f t="shared" si="246"/>
        <v>3</v>
      </c>
      <c r="U218" s="44">
        <f t="shared" si="247"/>
        <v>3</v>
      </c>
      <c r="V218" s="44">
        <f t="shared" si="248"/>
        <v>3</v>
      </c>
      <c r="W218" s="44">
        <f t="shared" si="249"/>
        <v>3</v>
      </c>
      <c r="X218" s="44">
        <f t="shared" si="250"/>
        <v>2</v>
      </c>
      <c r="Y218" s="44">
        <f t="shared" si="251"/>
        <v>2</v>
      </c>
      <c r="Z218" s="44">
        <f t="shared" si="252"/>
        <v>3</v>
      </c>
      <c r="AB218" s="7">
        <v>39</v>
      </c>
      <c r="AC218" s="44" t="str">
        <f t="shared" si="205"/>
        <v>1</v>
      </c>
      <c r="AD218" s="44" t="str">
        <f t="shared" si="206"/>
        <v>1</v>
      </c>
      <c r="AE218" s="44" t="str">
        <f t="shared" si="207"/>
        <v>1</v>
      </c>
      <c r="AF218" s="44" t="str">
        <f t="shared" si="208"/>
        <v>1</v>
      </c>
      <c r="AG218" s="44" t="str">
        <f t="shared" si="209"/>
        <v>1</v>
      </c>
      <c r="AH218" s="44" t="str">
        <f t="shared" si="188"/>
        <v>3</v>
      </c>
      <c r="AI218" s="44" t="str">
        <f t="shared" si="189"/>
        <v>3컷원점</v>
      </c>
      <c r="AJ218" s="44" t="str">
        <f t="shared" si="190"/>
        <v>3</v>
      </c>
      <c r="AK218" s="44" t="str">
        <f t="shared" si="191"/>
        <v>2</v>
      </c>
      <c r="AL218" s="44" t="str">
        <f t="shared" si="192"/>
        <v>3</v>
      </c>
      <c r="AM218" s="44" t="str">
        <f t="shared" si="193"/>
        <v>3</v>
      </c>
      <c r="AN218" s="44" t="str">
        <f t="shared" si="194"/>
        <v>3컷원점</v>
      </c>
      <c r="AO218" s="44" t="str">
        <f t="shared" si="195"/>
        <v>3</v>
      </c>
      <c r="AP218" s="44" t="str">
        <f t="shared" si="196"/>
        <v>3</v>
      </c>
      <c r="AQ218" s="44" t="str">
        <f t="shared" si="197"/>
        <v>3</v>
      </c>
      <c r="AR218" s="44" t="str">
        <f t="shared" si="198"/>
        <v>3</v>
      </c>
      <c r="AS218" s="44" t="str">
        <f t="shared" si="199"/>
        <v>3</v>
      </c>
      <c r="AT218" s="44" t="str">
        <f t="shared" si="200"/>
        <v>3</v>
      </c>
      <c r="AU218" s="44" t="str">
        <f t="shared" si="201"/>
        <v>3</v>
      </c>
      <c r="AV218" s="44" t="str">
        <f t="shared" si="202"/>
        <v>3</v>
      </c>
      <c r="AW218" s="44" t="str">
        <f t="shared" si="203"/>
        <v>3</v>
      </c>
      <c r="AX218" s="44" t="str">
        <f t="shared" si="204"/>
        <v>3</v>
      </c>
      <c r="AY218" s="7">
        <v>2</v>
      </c>
      <c r="AZ218" s="7">
        <v>2</v>
      </c>
      <c r="BA218" s="7">
        <v>3</v>
      </c>
    </row>
    <row r="219" spans="1:53" hidden="1" x14ac:dyDescent="0.3">
      <c r="A219" s="7">
        <v>88</v>
      </c>
      <c r="B219" s="44">
        <f t="shared" si="228"/>
        <v>1</v>
      </c>
      <c r="C219" s="44">
        <f t="shared" si="229"/>
        <v>1</v>
      </c>
      <c r="D219" s="44">
        <f t="shared" si="230"/>
        <v>1</v>
      </c>
      <c r="E219" s="44">
        <f t="shared" si="231"/>
        <v>1</v>
      </c>
      <c r="F219" s="44">
        <f t="shared" si="232"/>
        <v>1</v>
      </c>
      <c r="G219" s="44">
        <f t="shared" si="233"/>
        <v>3</v>
      </c>
      <c r="H219" s="44">
        <f t="shared" si="234"/>
        <v>4</v>
      </c>
      <c r="I219" s="44">
        <f t="shared" si="235"/>
        <v>3</v>
      </c>
      <c r="J219" s="44">
        <f t="shared" si="236"/>
        <v>2</v>
      </c>
      <c r="K219" s="44">
        <f t="shared" si="237"/>
        <v>3</v>
      </c>
      <c r="L219" s="44">
        <f t="shared" si="238"/>
        <v>3</v>
      </c>
      <c r="M219" s="44">
        <f t="shared" si="239"/>
        <v>4</v>
      </c>
      <c r="N219" s="44">
        <f t="shared" si="240"/>
        <v>3</v>
      </c>
      <c r="O219" s="44">
        <f t="shared" si="241"/>
        <v>3</v>
      </c>
      <c r="P219" s="44">
        <f t="shared" si="242"/>
        <v>3</v>
      </c>
      <c r="Q219" s="44">
        <f t="shared" si="243"/>
        <v>3</v>
      </c>
      <c r="R219" s="44">
        <f t="shared" si="244"/>
        <v>3</v>
      </c>
      <c r="S219" s="44">
        <f t="shared" si="245"/>
        <v>3</v>
      </c>
      <c r="T219" s="44">
        <f t="shared" si="246"/>
        <v>3</v>
      </c>
      <c r="U219" s="44">
        <f t="shared" si="247"/>
        <v>3</v>
      </c>
      <c r="V219" s="44">
        <f t="shared" si="248"/>
        <v>3</v>
      </c>
      <c r="W219" s="44">
        <f t="shared" si="249"/>
        <v>3</v>
      </c>
      <c r="X219" s="44">
        <f t="shared" si="250"/>
        <v>2</v>
      </c>
      <c r="Y219" s="44">
        <f t="shared" si="251"/>
        <v>2</v>
      </c>
      <c r="Z219" s="44">
        <f t="shared" si="252"/>
        <v>3</v>
      </c>
      <c r="AB219" s="7">
        <v>38</v>
      </c>
      <c r="AC219" s="44" t="str">
        <f t="shared" si="205"/>
        <v>1</v>
      </c>
      <c r="AD219" s="44" t="str">
        <f t="shared" si="206"/>
        <v>1</v>
      </c>
      <c r="AE219" s="44" t="str">
        <f t="shared" si="207"/>
        <v>1</v>
      </c>
      <c r="AF219" s="44" t="str">
        <f t="shared" si="208"/>
        <v>1</v>
      </c>
      <c r="AG219" s="44" t="str">
        <f t="shared" si="209"/>
        <v>1</v>
      </c>
      <c r="AH219" s="44" t="str">
        <f t="shared" si="188"/>
        <v>3</v>
      </c>
      <c r="AI219" s="44" t="str">
        <f t="shared" si="189"/>
        <v>4</v>
      </c>
      <c r="AJ219" s="44" t="str">
        <f t="shared" si="190"/>
        <v>3</v>
      </c>
      <c r="AK219" s="44" t="str">
        <f t="shared" si="191"/>
        <v>2컷원점</v>
      </c>
      <c r="AL219" s="44" t="str">
        <f t="shared" si="192"/>
        <v>3컷원점</v>
      </c>
      <c r="AM219" s="44" t="str">
        <f t="shared" si="193"/>
        <v>3컷원점</v>
      </c>
      <c r="AN219" s="44" t="str">
        <f t="shared" si="194"/>
        <v>4</v>
      </c>
      <c r="AO219" s="44" t="str">
        <f t="shared" si="195"/>
        <v>3</v>
      </c>
      <c r="AP219" s="44" t="str">
        <f t="shared" si="196"/>
        <v>3</v>
      </c>
      <c r="AQ219" s="44" t="str">
        <f t="shared" si="197"/>
        <v>3</v>
      </c>
      <c r="AR219" s="44" t="str">
        <f t="shared" si="198"/>
        <v>3</v>
      </c>
      <c r="AS219" s="44" t="str">
        <f t="shared" si="199"/>
        <v>3</v>
      </c>
      <c r="AT219" s="44" t="str">
        <f t="shared" si="200"/>
        <v>3</v>
      </c>
      <c r="AU219" s="44" t="str">
        <f t="shared" si="201"/>
        <v>3</v>
      </c>
      <c r="AV219" s="44" t="str">
        <f t="shared" si="202"/>
        <v>3</v>
      </c>
      <c r="AW219" s="44" t="str">
        <f t="shared" si="203"/>
        <v>3</v>
      </c>
      <c r="AX219" s="44" t="str">
        <f t="shared" si="204"/>
        <v>3</v>
      </c>
      <c r="AY219" s="7">
        <v>2</v>
      </c>
      <c r="AZ219" s="7">
        <v>2</v>
      </c>
      <c r="BA219" s="7">
        <v>3</v>
      </c>
    </row>
    <row r="220" spans="1:53" hidden="1" x14ac:dyDescent="0.3">
      <c r="A220" s="7">
        <v>87</v>
      </c>
      <c r="B220" s="44">
        <f t="shared" si="228"/>
        <v>1</v>
      </c>
      <c r="C220" s="44">
        <f t="shared" si="229"/>
        <v>1</v>
      </c>
      <c r="D220" s="44">
        <f t="shared" si="230"/>
        <v>1</v>
      </c>
      <c r="E220" s="44">
        <f t="shared" si="231"/>
        <v>1</v>
      </c>
      <c r="F220" s="44">
        <f t="shared" si="232"/>
        <v>1</v>
      </c>
      <c r="G220" s="44">
        <f t="shared" si="233"/>
        <v>3</v>
      </c>
      <c r="H220" s="44">
        <f t="shared" si="234"/>
        <v>4</v>
      </c>
      <c r="I220" s="44">
        <f t="shared" si="235"/>
        <v>3</v>
      </c>
      <c r="J220" s="44">
        <f t="shared" si="236"/>
        <v>3</v>
      </c>
      <c r="K220" s="44">
        <f t="shared" si="237"/>
        <v>4</v>
      </c>
      <c r="L220" s="44">
        <f t="shared" si="238"/>
        <v>4</v>
      </c>
      <c r="M220" s="44">
        <f t="shared" si="239"/>
        <v>4</v>
      </c>
      <c r="N220" s="44">
        <f t="shared" si="240"/>
        <v>3</v>
      </c>
      <c r="O220" s="44">
        <f t="shared" si="241"/>
        <v>3</v>
      </c>
      <c r="P220" s="44">
        <f t="shared" si="242"/>
        <v>3</v>
      </c>
      <c r="Q220" s="44">
        <f t="shared" si="243"/>
        <v>3</v>
      </c>
      <c r="R220" s="44">
        <f t="shared" si="244"/>
        <v>3</v>
      </c>
      <c r="S220" s="44">
        <f t="shared" si="245"/>
        <v>3</v>
      </c>
      <c r="T220" s="44">
        <f t="shared" si="246"/>
        <v>3</v>
      </c>
      <c r="U220" s="44">
        <f t="shared" si="247"/>
        <v>3</v>
      </c>
      <c r="V220" s="44">
        <f t="shared" si="248"/>
        <v>3</v>
      </c>
      <c r="W220" s="44">
        <f t="shared" si="249"/>
        <v>3</v>
      </c>
      <c r="X220" s="44">
        <f t="shared" si="250"/>
        <v>2</v>
      </c>
      <c r="Y220" s="44">
        <f t="shared" si="251"/>
        <v>2</v>
      </c>
      <c r="Z220" s="44">
        <f t="shared" si="252"/>
        <v>3</v>
      </c>
      <c r="AB220" s="7">
        <v>37</v>
      </c>
      <c r="AC220" s="44" t="str">
        <f t="shared" si="205"/>
        <v>1</v>
      </c>
      <c r="AD220" s="44" t="str">
        <f t="shared" si="206"/>
        <v>1</v>
      </c>
      <c r="AE220" s="44" t="str">
        <f t="shared" si="207"/>
        <v>1</v>
      </c>
      <c r="AF220" s="44" t="str">
        <f t="shared" si="208"/>
        <v>1</v>
      </c>
      <c r="AG220" s="44" t="str">
        <f t="shared" si="209"/>
        <v>1</v>
      </c>
      <c r="AH220" s="44" t="str">
        <f t="shared" si="188"/>
        <v>3</v>
      </c>
      <c r="AI220" s="44" t="str">
        <f t="shared" si="189"/>
        <v>4</v>
      </c>
      <c r="AJ220" s="44" t="str">
        <f t="shared" si="190"/>
        <v>3</v>
      </c>
      <c r="AK220" s="44" t="str">
        <f t="shared" si="191"/>
        <v>3</v>
      </c>
      <c r="AL220" s="44" t="str">
        <f t="shared" si="192"/>
        <v>4</v>
      </c>
      <c r="AM220" s="44" t="str">
        <f t="shared" si="193"/>
        <v>4</v>
      </c>
      <c r="AN220" s="44" t="str">
        <f t="shared" si="194"/>
        <v>4</v>
      </c>
      <c r="AO220" s="44" t="str">
        <f t="shared" si="195"/>
        <v>3</v>
      </c>
      <c r="AP220" s="44" t="str">
        <f t="shared" si="196"/>
        <v>3컷원점</v>
      </c>
      <c r="AQ220" s="44" t="str">
        <f t="shared" si="197"/>
        <v>3컷원점</v>
      </c>
      <c r="AR220" s="44" t="str">
        <f t="shared" si="198"/>
        <v>3컷원점</v>
      </c>
      <c r="AS220" s="44" t="str">
        <f t="shared" si="199"/>
        <v>3컷원점</v>
      </c>
      <c r="AT220" s="44" t="str">
        <f t="shared" si="200"/>
        <v>3컷원점</v>
      </c>
      <c r="AU220" s="44" t="str">
        <f t="shared" si="201"/>
        <v>3컷원점</v>
      </c>
      <c r="AV220" s="44" t="str">
        <f t="shared" si="202"/>
        <v>3컷원점</v>
      </c>
      <c r="AW220" s="44" t="str">
        <f t="shared" si="203"/>
        <v>3컷원점</v>
      </c>
      <c r="AX220" s="44" t="str">
        <f t="shared" si="204"/>
        <v>3컷원점</v>
      </c>
      <c r="AY220" s="7">
        <v>2</v>
      </c>
      <c r="AZ220" s="7">
        <v>2</v>
      </c>
      <c r="BA220" s="7">
        <v>3</v>
      </c>
    </row>
    <row r="221" spans="1:53" hidden="1" x14ac:dyDescent="0.3">
      <c r="A221" s="7">
        <v>86</v>
      </c>
      <c r="B221" s="44">
        <f t="shared" si="228"/>
        <v>1</v>
      </c>
      <c r="C221" s="44">
        <f t="shared" si="229"/>
        <v>1</v>
      </c>
      <c r="D221" s="44">
        <f t="shared" si="230"/>
        <v>1</v>
      </c>
      <c r="E221" s="44">
        <f t="shared" si="231"/>
        <v>1</v>
      </c>
      <c r="F221" s="44">
        <f t="shared" si="232"/>
        <v>1</v>
      </c>
      <c r="G221" s="44">
        <f t="shared" si="233"/>
        <v>3</v>
      </c>
      <c r="H221" s="44">
        <f t="shared" si="234"/>
        <v>4</v>
      </c>
      <c r="I221" s="44">
        <f t="shared" si="235"/>
        <v>3</v>
      </c>
      <c r="J221" s="44">
        <f t="shared" si="236"/>
        <v>3</v>
      </c>
      <c r="K221" s="44">
        <f t="shared" si="237"/>
        <v>4</v>
      </c>
      <c r="L221" s="44">
        <f t="shared" si="238"/>
        <v>4</v>
      </c>
      <c r="M221" s="44">
        <f t="shared" si="239"/>
        <v>4</v>
      </c>
      <c r="N221" s="44">
        <f t="shared" si="240"/>
        <v>3</v>
      </c>
      <c r="O221" s="44">
        <f t="shared" si="241"/>
        <v>4</v>
      </c>
      <c r="P221" s="44">
        <f t="shared" si="242"/>
        <v>4</v>
      </c>
      <c r="Q221" s="44">
        <f t="shared" si="243"/>
        <v>4</v>
      </c>
      <c r="R221" s="44">
        <f t="shared" si="244"/>
        <v>4</v>
      </c>
      <c r="S221" s="44">
        <f t="shared" si="245"/>
        <v>4</v>
      </c>
      <c r="T221" s="44">
        <f t="shared" si="246"/>
        <v>4</v>
      </c>
      <c r="U221" s="44">
        <f t="shared" si="247"/>
        <v>4</v>
      </c>
      <c r="V221" s="44">
        <f t="shared" si="248"/>
        <v>4</v>
      </c>
      <c r="W221" s="44">
        <f t="shared" si="249"/>
        <v>4</v>
      </c>
      <c r="X221" s="44">
        <f t="shared" si="250"/>
        <v>2</v>
      </c>
      <c r="Y221" s="44">
        <f t="shared" si="251"/>
        <v>2</v>
      </c>
      <c r="Z221" s="44">
        <f t="shared" si="252"/>
        <v>3</v>
      </c>
      <c r="AB221" s="7">
        <v>36</v>
      </c>
      <c r="AC221" s="44" t="str">
        <f t="shared" si="205"/>
        <v>1</v>
      </c>
      <c r="AD221" s="44" t="str">
        <f t="shared" si="206"/>
        <v>1</v>
      </c>
      <c r="AE221" s="44" t="str">
        <f t="shared" si="207"/>
        <v>1</v>
      </c>
      <c r="AF221" s="44" t="str">
        <f t="shared" si="208"/>
        <v>1</v>
      </c>
      <c r="AG221" s="44" t="str">
        <f t="shared" si="209"/>
        <v>1</v>
      </c>
      <c r="AH221" s="44" t="str">
        <f t="shared" si="188"/>
        <v>3</v>
      </c>
      <c r="AI221" s="44" t="str">
        <f t="shared" si="189"/>
        <v>4</v>
      </c>
      <c r="AJ221" s="44" t="str">
        <f t="shared" si="190"/>
        <v>3</v>
      </c>
      <c r="AK221" s="44" t="str">
        <f t="shared" si="191"/>
        <v>3</v>
      </c>
      <c r="AL221" s="44" t="str">
        <f t="shared" si="192"/>
        <v>4</v>
      </c>
      <c r="AM221" s="44" t="str">
        <f t="shared" si="193"/>
        <v>4</v>
      </c>
      <c r="AN221" s="44" t="str">
        <f t="shared" si="194"/>
        <v>4</v>
      </c>
      <c r="AO221" s="44" t="str">
        <f t="shared" si="195"/>
        <v>3</v>
      </c>
      <c r="AP221" s="44" t="str">
        <f t="shared" si="196"/>
        <v>4</v>
      </c>
      <c r="AQ221" s="44" t="str">
        <f t="shared" si="197"/>
        <v>4</v>
      </c>
      <c r="AR221" s="44" t="str">
        <f t="shared" si="198"/>
        <v>4</v>
      </c>
      <c r="AS221" s="44" t="str">
        <f t="shared" si="199"/>
        <v>4</v>
      </c>
      <c r="AT221" s="44" t="str">
        <f t="shared" si="200"/>
        <v>4</v>
      </c>
      <c r="AU221" s="44" t="str">
        <f t="shared" si="201"/>
        <v>4</v>
      </c>
      <c r="AV221" s="44" t="str">
        <f t="shared" si="202"/>
        <v>4</v>
      </c>
      <c r="AW221" s="44" t="str">
        <f t="shared" si="203"/>
        <v>4</v>
      </c>
      <c r="AX221" s="44" t="str">
        <f t="shared" si="204"/>
        <v>4</v>
      </c>
      <c r="AY221" s="7">
        <v>2</v>
      </c>
      <c r="AZ221" s="7">
        <v>2</v>
      </c>
      <c r="BA221" s="7">
        <v>3</v>
      </c>
    </row>
    <row r="222" spans="1:53" hidden="1" x14ac:dyDescent="0.3">
      <c r="A222" s="7">
        <v>85</v>
      </c>
      <c r="B222" s="44">
        <f t="shared" si="228"/>
        <v>1</v>
      </c>
      <c r="C222" s="44">
        <f t="shared" si="229"/>
        <v>1</v>
      </c>
      <c r="D222" s="44">
        <f t="shared" si="230"/>
        <v>1</v>
      </c>
      <c r="E222" s="44">
        <f t="shared" si="231"/>
        <v>1</v>
      </c>
      <c r="F222" s="44">
        <f t="shared" si="232"/>
        <v>1</v>
      </c>
      <c r="G222" s="44">
        <f t="shared" si="233"/>
        <v>3</v>
      </c>
      <c r="H222" s="44">
        <f t="shared" si="234"/>
        <v>4</v>
      </c>
      <c r="I222" s="44">
        <f t="shared" si="235"/>
        <v>3</v>
      </c>
      <c r="J222" s="44">
        <f t="shared" si="236"/>
        <v>3</v>
      </c>
      <c r="K222" s="44">
        <f t="shared" si="237"/>
        <v>4</v>
      </c>
      <c r="L222" s="44">
        <f t="shared" si="238"/>
        <v>4</v>
      </c>
      <c r="M222" s="44">
        <f t="shared" si="239"/>
        <v>4</v>
      </c>
      <c r="N222" s="44">
        <f t="shared" si="240"/>
        <v>3</v>
      </c>
      <c r="O222" s="44">
        <f t="shared" si="241"/>
        <v>4</v>
      </c>
      <c r="P222" s="44">
        <f t="shared" si="242"/>
        <v>4</v>
      </c>
      <c r="Q222" s="44">
        <f t="shared" si="243"/>
        <v>4</v>
      </c>
      <c r="R222" s="44">
        <f t="shared" si="244"/>
        <v>4</v>
      </c>
      <c r="S222" s="44">
        <f t="shared" si="245"/>
        <v>4</v>
      </c>
      <c r="T222" s="44">
        <f t="shared" si="246"/>
        <v>4</v>
      </c>
      <c r="U222" s="44">
        <f t="shared" si="247"/>
        <v>4</v>
      </c>
      <c r="V222" s="44">
        <f t="shared" si="248"/>
        <v>4</v>
      </c>
      <c r="W222" s="44">
        <f t="shared" si="249"/>
        <v>4</v>
      </c>
      <c r="X222" s="44">
        <f t="shared" si="250"/>
        <v>2</v>
      </c>
      <c r="Y222" s="44">
        <f t="shared" si="251"/>
        <v>2</v>
      </c>
      <c r="Z222" s="44">
        <f t="shared" si="252"/>
        <v>3</v>
      </c>
      <c r="AB222" s="7">
        <v>35</v>
      </c>
      <c r="AC222" s="44" t="str">
        <f t="shared" si="205"/>
        <v>1</v>
      </c>
      <c r="AD222" s="44" t="str">
        <f t="shared" si="206"/>
        <v>1</v>
      </c>
      <c r="AE222" s="44" t="str">
        <f t="shared" si="207"/>
        <v>1</v>
      </c>
      <c r="AF222" s="44" t="str">
        <f t="shared" si="208"/>
        <v>1</v>
      </c>
      <c r="AG222" s="44" t="str">
        <f t="shared" si="209"/>
        <v>1컷원점</v>
      </c>
      <c r="AH222" s="44" t="str">
        <f t="shared" si="188"/>
        <v>3</v>
      </c>
      <c r="AI222" s="44" t="str">
        <f t="shared" si="189"/>
        <v>4</v>
      </c>
      <c r="AJ222" s="44" t="str">
        <f t="shared" si="190"/>
        <v>3컷원점</v>
      </c>
      <c r="AK222" s="44" t="str">
        <f t="shared" si="191"/>
        <v>3</v>
      </c>
      <c r="AL222" s="44" t="str">
        <f t="shared" si="192"/>
        <v>4</v>
      </c>
      <c r="AM222" s="44" t="str">
        <f t="shared" si="193"/>
        <v>4</v>
      </c>
      <c r="AN222" s="44" t="str">
        <f t="shared" si="194"/>
        <v>4</v>
      </c>
      <c r="AO222" s="44" t="str">
        <f t="shared" si="195"/>
        <v>3</v>
      </c>
      <c r="AP222" s="44" t="str">
        <f t="shared" si="196"/>
        <v>4</v>
      </c>
      <c r="AQ222" s="44" t="str">
        <f t="shared" si="197"/>
        <v>4</v>
      </c>
      <c r="AR222" s="44" t="str">
        <f t="shared" si="198"/>
        <v>4</v>
      </c>
      <c r="AS222" s="44" t="str">
        <f t="shared" si="199"/>
        <v>4</v>
      </c>
      <c r="AT222" s="44" t="str">
        <f t="shared" si="200"/>
        <v>4</v>
      </c>
      <c r="AU222" s="44" t="str">
        <f t="shared" si="201"/>
        <v>4</v>
      </c>
      <c r="AV222" s="44" t="str">
        <f t="shared" si="202"/>
        <v>4</v>
      </c>
      <c r="AW222" s="44" t="str">
        <f t="shared" si="203"/>
        <v>4</v>
      </c>
      <c r="AX222" s="44" t="str">
        <f t="shared" si="204"/>
        <v>4</v>
      </c>
      <c r="AY222" s="7">
        <v>2</v>
      </c>
      <c r="AZ222" s="7">
        <v>2</v>
      </c>
      <c r="BA222" s="7">
        <v>3</v>
      </c>
    </row>
    <row r="223" spans="1:53" hidden="1" x14ac:dyDescent="0.3">
      <c r="A223" s="7">
        <v>84</v>
      </c>
      <c r="B223" s="44">
        <f t="shared" si="228"/>
        <v>1</v>
      </c>
      <c r="C223" s="44">
        <f t="shared" si="229"/>
        <v>1</v>
      </c>
      <c r="D223" s="44">
        <f t="shared" si="230"/>
        <v>1</v>
      </c>
      <c r="E223" s="44">
        <f t="shared" si="231"/>
        <v>1</v>
      </c>
      <c r="F223" s="44">
        <f t="shared" si="232"/>
        <v>2</v>
      </c>
      <c r="G223" s="44">
        <f t="shared" si="233"/>
        <v>3</v>
      </c>
      <c r="H223" s="44">
        <f t="shared" si="234"/>
        <v>4</v>
      </c>
      <c r="I223" s="44">
        <f t="shared" si="235"/>
        <v>4</v>
      </c>
      <c r="J223" s="44">
        <f t="shared" si="236"/>
        <v>3</v>
      </c>
      <c r="K223" s="44">
        <f t="shared" si="237"/>
        <v>4</v>
      </c>
      <c r="L223" s="44">
        <f t="shared" si="238"/>
        <v>4</v>
      </c>
      <c r="M223" s="44">
        <f t="shared" si="239"/>
        <v>4</v>
      </c>
      <c r="N223" s="44">
        <f t="shared" si="240"/>
        <v>3</v>
      </c>
      <c r="O223" s="44">
        <f t="shared" si="241"/>
        <v>4</v>
      </c>
      <c r="P223" s="44">
        <f t="shared" si="242"/>
        <v>4</v>
      </c>
      <c r="Q223" s="44">
        <f t="shared" si="243"/>
        <v>4</v>
      </c>
      <c r="R223" s="44">
        <f t="shared" si="244"/>
        <v>4</v>
      </c>
      <c r="S223" s="44">
        <f t="shared" si="245"/>
        <v>4</v>
      </c>
      <c r="T223" s="44">
        <f t="shared" si="246"/>
        <v>4</v>
      </c>
      <c r="U223" s="44">
        <f t="shared" si="247"/>
        <v>4</v>
      </c>
      <c r="V223" s="44">
        <f t="shared" si="248"/>
        <v>4</v>
      </c>
      <c r="W223" s="44">
        <f t="shared" si="249"/>
        <v>4</v>
      </c>
      <c r="X223" s="44">
        <f t="shared" si="250"/>
        <v>2</v>
      </c>
      <c r="Y223" s="44">
        <f t="shared" si="251"/>
        <v>3</v>
      </c>
      <c r="Z223" s="44">
        <f t="shared" si="252"/>
        <v>4</v>
      </c>
      <c r="AB223" s="7">
        <v>34</v>
      </c>
      <c r="AC223" s="44" t="str">
        <f t="shared" si="205"/>
        <v>1</v>
      </c>
      <c r="AD223" s="44" t="str">
        <f t="shared" si="206"/>
        <v>1</v>
      </c>
      <c r="AE223" s="44" t="str">
        <f t="shared" si="207"/>
        <v>1</v>
      </c>
      <c r="AF223" s="44" t="str">
        <f t="shared" si="208"/>
        <v>1컷원점</v>
      </c>
      <c r="AG223" s="44" t="str">
        <f t="shared" si="209"/>
        <v>2</v>
      </c>
      <c r="AH223" s="44" t="str">
        <f t="shared" si="188"/>
        <v>3컷원점</v>
      </c>
      <c r="AI223" s="44" t="str">
        <f t="shared" si="189"/>
        <v>4</v>
      </c>
      <c r="AJ223" s="44" t="str">
        <f t="shared" si="190"/>
        <v>4</v>
      </c>
      <c r="AK223" s="44" t="str">
        <f t="shared" si="191"/>
        <v>3</v>
      </c>
      <c r="AL223" s="44" t="str">
        <f t="shared" si="192"/>
        <v>4</v>
      </c>
      <c r="AM223" s="44" t="str">
        <f t="shared" si="193"/>
        <v>4</v>
      </c>
      <c r="AN223" s="44" t="str">
        <f t="shared" si="194"/>
        <v>4</v>
      </c>
      <c r="AO223" s="44" t="str">
        <f t="shared" si="195"/>
        <v>3컷원점</v>
      </c>
      <c r="AP223" s="44" t="str">
        <f t="shared" si="196"/>
        <v>4</v>
      </c>
      <c r="AQ223" s="44" t="str">
        <f t="shared" si="197"/>
        <v>4</v>
      </c>
      <c r="AR223" s="44" t="str">
        <f t="shared" si="198"/>
        <v>4</v>
      </c>
      <c r="AS223" s="44" t="str">
        <f t="shared" si="199"/>
        <v>4</v>
      </c>
      <c r="AT223" s="44" t="str">
        <f t="shared" si="200"/>
        <v>4</v>
      </c>
      <c r="AU223" s="44" t="str">
        <f t="shared" si="201"/>
        <v>4</v>
      </c>
      <c r="AV223" s="44" t="str">
        <f t="shared" si="202"/>
        <v>4</v>
      </c>
      <c r="AW223" s="44" t="str">
        <f t="shared" si="203"/>
        <v>4</v>
      </c>
      <c r="AX223" s="44" t="str">
        <f t="shared" si="204"/>
        <v>4</v>
      </c>
      <c r="AY223" s="7">
        <v>2</v>
      </c>
      <c r="AZ223" s="7">
        <v>3</v>
      </c>
      <c r="BA223" s="7">
        <v>4</v>
      </c>
    </row>
    <row r="224" spans="1:53" hidden="1" x14ac:dyDescent="0.3">
      <c r="A224" s="7">
        <v>83</v>
      </c>
      <c r="B224" s="44">
        <f t="shared" si="228"/>
        <v>1</v>
      </c>
      <c r="C224" s="44">
        <f t="shared" si="229"/>
        <v>1</v>
      </c>
      <c r="D224" s="44">
        <f t="shared" si="230"/>
        <v>1</v>
      </c>
      <c r="E224" s="44">
        <f t="shared" si="231"/>
        <v>2</v>
      </c>
      <c r="F224" s="44">
        <f t="shared" si="232"/>
        <v>2</v>
      </c>
      <c r="G224" s="44">
        <f t="shared" si="233"/>
        <v>4</v>
      </c>
      <c r="H224" s="44">
        <f t="shared" si="234"/>
        <v>4</v>
      </c>
      <c r="I224" s="44">
        <f t="shared" si="235"/>
        <v>4</v>
      </c>
      <c r="J224" s="44">
        <f t="shared" si="236"/>
        <v>3</v>
      </c>
      <c r="K224" s="44">
        <f t="shared" si="237"/>
        <v>4</v>
      </c>
      <c r="L224" s="44">
        <f t="shared" si="238"/>
        <v>4</v>
      </c>
      <c r="M224" s="44">
        <f t="shared" si="239"/>
        <v>4</v>
      </c>
      <c r="N224" s="44">
        <f t="shared" si="240"/>
        <v>4</v>
      </c>
      <c r="O224" s="44">
        <f t="shared" si="241"/>
        <v>4</v>
      </c>
      <c r="P224" s="44">
        <f t="shared" si="242"/>
        <v>4</v>
      </c>
      <c r="Q224" s="44">
        <f t="shared" si="243"/>
        <v>4</v>
      </c>
      <c r="R224" s="44">
        <f t="shared" si="244"/>
        <v>4</v>
      </c>
      <c r="S224" s="44">
        <f t="shared" si="245"/>
        <v>4</v>
      </c>
      <c r="T224" s="44">
        <f t="shared" si="246"/>
        <v>4</v>
      </c>
      <c r="U224" s="44">
        <f t="shared" si="247"/>
        <v>4</v>
      </c>
      <c r="V224" s="44">
        <f t="shared" si="248"/>
        <v>4</v>
      </c>
      <c r="W224" s="44">
        <f t="shared" si="249"/>
        <v>4</v>
      </c>
      <c r="X224" s="44">
        <f t="shared" si="250"/>
        <v>2</v>
      </c>
      <c r="Y224" s="44">
        <f t="shared" si="251"/>
        <v>3</v>
      </c>
      <c r="Z224" s="44">
        <f t="shared" si="252"/>
        <v>4</v>
      </c>
      <c r="AB224" s="7">
        <v>33</v>
      </c>
      <c r="AC224" s="44" t="str">
        <f t="shared" si="205"/>
        <v>1</v>
      </c>
      <c r="AD224" s="44" t="str">
        <f t="shared" si="206"/>
        <v>1컷원점</v>
      </c>
      <c r="AE224" s="44" t="str">
        <f t="shared" si="207"/>
        <v>1</v>
      </c>
      <c r="AF224" s="44" t="str">
        <f t="shared" si="208"/>
        <v>2</v>
      </c>
      <c r="AG224" s="44" t="str">
        <f t="shared" si="209"/>
        <v>2</v>
      </c>
      <c r="AH224" s="44" t="str">
        <f t="shared" si="188"/>
        <v>4</v>
      </c>
      <c r="AI224" s="44" t="str">
        <f t="shared" si="189"/>
        <v>4</v>
      </c>
      <c r="AJ224" s="44" t="str">
        <f t="shared" si="190"/>
        <v>4</v>
      </c>
      <c r="AK224" s="44" t="str">
        <f t="shared" si="191"/>
        <v>3컷원점</v>
      </c>
      <c r="AL224" s="44" t="str">
        <f t="shared" si="192"/>
        <v>4</v>
      </c>
      <c r="AM224" s="44" t="str">
        <f t="shared" si="193"/>
        <v>4</v>
      </c>
      <c r="AN224" s="44" t="str">
        <f t="shared" si="194"/>
        <v>4</v>
      </c>
      <c r="AO224" s="44" t="str">
        <f t="shared" si="195"/>
        <v>4</v>
      </c>
      <c r="AP224" s="44" t="str">
        <f t="shared" si="196"/>
        <v>4</v>
      </c>
      <c r="AQ224" s="44" t="str">
        <f t="shared" si="197"/>
        <v>4</v>
      </c>
      <c r="AR224" s="44" t="str">
        <f t="shared" si="198"/>
        <v>4</v>
      </c>
      <c r="AS224" s="44" t="str">
        <f t="shared" si="199"/>
        <v>4</v>
      </c>
      <c r="AT224" s="44" t="str">
        <f t="shared" si="200"/>
        <v>4</v>
      </c>
      <c r="AU224" s="44" t="str">
        <f t="shared" si="201"/>
        <v>4</v>
      </c>
      <c r="AV224" s="44" t="str">
        <f t="shared" si="202"/>
        <v>4</v>
      </c>
      <c r="AW224" s="44" t="str">
        <f t="shared" si="203"/>
        <v>4</v>
      </c>
      <c r="AX224" s="44" t="str">
        <f t="shared" si="204"/>
        <v>4</v>
      </c>
      <c r="AY224" s="7">
        <v>2</v>
      </c>
      <c r="AZ224" s="7">
        <v>3</v>
      </c>
      <c r="BA224" s="7">
        <v>4</v>
      </c>
    </row>
    <row r="225" spans="1:53" hidden="1" x14ac:dyDescent="0.3">
      <c r="A225" s="7">
        <v>82</v>
      </c>
      <c r="B225" s="44">
        <f t="shared" si="228"/>
        <v>1</v>
      </c>
      <c r="C225" s="44">
        <f t="shared" si="229"/>
        <v>2</v>
      </c>
      <c r="D225" s="44">
        <f t="shared" si="230"/>
        <v>1</v>
      </c>
      <c r="E225" s="44">
        <f t="shared" si="231"/>
        <v>2</v>
      </c>
      <c r="F225" s="44">
        <f t="shared" si="232"/>
        <v>2</v>
      </c>
      <c r="G225" s="44">
        <f t="shared" si="233"/>
        <v>4</v>
      </c>
      <c r="H225" s="44">
        <f t="shared" si="234"/>
        <v>4</v>
      </c>
      <c r="I225" s="44">
        <f t="shared" si="235"/>
        <v>4</v>
      </c>
      <c r="J225" s="44">
        <f t="shared" si="236"/>
        <v>4</v>
      </c>
      <c r="K225" s="44">
        <f t="shared" si="237"/>
        <v>4</v>
      </c>
      <c r="L225" s="44">
        <f t="shared" si="238"/>
        <v>4</v>
      </c>
      <c r="M225" s="44">
        <f t="shared" si="239"/>
        <v>4</v>
      </c>
      <c r="N225" s="44">
        <f t="shared" si="240"/>
        <v>4</v>
      </c>
      <c r="O225" s="44">
        <f t="shared" si="241"/>
        <v>4</v>
      </c>
      <c r="P225" s="44">
        <f t="shared" si="242"/>
        <v>4</v>
      </c>
      <c r="Q225" s="44">
        <f t="shared" si="243"/>
        <v>4</v>
      </c>
      <c r="R225" s="44">
        <f t="shared" si="244"/>
        <v>4</v>
      </c>
      <c r="S225" s="44">
        <f t="shared" si="245"/>
        <v>4</v>
      </c>
      <c r="T225" s="44">
        <f t="shared" si="246"/>
        <v>4</v>
      </c>
      <c r="U225" s="44">
        <f t="shared" si="247"/>
        <v>4</v>
      </c>
      <c r="V225" s="44">
        <f t="shared" si="248"/>
        <v>4</v>
      </c>
      <c r="W225" s="44">
        <f t="shared" si="249"/>
        <v>4</v>
      </c>
      <c r="X225" s="44">
        <f t="shared" si="250"/>
        <v>2</v>
      </c>
      <c r="Y225" s="44">
        <f t="shared" si="251"/>
        <v>3</v>
      </c>
      <c r="Z225" s="44">
        <f t="shared" si="252"/>
        <v>4</v>
      </c>
      <c r="AB225" s="7">
        <v>32</v>
      </c>
      <c r="AC225" s="44" t="str">
        <f t="shared" si="205"/>
        <v>1컷원점</v>
      </c>
      <c r="AD225" s="44" t="str">
        <f t="shared" si="206"/>
        <v>2</v>
      </c>
      <c r="AE225" s="44" t="str">
        <f t="shared" si="207"/>
        <v>1</v>
      </c>
      <c r="AF225" s="44" t="str">
        <f t="shared" si="208"/>
        <v>2</v>
      </c>
      <c r="AG225" s="44" t="str">
        <f t="shared" si="209"/>
        <v>2</v>
      </c>
      <c r="AH225" s="44" t="str">
        <f t="shared" si="188"/>
        <v>4</v>
      </c>
      <c r="AI225" s="44" t="str">
        <f t="shared" si="189"/>
        <v>4컷원점</v>
      </c>
      <c r="AJ225" s="44" t="str">
        <f t="shared" si="190"/>
        <v>4</v>
      </c>
      <c r="AK225" s="44" t="str">
        <f t="shared" si="191"/>
        <v>4</v>
      </c>
      <c r="AL225" s="44" t="str">
        <f t="shared" si="192"/>
        <v>4</v>
      </c>
      <c r="AM225" s="44" t="str">
        <f t="shared" si="193"/>
        <v>4</v>
      </c>
      <c r="AN225" s="44" t="str">
        <f t="shared" si="194"/>
        <v>4</v>
      </c>
      <c r="AO225" s="44" t="str">
        <f t="shared" si="195"/>
        <v>4</v>
      </c>
      <c r="AP225" s="44" t="str">
        <f t="shared" si="196"/>
        <v>4</v>
      </c>
      <c r="AQ225" s="44" t="str">
        <f t="shared" si="197"/>
        <v>4</v>
      </c>
      <c r="AR225" s="44" t="str">
        <f t="shared" si="198"/>
        <v>4</v>
      </c>
      <c r="AS225" s="44" t="str">
        <f t="shared" si="199"/>
        <v>4</v>
      </c>
      <c r="AT225" s="44" t="str">
        <f t="shared" si="200"/>
        <v>4</v>
      </c>
      <c r="AU225" s="44" t="str">
        <f t="shared" si="201"/>
        <v>4</v>
      </c>
      <c r="AV225" s="44" t="str">
        <f t="shared" si="202"/>
        <v>4</v>
      </c>
      <c r="AW225" s="44" t="str">
        <f t="shared" si="203"/>
        <v>4</v>
      </c>
      <c r="AX225" s="44" t="str">
        <f t="shared" si="204"/>
        <v>4</v>
      </c>
      <c r="AY225" s="7">
        <v>2</v>
      </c>
      <c r="AZ225" s="7">
        <v>3</v>
      </c>
      <c r="BA225" s="7">
        <v>4</v>
      </c>
    </row>
    <row r="226" spans="1:53" hidden="1" x14ac:dyDescent="0.3">
      <c r="A226" s="7">
        <v>81</v>
      </c>
      <c r="B226" s="44">
        <f t="shared" si="228"/>
        <v>2</v>
      </c>
      <c r="C226" s="44">
        <f t="shared" si="229"/>
        <v>2</v>
      </c>
      <c r="D226" s="44">
        <f t="shared" si="230"/>
        <v>1</v>
      </c>
      <c r="E226" s="44">
        <f t="shared" si="231"/>
        <v>2</v>
      </c>
      <c r="F226" s="44">
        <f t="shared" si="232"/>
        <v>2</v>
      </c>
      <c r="G226" s="44">
        <f t="shared" si="233"/>
        <v>4</v>
      </c>
      <c r="H226" s="44">
        <f t="shared" si="234"/>
        <v>5</v>
      </c>
      <c r="I226" s="44">
        <f t="shared" si="235"/>
        <v>4</v>
      </c>
      <c r="J226" s="44">
        <f t="shared" si="236"/>
        <v>4</v>
      </c>
      <c r="K226" s="44">
        <f t="shared" si="237"/>
        <v>4</v>
      </c>
      <c r="L226" s="44">
        <f t="shared" si="238"/>
        <v>4</v>
      </c>
      <c r="M226" s="44">
        <f t="shared" si="239"/>
        <v>4</v>
      </c>
      <c r="N226" s="44">
        <f t="shared" si="240"/>
        <v>4</v>
      </c>
      <c r="O226" s="44">
        <f t="shared" si="241"/>
        <v>4</v>
      </c>
      <c r="P226" s="44">
        <f t="shared" si="242"/>
        <v>4</v>
      </c>
      <c r="Q226" s="44">
        <f t="shared" si="243"/>
        <v>4</v>
      </c>
      <c r="R226" s="44">
        <f t="shared" si="244"/>
        <v>4</v>
      </c>
      <c r="S226" s="44">
        <f t="shared" si="245"/>
        <v>4</v>
      </c>
      <c r="T226" s="44">
        <f t="shared" si="246"/>
        <v>4</v>
      </c>
      <c r="U226" s="44">
        <f t="shared" si="247"/>
        <v>4</v>
      </c>
      <c r="V226" s="44">
        <f t="shared" si="248"/>
        <v>4</v>
      </c>
      <c r="W226" s="44">
        <f t="shared" si="249"/>
        <v>4</v>
      </c>
      <c r="X226" s="44">
        <f t="shared" si="250"/>
        <v>2</v>
      </c>
      <c r="Y226" s="44">
        <f t="shared" si="251"/>
        <v>3</v>
      </c>
      <c r="Z226" s="44">
        <f t="shared" si="252"/>
        <v>4</v>
      </c>
      <c r="AB226" s="7">
        <v>31</v>
      </c>
      <c r="AC226" s="44" t="str">
        <f t="shared" si="205"/>
        <v>2</v>
      </c>
      <c r="AD226" s="44" t="str">
        <f t="shared" si="206"/>
        <v>2</v>
      </c>
      <c r="AE226" s="44" t="str">
        <f t="shared" si="207"/>
        <v>1컷원점</v>
      </c>
      <c r="AF226" s="44" t="str">
        <f t="shared" si="208"/>
        <v>2</v>
      </c>
      <c r="AG226" s="44" t="str">
        <f t="shared" si="209"/>
        <v>2</v>
      </c>
      <c r="AH226" s="44" t="str">
        <f t="shared" si="188"/>
        <v>4</v>
      </c>
      <c r="AI226" s="44" t="str">
        <f t="shared" si="189"/>
        <v>5</v>
      </c>
      <c r="AJ226" s="44" t="str">
        <f t="shared" si="190"/>
        <v>4</v>
      </c>
      <c r="AK226" s="44" t="str">
        <f t="shared" si="191"/>
        <v>4</v>
      </c>
      <c r="AL226" s="44" t="str">
        <f t="shared" si="192"/>
        <v>4</v>
      </c>
      <c r="AM226" s="44" t="str">
        <f t="shared" si="193"/>
        <v>4</v>
      </c>
      <c r="AN226" s="44" t="str">
        <f t="shared" si="194"/>
        <v>4</v>
      </c>
      <c r="AO226" s="44" t="str">
        <f t="shared" si="195"/>
        <v>4</v>
      </c>
      <c r="AP226" s="44" t="str">
        <f t="shared" si="196"/>
        <v>4</v>
      </c>
      <c r="AQ226" s="44" t="str">
        <f t="shared" si="197"/>
        <v>4</v>
      </c>
      <c r="AR226" s="44" t="str">
        <f t="shared" si="198"/>
        <v>4</v>
      </c>
      <c r="AS226" s="44" t="str">
        <f t="shared" si="199"/>
        <v>4</v>
      </c>
      <c r="AT226" s="44" t="str">
        <f t="shared" si="200"/>
        <v>4</v>
      </c>
      <c r="AU226" s="44" t="str">
        <f t="shared" si="201"/>
        <v>4컷원점</v>
      </c>
      <c r="AV226" s="44" t="str">
        <f t="shared" si="202"/>
        <v>4컷원점</v>
      </c>
      <c r="AW226" s="44" t="str">
        <f t="shared" si="203"/>
        <v>4컷원점</v>
      </c>
      <c r="AX226" s="44" t="str">
        <f t="shared" si="204"/>
        <v>4컷원점</v>
      </c>
      <c r="AY226" s="7">
        <v>2</v>
      </c>
      <c r="AZ226" s="7">
        <v>3</v>
      </c>
      <c r="BA226" s="7">
        <v>4</v>
      </c>
    </row>
    <row r="227" spans="1:53" hidden="1" x14ac:dyDescent="0.3">
      <c r="A227" s="7">
        <v>80</v>
      </c>
      <c r="B227" s="44">
        <f t="shared" si="228"/>
        <v>2</v>
      </c>
      <c r="C227" s="44">
        <f t="shared" si="229"/>
        <v>2</v>
      </c>
      <c r="D227" s="44">
        <f t="shared" si="230"/>
        <v>2</v>
      </c>
      <c r="E227" s="44">
        <f t="shared" si="231"/>
        <v>2</v>
      </c>
      <c r="F227" s="44">
        <f t="shared" si="232"/>
        <v>2</v>
      </c>
      <c r="G227" s="44">
        <f t="shared" si="233"/>
        <v>4</v>
      </c>
      <c r="H227" s="44">
        <f t="shared" si="234"/>
        <v>5</v>
      </c>
      <c r="I227" s="44">
        <f t="shared" si="235"/>
        <v>4</v>
      </c>
      <c r="J227" s="44">
        <f t="shared" si="236"/>
        <v>4</v>
      </c>
      <c r="K227" s="44">
        <f t="shared" si="237"/>
        <v>4</v>
      </c>
      <c r="L227" s="44">
        <f t="shared" si="238"/>
        <v>4</v>
      </c>
      <c r="M227" s="44">
        <f t="shared" si="239"/>
        <v>4</v>
      </c>
      <c r="N227" s="44">
        <f t="shared" si="240"/>
        <v>4</v>
      </c>
      <c r="O227" s="44">
        <f t="shared" si="241"/>
        <v>4</v>
      </c>
      <c r="P227" s="44">
        <f t="shared" si="242"/>
        <v>4</v>
      </c>
      <c r="Q227" s="44">
        <f t="shared" si="243"/>
        <v>4</v>
      </c>
      <c r="R227" s="44">
        <f t="shared" si="244"/>
        <v>4</v>
      </c>
      <c r="S227" s="44">
        <f t="shared" si="245"/>
        <v>4</v>
      </c>
      <c r="T227" s="44">
        <f t="shared" si="246"/>
        <v>5</v>
      </c>
      <c r="U227" s="44">
        <f t="shared" si="247"/>
        <v>5</v>
      </c>
      <c r="V227" s="44">
        <f t="shared" si="248"/>
        <v>5</v>
      </c>
      <c r="W227" s="44">
        <f t="shared" si="249"/>
        <v>5</v>
      </c>
      <c r="X227" s="44">
        <f t="shared" si="250"/>
        <v>2</v>
      </c>
      <c r="Y227" s="44">
        <f t="shared" si="251"/>
        <v>3</v>
      </c>
      <c r="Z227" s="44">
        <f t="shared" si="252"/>
        <v>4</v>
      </c>
      <c r="AB227" s="7">
        <v>30</v>
      </c>
      <c r="AC227" s="44" t="str">
        <f t="shared" si="205"/>
        <v>2</v>
      </c>
      <c r="AD227" s="44" t="str">
        <f t="shared" si="206"/>
        <v>2</v>
      </c>
      <c r="AE227" s="44" t="str">
        <f t="shared" si="207"/>
        <v>2</v>
      </c>
      <c r="AF227" s="44" t="str">
        <f t="shared" si="208"/>
        <v>2</v>
      </c>
      <c r="AG227" s="44" t="str">
        <f t="shared" si="209"/>
        <v>2</v>
      </c>
      <c r="AH227" s="44" t="str">
        <f t="shared" si="188"/>
        <v>4</v>
      </c>
      <c r="AI227" s="44" t="str">
        <f t="shared" si="189"/>
        <v>5</v>
      </c>
      <c r="AJ227" s="44" t="str">
        <f t="shared" si="190"/>
        <v>4</v>
      </c>
      <c r="AK227" s="44" t="str">
        <f t="shared" si="191"/>
        <v>4</v>
      </c>
      <c r="AL227" s="44" t="str">
        <f t="shared" si="192"/>
        <v>4컷원점</v>
      </c>
      <c r="AM227" s="44" t="str">
        <f t="shared" si="193"/>
        <v>4컷원점</v>
      </c>
      <c r="AN227" s="44" t="str">
        <f t="shared" si="194"/>
        <v>4컷원점</v>
      </c>
      <c r="AO227" s="44" t="str">
        <f t="shared" si="195"/>
        <v>4</v>
      </c>
      <c r="AP227" s="44" t="str">
        <f t="shared" si="196"/>
        <v>4</v>
      </c>
      <c r="AQ227" s="44" t="str">
        <f t="shared" si="197"/>
        <v>4</v>
      </c>
      <c r="AR227" s="44" t="str">
        <f t="shared" si="198"/>
        <v>4</v>
      </c>
      <c r="AS227" s="44" t="str">
        <f t="shared" si="199"/>
        <v>4</v>
      </c>
      <c r="AT227" s="44" t="str">
        <f t="shared" si="200"/>
        <v>4</v>
      </c>
      <c r="AU227" s="44" t="str">
        <f t="shared" si="201"/>
        <v>5</v>
      </c>
      <c r="AV227" s="44" t="str">
        <f t="shared" si="202"/>
        <v>5</v>
      </c>
      <c r="AW227" s="44" t="str">
        <f t="shared" si="203"/>
        <v>5</v>
      </c>
      <c r="AX227" s="44" t="str">
        <f t="shared" si="204"/>
        <v>5</v>
      </c>
      <c r="AY227" s="7">
        <v>2</v>
      </c>
      <c r="AZ227" s="7">
        <v>3</v>
      </c>
      <c r="BA227" s="7">
        <v>4</v>
      </c>
    </row>
    <row r="228" spans="1:53" hidden="1" x14ac:dyDescent="0.3">
      <c r="A228" s="7">
        <v>79</v>
      </c>
      <c r="B228" s="44">
        <f t="shared" si="228"/>
        <v>2</v>
      </c>
      <c r="C228" s="44">
        <f t="shared" si="229"/>
        <v>2</v>
      </c>
      <c r="D228" s="44">
        <f t="shared" si="230"/>
        <v>2</v>
      </c>
      <c r="E228" s="44">
        <f t="shared" si="231"/>
        <v>2</v>
      </c>
      <c r="F228" s="44">
        <f t="shared" si="232"/>
        <v>2</v>
      </c>
      <c r="G228" s="44">
        <f t="shared" si="233"/>
        <v>4</v>
      </c>
      <c r="H228" s="44">
        <f t="shared" si="234"/>
        <v>5</v>
      </c>
      <c r="I228" s="44">
        <f t="shared" si="235"/>
        <v>4</v>
      </c>
      <c r="J228" s="44">
        <f t="shared" si="236"/>
        <v>4</v>
      </c>
      <c r="K228" s="44">
        <f t="shared" si="237"/>
        <v>5</v>
      </c>
      <c r="L228" s="44">
        <f t="shared" si="238"/>
        <v>5</v>
      </c>
      <c r="M228" s="44">
        <f t="shared" si="239"/>
        <v>5</v>
      </c>
      <c r="N228" s="44">
        <f t="shared" si="240"/>
        <v>4</v>
      </c>
      <c r="O228" s="44">
        <f t="shared" si="241"/>
        <v>4</v>
      </c>
      <c r="P228" s="44">
        <f t="shared" si="242"/>
        <v>4</v>
      </c>
      <c r="Q228" s="44">
        <f t="shared" si="243"/>
        <v>4</v>
      </c>
      <c r="R228" s="44">
        <f t="shared" si="244"/>
        <v>4</v>
      </c>
      <c r="S228" s="44">
        <f t="shared" si="245"/>
        <v>4</v>
      </c>
      <c r="T228" s="44">
        <f t="shared" si="246"/>
        <v>5</v>
      </c>
      <c r="U228" s="44">
        <f t="shared" si="247"/>
        <v>5</v>
      </c>
      <c r="V228" s="44">
        <f t="shared" si="248"/>
        <v>5</v>
      </c>
      <c r="W228" s="44">
        <f t="shared" si="249"/>
        <v>5</v>
      </c>
      <c r="X228" s="44">
        <f t="shared" si="250"/>
        <v>3</v>
      </c>
      <c r="Y228" s="44">
        <f t="shared" si="251"/>
        <v>4</v>
      </c>
      <c r="Z228" s="44">
        <f t="shared" si="252"/>
        <v>5</v>
      </c>
      <c r="AB228" s="7">
        <v>29</v>
      </c>
      <c r="AC228" s="44" t="str">
        <f t="shared" si="205"/>
        <v>2</v>
      </c>
      <c r="AD228" s="44" t="str">
        <f t="shared" si="206"/>
        <v>2</v>
      </c>
      <c r="AE228" s="44" t="str">
        <f t="shared" si="207"/>
        <v>2</v>
      </c>
      <c r="AF228" s="44" t="str">
        <f t="shared" si="208"/>
        <v>2</v>
      </c>
      <c r="AG228" s="44" t="str">
        <f t="shared" si="209"/>
        <v>2</v>
      </c>
      <c r="AH228" s="44" t="str">
        <f t="shared" si="188"/>
        <v>4컷원점</v>
      </c>
      <c r="AI228" s="44" t="str">
        <f t="shared" si="189"/>
        <v>5</v>
      </c>
      <c r="AJ228" s="44" t="str">
        <f t="shared" si="190"/>
        <v>4</v>
      </c>
      <c r="AK228" s="44" t="str">
        <f t="shared" si="191"/>
        <v>4</v>
      </c>
      <c r="AL228" s="44" t="str">
        <f t="shared" si="192"/>
        <v>5</v>
      </c>
      <c r="AM228" s="44" t="str">
        <f t="shared" si="193"/>
        <v>5</v>
      </c>
      <c r="AN228" s="44" t="str">
        <f t="shared" si="194"/>
        <v>5</v>
      </c>
      <c r="AO228" s="44" t="str">
        <f t="shared" si="195"/>
        <v>4</v>
      </c>
      <c r="AP228" s="44" t="str">
        <f t="shared" si="196"/>
        <v>4</v>
      </c>
      <c r="AQ228" s="44" t="str">
        <f t="shared" si="197"/>
        <v>4</v>
      </c>
      <c r="AR228" s="44" t="str">
        <f t="shared" si="198"/>
        <v>4</v>
      </c>
      <c r="AS228" s="44" t="str">
        <f t="shared" si="199"/>
        <v>4</v>
      </c>
      <c r="AT228" s="44" t="str">
        <f t="shared" si="200"/>
        <v>4</v>
      </c>
      <c r="AU228" s="44" t="str">
        <f t="shared" si="201"/>
        <v>5</v>
      </c>
      <c r="AV228" s="44" t="str">
        <f t="shared" si="202"/>
        <v>5</v>
      </c>
      <c r="AW228" s="44" t="str">
        <f t="shared" si="203"/>
        <v>5</v>
      </c>
      <c r="AX228" s="44" t="str">
        <f t="shared" si="204"/>
        <v>5</v>
      </c>
      <c r="AY228" s="7">
        <v>3</v>
      </c>
      <c r="AZ228" s="7">
        <v>4</v>
      </c>
      <c r="BA228" s="7">
        <v>5</v>
      </c>
    </row>
    <row r="229" spans="1:53" hidden="1" x14ac:dyDescent="0.3">
      <c r="A229" s="7">
        <v>78</v>
      </c>
      <c r="B229" s="44">
        <f t="shared" si="228"/>
        <v>2</v>
      </c>
      <c r="C229" s="44">
        <f t="shared" si="229"/>
        <v>2</v>
      </c>
      <c r="D229" s="44">
        <f t="shared" si="230"/>
        <v>2</v>
      </c>
      <c r="E229" s="44">
        <f t="shared" si="231"/>
        <v>2</v>
      </c>
      <c r="F229" s="44">
        <f t="shared" si="232"/>
        <v>2</v>
      </c>
      <c r="G229" s="44">
        <f t="shared" si="233"/>
        <v>5</v>
      </c>
      <c r="H229" s="44">
        <f t="shared" si="234"/>
        <v>5</v>
      </c>
      <c r="I229" s="44">
        <f t="shared" si="235"/>
        <v>4</v>
      </c>
      <c r="J229" s="44">
        <f t="shared" si="236"/>
        <v>4</v>
      </c>
      <c r="K229" s="44">
        <f t="shared" si="237"/>
        <v>5</v>
      </c>
      <c r="L229" s="44">
        <f t="shared" si="238"/>
        <v>5</v>
      </c>
      <c r="M229" s="44">
        <f t="shared" si="239"/>
        <v>5</v>
      </c>
      <c r="N229" s="44">
        <f t="shared" si="240"/>
        <v>4</v>
      </c>
      <c r="O229" s="44">
        <f t="shared" si="241"/>
        <v>4</v>
      </c>
      <c r="P229" s="44">
        <f t="shared" si="242"/>
        <v>4</v>
      </c>
      <c r="Q229" s="44">
        <f t="shared" si="243"/>
        <v>4</v>
      </c>
      <c r="R229" s="44">
        <f t="shared" si="244"/>
        <v>4</v>
      </c>
      <c r="S229" s="44">
        <f t="shared" si="245"/>
        <v>4</v>
      </c>
      <c r="T229" s="44">
        <f t="shared" si="246"/>
        <v>5</v>
      </c>
      <c r="U229" s="44">
        <f t="shared" si="247"/>
        <v>5</v>
      </c>
      <c r="V229" s="44">
        <f t="shared" si="248"/>
        <v>5</v>
      </c>
      <c r="W229" s="44">
        <f t="shared" si="249"/>
        <v>5</v>
      </c>
      <c r="X229" s="44">
        <f t="shared" si="250"/>
        <v>3</v>
      </c>
      <c r="Y229" s="44">
        <f t="shared" si="251"/>
        <v>4</v>
      </c>
      <c r="Z229" s="44">
        <f t="shared" si="252"/>
        <v>5</v>
      </c>
      <c r="AB229" s="7">
        <v>28</v>
      </c>
      <c r="AC229" s="44" t="str">
        <f t="shared" si="205"/>
        <v>2</v>
      </c>
      <c r="AD229" s="44" t="str">
        <f t="shared" si="206"/>
        <v>2</v>
      </c>
      <c r="AE229" s="44" t="str">
        <f t="shared" si="207"/>
        <v>2</v>
      </c>
      <c r="AF229" s="44" t="str">
        <f t="shared" si="208"/>
        <v>2</v>
      </c>
      <c r="AG229" s="44" t="str">
        <f t="shared" si="209"/>
        <v>2</v>
      </c>
      <c r="AH229" s="44" t="str">
        <f t="shared" si="188"/>
        <v>5</v>
      </c>
      <c r="AI229" s="44" t="str">
        <f t="shared" si="189"/>
        <v>5</v>
      </c>
      <c r="AJ229" s="44" t="str">
        <f t="shared" si="190"/>
        <v>4컷원점</v>
      </c>
      <c r="AK229" s="44" t="str">
        <f t="shared" si="191"/>
        <v>4컷원점</v>
      </c>
      <c r="AL229" s="44" t="str">
        <f t="shared" si="192"/>
        <v>5</v>
      </c>
      <c r="AM229" s="44" t="str">
        <f t="shared" si="193"/>
        <v>5</v>
      </c>
      <c r="AN229" s="44" t="str">
        <f t="shared" si="194"/>
        <v>5</v>
      </c>
      <c r="AO229" s="44" t="str">
        <f t="shared" si="195"/>
        <v>4</v>
      </c>
      <c r="AP229" s="44" t="str">
        <f t="shared" si="196"/>
        <v>4컷원점</v>
      </c>
      <c r="AQ229" s="44" t="str">
        <f t="shared" si="197"/>
        <v>4컷원점</v>
      </c>
      <c r="AR229" s="44" t="str">
        <f t="shared" si="198"/>
        <v>4컷원점</v>
      </c>
      <c r="AS229" s="44" t="str">
        <f t="shared" si="199"/>
        <v>4컷원점</v>
      </c>
      <c r="AT229" s="44" t="str">
        <f t="shared" si="200"/>
        <v>4컷원점</v>
      </c>
      <c r="AU229" s="44" t="str">
        <f t="shared" si="201"/>
        <v>5</v>
      </c>
      <c r="AV229" s="44" t="str">
        <f t="shared" si="202"/>
        <v>5</v>
      </c>
      <c r="AW229" s="44" t="str">
        <f t="shared" si="203"/>
        <v>5</v>
      </c>
      <c r="AX229" s="44" t="str">
        <f t="shared" si="204"/>
        <v>5</v>
      </c>
      <c r="AY229" s="7">
        <v>3</v>
      </c>
      <c r="AZ229" s="7">
        <v>4</v>
      </c>
      <c r="BA229" s="7">
        <v>5</v>
      </c>
    </row>
    <row r="230" spans="1:53" hidden="1" x14ac:dyDescent="0.3">
      <c r="A230" s="7">
        <v>77</v>
      </c>
      <c r="B230" s="44">
        <f t="shared" si="228"/>
        <v>2</v>
      </c>
      <c r="C230" s="44">
        <f t="shared" si="229"/>
        <v>2</v>
      </c>
      <c r="D230" s="44">
        <f t="shared" si="230"/>
        <v>2</v>
      </c>
      <c r="E230" s="44">
        <f t="shared" si="231"/>
        <v>2</v>
      </c>
      <c r="F230" s="44">
        <f t="shared" si="232"/>
        <v>2</v>
      </c>
      <c r="G230" s="44">
        <f t="shared" si="233"/>
        <v>5</v>
      </c>
      <c r="H230" s="44">
        <f t="shared" si="234"/>
        <v>5</v>
      </c>
      <c r="I230" s="44">
        <f t="shared" si="235"/>
        <v>5</v>
      </c>
      <c r="J230" s="44">
        <f t="shared" si="236"/>
        <v>5</v>
      </c>
      <c r="K230" s="44">
        <f t="shared" si="237"/>
        <v>5</v>
      </c>
      <c r="L230" s="44">
        <f t="shared" si="238"/>
        <v>5</v>
      </c>
      <c r="M230" s="44">
        <f t="shared" si="239"/>
        <v>5</v>
      </c>
      <c r="N230" s="44">
        <f t="shared" si="240"/>
        <v>4</v>
      </c>
      <c r="O230" s="44">
        <f t="shared" si="241"/>
        <v>5</v>
      </c>
      <c r="P230" s="44">
        <f t="shared" si="242"/>
        <v>5</v>
      </c>
      <c r="Q230" s="44">
        <f t="shared" si="243"/>
        <v>5</v>
      </c>
      <c r="R230" s="44">
        <f t="shared" si="244"/>
        <v>5</v>
      </c>
      <c r="S230" s="44">
        <f t="shared" si="245"/>
        <v>5</v>
      </c>
      <c r="T230" s="44">
        <f t="shared" si="246"/>
        <v>5</v>
      </c>
      <c r="U230" s="44">
        <f t="shared" si="247"/>
        <v>5</v>
      </c>
      <c r="V230" s="44">
        <f t="shared" si="248"/>
        <v>5</v>
      </c>
      <c r="W230" s="44">
        <f t="shared" si="249"/>
        <v>5</v>
      </c>
      <c r="X230" s="44">
        <f t="shared" si="250"/>
        <v>3</v>
      </c>
      <c r="Y230" s="44">
        <f t="shared" si="251"/>
        <v>4</v>
      </c>
      <c r="Z230" s="44">
        <f t="shared" si="252"/>
        <v>5</v>
      </c>
      <c r="AB230" s="7">
        <v>27</v>
      </c>
      <c r="AC230" s="44" t="str">
        <f t="shared" si="205"/>
        <v>2</v>
      </c>
      <c r="AD230" s="44" t="str">
        <f t="shared" si="206"/>
        <v>2</v>
      </c>
      <c r="AE230" s="44" t="str">
        <f t="shared" si="207"/>
        <v>2</v>
      </c>
      <c r="AF230" s="44" t="str">
        <f t="shared" si="208"/>
        <v>2</v>
      </c>
      <c r="AG230" s="44" t="str">
        <f t="shared" si="209"/>
        <v>2</v>
      </c>
      <c r="AH230" s="44" t="str">
        <f t="shared" si="188"/>
        <v>5</v>
      </c>
      <c r="AI230" s="44" t="str">
        <f t="shared" si="189"/>
        <v>5</v>
      </c>
      <c r="AJ230" s="44" t="str">
        <f t="shared" si="190"/>
        <v>5</v>
      </c>
      <c r="AK230" s="44" t="str">
        <f t="shared" si="191"/>
        <v>5</v>
      </c>
      <c r="AL230" s="44" t="str">
        <f t="shared" si="192"/>
        <v>5</v>
      </c>
      <c r="AM230" s="44" t="str">
        <f t="shared" si="193"/>
        <v>5</v>
      </c>
      <c r="AN230" s="44" t="str">
        <f t="shared" si="194"/>
        <v>5</v>
      </c>
      <c r="AO230" s="44" t="str">
        <f t="shared" si="195"/>
        <v>4</v>
      </c>
      <c r="AP230" s="44" t="str">
        <f t="shared" si="196"/>
        <v>5</v>
      </c>
      <c r="AQ230" s="44" t="str">
        <f t="shared" si="197"/>
        <v>5</v>
      </c>
      <c r="AR230" s="44" t="str">
        <f t="shared" si="198"/>
        <v>5</v>
      </c>
      <c r="AS230" s="44" t="str">
        <f t="shared" si="199"/>
        <v>5</v>
      </c>
      <c r="AT230" s="44" t="str">
        <f t="shared" si="200"/>
        <v>5</v>
      </c>
      <c r="AU230" s="44" t="str">
        <f t="shared" si="201"/>
        <v>5</v>
      </c>
      <c r="AV230" s="44" t="str">
        <f t="shared" si="202"/>
        <v>5</v>
      </c>
      <c r="AW230" s="44" t="str">
        <f t="shared" si="203"/>
        <v>5</v>
      </c>
      <c r="AX230" s="44" t="str">
        <f t="shared" si="204"/>
        <v>5</v>
      </c>
      <c r="AY230" s="7">
        <v>3</v>
      </c>
      <c r="AZ230" s="7">
        <v>4</v>
      </c>
      <c r="BA230" s="7">
        <v>5</v>
      </c>
    </row>
    <row r="231" spans="1:53" hidden="1" x14ac:dyDescent="0.3">
      <c r="A231" s="7">
        <v>76</v>
      </c>
      <c r="B231" s="44">
        <f t="shared" si="228"/>
        <v>2</v>
      </c>
      <c r="C231" s="44">
        <f t="shared" si="229"/>
        <v>2</v>
      </c>
      <c r="D231" s="44">
        <f t="shared" si="230"/>
        <v>2</v>
      </c>
      <c r="E231" s="44">
        <f t="shared" si="231"/>
        <v>2</v>
      </c>
      <c r="F231" s="44">
        <f t="shared" si="232"/>
        <v>2</v>
      </c>
      <c r="G231" s="44">
        <f t="shared" si="233"/>
        <v>5</v>
      </c>
      <c r="H231" s="44">
        <f t="shared" si="234"/>
        <v>5</v>
      </c>
      <c r="I231" s="44">
        <f t="shared" si="235"/>
        <v>5</v>
      </c>
      <c r="J231" s="44">
        <f t="shared" si="236"/>
        <v>5</v>
      </c>
      <c r="K231" s="44">
        <f t="shared" si="237"/>
        <v>5</v>
      </c>
      <c r="L231" s="44">
        <f t="shared" si="238"/>
        <v>5</v>
      </c>
      <c r="M231" s="44">
        <f t="shared" si="239"/>
        <v>5</v>
      </c>
      <c r="N231" s="44">
        <f t="shared" si="240"/>
        <v>4</v>
      </c>
      <c r="O231" s="44">
        <f t="shared" si="241"/>
        <v>5</v>
      </c>
      <c r="P231" s="44">
        <f t="shared" si="242"/>
        <v>5</v>
      </c>
      <c r="Q231" s="44">
        <f t="shared" si="243"/>
        <v>5</v>
      </c>
      <c r="R231" s="44">
        <f t="shared" si="244"/>
        <v>5</v>
      </c>
      <c r="S231" s="44">
        <f t="shared" si="245"/>
        <v>5</v>
      </c>
      <c r="T231" s="44">
        <f t="shared" si="246"/>
        <v>5</v>
      </c>
      <c r="U231" s="44">
        <f t="shared" si="247"/>
        <v>5</v>
      </c>
      <c r="V231" s="44">
        <f t="shared" si="248"/>
        <v>5</v>
      </c>
      <c r="W231" s="44">
        <f t="shared" si="249"/>
        <v>5</v>
      </c>
      <c r="X231" s="44">
        <f t="shared" si="250"/>
        <v>3</v>
      </c>
      <c r="Y231" s="44">
        <f t="shared" si="251"/>
        <v>4</v>
      </c>
      <c r="Z231" s="44">
        <f t="shared" si="252"/>
        <v>5</v>
      </c>
      <c r="AB231" s="7">
        <v>26</v>
      </c>
      <c r="AC231" s="44" t="str">
        <f t="shared" si="205"/>
        <v>2</v>
      </c>
      <c r="AD231" s="44" t="str">
        <f t="shared" si="206"/>
        <v>2컷원점</v>
      </c>
      <c r="AE231" s="44" t="str">
        <f t="shared" si="207"/>
        <v>2</v>
      </c>
      <c r="AF231" s="44" t="str">
        <f t="shared" si="208"/>
        <v>2</v>
      </c>
      <c r="AG231" s="44" t="str">
        <f t="shared" si="209"/>
        <v>2</v>
      </c>
      <c r="AH231" s="44" t="str">
        <f t="shared" si="188"/>
        <v>5</v>
      </c>
      <c r="AI231" s="44" t="str">
        <f t="shared" si="189"/>
        <v>5</v>
      </c>
      <c r="AJ231" s="44" t="str">
        <f t="shared" si="190"/>
        <v>5</v>
      </c>
      <c r="AK231" s="44" t="str">
        <f t="shared" si="191"/>
        <v>5</v>
      </c>
      <c r="AL231" s="44" t="str">
        <f t="shared" si="192"/>
        <v>5</v>
      </c>
      <c r="AM231" s="44" t="str">
        <f t="shared" si="193"/>
        <v>5</v>
      </c>
      <c r="AN231" s="44" t="str">
        <f t="shared" si="194"/>
        <v>5</v>
      </c>
      <c r="AO231" s="44" t="str">
        <f t="shared" si="195"/>
        <v>4</v>
      </c>
      <c r="AP231" s="44" t="str">
        <f t="shared" si="196"/>
        <v>5</v>
      </c>
      <c r="AQ231" s="44" t="str">
        <f t="shared" si="197"/>
        <v>5</v>
      </c>
      <c r="AR231" s="44" t="str">
        <f t="shared" si="198"/>
        <v>5</v>
      </c>
      <c r="AS231" s="44" t="str">
        <f t="shared" si="199"/>
        <v>5</v>
      </c>
      <c r="AT231" s="44" t="str">
        <f t="shared" si="200"/>
        <v>5</v>
      </c>
      <c r="AU231" s="44" t="str">
        <f t="shared" si="201"/>
        <v>5</v>
      </c>
      <c r="AV231" s="44" t="str">
        <f t="shared" si="202"/>
        <v>5</v>
      </c>
      <c r="AW231" s="44" t="str">
        <f t="shared" si="203"/>
        <v>5</v>
      </c>
      <c r="AX231" s="44" t="str">
        <f t="shared" si="204"/>
        <v>5</v>
      </c>
      <c r="AY231" s="7">
        <v>3</v>
      </c>
      <c r="AZ231" s="7">
        <v>4</v>
      </c>
      <c r="BA231" s="7">
        <v>5</v>
      </c>
    </row>
    <row r="232" spans="1:53" hidden="1" x14ac:dyDescent="0.3">
      <c r="A232" s="7">
        <v>75</v>
      </c>
      <c r="B232" s="44">
        <f t="shared" si="228"/>
        <v>2</v>
      </c>
      <c r="C232" s="44">
        <f t="shared" si="229"/>
        <v>3</v>
      </c>
      <c r="D232" s="44">
        <f t="shared" si="230"/>
        <v>2</v>
      </c>
      <c r="E232" s="44">
        <f t="shared" si="231"/>
        <v>2</v>
      </c>
      <c r="F232" s="44">
        <f t="shared" si="232"/>
        <v>2</v>
      </c>
      <c r="G232" s="44">
        <f t="shared" si="233"/>
        <v>5</v>
      </c>
      <c r="H232" s="44">
        <f t="shared" si="234"/>
        <v>5</v>
      </c>
      <c r="I232" s="44">
        <f t="shared" si="235"/>
        <v>5</v>
      </c>
      <c r="J232" s="44">
        <f t="shared" si="236"/>
        <v>5</v>
      </c>
      <c r="K232" s="44">
        <f t="shared" si="237"/>
        <v>5</v>
      </c>
      <c r="L232" s="44">
        <f t="shared" si="238"/>
        <v>5</v>
      </c>
      <c r="M232" s="44">
        <f t="shared" si="239"/>
        <v>5</v>
      </c>
      <c r="N232" s="44">
        <f t="shared" si="240"/>
        <v>4</v>
      </c>
      <c r="O232" s="44">
        <f t="shared" si="241"/>
        <v>5</v>
      </c>
      <c r="P232" s="44">
        <f t="shared" si="242"/>
        <v>5</v>
      </c>
      <c r="Q232" s="44">
        <f t="shared" si="243"/>
        <v>5</v>
      </c>
      <c r="R232" s="44">
        <f t="shared" si="244"/>
        <v>5</v>
      </c>
      <c r="S232" s="44">
        <f t="shared" si="245"/>
        <v>5</v>
      </c>
      <c r="T232" s="44">
        <f t="shared" si="246"/>
        <v>5</v>
      </c>
      <c r="U232" s="44">
        <f t="shared" si="247"/>
        <v>5</v>
      </c>
      <c r="V232" s="44">
        <f t="shared" si="248"/>
        <v>5</v>
      </c>
      <c r="W232" s="44">
        <f t="shared" si="249"/>
        <v>5</v>
      </c>
      <c r="X232" s="44">
        <f t="shared" si="250"/>
        <v>3</v>
      </c>
      <c r="Y232" s="44">
        <f t="shared" si="251"/>
        <v>4</v>
      </c>
      <c r="Z232" s="44">
        <f t="shared" si="252"/>
        <v>5</v>
      </c>
      <c r="AB232" s="7">
        <v>25</v>
      </c>
      <c r="AC232" s="44" t="str">
        <f t="shared" si="205"/>
        <v>2컷원점</v>
      </c>
      <c r="AD232" s="44" t="str">
        <f t="shared" si="206"/>
        <v>3</v>
      </c>
      <c r="AE232" s="44" t="str">
        <f t="shared" si="207"/>
        <v>2</v>
      </c>
      <c r="AF232" s="44" t="str">
        <f t="shared" si="208"/>
        <v>2</v>
      </c>
      <c r="AG232" s="44" t="str">
        <f t="shared" si="209"/>
        <v>2컷원점</v>
      </c>
      <c r="AH232" s="44" t="str">
        <f t="shared" si="188"/>
        <v>5</v>
      </c>
      <c r="AI232" s="44" t="str">
        <f t="shared" si="189"/>
        <v>5</v>
      </c>
      <c r="AJ232" s="44" t="str">
        <f t="shared" si="190"/>
        <v>5</v>
      </c>
      <c r="AK232" s="44" t="str">
        <f t="shared" si="191"/>
        <v>5</v>
      </c>
      <c r="AL232" s="44" t="str">
        <f t="shared" si="192"/>
        <v>5</v>
      </c>
      <c r="AM232" s="44" t="str">
        <f t="shared" si="193"/>
        <v>5</v>
      </c>
      <c r="AN232" s="44" t="str">
        <f t="shared" si="194"/>
        <v>5</v>
      </c>
      <c r="AO232" s="44" t="str">
        <f t="shared" si="195"/>
        <v>4</v>
      </c>
      <c r="AP232" s="44" t="str">
        <f t="shared" si="196"/>
        <v>5</v>
      </c>
      <c r="AQ232" s="44" t="str">
        <f t="shared" si="197"/>
        <v>5</v>
      </c>
      <c r="AR232" s="44" t="str">
        <f t="shared" si="198"/>
        <v>5</v>
      </c>
      <c r="AS232" s="44" t="str">
        <f t="shared" si="199"/>
        <v>5</v>
      </c>
      <c r="AT232" s="44" t="str">
        <f t="shared" si="200"/>
        <v>5</v>
      </c>
      <c r="AU232" s="44" t="str">
        <f t="shared" si="201"/>
        <v>5</v>
      </c>
      <c r="AV232" s="44" t="str">
        <f t="shared" si="202"/>
        <v>5</v>
      </c>
      <c r="AW232" s="44" t="str">
        <f t="shared" si="203"/>
        <v>5</v>
      </c>
      <c r="AX232" s="44" t="str">
        <f t="shared" si="204"/>
        <v>5</v>
      </c>
      <c r="AY232" s="7">
        <v>3</v>
      </c>
      <c r="AZ232" s="7">
        <v>4</v>
      </c>
      <c r="BA232" s="7">
        <v>5</v>
      </c>
    </row>
    <row r="233" spans="1:53" hidden="1" x14ac:dyDescent="0.3">
      <c r="A233" s="7">
        <v>74</v>
      </c>
      <c r="B233" s="44">
        <f t="shared" si="228"/>
        <v>3</v>
      </c>
      <c r="C233" s="44">
        <f t="shared" si="229"/>
        <v>3</v>
      </c>
      <c r="D233" s="44">
        <f t="shared" si="230"/>
        <v>2</v>
      </c>
      <c r="E233" s="44">
        <f t="shared" si="231"/>
        <v>2</v>
      </c>
      <c r="F233" s="44">
        <f t="shared" si="232"/>
        <v>3</v>
      </c>
      <c r="G233" s="44">
        <f t="shared" si="233"/>
        <v>5</v>
      </c>
      <c r="H233" s="44">
        <f t="shared" si="234"/>
        <v>5</v>
      </c>
      <c r="I233" s="44">
        <f t="shared" si="235"/>
        <v>5</v>
      </c>
      <c r="J233" s="44">
        <f t="shared" si="236"/>
        <v>5</v>
      </c>
      <c r="K233" s="44">
        <f t="shared" si="237"/>
        <v>5</v>
      </c>
      <c r="L233" s="44">
        <f t="shared" si="238"/>
        <v>5</v>
      </c>
      <c r="M233" s="44">
        <f t="shared" si="239"/>
        <v>5</v>
      </c>
      <c r="N233" s="44">
        <f t="shared" si="240"/>
        <v>4</v>
      </c>
      <c r="O233" s="44">
        <f t="shared" si="241"/>
        <v>5</v>
      </c>
      <c r="P233" s="44">
        <f t="shared" si="242"/>
        <v>5</v>
      </c>
      <c r="Q233" s="44">
        <f t="shared" si="243"/>
        <v>5</v>
      </c>
      <c r="R233" s="44">
        <f t="shared" si="244"/>
        <v>5</v>
      </c>
      <c r="S233" s="44">
        <f t="shared" si="245"/>
        <v>5</v>
      </c>
      <c r="T233" s="44">
        <f t="shared" si="246"/>
        <v>5</v>
      </c>
      <c r="U233" s="44">
        <f t="shared" si="247"/>
        <v>5</v>
      </c>
      <c r="V233" s="44">
        <f t="shared" si="248"/>
        <v>5</v>
      </c>
      <c r="W233" s="44">
        <f t="shared" si="249"/>
        <v>5</v>
      </c>
      <c r="X233" s="44">
        <f t="shared" si="250"/>
        <v>3</v>
      </c>
      <c r="Y233" s="44">
        <f t="shared" si="251"/>
        <v>5</v>
      </c>
      <c r="Z233" s="44">
        <f t="shared" si="252"/>
        <v>6</v>
      </c>
      <c r="AB233" s="7">
        <v>24</v>
      </c>
      <c r="AC233" s="44" t="str">
        <f t="shared" si="205"/>
        <v>3</v>
      </c>
      <c r="AD233" s="44" t="str">
        <f t="shared" si="206"/>
        <v>3</v>
      </c>
      <c r="AE233" s="44" t="str">
        <f t="shared" si="207"/>
        <v>2</v>
      </c>
      <c r="AF233" s="44" t="str">
        <f t="shared" si="208"/>
        <v>2컷원점</v>
      </c>
      <c r="AG233" s="44" t="str">
        <f t="shared" si="209"/>
        <v>3</v>
      </c>
      <c r="AH233" s="44" t="str">
        <f t="shared" si="188"/>
        <v>5</v>
      </c>
      <c r="AI233" s="44" t="str">
        <f t="shared" si="189"/>
        <v>5</v>
      </c>
      <c r="AJ233" s="44" t="str">
        <f t="shared" si="190"/>
        <v>5</v>
      </c>
      <c r="AK233" s="44" t="str">
        <f t="shared" si="191"/>
        <v>5</v>
      </c>
      <c r="AL233" s="44" t="str">
        <f t="shared" si="192"/>
        <v>5</v>
      </c>
      <c r="AM233" s="44" t="str">
        <f t="shared" si="193"/>
        <v>5</v>
      </c>
      <c r="AN233" s="44" t="str">
        <f t="shared" si="194"/>
        <v>5</v>
      </c>
      <c r="AO233" s="44" t="str">
        <f t="shared" si="195"/>
        <v>4컷원점</v>
      </c>
      <c r="AP233" s="44" t="str">
        <f t="shared" si="196"/>
        <v>5</v>
      </c>
      <c r="AQ233" s="44" t="str">
        <f t="shared" si="197"/>
        <v>5</v>
      </c>
      <c r="AR233" s="44" t="str">
        <f t="shared" si="198"/>
        <v>5</v>
      </c>
      <c r="AS233" s="44" t="str">
        <f t="shared" si="199"/>
        <v>5</v>
      </c>
      <c r="AT233" s="44" t="str">
        <f t="shared" si="200"/>
        <v>5</v>
      </c>
      <c r="AU233" s="44" t="str">
        <f t="shared" si="201"/>
        <v>5</v>
      </c>
      <c r="AV233" s="44" t="str">
        <f t="shared" si="202"/>
        <v>5</v>
      </c>
      <c r="AW233" s="44" t="str">
        <f t="shared" si="203"/>
        <v>5</v>
      </c>
      <c r="AX233" s="44" t="str">
        <f t="shared" si="204"/>
        <v>5</v>
      </c>
      <c r="AY233" s="7">
        <v>3</v>
      </c>
      <c r="AZ233" s="7">
        <v>5</v>
      </c>
      <c r="BA233" s="7">
        <v>6</v>
      </c>
    </row>
    <row r="234" spans="1:53" hidden="1" x14ac:dyDescent="0.3">
      <c r="A234" s="7">
        <v>73</v>
      </c>
      <c r="B234" s="44">
        <f t="shared" si="228"/>
        <v>3</v>
      </c>
      <c r="C234" s="44">
        <f t="shared" si="229"/>
        <v>3</v>
      </c>
      <c r="D234" s="44">
        <f t="shared" si="230"/>
        <v>2</v>
      </c>
      <c r="E234" s="44">
        <f t="shared" si="231"/>
        <v>3</v>
      </c>
      <c r="F234" s="44">
        <f t="shared" si="232"/>
        <v>3</v>
      </c>
      <c r="G234" s="44">
        <f t="shared" si="233"/>
        <v>5</v>
      </c>
      <c r="H234" s="44">
        <f t="shared" si="234"/>
        <v>5</v>
      </c>
      <c r="I234" s="44">
        <f t="shared" si="235"/>
        <v>5</v>
      </c>
      <c r="J234" s="44">
        <f t="shared" si="236"/>
        <v>5</v>
      </c>
      <c r="K234" s="44">
        <f t="shared" si="237"/>
        <v>5</v>
      </c>
      <c r="L234" s="44">
        <f t="shared" si="238"/>
        <v>5</v>
      </c>
      <c r="M234" s="44">
        <f t="shared" si="239"/>
        <v>5</v>
      </c>
      <c r="N234" s="44">
        <f t="shared" si="240"/>
        <v>5</v>
      </c>
      <c r="O234" s="44">
        <f t="shared" si="241"/>
        <v>5</v>
      </c>
      <c r="P234" s="44">
        <f t="shared" si="242"/>
        <v>5</v>
      </c>
      <c r="Q234" s="44">
        <f t="shared" si="243"/>
        <v>5</v>
      </c>
      <c r="R234" s="44">
        <f t="shared" si="244"/>
        <v>5</v>
      </c>
      <c r="S234" s="44">
        <f t="shared" si="245"/>
        <v>5</v>
      </c>
      <c r="T234" s="44">
        <f t="shared" si="246"/>
        <v>5</v>
      </c>
      <c r="U234" s="44">
        <f t="shared" si="247"/>
        <v>5</v>
      </c>
      <c r="V234" s="44">
        <f t="shared" si="248"/>
        <v>5</v>
      </c>
      <c r="W234" s="44">
        <f t="shared" si="249"/>
        <v>5</v>
      </c>
      <c r="X234" s="44">
        <f t="shared" si="250"/>
        <v>3</v>
      </c>
      <c r="Y234" s="44">
        <f t="shared" si="251"/>
        <v>5</v>
      </c>
      <c r="Z234" s="44">
        <f t="shared" si="252"/>
        <v>6</v>
      </c>
      <c r="AB234" s="7">
        <v>23</v>
      </c>
      <c r="AC234" s="44" t="str">
        <f t="shared" si="205"/>
        <v>3</v>
      </c>
      <c r="AD234" s="44" t="str">
        <f t="shared" si="206"/>
        <v>3</v>
      </c>
      <c r="AE234" s="44" t="str">
        <f t="shared" si="207"/>
        <v>2</v>
      </c>
      <c r="AF234" s="44" t="str">
        <f t="shared" si="208"/>
        <v>3</v>
      </c>
      <c r="AG234" s="44" t="str">
        <f t="shared" si="209"/>
        <v>3</v>
      </c>
      <c r="AH234" s="44" t="str">
        <f t="shared" si="188"/>
        <v>5</v>
      </c>
      <c r="AI234" s="44" t="str">
        <f t="shared" si="189"/>
        <v>5컷원점</v>
      </c>
      <c r="AJ234" s="44" t="str">
        <f t="shared" si="190"/>
        <v>5</v>
      </c>
      <c r="AK234" s="44" t="str">
        <f t="shared" si="191"/>
        <v>5</v>
      </c>
      <c r="AL234" s="44" t="str">
        <f t="shared" si="192"/>
        <v>5</v>
      </c>
      <c r="AM234" s="44" t="str">
        <f t="shared" si="193"/>
        <v>5</v>
      </c>
      <c r="AN234" s="44" t="str">
        <f t="shared" si="194"/>
        <v>5</v>
      </c>
      <c r="AO234" s="44" t="str">
        <f t="shared" si="195"/>
        <v>5</v>
      </c>
      <c r="AP234" s="44" t="str">
        <f t="shared" si="196"/>
        <v>5</v>
      </c>
      <c r="AQ234" s="44" t="str">
        <f t="shared" si="197"/>
        <v>5</v>
      </c>
      <c r="AR234" s="44" t="str">
        <f t="shared" si="198"/>
        <v>5</v>
      </c>
      <c r="AS234" s="44" t="str">
        <f t="shared" si="199"/>
        <v>5</v>
      </c>
      <c r="AT234" s="44" t="str">
        <f t="shared" si="200"/>
        <v>5</v>
      </c>
      <c r="AU234" s="44" t="str">
        <f t="shared" si="201"/>
        <v>5컷원점</v>
      </c>
      <c r="AV234" s="44" t="str">
        <f t="shared" si="202"/>
        <v>5컷원점</v>
      </c>
      <c r="AW234" s="44" t="str">
        <f t="shared" si="203"/>
        <v>5컷원점</v>
      </c>
      <c r="AX234" s="44" t="str">
        <f t="shared" si="204"/>
        <v>5컷원점</v>
      </c>
      <c r="AY234" s="7">
        <v>3</v>
      </c>
      <c r="AZ234" s="7">
        <v>5</v>
      </c>
      <c r="BA234" s="7">
        <v>6</v>
      </c>
    </row>
    <row r="235" spans="1:53" hidden="1" x14ac:dyDescent="0.3">
      <c r="A235" s="7">
        <v>72</v>
      </c>
      <c r="B235" s="44">
        <f t="shared" si="228"/>
        <v>3</v>
      </c>
      <c r="C235" s="44">
        <f t="shared" si="229"/>
        <v>3</v>
      </c>
      <c r="D235" s="44">
        <f t="shared" si="230"/>
        <v>2</v>
      </c>
      <c r="E235" s="44">
        <f t="shared" si="231"/>
        <v>3</v>
      </c>
      <c r="F235" s="44">
        <f t="shared" si="232"/>
        <v>3</v>
      </c>
      <c r="G235" s="44">
        <f t="shared" si="233"/>
        <v>5</v>
      </c>
      <c r="H235" s="44">
        <f t="shared" si="234"/>
        <v>6</v>
      </c>
      <c r="I235" s="44">
        <f t="shared" si="235"/>
        <v>5</v>
      </c>
      <c r="J235" s="44">
        <f t="shared" si="236"/>
        <v>5</v>
      </c>
      <c r="K235" s="44">
        <f t="shared" si="237"/>
        <v>5</v>
      </c>
      <c r="L235" s="44">
        <f t="shared" si="238"/>
        <v>5</v>
      </c>
      <c r="M235" s="44">
        <f t="shared" si="239"/>
        <v>5</v>
      </c>
      <c r="N235" s="44">
        <f t="shared" si="240"/>
        <v>5</v>
      </c>
      <c r="O235" s="44">
        <f t="shared" si="241"/>
        <v>5</v>
      </c>
      <c r="P235" s="44">
        <f t="shared" si="242"/>
        <v>5</v>
      </c>
      <c r="Q235" s="44">
        <f t="shared" si="243"/>
        <v>5</v>
      </c>
      <c r="R235" s="44">
        <f t="shared" si="244"/>
        <v>5</v>
      </c>
      <c r="S235" s="44">
        <f t="shared" si="245"/>
        <v>5</v>
      </c>
      <c r="T235" s="44">
        <f t="shared" si="246"/>
        <v>6</v>
      </c>
      <c r="U235" s="44">
        <f t="shared" si="247"/>
        <v>6</v>
      </c>
      <c r="V235" s="44">
        <f t="shared" si="248"/>
        <v>6</v>
      </c>
      <c r="W235" s="44">
        <f t="shared" si="249"/>
        <v>6</v>
      </c>
      <c r="X235" s="44">
        <f t="shared" si="250"/>
        <v>3</v>
      </c>
      <c r="Y235" s="44">
        <f t="shared" si="251"/>
        <v>5</v>
      </c>
      <c r="Z235" s="44">
        <f t="shared" si="252"/>
        <v>6</v>
      </c>
      <c r="AB235" s="7">
        <v>22</v>
      </c>
      <c r="AC235" s="44" t="str">
        <f t="shared" si="205"/>
        <v>3</v>
      </c>
      <c r="AD235" s="44" t="str">
        <f t="shared" si="206"/>
        <v>3</v>
      </c>
      <c r="AE235" s="44" t="str">
        <f t="shared" si="207"/>
        <v>2</v>
      </c>
      <c r="AF235" s="44" t="str">
        <f t="shared" si="208"/>
        <v>3</v>
      </c>
      <c r="AG235" s="44" t="str">
        <f t="shared" si="209"/>
        <v>3</v>
      </c>
      <c r="AH235" s="44" t="str">
        <f t="shared" si="188"/>
        <v>5컷원점</v>
      </c>
      <c r="AI235" s="44" t="str">
        <f t="shared" si="189"/>
        <v>6</v>
      </c>
      <c r="AJ235" s="44" t="str">
        <f t="shared" si="190"/>
        <v>5</v>
      </c>
      <c r="AK235" s="44" t="str">
        <f t="shared" si="191"/>
        <v>5</v>
      </c>
      <c r="AL235" s="44" t="str">
        <f t="shared" si="192"/>
        <v>5</v>
      </c>
      <c r="AM235" s="44" t="str">
        <f t="shared" si="193"/>
        <v>5</v>
      </c>
      <c r="AN235" s="44" t="str">
        <f t="shared" si="194"/>
        <v>5</v>
      </c>
      <c r="AO235" s="44" t="str">
        <f t="shared" si="195"/>
        <v>5</v>
      </c>
      <c r="AP235" s="44" t="str">
        <f t="shared" si="196"/>
        <v>5</v>
      </c>
      <c r="AQ235" s="44" t="str">
        <f t="shared" si="197"/>
        <v>5</v>
      </c>
      <c r="AR235" s="44" t="str">
        <f t="shared" si="198"/>
        <v>5</v>
      </c>
      <c r="AS235" s="44" t="str">
        <f t="shared" si="199"/>
        <v>5</v>
      </c>
      <c r="AT235" s="44" t="str">
        <f t="shared" si="200"/>
        <v>5</v>
      </c>
      <c r="AU235" s="44" t="str">
        <f t="shared" si="201"/>
        <v>6</v>
      </c>
      <c r="AV235" s="44" t="str">
        <f t="shared" si="202"/>
        <v>6</v>
      </c>
      <c r="AW235" s="44" t="str">
        <f t="shared" si="203"/>
        <v>6</v>
      </c>
      <c r="AX235" s="44" t="str">
        <f t="shared" si="204"/>
        <v>6</v>
      </c>
      <c r="AY235" s="7">
        <v>3</v>
      </c>
      <c r="AZ235" s="7">
        <v>5</v>
      </c>
      <c r="BA235" s="7">
        <v>6</v>
      </c>
    </row>
    <row r="236" spans="1:53" hidden="1" x14ac:dyDescent="0.3">
      <c r="A236" s="7">
        <v>71</v>
      </c>
      <c r="B236" s="44">
        <f t="shared" si="228"/>
        <v>3</v>
      </c>
      <c r="C236" s="44">
        <f t="shared" si="229"/>
        <v>3</v>
      </c>
      <c r="D236" s="44">
        <f t="shared" si="230"/>
        <v>2</v>
      </c>
      <c r="E236" s="44">
        <f t="shared" si="231"/>
        <v>3</v>
      </c>
      <c r="F236" s="44">
        <f t="shared" si="232"/>
        <v>3</v>
      </c>
      <c r="G236" s="44">
        <f t="shared" si="233"/>
        <v>6</v>
      </c>
      <c r="H236" s="44">
        <f t="shared" si="234"/>
        <v>6</v>
      </c>
      <c r="I236" s="44">
        <f t="shared" si="235"/>
        <v>5</v>
      </c>
      <c r="J236" s="44">
        <f t="shared" si="236"/>
        <v>5</v>
      </c>
      <c r="K236" s="44">
        <f t="shared" si="237"/>
        <v>5</v>
      </c>
      <c r="L236" s="44">
        <f t="shared" si="238"/>
        <v>5</v>
      </c>
      <c r="M236" s="44">
        <f t="shared" si="239"/>
        <v>5</v>
      </c>
      <c r="N236" s="44">
        <f t="shared" si="240"/>
        <v>5</v>
      </c>
      <c r="O236" s="44">
        <f t="shared" si="241"/>
        <v>5</v>
      </c>
      <c r="P236" s="44">
        <f t="shared" si="242"/>
        <v>5</v>
      </c>
      <c r="Q236" s="44">
        <f t="shared" si="243"/>
        <v>5</v>
      </c>
      <c r="R236" s="44">
        <f t="shared" si="244"/>
        <v>5</v>
      </c>
      <c r="S236" s="44">
        <f t="shared" si="245"/>
        <v>5</v>
      </c>
      <c r="T236" s="44">
        <f t="shared" si="246"/>
        <v>6</v>
      </c>
      <c r="U236" s="44">
        <f t="shared" si="247"/>
        <v>6</v>
      </c>
      <c r="V236" s="44">
        <f t="shared" si="248"/>
        <v>6</v>
      </c>
      <c r="W236" s="44">
        <f t="shared" si="249"/>
        <v>6</v>
      </c>
      <c r="X236" s="44">
        <f t="shared" si="250"/>
        <v>3</v>
      </c>
      <c r="Y236" s="44">
        <f t="shared" si="251"/>
        <v>5</v>
      </c>
      <c r="Z236" s="44">
        <f t="shared" si="252"/>
        <v>6</v>
      </c>
      <c r="AB236" s="7">
        <v>21</v>
      </c>
      <c r="AC236" s="44" t="str">
        <f t="shared" si="205"/>
        <v>3</v>
      </c>
      <c r="AD236" s="44" t="str">
        <f t="shared" si="206"/>
        <v>3</v>
      </c>
      <c r="AE236" s="44" t="str">
        <f t="shared" si="207"/>
        <v>2컷원점</v>
      </c>
      <c r="AF236" s="44" t="str">
        <f t="shared" si="208"/>
        <v>3</v>
      </c>
      <c r="AG236" s="44" t="str">
        <f t="shared" si="209"/>
        <v>3</v>
      </c>
      <c r="AH236" s="44" t="str">
        <f t="shared" si="188"/>
        <v>6</v>
      </c>
      <c r="AI236" s="44" t="str">
        <f t="shared" si="189"/>
        <v>6</v>
      </c>
      <c r="AJ236" s="44" t="str">
        <f t="shared" si="190"/>
        <v>5</v>
      </c>
      <c r="AK236" s="44" t="str">
        <f t="shared" si="191"/>
        <v>5</v>
      </c>
      <c r="AL236" s="44" t="str">
        <f t="shared" si="192"/>
        <v>5</v>
      </c>
      <c r="AM236" s="44" t="str">
        <f t="shared" si="193"/>
        <v>5</v>
      </c>
      <c r="AN236" s="44" t="str">
        <f t="shared" si="194"/>
        <v>5</v>
      </c>
      <c r="AO236" s="44" t="str">
        <f t="shared" si="195"/>
        <v>5</v>
      </c>
      <c r="AP236" s="44" t="str">
        <f t="shared" si="196"/>
        <v>5</v>
      </c>
      <c r="AQ236" s="44" t="str">
        <f t="shared" si="197"/>
        <v>5</v>
      </c>
      <c r="AR236" s="44" t="str">
        <f t="shared" si="198"/>
        <v>5</v>
      </c>
      <c r="AS236" s="44" t="str">
        <f t="shared" si="199"/>
        <v>5</v>
      </c>
      <c r="AT236" s="44" t="str">
        <f t="shared" si="200"/>
        <v>5</v>
      </c>
      <c r="AU236" s="44" t="str">
        <f t="shared" si="201"/>
        <v>6</v>
      </c>
      <c r="AV236" s="44" t="str">
        <f t="shared" si="202"/>
        <v>6</v>
      </c>
      <c r="AW236" s="44" t="str">
        <f t="shared" si="203"/>
        <v>6</v>
      </c>
      <c r="AX236" s="44" t="str">
        <f t="shared" si="204"/>
        <v>6</v>
      </c>
      <c r="AY236" s="7">
        <v>3</v>
      </c>
      <c r="AZ236" s="7">
        <v>5</v>
      </c>
      <c r="BA236" s="7">
        <v>6</v>
      </c>
    </row>
    <row r="237" spans="1:53" hidden="1" x14ac:dyDescent="0.3">
      <c r="A237" s="7">
        <v>70</v>
      </c>
      <c r="B237" s="44">
        <f t="shared" si="228"/>
        <v>3</v>
      </c>
      <c r="C237" s="44">
        <f t="shared" si="229"/>
        <v>3</v>
      </c>
      <c r="D237" s="44">
        <f t="shared" si="230"/>
        <v>3</v>
      </c>
      <c r="E237" s="44">
        <f t="shared" si="231"/>
        <v>3</v>
      </c>
      <c r="F237" s="44">
        <f t="shared" si="232"/>
        <v>3</v>
      </c>
      <c r="G237" s="44">
        <f t="shared" si="233"/>
        <v>6</v>
      </c>
      <c r="H237" s="44">
        <f t="shared" si="234"/>
        <v>6</v>
      </c>
      <c r="I237" s="44">
        <f t="shared" si="235"/>
        <v>5</v>
      </c>
      <c r="J237" s="44">
        <f t="shared" si="236"/>
        <v>5</v>
      </c>
      <c r="K237" s="44">
        <f t="shared" si="237"/>
        <v>5</v>
      </c>
      <c r="L237" s="44">
        <f t="shared" si="238"/>
        <v>5</v>
      </c>
      <c r="M237" s="44">
        <f t="shared" si="239"/>
        <v>5</v>
      </c>
      <c r="N237" s="44">
        <f t="shared" si="240"/>
        <v>5</v>
      </c>
      <c r="O237" s="44">
        <f t="shared" si="241"/>
        <v>5</v>
      </c>
      <c r="P237" s="44">
        <f t="shared" si="242"/>
        <v>5</v>
      </c>
      <c r="Q237" s="44">
        <f t="shared" si="243"/>
        <v>5</v>
      </c>
      <c r="R237" s="44">
        <f t="shared" si="244"/>
        <v>5</v>
      </c>
      <c r="S237" s="44">
        <f t="shared" si="245"/>
        <v>5</v>
      </c>
      <c r="T237" s="44">
        <f t="shared" si="246"/>
        <v>6</v>
      </c>
      <c r="U237" s="44">
        <f t="shared" si="247"/>
        <v>6</v>
      </c>
      <c r="V237" s="44">
        <f t="shared" si="248"/>
        <v>6</v>
      </c>
      <c r="W237" s="44">
        <f t="shared" si="249"/>
        <v>6</v>
      </c>
      <c r="X237" s="44">
        <f t="shared" si="250"/>
        <v>3</v>
      </c>
      <c r="Y237" s="44">
        <f t="shared" si="251"/>
        <v>5</v>
      </c>
      <c r="Z237" s="44">
        <f t="shared" si="252"/>
        <v>6</v>
      </c>
      <c r="AB237" s="7">
        <v>20</v>
      </c>
      <c r="AC237" s="44" t="str">
        <f t="shared" si="205"/>
        <v>3</v>
      </c>
      <c r="AD237" s="44" t="str">
        <f t="shared" si="206"/>
        <v>3</v>
      </c>
      <c r="AE237" s="44" t="str">
        <f t="shared" si="207"/>
        <v>3</v>
      </c>
      <c r="AF237" s="44" t="str">
        <f t="shared" si="208"/>
        <v>3</v>
      </c>
      <c r="AG237" s="44" t="str">
        <f t="shared" si="209"/>
        <v>3</v>
      </c>
      <c r="AH237" s="44" t="str">
        <f t="shared" si="188"/>
        <v>6</v>
      </c>
      <c r="AI237" s="44" t="str">
        <f t="shared" si="189"/>
        <v>6</v>
      </c>
      <c r="AJ237" s="44" t="str">
        <f t="shared" si="190"/>
        <v>5컷원점</v>
      </c>
      <c r="AK237" s="44" t="str">
        <f t="shared" si="191"/>
        <v>5컷원점</v>
      </c>
      <c r="AL237" s="44" t="str">
        <f t="shared" si="192"/>
        <v>5</v>
      </c>
      <c r="AM237" s="44" t="str">
        <f t="shared" si="193"/>
        <v>5</v>
      </c>
      <c r="AN237" s="44" t="str">
        <f t="shared" si="194"/>
        <v>5</v>
      </c>
      <c r="AO237" s="44" t="str">
        <f t="shared" si="195"/>
        <v>5</v>
      </c>
      <c r="AP237" s="44" t="str">
        <f t="shared" si="196"/>
        <v>5</v>
      </c>
      <c r="AQ237" s="44" t="str">
        <f t="shared" si="197"/>
        <v>5</v>
      </c>
      <c r="AR237" s="44" t="str">
        <f t="shared" si="198"/>
        <v>5</v>
      </c>
      <c r="AS237" s="44" t="str">
        <f t="shared" si="199"/>
        <v>5</v>
      </c>
      <c r="AT237" s="44" t="str">
        <f t="shared" si="200"/>
        <v>5</v>
      </c>
      <c r="AU237" s="44" t="str">
        <f t="shared" si="201"/>
        <v>6</v>
      </c>
      <c r="AV237" s="44" t="str">
        <f t="shared" si="202"/>
        <v>6</v>
      </c>
      <c r="AW237" s="44" t="str">
        <f t="shared" si="203"/>
        <v>6</v>
      </c>
      <c r="AX237" s="44" t="str">
        <f t="shared" si="204"/>
        <v>6</v>
      </c>
      <c r="AY237" s="7">
        <v>3</v>
      </c>
      <c r="AZ237" s="7">
        <v>5</v>
      </c>
      <c r="BA237" s="7">
        <v>6</v>
      </c>
    </row>
    <row r="238" spans="1:53" hidden="1" x14ac:dyDescent="0.3">
      <c r="A238" s="7">
        <v>69</v>
      </c>
      <c r="B238" s="44">
        <f t="shared" si="228"/>
        <v>3</v>
      </c>
      <c r="C238" s="44">
        <f t="shared" si="229"/>
        <v>3</v>
      </c>
      <c r="D238" s="44">
        <f t="shared" si="230"/>
        <v>3</v>
      </c>
      <c r="E238" s="44">
        <f t="shared" si="231"/>
        <v>3</v>
      </c>
      <c r="F238" s="44">
        <f t="shared" si="232"/>
        <v>3</v>
      </c>
      <c r="G238" s="44">
        <f t="shared" si="233"/>
        <v>6</v>
      </c>
      <c r="H238" s="44">
        <f t="shared" si="234"/>
        <v>6</v>
      </c>
      <c r="I238" s="44">
        <f t="shared" si="235"/>
        <v>6</v>
      </c>
      <c r="J238" s="44">
        <f t="shared" si="236"/>
        <v>6</v>
      </c>
      <c r="K238" s="44">
        <f t="shared" si="237"/>
        <v>5</v>
      </c>
      <c r="L238" s="44">
        <f t="shared" si="238"/>
        <v>5</v>
      </c>
      <c r="M238" s="44">
        <f t="shared" si="239"/>
        <v>5</v>
      </c>
      <c r="N238" s="44">
        <f t="shared" si="240"/>
        <v>5</v>
      </c>
      <c r="O238" s="44">
        <f t="shared" si="241"/>
        <v>5</v>
      </c>
      <c r="P238" s="44">
        <f t="shared" si="242"/>
        <v>5</v>
      </c>
      <c r="Q238" s="44">
        <f t="shared" si="243"/>
        <v>5</v>
      </c>
      <c r="R238" s="44">
        <f t="shared" si="244"/>
        <v>5</v>
      </c>
      <c r="S238" s="44">
        <f t="shared" si="245"/>
        <v>5</v>
      </c>
      <c r="T238" s="44">
        <f t="shared" si="246"/>
        <v>6</v>
      </c>
      <c r="U238" s="44">
        <f t="shared" si="247"/>
        <v>6</v>
      </c>
      <c r="V238" s="44">
        <f t="shared" si="248"/>
        <v>6</v>
      </c>
      <c r="W238" s="44">
        <f t="shared" si="249"/>
        <v>6</v>
      </c>
      <c r="X238" s="44">
        <f t="shared" si="250"/>
        <v>4</v>
      </c>
      <c r="Y238" s="44">
        <f t="shared" si="251"/>
        <v>6</v>
      </c>
      <c r="Z238" s="44">
        <f t="shared" si="252"/>
        <v>7</v>
      </c>
      <c r="AB238" s="7">
        <v>19</v>
      </c>
      <c r="AC238" s="44" t="str">
        <f t="shared" si="205"/>
        <v>3</v>
      </c>
      <c r="AD238" s="44" t="str">
        <f t="shared" si="206"/>
        <v>3</v>
      </c>
      <c r="AE238" s="44" t="str">
        <f t="shared" si="207"/>
        <v>3</v>
      </c>
      <c r="AF238" s="44" t="str">
        <f t="shared" si="208"/>
        <v>3</v>
      </c>
      <c r="AG238" s="44" t="str">
        <f t="shared" si="209"/>
        <v>3</v>
      </c>
      <c r="AH238" s="44" t="str">
        <f t="shared" si="188"/>
        <v>6</v>
      </c>
      <c r="AI238" s="44" t="str">
        <f t="shared" si="189"/>
        <v>6</v>
      </c>
      <c r="AJ238" s="44" t="str">
        <f t="shared" si="190"/>
        <v>6</v>
      </c>
      <c r="AK238" s="44" t="str">
        <f t="shared" si="191"/>
        <v>6</v>
      </c>
      <c r="AL238" s="44" t="str">
        <f t="shared" si="192"/>
        <v>5컷원점</v>
      </c>
      <c r="AM238" s="44" t="str">
        <f t="shared" si="193"/>
        <v>5컷원점</v>
      </c>
      <c r="AN238" s="44" t="str">
        <f t="shared" si="194"/>
        <v>5</v>
      </c>
      <c r="AO238" s="44" t="str">
        <f t="shared" si="195"/>
        <v>5</v>
      </c>
      <c r="AP238" s="44" t="str">
        <f t="shared" si="196"/>
        <v>5</v>
      </c>
      <c r="AQ238" s="44" t="str">
        <f t="shared" si="197"/>
        <v>5</v>
      </c>
      <c r="AR238" s="44" t="str">
        <f t="shared" si="198"/>
        <v>5</v>
      </c>
      <c r="AS238" s="44" t="str">
        <f t="shared" si="199"/>
        <v>5</v>
      </c>
      <c r="AT238" s="44" t="str">
        <f t="shared" si="200"/>
        <v>5</v>
      </c>
      <c r="AU238" s="44" t="str">
        <f t="shared" si="201"/>
        <v>6</v>
      </c>
      <c r="AV238" s="44" t="str">
        <f t="shared" si="202"/>
        <v>6</v>
      </c>
      <c r="AW238" s="44" t="str">
        <f t="shared" si="203"/>
        <v>6</v>
      </c>
      <c r="AX238" s="44" t="str">
        <f t="shared" si="204"/>
        <v>6</v>
      </c>
      <c r="AY238" s="7">
        <v>4</v>
      </c>
      <c r="AZ238" s="7">
        <v>6</v>
      </c>
      <c r="BA238" s="7">
        <v>7</v>
      </c>
    </row>
    <row r="239" spans="1:53" hidden="1" x14ac:dyDescent="0.3">
      <c r="A239" s="7">
        <v>68</v>
      </c>
      <c r="B239" s="44">
        <f t="shared" si="228"/>
        <v>3</v>
      </c>
      <c r="C239" s="44">
        <f t="shared" si="229"/>
        <v>3</v>
      </c>
      <c r="D239" s="44">
        <f t="shared" si="230"/>
        <v>3</v>
      </c>
      <c r="E239" s="44">
        <f t="shared" si="231"/>
        <v>3</v>
      </c>
      <c r="F239" s="44">
        <f t="shared" si="232"/>
        <v>3</v>
      </c>
      <c r="G239" s="44">
        <f t="shared" si="233"/>
        <v>6</v>
      </c>
      <c r="H239" s="44">
        <f t="shared" si="234"/>
        <v>6</v>
      </c>
      <c r="I239" s="44">
        <f t="shared" si="235"/>
        <v>6</v>
      </c>
      <c r="J239" s="44">
        <f t="shared" si="236"/>
        <v>6</v>
      </c>
      <c r="K239" s="44">
        <f t="shared" si="237"/>
        <v>6</v>
      </c>
      <c r="L239" s="44">
        <f t="shared" si="238"/>
        <v>6</v>
      </c>
      <c r="M239" s="44">
        <f t="shared" si="239"/>
        <v>5</v>
      </c>
      <c r="N239" s="44">
        <f t="shared" si="240"/>
        <v>5</v>
      </c>
      <c r="O239" s="44">
        <f t="shared" si="241"/>
        <v>5</v>
      </c>
      <c r="P239" s="44">
        <f t="shared" si="242"/>
        <v>5</v>
      </c>
      <c r="Q239" s="44">
        <f t="shared" si="243"/>
        <v>5</v>
      </c>
      <c r="R239" s="44">
        <f t="shared" si="244"/>
        <v>5</v>
      </c>
      <c r="S239" s="44">
        <f t="shared" si="245"/>
        <v>5</v>
      </c>
      <c r="T239" s="44">
        <f t="shared" si="246"/>
        <v>6</v>
      </c>
      <c r="U239" s="44">
        <f t="shared" si="247"/>
        <v>6</v>
      </c>
      <c r="V239" s="44">
        <f t="shared" si="248"/>
        <v>6</v>
      </c>
      <c r="W239" s="44">
        <f t="shared" si="249"/>
        <v>6</v>
      </c>
      <c r="X239" s="44">
        <f t="shared" si="250"/>
        <v>4</v>
      </c>
      <c r="Y239" s="44">
        <f t="shared" si="251"/>
        <v>6</v>
      </c>
      <c r="Z239" s="44">
        <f t="shared" si="252"/>
        <v>7</v>
      </c>
      <c r="AB239" s="7">
        <v>18</v>
      </c>
      <c r="AC239" s="44" t="str">
        <f t="shared" si="205"/>
        <v>3</v>
      </c>
      <c r="AD239" s="44" t="str">
        <f t="shared" si="206"/>
        <v>3컷원점</v>
      </c>
      <c r="AE239" s="44" t="str">
        <f t="shared" si="207"/>
        <v>3</v>
      </c>
      <c r="AF239" s="44" t="str">
        <f t="shared" si="208"/>
        <v>3</v>
      </c>
      <c r="AG239" s="44" t="str">
        <f t="shared" si="209"/>
        <v>3</v>
      </c>
      <c r="AH239" s="44" t="str">
        <f t="shared" si="188"/>
        <v>6</v>
      </c>
      <c r="AI239" s="44" t="str">
        <f t="shared" si="189"/>
        <v>6</v>
      </c>
      <c r="AJ239" s="44" t="str">
        <f t="shared" si="190"/>
        <v>6</v>
      </c>
      <c r="AK239" s="44" t="str">
        <f t="shared" si="191"/>
        <v>6</v>
      </c>
      <c r="AL239" s="44" t="str">
        <f t="shared" si="192"/>
        <v>6</v>
      </c>
      <c r="AM239" s="44" t="str">
        <f t="shared" si="193"/>
        <v>6</v>
      </c>
      <c r="AN239" s="44" t="str">
        <f t="shared" si="194"/>
        <v>5컷원점</v>
      </c>
      <c r="AO239" s="44" t="str">
        <f t="shared" si="195"/>
        <v>5</v>
      </c>
      <c r="AP239" s="44" t="str">
        <f t="shared" si="196"/>
        <v>5컷원점</v>
      </c>
      <c r="AQ239" s="44" t="str">
        <f t="shared" si="197"/>
        <v>5컷원점</v>
      </c>
      <c r="AR239" s="44" t="str">
        <f t="shared" si="198"/>
        <v>5컷원점</v>
      </c>
      <c r="AS239" s="44" t="str">
        <f t="shared" si="199"/>
        <v>5컷원점</v>
      </c>
      <c r="AT239" s="44" t="str">
        <f t="shared" si="200"/>
        <v>5컷원점</v>
      </c>
      <c r="AU239" s="44" t="str">
        <f t="shared" si="201"/>
        <v>6</v>
      </c>
      <c r="AV239" s="44" t="str">
        <f t="shared" si="202"/>
        <v>6</v>
      </c>
      <c r="AW239" s="44" t="str">
        <f t="shared" si="203"/>
        <v>6</v>
      </c>
      <c r="AX239" s="44" t="str">
        <f t="shared" si="204"/>
        <v>6</v>
      </c>
      <c r="AY239" s="7">
        <v>4</v>
      </c>
      <c r="AZ239" s="7">
        <v>6</v>
      </c>
      <c r="BA239" s="7">
        <v>7</v>
      </c>
    </row>
    <row r="240" spans="1:53" hidden="1" x14ac:dyDescent="0.3">
      <c r="A240" s="7">
        <v>67</v>
      </c>
      <c r="B240" s="44">
        <f t="shared" si="228"/>
        <v>3</v>
      </c>
      <c r="C240" s="44">
        <f t="shared" si="229"/>
        <v>4</v>
      </c>
      <c r="D240" s="44">
        <f t="shared" si="230"/>
        <v>3</v>
      </c>
      <c r="E240" s="44">
        <f t="shared" si="231"/>
        <v>3</v>
      </c>
      <c r="F240" s="44">
        <f t="shared" si="232"/>
        <v>3</v>
      </c>
      <c r="G240" s="44">
        <f t="shared" si="233"/>
        <v>6</v>
      </c>
      <c r="H240" s="44">
        <f t="shared" si="234"/>
        <v>6</v>
      </c>
      <c r="I240" s="44">
        <f t="shared" si="235"/>
        <v>6</v>
      </c>
      <c r="J240" s="44">
        <f t="shared" si="236"/>
        <v>6</v>
      </c>
      <c r="K240" s="44">
        <f t="shared" si="237"/>
        <v>6</v>
      </c>
      <c r="L240" s="44">
        <f t="shared" si="238"/>
        <v>6</v>
      </c>
      <c r="M240" s="44">
        <f t="shared" si="239"/>
        <v>6</v>
      </c>
      <c r="N240" s="44">
        <f t="shared" si="240"/>
        <v>5</v>
      </c>
      <c r="O240" s="44">
        <f t="shared" si="241"/>
        <v>6</v>
      </c>
      <c r="P240" s="44">
        <f t="shared" si="242"/>
        <v>6</v>
      </c>
      <c r="Q240" s="44">
        <f t="shared" si="243"/>
        <v>6</v>
      </c>
      <c r="R240" s="44">
        <f t="shared" si="244"/>
        <v>6</v>
      </c>
      <c r="S240" s="44">
        <f t="shared" si="245"/>
        <v>6</v>
      </c>
      <c r="T240" s="44">
        <f t="shared" si="246"/>
        <v>6</v>
      </c>
      <c r="U240" s="44">
        <f t="shared" si="247"/>
        <v>6</v>
      </c>
      <c r="V240" s="44">
        <f t="shared" si="248"/>
        <v>6</v>
      </c>
      <c r="W240" s="44">
        <f t="shared" si="249"/>
        <v>6</v>
      </c>
      <c r="X240" s="44">
        <f t="shared" si="250"/>
        <v>4</v>
      </c>
      <c r="Y240" s="44">
        <f t="shared" si="251"/>
        <v>6</v>
      </c>
      <c r="Z240" s="44">
        <f t="shared" si="252"/>
        <v>7</v>
      </c>
      <c r="AB240" s="7">
        <v>17</v>
      </c>
      <c r="AC240" s="44" t="str">
        <f t="shared" si="205"/>
        <v>3컷원점</v>
      </c>
      <c r="AD240" s="44" t="str">
        <f t="shared" si="206"/>
        <v>4</v>
      </c>
      <c r="AE240" s="44" t="str">
        <f t="shared" si="207"/>
        <v>3</v>
      </c>
      <c r="AF240" s="44" t="str">
        <f t="shared" si="208"/>
        <v>3</v>
      </c>
      <c r="AG240" s="44" t="str">
        <f t="shared" si="209"/>
        <v>3</v>
      </c>
      <c r="AH240" s="44" t="str">
        <f t="shared" si="188"/>
        <v>6</v>
      </c>
      <c r="AI240" s="44" t="str">
        <f t="shared" si="189"/>
        <v>6</v>
      </c>
      <c r="AJ240" s="44" t="str">
        <f t="shared" si="190"/>
        <v>6</v>
      </c>
      <c r="AK240" s="44" t="str">
        <f t="shared" si="191"/>
        <v>6</v>
      </c>
      <c r="AL240" s="44" t="str">
        <f t="shared" si="192"/>
        <v>6</v>
      </c>
      <c r="AM240" s="44" t="str">
        <f t="shared" si="193"/>
        <v>6</v>
      </c>
      <c r="AN240" s="44" t="str">
        <f t="shared" si="194"/>
        <v>6</v>
      </c>
      <c r="AO240" s="44" t="str">
        <f t="shared" si="195"/>
        <v>5</v>
      </c>
      <c r="AP240" s="44" t="str">
        <f t="shared" si="196"/>
        <v>6</v>
      </c>
      <c r="AQ240" s="44" t="str">
        <f t="shared" si="197"/>
        <v>6</v>
      </c>
      <c r="AR240" s="44" t="str">
        <f t="shared" si="198"/>
        <v>6</v>
      </c>
      <c r="AS240" s="44" t="str">
        <f t="shared" si="199"/>
        <v>6</v>
      </c>
      <c r="AT240" s="44" t="str">
        <f t="shared" si="200"/>
        <v>6</v>
      </c>
      <c r="AU240" s="44" t="str">
        <f t="shared" si="201"/>
        <v>6</v>
      </c>
      <c r="AV240" s="44" t="str">
        <f t="shared" si="202"/>
        <v>6</v>
      </c>
      <c r="AW240" s="44" t="str">
        <f t="shared" si="203"/>
        <v>6</v>
      </c>
      <c r="AX240" s="44" t="str">
        <f t="shared" si="204"/>
        <v>6</v>
      </c>
      <c r="AY240" s="7">
        <v>4</v>
      </c>
      <c r="AZ240" s="7">
        <v>6</v>
      </c>
      <c r="BA240" s="7">
        <v>7</v>
      </c>
    </row>
    <row r="241" spans="1:53" hidden="1" x14ac:dyDescent="0.3">
      <c r="A241" s="7">
        <v>66</v>
      </c>
      <c r="B241" s="44">
        <f t="shared" si="228"/>
        <v>4</v>
      </c>
      <c r="C241" s="44">
        <f t="shared" si="229"/>
        <v>4</v>
      </c>
      <c r="D241" s="44">
        <f t="shared" si="230"/>
        <v>3</v>
      </c>
      <c r="E241" s="44">
        <f t="shared" si="231"/>
        <v>3</v>
      </c>
      <c r="F241" s="44">
        <f t="shared" si="232"/>
        <v>3</v>
      </c>
      <c r="G241" s="44">
        <f t="shared" si="233"/>
        <v>6</v>
      </c>
      <c r="H241" s="44">
        <f t="shared" si="234"/>
        <v>6</v>
      </c>
      <c r="I241" s="44">
        <f t="shared" si="235"/>
        <v>6</v>
      </c>
      <c r="J241" s="44">
        <f t="shared" si="236"/>
        <v>6</v>
      </c>
      <c r="K241" s="44">
        <f t="shared" si="237"/>
        <v>6</v>
      </c>
      <c r="L241" s="44">
        <f t="shared" si="238"/>
        <v>6</v>
      </c>
      <c r="M241" s="44">
        <f t="shared" si="239"/>
        <v>6</v>
      </c>
      <c r="N241" s="44">
        <f t="shared" si="240"/>
        <v>5</v>
      </c>
      <c r="O241" s="44">
        <f t="shared" si="241"/>
        <v>6</v>
      </c>
      <c r="P241" s="44">
        <f t="shared" si="242"/>
        <v>6</v>
      </c>
      <c r="Q241" s="44">
        <f t="shared" si="243"/>
        <v>6</v>
      </c>
      <c r="R241" s="44">
        <f t="shared" si="244"/>
        <v>6</v>
      </c>
      <c r="S241" s="44">
        <f t="shared" si="245"/>
        <v>6</v>
      </c>
      <c r="T241" s="44">
        <f t="shared" si="246"/>
        <v>6</v>
      </c>
      <c r="U241" s="44">
        <f t="shared" si="247"/>
        <v>6</v>
      </c>
      <c r="V241" s="44">
        <f t="shared" si="248"/>
        <v>6</v>
      </c>
      <c r="W241" s="44">
        <f t="shared" si="249"/>
        <v>6</v>
      </c>
      <c r="X241" s="44">
        <f t="shared" si="250"/>
        <v>4</v>
      </c>
      <c r="Y241" s="44">
        <f t="shared" si="251"/>
        <v>6</v>
      </c>
      <c r="Z241" s="44">
        <f t="shared" si="252"/>
        <v>7</v>
      </c>
      <c r="AB241" s="7">
        <v>16</v>
      </c>
      <c r="AC241" s="44" t="str">
        <f t="shared" si="205"/>
        <v>4</v>
      </c>
      <c r="AD241" s="44" t="str">
        <f t="shared" si="206"/>
        <v>4</v>
      </c>
      <c r="AE241" s="44" t="str">
        <f t="shared" si="207"/>
        <v>3</v>
      </c>
      <c r="AF241" s="44" t="str">
        <f t="shared" si="208"/>
        <v>3</v>
      </c>
      <c r="AG241" s="44" t="str">
        <f t="shared" si="209"/>
        <v>3컷원점</v>
      </c>
      <c r="AH241" s="44" t="str">
        <f t="shared" si="188"/>
        <v>6컷원점</v>
      </c>
      <c r="AI241" s="44" t="str">
        <f t="shared" si="189"/>
        <v>6</v>
      </c>
      <c r="AJ241" s="44" t="str">
        <f t="shared" si="190"/>
        <v>6</v>
      </c>
      <c r="AK241" s="44" t="str">
        <f t="shared" si="191"/>
        <v>6컷원점</v>
      </c>
      <c r="AL241" s="44" t="str">
        <f t="shared" si="192"/>
        <v>6</v>
      </c>
      <c r="AM241" s="44" t="str">
        <f t="shared" si="193"/>
        <v>6</v>
      </c>
      <c r="AN241" s="44" t="str">
        <f t="shared" si="194"/>
        <v>6</v>
      </c>
      <c r="AO241" s="44" t="str">
        <f t="shared" si="195"/>
        <v>5컷원점</v>
      </c>
      <c r="AP241" s="44" t="str">
        <f t="shared" si="196"/>
        <v>6</v>
      </c>
      <c r="AQ241" s="44" t="str">
        <f t="shared" si="197"/>
        <v>6</v>
      </c>
      <c r="AR241" s="44" t="str">
        <f t="shared" si="198"/>
        <v>6</v>
      </c>
      <c r="AS241" s="44" t="str">
        <f t="shared" si="199"/>
        <v>6</v>
      </c>
      <c r="AT241" s="44" t="str">
        <f t="shared" si="200"/>
        <v>6</v>
      </c>
      <c r="AU241" s="44" t="str">
        <f t="shared" si="201"/>
        <v>6컷원점</v>
      </c>
      <c r="AV241" s="44" t="str">
        <f t="shared" si="202"/>
        <v>6컷원점</v>
      </c>
      <c r="AW241" s="44" t="str">
        <f t="shared" si="203"/>
        <v>6컷원점</v>
      </c>
      <c r="AX241" s="44" t="str">
        <f t="shared" si="204"/>
        <v>6컷원점</v>
      </c>
      <c r="AY241" s="7">
        <v>4</v>
      </c>
      <c r="AZ241" s="7">
        <v>6</v>
      </c>
      <c r="BA241" s="7">
        <v>7</v>
      </c>
    </row>
    <row r="242" spans="1:53" hidden="1" x14ac:dyDescent="0.3">
      <c r="A242" s="7">
        <v>65</v>
      </c>
      <c r="B242" s="44">
        <f t="shared" si="228"/>
        <v>4</v>
      </c>
      <c r="C242" s="44">
        <f t="shared" si="229"/>
        <v>4</v>
      </c>
      <c r="D242" s="44">
        <f t="shared" si="230"/>
        <v>3</v>
      </c>
      <c r="E242" s="44">
        <f t="shared" si="231"/>
        <v>3</v>
      </c>
      <c r="F242" s="44">
        <f t="shared" si="232"/>
        <v>4</v>
      </c>
      <c r="G242" s="44">
        <f t="shared" si="233"/>
        <v>7</v>
      </c>
      <c r="H242" s="44">
        <f t="shared" si="234"/>
        <v>6</v>
      </c>
      <c r="I242" s="44">
        <f t="shared" si="235"/>
        <v>6</v>
      </c>
      <c r="J242" s="44">
        <f t="shared" si="236"/>
        <v>7</v>
      </c>
      <c r="K242" s="44">
        <f t="shared" si="237"/>
        <v>6</v>
      </c>
      <c r="L242" s="44">
        <f t="shared" si="238"/>
        <v>6</v>
      </c>
      <c r="M242" s="44">
        <f t="shared" si="239"/>
        <v>6</v>
      </c>
      <c r="N242" s="44">
        <f t="shared" si="240"/>
        <v>6</v>
      </c>
      <c r="O242" s="44">
        <f t="shared" si="241"/>
        <v>6</v>
      </c>
      <c r="P242" s="44">
        <f t="shared" si="242"/>
        <v>6</v>
      </c>
      <c r="Q242" s="44">
        <f t="shared" si="243"/>
        <v>6</v>
      </c>
      <c r="R242" s="44">
        <f t="shared" si="244"/>
        <v>6</v>
      </c>
      <c r="S242" s="44">
        <f t="shared" si="245"/>
        <v>6</v>
      </c>
      <c r="T242" s="44">
        <f t="shared" si="246"/>
        <v>7</v>
      </c>
      <c r="U242" s="44">
        <f t="shared" si="247"/>
        <v>7</v>
      </c>
      <c r="V242" s="44">
        <f t="shared" si="248"/>
        <v>7</v>
      </c>
      <c r="W242" s="44">
        <f t="shared" si="249"/>
        <v>7</v>
      </c>
      <c r="X242" s="44">
        <f t="shared" si="250"/>
        <v>4</v>
      </c>
      <c r="Y242" s="44">
        <f t="shared" si="251"/>
        <v>6</v>
      </c>
      <c r="Z242" s="44">
        <f t="shared" si="252"/>
        <v>7</v>
      </c>
      <c r="AB242" s="7">
        <v>15</v>
      </c>
      <c r="AC242" s="44" t="str">
        <f t="shared" si="205"/>
        <v>4</v>
      </c>
      <c r="AD242" s="44" t="str">
        <f t="shared" si="206"/>
        <v>4</v>
      </c>
      <c r="AE242" s="44" t="str">
        <f t="shared" si="207"/>
        <v>3</v>
      </c>
      <c r="AF242" s="44" t="str">
        <f t="shared" si="208"/>
        <v>3</v>
      </c>
      <c r="AG242" s="44" t="str">
        <f t="shared" si="209"/>
        <v>4</v>
      </c>
      <c r="AH242" s="44" t="str">
        <f t="shared" ref="AH242:AH279" si="253">IF(COUNTIF(G$32:G$39,$AB242)=1,INDEX($A$32:$A$39,MATCH($AB242,G$32:G$39,0)),IF($AB242&gt;=G$32,"1",IF($AB242&gt;=G$33,"2",IF($AB242&gt;=G$34,"3",IF($AB242&gt;=G$35,"4",IF($AB242&gt;=G$36,"5",IF($AB242&gt;=G$37,"6",IF($AB242&gt;=G$38,"7",IF($AB242&gt;=G$39,"8")))))))))</f>
        <v>7</v>
      </c>
      <c r="AI242" s="44" t="str">
        <f t="shared" ref="AI242:AI279" si="254">IF(COUNTIF(H$32:H$39,$AB242)=1,INDEX($A$32:$A$39,MATCH($AB242,H$32:H$39,0)),IF($AB242&gt;=H$32,"1",IF($AB242&gt;=H$33,"2",IF($AB242&gt;=H$34,"3",IF($AB242&gt;=H$35,"4",IF($AB242&gt;=H$36,"5",IF($AB242&gt;=H$37,"6",IF($AB242&gt;=H$38,"7",IF($AB242&gt;=H$39,"8")))))))))</f>
        <v>6컷원점</v>
      </c>
      <c r="AJ242" s="44" t="str">
        <f t="shared" ref="AJ242:AJ279" si="255">IF(COUNTIF(I$32:I$39,$AB242)=1,INDEX($A$32:$A$39,MATCH($AB242,I$32:I$39,0)),IF($AB242&gt;=I$32,"1",IF($AB242&gt;=I$33,"2",IF($AB242&gt;=I$34,"3",IF($AB242&gt;=I$35,"4",IF($AB242&gt;=I$36,"5",IF($AB242&gt;=I$37,"6",IF($AB242&gt;=I$38,"7",IF($AB242&gt;=I$39,"8")))))))))</f>
        <v>6</v>
      </c>
      <c r="AK242" s="44" t="str">
        <f t="shared" ref="AK242:AK279" si="256">IF(COUNTIF(J$32:J$39,$AB242)=1,INDEX($A$32:$A$39,MATCH($AB242,J$32:J$39,0)),IF($AB242&gt;=J$32,"1",IF($AB242&gt;=J$33,"2",IF($AB242&gt;=J$34,"3",IF($AB242&gt;=J$35,"4",IF($AB242&gt;=J$36,"5",IF($AB242&gt;=J$37,"6",IF($AB242&gt;=J$38,"7",IF($AB242&gt;=J$39,"8")))))))))</f>
        <v>7</v>
      </c>
      <c r="AL242" s="44" t="str">
        <f t="shared" ref="AL242:AL279" si="257">IF(COUNTIF(K$32:K$39,$AB242)=1,INDEX($A$32:$A$39,MATCH($AB242,K$32:K$39,0)),IF($AB242&gt;=K$32,"1",IF($AB242&gt;=K$33,"2",IF($AB242&gt;=K$34,"3",IF($AB242&gt;=K$35,"4",IF($AB242&gt;=K$36,"5",IF($AB242&gt;=K$37,"6",IF($AB242&gt;=K$38,"7",IF($AB242&gt;=K$39,"8")))))))))</f>
        <v>6</v>
      </c>
      <c r="AM242" s="44" t="str">
        <f t="shared" ref="AM242:AM279" si="258">IF(COUNTIF(L$32:L$39,$AB242)=1,INDEX($A$32:$A$39,MATCH($AB242,L$32:L$39,0)),IF($AB242&gt;=L$32,"1",IF($AB242&gt;=L$33,"2",IF($AB242&gt;=L$34,"3",IF($AB242&gt;=L$35,"4",IF($AB242&gt;=L$36,"5",IF($AB242&gt;=L$37,"6",IF($AB242&gt;=L$38,"7",IF($AB242&gt;=L$39,"8")))))))))</f>
        <v>6</v>
      </c>
      <c r="AN242" s="44" t="str">
        <f t="shared" ref="AN242:AN279" si="259">IF(COUNTIF(M$32:M$39,$AB242)=1,INDEX($A$32:$A$39,MATCH($AB242,M$32:M$39,0)),IF($AB242&gt;=M$32,"1",IF($AB242&gt;=M$33,"2",IF($AB242&gt;=M$34,"3",IF($AB242&gt;=M$35,"4",IF($AB242&gt;=M$36,"5",IF($AB242&gt;=M$37,"6",IF($AB242&gt;=M$38,"7",IF($AB242&gt;=M$39,"8")))))))))</f>
        <v>6</v>
      </c>
      <c r="AO242" s="44" t="str">
        <f t="shared" ref="AO242:AO279" si="260">IF(COUNTIF(N$32:N$39,$AB242)=1,INDEX($A$32:$A$39,MATCH($AB242,N$32:N$39,0)),IF($AB242&gt;=N$32,"1",IF($AB242&gt;=N$33,"2",IF($AB242&gt;=N$34,"3",IF($AB242&gt;=N$35,"4",IF($AB242&gt;=N$36,"5",IF($AB242&gt;=N$37,"6",IF($AB242&gt;=N$38,"7",IF($AB242&gt;=N$39,"8")))))))))</f>
        <v>6</v>
      </c>
      <c r="AP242" s="44" t="str">
        <f t="shared" ref="AP242:AP279" si="261">IF(COUNTIF(O$32:O$39,$AB242)=1,INDEX($A$32:$A$39,MATCH($AB242,O$32:O$39,0)),IF($AB242&gt;=O$32,"1",IF($AB242&gt;=O$33,"2",IF($AB242&gt;=O$34,"3",IF($AB242&gt;=O$35,"4",IF($AB242&gt;=O$36,"5",IF($AB242&gt;=O$37,"6",IF($AB242&gt;=O$38,"7",IF($AB242&gt;=O$39,"8")))))))))</f>
        <v>6</v>
      </c>
      <c r="AQ242" s="44" t="str">
        <f t="shared" ref="AQ242:AQ279" si="262">IF(COUNTIF(P$32:P$39,$AB242)=1,INDEX($A$32:$A$39,MATCH($AB242,P$32:P$39,0)),IF($AB242&gt;=P$32,"1",IF($AB242&gt;=P$33,"2",IF($AB242&gt;=P$34,"3",IF($AB242&gt;=P$35,"4",IF($AB242&gt;=P$36,"5",IF($AB242&gt;=P$37,"6",IF($AB242&gt;=P$38,"7",IF($AB242&gt;=P$39,"8")))))))))</f>
        <v>6</v>
      </c>
      <c r="AR242" s="44" t="str">
        <f t="shared" ref="AR242:AR279" si="263">IF(COUNTIF(Q$32:Q$39,$AB242)=1,INDEX($A$32:$A$39,MATCH($AB242,Q$32:Q$39,0)),IF($AB242&gt;=Q$32,"1",IF($AB242&gt;=Q$33,"2",IF($AB242&gt;=Q$34,"3",IF($AB242&gt;=Q$35,"4",IF($AB242&gt;=Q$36,"5",IF($AB242&gt;=Q$37,"6",IF($AB242&gt;=Q$38,"7",IF($AB242&gt;=Q$39,"8")))))))))</f>
        <v>6</v>
      </c>
      <c r="AS242" s="44" t="str">
        <f t="shared" ref="AS242:AS279" si="264">IF(COUNTIF(R$32:R$39,$AB242)=1,INDEX($A$32:$A$39,MATCH($AB242,R$32:R$39,0)),IF($AB242&gt;=R$32,"1",IF($AB242&gt;=R$33,"2",IF($AB242&gt;=R$34,"3",IF($AB242&gt;=R$35,"4",IF($AB242&gt;=R$36,"5",IF($AB242&gt;=R$37,"6",IF($AB242&gt;=R$38,"7",IF($AB242&gt;=R$39,"8")))))))))</f>
        <v>6</v>
      </c>
      <c r="AT242" s="44" t="str">
        <f t="shared" ref="AT242:AT279" si="265">IF(COUNTIF(S$32:S$39,$AB242)=1,INDEX($A$32:$A$39,MATCH($AB242,S$32:S$39,0)),IF($AB242&gt;=S$32,"1",IF($AB242&gt;=S$33,"2",IF($AB242&gt;=S$34,"3",IF($AB242&gt;=S$35,"4",IF($AB242&gt;=S$36,"5",IF($AB242&gt;=S$37,"6",IF($AB242&gt;=S$38,"7",IF($AB242&gt;=S$39,"8")))))))))</f>
        <v>6</v>
      </c>
      <c r="AU242" s="44" t="str">
        <f t="shared" ref="AU242:AU279" si="266">IF(COUNTIF(T$32:T$39,$AB242)=1,INDEX($A$32:$A$39,MATCH($AB242,T$32:T$39,0)),IF($AB242&gt;=T$32,"1",IF($AB242&gt;=T$33,"2",IF($AB242&gt;=T$34,"3",IF($AB242&gt;=T$35,"4",IF($AB242&gt;=T$36,"5",IF($AB242&gt;=T$37,"6",IF($AB242&gt;=T$38,"7",IF($AB242&gt;=T$39,"8")))))))))</f>
        <v>7</v>
      </c>
      <c r="AV242" s="44" t="str">
        <f t="shared" ref="AV242:AV279" si="267">IF(COUNTIF(U$32:U$39,$AB242)=1,INDEX($A$32:$A$39,MATCH($AB242,U$32:U$39,0)),IF($AB242&gt;=U$32,"1",IF($AB242&gt;=U$33,"2",IF($AB242&gt;=U$34,"3",IF($AB242&gt;=U$35,"4",IF($AB242&gt;=U$36,"5",IF($AB242&gt;=U$37,"6",IF($AB242&gt;=U$38,"7",IF($AB242&gt;=U$39,"8")))))))))</f>
        <v>7</v>
      </c>
      <c r="AW242" s="44" t="str">
        <f t="shared" ref="AW242:AW279" si="268">IF(COUNTIF(V$32:V$39,$AB242)=1,INDEX($A$32:$A$39,MATCH($AB242,V$32:V$39,0)),IF($AB242&gt;=V$32,"1",IF($AB242&gt;=V$33,"2",IF($AB242&gt;=V$34,"3",IF($AB242&gt;=V$35,"4",IF($AB242&gt;=V$36,"5",IF($AB242&gt;=V$37,"6",IF($AB242&gt;=V$38,"7",IF($AB242&gt;=V$39,"8")))))))))</f>
        <v>7</v>
      </c>
      <c r="AX242" s="44" t="str">
        <f t="shared" ref="AX242:AX279" si="269">IF(COUNTIF(W$32:W$39,$AB242)=1,INDEX($A$32:$A$39,MATCH($AB242,W$32:W$39,0)),IF($AB242&gt;=W$32,"1",IF($AB242&gt;=W$33,"2",IF($AB242&gt;=W$34,"3",IF($AB242&gt;=W$35,"4",IF($AB242&gt;=W$36,"5",IF($AB242&gt;=W$37,"6",IF($AB242&gt;=W$38,"7",IF($AB242&gt;=W$39,"8")))))))))</f>
        <v>7</v>
      </c>
      <c r="AY242" s="7">
        <v>4</v>
      </c>
      <c r="AZ242" s="7">
        <v>6</v>
      </c>
      <c r="BA242" s="7">
        <v>7</v>
      </c>
    </row>
    <row r="243" spans="1:53" hidden="1" x14ac:dyDescent="0.3">
      <c r="A243" s="7">
        <v>64</v>
      </c>
      <c r="B243" s="44">
        <f t="shared" si="228"/>
        <v>4</v>
      </c>
      <c r="C243" s="44">
        <f t="shared" si="229"/>
        <v>4</v>
      </c>
      <c r="D243" s="44">
        <f t="shared" si="230"/>
        <v>3</v>
      </c>
      <c r="E243" s="44">
        <f t="shared" si="231"/>
        <v>3</v>
      </c>
      <c r="F243" s="44">
        <f t="shared" si="232"/>
        <v>4</v>
      </c>
      <c r="G243" s="44">
        <f t="shared" si="233"/>
        <v>7</v>
      </c>
      <c r="H243" s="44">
        <f t="shared" si="234"/>
        <v>7</v>
      </c>
      <c r="I243" s="44">
        <f t="shared" si="235"/>
        <v>6</v>
      </c>
      <c r="J243" s="44">
        <f t="shared" si="236"/>
        <v>7</v>
      </c>
      <c r="K243" s="44">
        <f t="shared" si="237"/>
        <v>6</v>
      </c>
      <c r="L243" s="44">
        <f t="shared" si="238"/>
        <v>6</v>
      </c>
      <c r="M243" s="44">
        <f t="shared" si="239"/>
        <v>6</v>
      </c>
      <c r="N243" s="44">
        <f t="shared" si="240"/>
        <v>6</v>
      </c>
      <c r="O243" s="44">
        <f t="shared" si="241"/>
        <v>6</v>
      </c>
      <c r="P243" s="44">
        <f t="shared" si="242"/>
        <v>6</v>
      </c>
      <c r="Q243" s="44">
        <f t="shared" si="243"/>
        <v>6</v>
      </c>
      <c r="R243" s="44">
        <f t="shared" si="244"/>
        <v>6</v>
      </c>
      <c r="S243" s="44">
        <f t="shared" si="245"/>
        <v>6</v>
      </c>
      <c r="T243" s="44">
        <f t="shared" si="246"/>
        <v>7</v>
      </c>
      <c r="U243" s="44">
        <f t="shared" si="247"/>
        <v>7</v>
      </c>
      <c r="V243" s="44">
        <f t="shared" si="248"/>
        <v>7</v>
      </c>
      <c r="W243" s="44">
        <f t="shared" si="249"/>
        <v>7</v>
      </c>
      <c r="X243" s="44">
        <f t="shared" si="250"/>
        <v>4</v>
      </c>
      <c r="Y243" s="44">
        <f t="shared" si="251"/>
        <v>7</v>
      </c>
      <c r="Z243" s="44">
        <f t="shared" si="252"/>
        <v>8</v>
      </c>
      <c r="AB243" s="7">
        <v>14</v>
      </c>
      <c r="AC243" s="44" t="str">
        <f t="shared" si="205"/>
        <v>4</v>
      </c>
      <c r="AD243" s="44" t="str">
        <f t="shared" si="206"/>
        <v>4</v>
      </c>
      <c r="AE243" s="44" t="str">
        <f t="shared" si="207"/>
        <v>3</v>
      </c>
      <c r="AF243" s="44" t="str">
        <f t="shared" si="208"/>
        <v>3</v>
      </c>
      <c r="AG243" s="44" t="str">
        <f t="shared" si="209"/>
        <v>4</v>
      </c>
      <c r="AH243" s="44" t="str">
        <f t="shared" si="253"/>
        <v>7</v>
      </c>
      <c r="AI243" s="44" t="str">
        <f t="shared" si="254"/>
        <v>7</v>
      </c>
      <c r="AJ243" s="44" t="str">
        <f t="shared" si="255"/>
        <v>6컷원점</v>
      </c>
      <c r="AK243" s="44" t="str">
        <f t="shared" si="256"/>
        <v>7</v>
      </c>
      <c r="AL243" s="44" t="str">
        <f t="shared" si="257"/>
        <v>6컷원점</v>
      </c>
      <c r="AM243" s="44" t="str">
        <f t="shared" si="258"/>
        <v>6</v>
      </c>
      <c r="AN243" s="44" t="str">
        <f t="shared" si="259"/>
        <v>6</v>
      </c>
      <c r="AO243" s="44" t="str">
        <f t="shared" si="260"/>
        <v>6</v>
      </c>
      <c r="AP243" s="44" t="str">
        <f t="shared" si="261"/>
        <v>6</v>
      </c>
      <c r="AQ243" s="44" t="str">
        <f t="shared" si="262"/>
        <v>6</v>
      </c>
      <c r="AR243" s="44" t="str">
        <f t="shared" si="263"/>
        <v>6</v>
      </c>
      <c r="AS243" s="44" t="str">
        <f t="shared" si="264"/>
        <v>6</v>
      </c>
      <c r="AT243" s="44" t="str">
        <f t="shared" si="265"/>
        <v>6</v>
      </c>
      <c r="AU243" s="44" t="str">
        <f t="shared" si="266"/>
        <v>7</v>
      </c>
      <c r="AV243" s="44" t="str">
        <f t="shared" si="267"/>
        <v>7</v>
      </c>
      <c r="AW243" s="44" t="str">
        <f t="shared" si="268"/>
        <v>7</v>
      </c>
      <c r="AX243" s="44" t="str">
        <f t="shared" si="269"/>
        <v>7</v>
      </c>
      <c r="AY243" s="7">
        <v>4</v>
      </c>
      <c r="AZ243" s="7">
        <v>7</v>
      </c>
      <c r="BA243" s="7">
        <v>8</v>
      </c>
    </row>
    <row r="244" spans="1:53" hidden="1" x14ac:dyDescent="0.3">
      <c r="A244" s="7">
        <v>63</v>
      </c>
      <c r="B244" s="44">
        <f t="shared" si="228"/>
        <v>4</v>
      </c>
      <c r="C244" s="44">
        <f t="shared" si="229"/>
        <v>4</v>
      </c>
      <c r="D244" s="44">
        <f t="shared" si="230"/>
        <v>3</v>
      </c>
      <c r="E244" s="44">
        <f t="shared" si="231"/>
        <v>3</v>
      </c>
      <c r="F244" s="44">
        <f t="shared" si="232"/>
        <v>4</v>
      </c>
      <c r="G244" s="44">
        <f t="shared" si="233"/>
        <v>7</v>
      </c>
      <c r="H244" s="44">
        <f t="shared" si="234"/>
        <v>7</v>
      </c>
      <c r="I244" s="44">
        <f t="shared" si="235"/>
        <v>7</v>
      </c>
      <c r="J244" s="44">
        <f t="shared" si="236"/>
        <v>7</v>
      </c>
      <c r="K244" s="44">
        <f t="shared" si="237"/>
        <v>7</v>
      </c>
      <c r="L244" s="44">
        <f t="shared" si="238"/>
        <v>6</v>
      </c>
      <c r="M244" s="44">
        <f t="shared" si="239"/>
        <v>6</v>
      </c>
      <c r="N244" s="44">
        <f t="shared" si="240"/>
        <v>6</v>
      </c>
      <c r="O244" s="44">
        <f t="shared" si="241"/>
        <v>6</v>
      </c>
      <c r="P244" s="44">
        <f t="shared" si="242"/>
        <v>6</v>
      </c>
      <c r="Q244" s="44">
        <f t="shared" si="243"/>
        <v>6</v>
      </c>
      <c r="R244" s="44">
        <f t="shared" si="244"/>
        <v>6</v>
      </c>
      <c r="S244" s="44">
        <f t="shared" si="245"/>
        <v>6</v>
      </c>
      <c r="T244" s="44">
        <f t="shared" si="246"/>
        <v>7</v>
      </c>
      <c r="U244" s="44">
        <f t="shared" si="247"/>
        <v>7</v>
      </c>
      <c r="V244" s="44">
        <f t="shared" si="248"/>
        <v>7</v>
      </c>
      <c r="W244" s="44">
        <f t="shared" si="249"/>
        <v>7</v>
      </c>
      <c r="X244" s="44">
        <f t="shared" si="250"/>
        <v>4</v>
      </c>
      <c r="Y244" s="44">
        <f t="shared" si="251"/>
        <v>7</v>
      </c>
      <c r="Z244" s="44">
        <f t="shared" si="252"/>
        <v>8</v>
      </c>
      <c r="AB244" s="7">
        <v>13</v>
      </c>
      <c r="AC244" s="44" t="str">
        <f t="shared" si="205"/>
        <v>4</v>
      </c>
      <c r="AD244" s="44" t="str">
        <f t="shared" si="206"/>
        <v>4</v>
      </c>
      <c r="AE244" s="44" t="str">
        <f t="shared" si="207"/>
        <v>3</v>
      </c>
      <c r="AF244" s="44" t="str">
        <f t="shared" si="208"/>
        <v>3컷원점</v>
      </c>
      <c r="AG244" s="44" t="str">
        <f t="shared" si="209"/>
        <v>4</v>
      </c>
      <c r="AH244" s="44" t="str">
        <f t="shared" si="253"/>
        <v>7</v>
      </c>
      <c r="AI244" s="44" t="str">
        <f t="shared" si="254"/>
        <v>7</v>
      </c>
      <c r="AJ244" s="44" t="str">
        <f t="shared" si="255"/>
        <v>7</v>
      </c>
      <c r="AK244" s="44" t="str">
        <f t="shared" si="256"/>
        <v>7</v>
      </c>
      <c r="AL244" s="44" t="str">
        <f t="shared" si="257"/>
        <v>7</v>
      </c>
      <c r="AM244" s="44" t="str">
        <f t="shared" si="258"/>
        <v>6</v>
      </c>
      <c r="AN244" s="44" t="str">
        <f t="shared" si="259"/>
        <v>6</v>
      </c>
      <c r="AO244" s="44" t="str">
        <f t="shared" si="260"/>
        <v>6</v>
      </c>
      <c r="AP244" s="44" t="str">
        <f t="shared" si="261"/>
        <v>6컷원점</v>
      </c>
      <c r="AQ244" s="44" t="str">
        <f t="shared" si="262"/>
        <v>6컷원점</v>
      </c>
      <c r="AR244" s="44" t="str">
        <f t="shared" si="263"/>
        <v>6컷원점</v>
      </c>
      <c r="AS244" s="44" t="str">
        <f t="shared" si="264"/>
        <v>6컷원점</v>
      </c>
      <c r="AT244" s="44" t="str">
        <f t="shared" si="265"/>
        <v>6컷원점</v>
      </c>
      <c r="AU244" s="44" t="str">
        <f t="shared" si="266"/>
        <v>7</v>
      </c>
      <c r="AV244" s="44" t="str">
        <f t="shared" si="267"/>
        <v>7</v>
      </c>
      <c r="AW244" s="44" t="str">
        <f t="shared" si="268"/>
        <v>7</v>
      </c>
      <c r="AX244" s="44" t="str">
        <f t="shared" si="269"/>
        <v>7</v>
      </c>
      <c r="AY244" s="7">
        <v>4</v>
      </c>
      <c r="AZ244" s="7">
        <v>7</v>
      </c>
      <c r="BA244" s="7">
        <v>8</v>
      </c>
    </row>
    <row r="245" spans="1:53" hidden="1" x14ac:dyDescent="0.3">
      <c r="A245" s="7">
        <v>62</v>
      </c>
      <c r="B245" s="44">
        <f t="shared" si="228"/>
        <v>4</v>
      </c>
      <c r="C245" s="44">
        <f t="shared" si="229"/>
        <v>4</v>
      </c>
      <c r="D245" s="44">
        <f t="shared" si="230"/>
        <v>3</v>
      </c>
      <c r="E245" s="44">
        <f t="shared" si="231"/>
        <v>4</v>
      </c>
      <c r="F245" s="44">
        <f t="shared" si="232"/>
        <v>4</v>
      </c>
      <c r="G245" s="44">
        <f t="shared" si="233"/>
        <v>7</v>
      </c>
      <c r="H245" s="44">
        <f t="shared" si="234"/>
        <v>7</v>
      </c>
      <c r="I245" s="44">
        <f t="shared" si="235"/>
        <v>7</v>
      </c>
      <c r="J245" s="44">
        <f t="shared" si="236"/>
        <v>7</v>
      </c>
      <c r="K245" s="44">
        <f t="shared" si="237"/>
        <v>7</v>
      </c>
      <c r="L245" s="44">
        <f t="shared" si="238"/>
        <v>6</v>
      </c>
      <c r="M245" s="44">
        <f t="shared" si="239"/>
        <v>6</v>
      </c>
      <c r="N245" s="44">
        <f t="shared" si="240"/>
        <v>6</v>
      </c>
      <c r="O245" s="44">
        <f t="shared" si="241"/>
        <v>7</v>
      </c>
      <c r="P245" s="44">
        <f t="shared" si="242"/>
        <v>7</v>
      </c>
      <c r="Q245" s="44">
        <f t="shared" si="243"/>
        <v>7</v>
      </c>
      <c r="R245" s="44">
        <f t="shared" si="244"/>
        <v>7</v>
      </c>
      <c r="S245" s="44">
        <f t="shared" si="245"/>
        <v>7</v>
      </c>
      <c r="T245" s="44">
        <f t="shared" si="246"/>
        <v>7</v>
      </c>
      <c r="U245" s="44">
        <f t="shared" si="247"/>
        <v>7</v>
      </c>
      <c r="V245" s="44">
        <f t="shared" si="248"/>
        <v>7</v>
      </c>
      <c r="W245" s="44">
        <f t="shared" si="249"/>
        <v>7</v>
      </c>
      <c r="X245" s="44">
        <f t="shared" si="250"/>
        <v>4</v>
      </c>
      <c r="Y245" s="44">
        <f t="shared" si="251"/>
        <v>7</v>
      </c>
      <c r="Z245" s="44">
        <f t="shared" si="252"/>
        <v>8</v>
      </c>
      <c r="AB245" s="7">
        <v>12</v>
      </c>
      <c r="AC245" s="44" t="str">
        <f t="shared" si="205"/>
        <v>4</v>
      </c>
      <c r="AD245" s="44" t="str">
        <f t="shared" si="206"/>
        <v>4</v>
      </c>
      <c r="AE245" s="44" t="str">
        <f t="shared" si="207"/>
        <v>3컷원점</v>
      </c>
      <c r="AF245" s="44" t="str">
        <f t="shared" si="208"/>
        <v>4</v>
      </c>
      <c r="AG245" s="44" t="str">
        <f t="shared" si="209"/>
        <v>4</v>
      </c>
      <c r="AH245" s="44" t="str">
        <f t="shared" si="253"/>
        <v>7</v>
      </c>
      <c r="AI245" s="44" t="str">
        <f t="shared" si="254"/>
        <v>7</v>
      </c>
      <c r="AJ245" s="44" t="str">
        <f t="shared" si="255"/>
        <v>7</v>
      </c>
      <c r="AK245" s="44" t="str">
        <f t="shared" si="256"/>
        <v>7</v>
      </c>
      <c r="AL245" s="44" t="str">
        <f t="shared" si="257"/>
        <v>7</v>
      </c>
      <c r="AM245" s="44" t="str">
        <f t="shared" si="258"/>
        <v>6컷원점</v>
      </c>
      <c r="AN245" s="44" t="str">
        <f t="shared" si="259"/>
        <v>6컷원점</v>
      </c>
      <c r="AO245" s="44" t="str">
        <f t="shared" si="260"/>
        <v>6</v>
      </c>
      <c r="AP245" s="44" t="str">
        <f t="shared" si="261"/>
        <v>7</v>
      </c>
      <c r="AQ245" s="44" t="str">
        <f t="shared" si="262"/>
        <v>7</v>
      </c>
      <c r="AR245" s="44" t="str">
        <f t="shared" si="263"/>
        <v>7</v>
      </c>
      <c r="AS245" s="44" t="str">
        <f t="shared" si="264"/>
        <v>7</v>
      </c>
      <c r="AT245" s="44" t="str">
        <f t="shared" si="265"/>
        <v>7</v>
      </c>
      <c r="AU245" s="44" t="str">
        <f t="shared" si="266"/>
        <v>7</v>
      </c>
      <c r="AV245" s="44" t="str">
        <f t="shared" si="267"/>
        <v>7</v>
      </c>
      <c r="AW245" s="44" t="str">
        <f t="shared" si="268"/>
        <v>7</v>
      </c>
      <c r="AX245" s="44" t="str">
        <f t="shared" si="269"/>
        <v>7</v>
      </c>
      <c r="AY245" s="7">
        <v>4</v>
      </c>
      <c r="AZ245" s="7">
        <v>7</v>
      </c>
      <c r="BA245" s="7">
        <v>8</v>
      </c>
    </row>
    <row r="246" spans="1:53" hidden="1" x14ac:dyDescent="0.3">
      <c r="A246" s="7">
        <v>61</v>
      </c>
      <c r="B246" s="44">
        <f t="shared" si="228"/>
        <v>4</v>
      </c>
      <c r="C246" s="44">
        <f t="shared" si="229"/>
        <v>4</v>
      </c>
      <c r="D246" s="44">
        <f t="shared" si="230"/>
        <v>4</v>
      </c>
      <c r="E246" s="44">
        <f t="shared" si="231"/>
        <v>4</v>
      </c>
      <c r="F246" s="44">
        <f t="shared" si="232"/>
        <v>4</v>
      </c>
      <c r="G246" s="44">
        <f t="shared" si="233"/>
        <v>7</v>
      </c>
      <c r="H246" s="44">
        <f t="shared" si="234"/>
        <v>7</v>
      </c>
      <c r="I246" s="44">
        <f t="shared" si="235"/>
        <v>7</v>
      </c>
      <c r="J246" s="44">
        <f t="shared" si="236"/>
        <v>7</v>
      </c>
      <c r="K246" s="44">
        <f t="shared" si="237"/>
        <v>7</v>
      </c>
      <c r="L246" s="44">
        <f t="shared" si="238"/>
        <v>7</v>
      </c>
      <c r="M246" s="44">
        <f t="shared" si="239"/>
        <v>7</v>
      </c>
      <c r="N246" s="44">
        <f t="shared" si="240"/>
        <v>6</v>
      </c>
      <c r="O246" s="44">
        <f t="shared" si="241"/>
        <v>7</v>
      </c>
      <c r="P246" s="44">
        <f t="shared" si="242"/>
        <v>7</v>
      </c>
      <c r="Q246" s="44">
        <f t="shared" si="243"/>
        <v>7</v>
      </c>
      <c r="R246" s="44">
        <f t="shared" si="244"/>
        <v>7</v>
      </c>
      <c r="S246" s="44">
        <f t="shared" si="245"/>
        <v>7</v>
      </c>
      <c r="T246" s="44">
        <f t="shared" si="246"/>
        <v>7</v>
      </c>
      <c r="U246" s="44">
        <f t="shared" si="247"/>
        <v>7</v>
      </c>
      <c r="V246" s="44">
        <f t="shared" si="248"/>
        <v>7</v>
      </c>
      <c r="W246" s="44">
        <f t="shared" si="249"/>
        <v>7</v>
      </c>
      <c r="X246" s="44">
        <f t="shared" si="250"/>
        <v>4</v>
      </c>
      <c r="Y246" s="44">
        <f t="shared" si="251"/>
        <v>7</v>
      </c>
      <c r="Z246" s="44">
        <f t="shared" si="252"/>
        <v>8</v>
      </c>
      <c r="AB246" s="7">
        <v>11</v>
      </c>
      <c r="AC246" s="44" t="str">
        <f t="shared" si="205"/>
        <v>4</v>
      </c>
      <c r="AD246" s="44" t="str">
        <f t="shared" si="206"/>
        <v>4</v>
      </c>
      <c r="AE246" s="44" t="str">
        <f t="shared" si="207"/>
        <v>4</v>
      </c>
      <c r="AF246" s="44" t="str">
        <f t="shared" si="208"/>
        <v>4</v>
      </c>
      <c r="AG246" s="44" t="str">
        <f t="shared" si="209"/>
        <v>4</v>
      </c>
      <c r="AH246" s="44" t="str">
        <f t="shared" si="253"/>
        <v>7컷원점</v>
      </c>
      <c r="AI246" s="44" t="str">
        <f t="shared" si="254"/>
        <v>7</v>
      </c>
      <c r="AJ246" s="44" t="str">
        <f t="shared" si="255"/>
        <v>7</v>
      </c>
      <c r="AK246" s="44" t="str">
        <f t="shared" si="256"/>
        <v>7</v>
      </c>
      <c r="AL246" s="44" t="str">
        <f t="shared" si="257"/>
        <v>7</v>
      </c>
      <c r="AM246" s="44" t="str">
        <f t="shared" si="258"/>
        <v>7</v>
      </c>
      <c r="AN246" s="44" t="str">
        <f t="shared" si="259"/>
        <v>7</v>
      </c>
      <c r="AO246" s="44" t="str">
        <f t="shared" si="260"/>
        <v>6</v>
      </c>
      <c r="AP246" s="44" t="str">
        <f t="shared" si="261"/>
        <v>7</v>
      </c>
      <c r="AQ246" s="44" t="str">
        <f t="shared" si="262"/>
        <v>7</v>
      </c>
      <c r="AR246" s="44" t="str">
        <f t="shared" si="263"/>
        <v>7</v>
      </c>
      <c r="AS246" s="44" t="str">
        <f t="shared" si="264"/>
        <v>7</v>
      </c>
      <c r="AT246" s="44" t="str">
        <f t="shared" si="265"/>
        <v>7</v>
      </c>
      <c r="AU246" s="44" t="str">
        <f t="shared" si="266"/>
        <v>7컷원점</v>
      </c>
      <c r="AV246" s="44" t="str">
        <f t="shared" si="267"/>
        <v>7컷원점</v>
      </c>
      <c r="AW246" s="44" t="str">
        <f t="shared" si="268"/>
        <v>7컷원점</v>
      </c>
      <c r="AX246" s="44" t="str">
        <f t="shared" si="269"/>
        <v>7컷원점</v>
      </c>
      <c r="AY246" s="7">
        <v>4</v>
      </c>
      <c r="AZ246" s="7">
        <v>7</v>
      </c>
      <c r="BA246" s="7">
        <v>8</v>
      </c>
    </row>
    <row r="247" spans="1:53" hidden="1" x14ac:dyDescent="0.3">
      <c r="A247" s="7">
        <v>60</v>
      </c>
      <c r="B247" s="44">
        <f t="shared" si="228"/>
        <v>4</v>
      </c>
      <c r="C247" s="44">
        <f t="shared" si="229"/>
        <v>4</v>
      </c>
      <c r="D247" s="44">
        <f t="shared" si="230"/>
        <v>4</v>
      </c>
      <c r="E247" s="44">
        <f t="shared" si="231"/>
        <v>4</v>
      </c>
      <c r="F247" s="44">
        <f t="shared" si="232"/>
        <v>4</v>
      </c>
      <c r="G247" s="44">
        <f t="shared" si="233"/>
        <v>8</v>
      </c>
      <c r="H247" s="44">
        <f t="shared" si="234"/>
        <v>7</v>
      </c>
      <c r="I247" s="44">
        <f t="shared" si="235"/>
        <v>7</v>
      </c>
      <c r="J247" s="44">
        <f t="shared" si="236"/>
        <v>7</v>
      </c>
      <c r="K247" s="44">
        <f t="shared" si="237"/>
        <v>7</v>
      </c>
      <c r="L247" s="44">
        <f t="shared" si="238"/>
        <v>7</v>
      </c>
      <c r="M247" s="44">
        <f t="shared" si="239"/>
        <v>7</v>
      </c>
      <c r="N247" s="44">
        <f t="shared" si="240"/>
        <v>6</v>
      </c>
      <c r="O247" s="44">
        <f t="shared" si="241"/>
        <v>7</v>
      </c>
      <c r="P247" s="44">
        <f t="shared" si="242"/>
        <v>7</v>
      </c>
      <c r="Q247" s="44">
        <f t="shared" si="243"/>
        <v>7</v>
      </c>
      <c r="R247" s="44">
        <f t="shared" si="244"/>
        <v>7</v>
      </c>
      <c r="S247" s="44">
        <f t="shared" si="245"/>
        <v>7</v>
      </c>
      <c r="T247" s="44">
        <f t="shared" si="246"/>
        <v>8</v>
      </c>
      <c r="U247" s="44">
        <f t="shared" si="247"/>
        <v>8</v>
      </c>
      <c r="V247" s="44">
        <f t="shared" si="248"/>
        <v>8</v>
      </c>
      <c r="W247" s="44">
        <f t="shared" si="249"/>
        <v>8</v>
      </c>
      <c r="X247" s="44">
        <f t="shared" si="250"/>
        <v>4</v>
      </c>
      <c r="Y247" s="44">
        <f t="shared" si="251"/>
        <v>7</v>
      </c>
      <c r="Z247" s="44">
        <f t="shared" si="252"/>
        <v>8</v>
      </c>
      <c r="AB247" s="7">
        <v>10</v>
      </c>
      <c r="AC247" s="44" t="str">
        <f t="shared" si="205"/>
        <v>4</v>
      </c>
      <c r="AD247" s="44" t="str">
        <f t="shared" si="206"/>
        <v>4</v>
      </c>
      <c r="AE247" s="44" t="str">
        <f t="shared" si="207"/>
        <v>4</v>
      </c>
      <c r="AF247" s="44" t="str">
        <f t="shared" si="208"/>
        <v>4</v>
      </c>
      <c r="AG247" s="44" t="str">
        <f t="shared" si="209"/>
        <v>4</v>
      </c>
      <c r="AH247" s="44" t="str">
        <f t="shared" si="253"/>
        <v>8</v>
      </c>
      <c r="AI247" s="44" t="str">
        <f t="shared" si="254"/>
        <v>7컷원점</v>
      </c>
      <c r="AJ247" s="44" t="str">
        <f t="shared" si="255"/>
        <v>7</v>
      </c>
      <c r="AK247" s="44" t="str">
        <f t="shared" si="256"/>
        <v>7컷원점</v>
      </c>
      <c r="AL247" s="44" t="str">
        <f t="shared" si="257"/>
        <v>7</v>
      </c>
      <c r="AM247" s="44" t="str">
        <f t="shared" si="258"/>
        <v>7</v>
      </c>
      <c r="AN247" s="44" t="str">
        <f t="shared" si="259"/>
        <v>7</v>
      </c>
      <c r="AO247" s="44" t="str">
        <f t="shared" si="260"/>
        <v>6컷원점</v>
      </c>
      <c r="AP247" s="44" t="str">
        <f t="shared" si="261"/>
        <v>7</v>
      </c>
      <c r="AQ247" s="44" t="str">
        <f t="shared" si="262"/>
        <v>7</v>
      </c>
      <c r="AR247" s="44" t="str">
        <f t="shared" si="263"/>
        <v>7</v>
      </c>
      <c r="AS247" s="44" t="str">
        <f t="shared" si="264"/>
        <v>7</v>
      </c>
      <c r="AT247" s="44" t="str">
        <f t="shared" si="265"/>
        <v>7</v>
      </c>
      <c r="AU247" s="44" t="str">
        <f t="shared" si="266"/>
        <v>8</v>
      </c>
      <c r="AV247" s="44" t="str">
        <f t="shared" si="267"/>
        <v>8</v>
      </c>
      <c r="AW247" s="44" t="str">
        <f t="shared" si="268"/>
        <v>8</v>
      </c>
      <c r="AX247" s="44" t="str">
        <f t="shared" si="269"/>
        <v>8</v>
      </c>
      <c r="AY247" s="7">
        <v>4</v>
      </c>
      <c r="AZ247" s="7">
        <v>7</v>
      </c>
      <c r="BA247" s="7">
        <v>8</v>
      </c>
    </row>
    <row r="248" spans="1:53" hidden="1" x14ac:dyDescent="0.3">
      <c r="A248" s="7">
        <v>59</v>
      </c>
      <c r="B248" s="44">
        <f t="shared" si="228"/>
        <v>4</v>
      </c>
      <c r="C248" s="44">
        <f t="shared" si="229"/>
        <v>4</v>
      </c>
      <c r="D248" s="44">
        <f t="shared" si="230"/>
        <v>4</v>
      </c>
      <c r="E248" s="44">
        <f t="shared" si="231"/>
        <v>4</v>
      </c>
      <c r="F248" s="44">
        <f t="shared" si="232"/>
        <v>4</v>
      </c>
      <c r="G248" s="44">
        <f t="shared" si="233"/>
        <v>8</v>
      </c>
      <c r="H248" s="44">
        <f t="shared" si="234"/>
        <v>8</v>
      </c>
      <c r="I248" s="44">
        <f t="shared" si="235"/>
        <v>7</v>
      </c>
      <c r="J248" s="44">
        <f t="shared" si="236"/>
        <v>8</v>
      </c>
      <c r="K248" s="44">
        <f t="shared" si="237"/>
        <v>7</v>
      </c>
      <c r="L248" s="44">
        <f t="shared" si="238"/>
        <v>7</v>
      </c>
      <c r="M248" s="44">
        <f t="shared" si="239"/>
        <v>7</v>
      </c>
      <c r="N248" s="44">
        <f t="shared" si="240"/>
        <v>7</v>
      </c>
      <c r="O248" s="44">
        <f t="shared" si="241"/>
        <v>7</v>
      </c>
      <c r="P248" s="44">
        <f t="shared" si="242"/>
        <v>7</v>
      </c>
      <c r="Q248" s="44">
        <f t="shared" si="243"/>
        <v>7</v>
      </c>
      <c r="R248" s="44">
        <f t="shared" si="244"/>
        <v>7</v>
      </c>
      <c r="S248" s="44">
        <f t="shared" si="245"/>
        <v>7</v>
      </c>
      <c r="T248" s="44">
        <f t="shared" si="246"/>
        <v>8</v>
      </c>
      <c r="U248" s="44">
        <f t="shared" si="247"/>
        <v>8</v>
      </c>
      <c r="V248" s="44">
        <f t="shared" si="248"/>
        <v>8</v>
      </c>
      <c r="W248" s="44">
        <f t="shared" si="249"/>
        <v>8</v>
      </c>
      <c r="X248" s="44">
        <f t="shared" si="250"/>
        <v>5</v>
      </c>
      <c r="Y248" s="44">
        <f t="shared" si="251"/>
        <v>8</v>
      </c>
      <c r="Z248" s="44">
        <f t="shared" si="252"/>
        <v>9</v>
      </c>
      <c r="AB248" s="7">
        <v>9</v>
      </c>
      <c r="AC248" s="44" t="str">
        <f t="shared" si="205"/>
        <v>4</v>
      </c>
      <c r="AD248" s="44" t="str">
        <f t="shared" si="206"/>
        <v>4컷원점</v>
      </c>
      <c r="AE248" s="44" t="str">
        <f t="shared" si="207"/>
        <v>4</v>
      </c>
      <c r="AF248" s="44" t="str">
        <f t="shared" si="208"/>
        <v>4</v>
      </c>
      <c r="AG248" s="44" t="str">
        <f t="shared" si="209"/>
        <v>4</v>
      </c>
      <c r="AH248" s="44" t="str">
        <f t="shared" si="253"/>
        <v>8</v>
      </c>
      <c r="AI248" s="44" t="str">
        <f t="shared" si="254"/>
        <v>8</v>
      </c>
      <c r="AJ248" s="44" t="str">
        <f t="shared" si="255"/>
        <v>7컷원점</v>
      </c>
      <c r="AK248" s="44" t="str">
        <f t="shared" si="256"/>
        <v>8</v>
      </c>
      <c r="AL248" s="44" t="str">
        <f t="shared" si="257"/>
        <v>7컷원점</v>
      </c>
      <c r="AM248" s="44" t="str">
        <f t="shared" si="258"/>
        <v>7컷원점</v>
      </c>
      <c r="AN248" s="44" t="str">
        <f t="shared" si="259"/>
        <v>7컷원점</v>
      </c>
      <c r="AO248" s="44" t="str">
        <f t="shared" si="260"/>
        <v>7</v>
      </c>
      <c r="AP248" s="44" t="str">
        <f t="shared" si="261"/>
        <v>7컷원점</v>
      </c>
      <c r="AQ248" s="44" t="str">
        <f t="shared" si="262"/>
        <v>7컷원점</v>
      </c>
      <c r="AR248" s="44" t="str">
        <f t="shared" si="263"/>
        <v>7컷원점</v>
      </c>
      <c r="AS248" s="44" t="str">
        <f t="shared" si="264"/>
        <v>7컷원점</v>
      </c>
      <c r="AT248" s="44" t="str">
        <f t="shared" si="265"/>
        <v>7컷원점</v>
      </c>
      <c r="AU248" s="44" t="str">
        <f t="shared" si="266"/>
        <v>8</v>
      </c>
      <c r="AV248" s="44" t="str">
        <f t="shared" si="267"/>
        <v>8</v>
      </c>
      <c r="AW248" s="44" t="str">
        <f t="shared" si="268"/>
        <v>8</v>
      </c>
      <c r="AX248" s="44" t="str">
        <f t="shared" si="269"/>
        <v>8</v>
      </c>
      <c r="AY248" s="7">
        <v>5</v>
      </c>
      <c r="AZ248" s="7">
        <v>8</v>
      </c>
      <c r="BA248" s="7">
        <v>9</v>
      </c>
    </row>
    <row r="249" spans="1:53" hidden="1" x14ac:dyDescent="0.3">
      <c r="A249" s="7">
        <v>58</v>
      </c>
      <c r="B249" s="44">
        <f t="shared" si="228"/>
        <v>4</v>
      </c>
      <c r="C249" s="44">
        <f t="shared" si="229"/>
        <v>5</v>
      </c>
      <c r="D249" s="44">
        <f t="shared" si="230"/>
        <v>4</v>
      </c>
      <c r="E249" s="44">
        <f t="shared" si="231"/>
        <v>4</v>
      </c>
      <c r="F249" s="44">
        <f t="shared" si="232"/>
        <v>4</v>
      </c>
      <c r="G249" s="44">
        <f t="shared" si="233"/>
        <v>8</v>
      </c>
      <c r="H249" s="44">
        <f t="shared" si="234"/>
        <v>8</v>
      </c>
      <c r="I249" s="44">
        <f t="shared" si="235"/>
        <v>8</v>
      </c>
      <c r="J249" s="44">
        <f t="shared" si="236"/>
        <v>8</v>
      </c>
      <c r="K249" s="44">
        <f t="shared" si="237"/>
        <v>8</v>
      </c>
      <c r="L249" s="44">
        <f t="shared" si="238"/>
        <v>8</v>
      </c>
      <c r="M249" s="44">
        <f t="shared" si="239"/>
        <v>8</v>
      </c>
      <c r="N249" s="44">
        <f t="shared" si="240"/>
        <v>7</v>
      </c>
      <c r="O249" s="44">
        <f t="shared" si="241"/>
        <v>8</v>
      </c>
      <c r="P249" s="44">
        <f t="shared" si="242"/>
        <v>8</v>
      </c>
      <c r="Q249" s="44">
        <f t="shared" si="243"/>
        <v>8</v>
      </c>
      <c r="R249" s="44">
        <f t="shared" si="244"/>
        <v>8</v>
      </c>
      <c r="S249" s="44">
        <f t="shared" si="245"/>
        <v>8</v>
      </c>
      <c r="T249" s="44">
        <f t="shared" si="246"/>
        <v>8</v>
      </c>
      <c r="U249" s="44">
        <f t="shared" si="247"/>
        <v>8</v>
      </c>
      <c r="V249" s="44">
        <f t="shared" si="248"/>
        <v>8</v>
      </c>
      <c r="W249" s="44">
        <f t="shared" si="249"/>
        <v>8</v>
      </c>
      <c r="X249" s="44">
        <f t="shared" si="250"/>
        <v>5</v>
      </c>
      <c r="Y249" s="44">
        <f t="shared" si="251"/>
        <v>8</v>
      </c>
      <c r="Z249" s="44">
        <f t="shared" si="252"/>
        <v>9</v>
      </c>
      <c r="AB249" s="7">
        <v>8</v>
      </c>
      <c r="AC249" s="44" t="str">
        <f t="shared" si="205"/>
        <v>4</v>
      </c>
      <c r="AD249" s="44" t="str">
        <f t="shared" si="206"/>
        <v>5</v>
      </c>
      <c r="AE249" s="44" t="str">
        <f t="shared" si="207"/>
        <v>4</v>
      </c>
      <c r="AF249" s="44" t="str">
        <f t="shared" si="208"/>
        <v>4</v>
      </c>
      <c r="AG249" s="44" t="str">
        <f t="shared" si="209"/>
        <v>4</v>
      </c>
      <c r="AH249" s="44" t="str">
        <f t="shared" si="253"/>
        <v>8</v>
      </c>
      <c r="AI249" s="44" t="str">
        <f t="shared" si="254"/>
        <v>8</v>
      </c>
      <c r="AJ249" s="44" t="str">
        <f t="shared" si="255"/>
        <v>8</v>
      </c>
      <c r="AK249" s="44" t="str">
        <f t="shared" si="256"/>
        <v>8</v>
      </c>
      <c r="AL249" s="44" t="str">
        <f t="shared" si="257"/>
        <v>8</v>
      </c>
      <c r="AM249" s="44" t="str">
        <f t="shared" si="258"/>
        <v>8</v>
      </c>
      <c r="AN249" s="44" t="str">
        <f t="shared" si="259"/>
        <v>8</v>
      </c>
      <c r="AO249" s="44" t="str">
        <f t="shared" si="260"/>
        <v>7컷원점</v>
      </c>
      <c r="AP249" s="44" t="str">
        <f t="shared" si="261"/>
        <v>8</v>
      </c>
      <c r="AQ249" s="44" t="str">
        <f t="shared" si="262"/>
        <v>8</v>
      </c>
      <c r="AR249" s="44" t="str">
        <f t="shared" si="263"/>
        <v>8</v>
      </c>
      <c r="AS249" s="44" t="str">
        <f t="shared" si="264"/>
        <v>8</v>
      </c>
      <c r="AT249" s="44" t="str">
        <f t="shared" si="265"/>
        <v>8</v>
      </c>
      <c r="AU249" s="44" t="str">
        <f t="shared" si="266"/>
        <v>8</v>
      </c>
      <c r="AV249" s="44" t="str">
        <f t="shared" si="267"/>
        <v>8</v>
      </c>
      <c r="AW249" s="44" t="str">
        <f t="shared" si="268"/>
        <v>8</v>
      </c>
      <c r="AX249" s="44" t="str">
        <f t="shared" si="269"/>
        <v>8</v>
      </c>
      <c r="AY249" s="7">
        <v>5</v>
      </c>
      <c r="AZ249" s="7">
        <v>8</v>
      </c>
      <c r="BA249" s="7">
        <v>9</v>
      </c>
    </row>
    <row r="250" spans="1:53" hidden="1" x14ac:dyDescent="0.3">
      <c r="A250" s="7">
        <v>57</v>
      </c>
      <c r="B250" s="44">
        <f t="shared" si="228"/>
        <v>4</v>
      </c>
      <c r="C250" s="44">
        <f t="shared" si="229"/>
        <v>5</v>
      </c>
      <c r="D250" s="44">
        <f t="shared" si="230"/>
        <v>4</v>
      </c>
      <c r="E250" s="44">
        <f t="shared" si="231"/>
        <v>4</v>
      </c>
      <c r="F250" s="44">
        <f t="shared" si="232"/>
        <v>4</v>
      </c>
      <c r="G250" s="44">
        <f t="shared" si="233"/>
        <v>8</v>
      </c>
      <c r="H250" s="44">
        <f t="shared" si="234"/>
        <v>8</v>
      </c>
      <c r="I250" s="44">
        <f t="shared" si="235"/>
        <v>8</v>
      </c>
      <c r="J250" s="44">
        <f t="shared" si="236"/>
        <v>8</v>
      </c>
      <c r="K250" s="44">
        <f t="shared" si="237"/>
        <v>8</v>
      </c>
      <c r="L250" s="44">
        <f t="shared" si="238"/>
        <v>8</v>
      </c>
      <c r="M250" s="44">
        <f t="shared" si="239"/>
        <v>8</v>
      </c>
      <c r="N250" s="44">
        <f t="shared" si="240"/>
        <v>8</v>
      </c>
      <c r="O250" s="44">
        <f t="shared" si="241"/>
        <v>8</v>
      </c>
      <c r="P250" s="44">
        <f t="shared" si="242"/>
        <v>8</v>
      </c>
      <c r="Q250" s="44">
        <f t="shared" si="243"/>
        <v>8</v>
      </c>
      <c r="R250" s="44">
        <f t="shared" si="244"/>
        <v>8</v>
      </c>
      <c r="S250" s="44">
        <f t="shared" si="245"/>
        <v>8</v>
      </c>
      <c r="T250" s="44">
        <f t="shared" si="246"/>
        <v>8</v>
      </c>
      <c r="U250" s="44">
        <f t="shared" si="247"/>
        <v>8</v>
      </c>
      <c r="V250" s="44">
        <f t="shared" si="248"/>
        <v>8</v>
      </c>
      <c r="W250" s="44">
        <f t="shared" si="249"/>
        <v>8</v>
      </c>
      <c r="X250" s="44">
        <f t="shared" si="250"/>
        <v>5</v>
      </c>
      <c r="Y250" s="44">
        <f t="shared" si="251"/>
        <v>8</v>
      </c>
      <c r="Z250" s="44">
        <f t="shared" si="252"/>
        <v>9</v>
      </c>
      <c r="AB250" s="7">
        <v>7</v>
      </c>
      <c r="AC250" s="44" t="str">
        <f t="shared" si="205"/>
        <v>4컷원점</v>
      </c>
      <c r="AD250" s="44" t="str">
        <f t="shared" si="206"/>
        <v>5</v>
      </c>
      <c r="AE250" s="44" t="str">
        <f t="shared" si="207"/>
        <v>4</v>
      </c>
      <c r="AF250" s="44" t="str">
        <f t="shared" si="208"/>
        <v>4</v>
      </c>
      <c r="AG250" s="44" t="str">
        <f t="shared" si="209"/>
        <v>4</v>
      </c>
      <c r="AH250" s="44" t="str">
        <f t="shared" si="253"/>
        <v>8컷원점</v>
      </c>
      <c r="AI250" s="44" t="str">
        <f t="shared" si="254"/>
        <v>8컷원점</v>
      </c>
      <c r="AJ250" s="44" t="str">
        <f t="shared" si="255"/>
        <v>8</v>
      </c>
      <c r="AK250" s="44" t="str">
        <f t="shared" si="256"/>
        <v>8컷원점</v>
      </c>
      <c r="AL250" s="44" t="str">
        <f t="shared" si="257"/>
        <v>8</v>
      </c>
      <c r="AM250" s="44" t="str">
        <f t="shared" si="258"/>
        <v>8</v>
      </c>
      <c r="AN250" s="44" t="str">
        <f t="shared" si="259"/>
        <v>8</v>
      </c>
      <c r="AO250" s="44" t="str">
        <f t="shared" si="260"/>
        <v>8</v>
      </c>
      <c r="AP250" s="44" t="str">
        <f t="shared" si="261"/>
        <v>8</v>
      </c>
      <c r="AQ250" s="44" t="str">
        <f t="shared" si="262"/>
        <v>8</v>
      </c>
      <c r="AR250" s="44" t="str">
        <f t="shared" si="263"/>
        <v>8</v>
      </c>
      <c r="AS250" s="44" t="str">
        <f t="shared" si="264"/>
        <v>8</v>
      </c>
      <c r="AT250" s="44" t="str">
        <f t="shared" si="265"/>
        <v>8</v>
      </c>
      <c r="AU250" s="44" t="str">
        <f t="shared" si="266"/>
        <v>8컷원점</v>
      </c>
      <c r="AV250" s="44" t="str">
        <f t="shared" si="267"/>
        <v>8컷원점</v>
      </c>
      <c r="AW250" s="44" t="str">
        <f t="shared" si="268"/>
        <v>8컷원점</v>
      </c>
      <c r="AX250" s="44" t="str">
        <f t="shared" si="269"/>
        <v>8컷원점</v>
      </c>
      <c r="AY250" s="7">
        <v>5</v>
      </c>
      <c r="AZ250" s="7">
        <v>8</v>
      </c>
      <c r="BA250" s="7">
        <v>9</v>
      </c>
    </row>
    <row r="251" spans="1:53" hidden="1" x14ac:dyDescent="0.3">
      <c r="A251" s="7">
        <v>56</v>
      </c>
      <c r="B251" s="44">
        <f t="shared" si="228"/>
        <v>5</v>
      </c>
      <c r="C251" s="44">
        <f t="shared" si="229"/>
        <v>5</v>
      </c>
      <c r="D251" s="44">
        <f t="shared" si="230"/>
        <v>4</v>
      </c>
      <c r="E251" s="44">
        <f t="shared" si="231"/>
        <v>4</v>
      </c>
      <c r="F251" s="44">
        <f t="shared" si="232"/>
        <v>4</v>
      </c>
      <c r="G251" s="44" t="e">
        <f t="shared" si="233"/>
        <v>#VALUE!</v>
      </c>
      <c r="H251" s="44" t="e">
        <f t="shared" si="234"/>
        <v>#VALUE!</v>
      </c>
      <c r="I251" s="44">
        <f t="shared" si="235"/>
        <v>8</v>
      </c>
      <c r="J251" s="44" t="e">
        <f t="shared" si="236"/>
        <v>#VALUE!</v>
      </c>
      <c r="K251" s="44">
        <f t="shared" si="237"/>
        <v>8</v>
      </c>
      <c r="L251" s="44">
        <f t="shared" si="238"/>
        <v>8</v>
      </c>
      <c r="M251" s="44">
        <f t="shared" si="239"/>
        <v>8</v>
      </c>
      <c r="N251" s="44">
        <f t="shared" si="240"/>
        <v>8</v>
      </c>
      <c r="O251" s="44">
        <f t="shared" si="241"/>
        <v>8</v>
      </c>
      <c r="P251" s="44">
        <f t="shared" si="242"/>
        <v>8</v>
      </c>
      <c r="Q251" s="44">
        <f t="shared" si="243"/>
        <v>8</v>
      </c>
      <c r="R251" s="44">
        <f t="shared" si="244"/>
        <v>8</v>
      </c>
      <c r="S251" s="44">
        <f t="shared" si="245"/>
        <v>8</v>
      </c>
      <c r="T251" s="44" t="e">
        <f t="shared" si="246"/>
        <v>#VALUE!</v>
      </c>
      <c r="U251" s="44" t="e">
        <f t="shared" si="247"/>
        <v>#VALUE!</v>
      </c>
      <c r="V251" s="44" t="e">
        <f t="shared" si="248"/>
        <v>#VALUE!</v>
      </c>
      <c r="W251" s="44" t="e">
        <f t="shared" si="249"/>
        <v>#VALUE!</v>
      </c>
      <c r="X251" s="44">
        <f t="shared" si="250"/>
        <v>5</v>
      </c>
      <c r="Y251" s="44">
        <f t="shared" si="251"/>
        <v>8</v>
      </c>
      <c r="Z251" s="44">
        <f t="shared" si="252"/>
        <v>9</v>
      </c>
      <c r="AB251" s="7">
        <v>6</v>
      </c>
      <c r="AC251" s="44" t="str">
        <f t="shared" si="205"/>
        <v>5</v>
      </c>
      <c r="AD251" s="44" t="str">
        <f t="shared" si="206"/>
        <v>5</v>
      </c>
      <c r="AE251" s="44" t="str">
        <f t="shared" si="207"/>
        <v>4</v>
      </c>
      <c r="AF251" s="44" t="str">
        <f t="shared" si="208"/>
        <v>4</v>
      </c>
      <c r="AG251" s="44" t="str">
        <f t="shared" si="209"/>
        <v>4</v>
      </c>
      <c r="AH251" s="44" t="b">
        <f t="shared" si="253"/>
        <v>0</v>
      </c>
      <c r="AI251" s="44" t="b">
        <f t="shared" si="254"/>
        <v>0</v>
      </c>
      <c r="AJ251" s="44" t="str">
        <f t="shared" si="255"/>
        <v>8컷원점</v>
      </c>
      <c r="AK251" s="44" t="b">
        <f t="shared" si="256"/>
        <v>0</v>
      </c>
      <c r="AL251" s="44" t="str">
        <f t="shared" si="257"/>
        <v>8컷원점</v>
      </c>
      <c r="AM251" s="44" t="str">
        <f t="shared" si="258"/>
        <v>8</v>
      </c>
      <c r="AN251" s="44" t="str">
        <f t="shared" si="259"/>
        <v>8컷원점</v>
      </c>
      <c r="AO251" s="44" t="str">
        <f t="shared" si="260"/>
        <v>8컷원점</v>
      </c>
      <c r="AP251" s="44" t="str">
        <f t="shared" si="261"/>
        <v>8컷원점</v>
      </c>
      <c r="AQ251" s="44" t="str">
        <f t="shared" si="262"/>
        <v>8컷원점</v>
      </c>
      <c r="AR251" s="44" t="str">
        <f t="shared" si="263"/>
        <v>8컷원점</v>
      </c>
      <c r="AS251" s="44" t="str">
        <f t="shared" si="264"/>
        <v>8컷원점</v>
      </c>
      <c r="AT251" s="44" t="str">
        <f t="shared" si="265"/>
        <v>8컷원점</v>
      </c>
      <c r="AU251" s="44" t="b">
        <f t="shared" si="266"/>
        <v>0</v>
      </c>
      <c r="AV251" s="44" t="b">
        <f t="shared" si="267"/>
        <v>0</v>
      </c>
      <c r="AW251" s="44" t="b">
        <f t="shared" si="268"/>
        <v>0</v>
      </c>
      <c r="AX251" s="44" t="b">
        <f t="shared" si="269"/>
        <v>0</v>
      </c>
      <c r="AY251" s="7">
        <v>5</v>
      </c>
      <c r="AZ251" s="7">
        <v>8</v>
      </c>
      <c r="BA251" s="7">
        <v>9</v>
      </c>
    </row>
    <row r="252" spans="1:53" hidden="1" x14ac:dyDescent="0.3">
      <c r="A252" s="7">
        <v>55</v>
      </c>
      <c r="B252" s="44">
        <f t="shared" si="228"/>
        <v>5</v>
      </c>
      <c r="C252" s="44">
        <f t="shared" si="229"/>
        <v>5</v>
      </c>
      <c r="D252" s="44">
        <f t="shared" si="230"/>
        <v>4</v>
      </c>
      <c r="E252" s="44">
        <f t="shared" si="231"/>
        <v>4</v>
      </c>
      <c r="F252" s="44">
        <f t="shared" si="232"/>
        <v>4</v>
      </c>
      <c r="G252" s="44" t="e">
        <f t="shared" si="233"/>
        <v>#VALUE!</v>
      </c>
      <c r="H252" s="44" t="e">
        <f t="shared" si="234"/>
        <v>#VALUE!</v>
      </c>
      <c r="I252" s="44" t="e">
        <f t="shared" si="235"/>
        <v>#VALUE!</v>
      </c>
      <c r="J252" s="44" t="e">
        <f t="shared" si="236"/>
        <v>#VALUE!</v>
      </c>
      <c r="K252" s="44" t="e">
        <f t="shared" si="237"/>
        <v>#VALUE!</v>
      </c>
      <c r="L252" s="44">
        <f t="shared" si="238"/>
        <v>8</v>
      </c>
      <c r="M252" s="44" t="e">
        <f t="shared" si="239"/>
        <v>#VALUE!</v>
      </c>
      <c r="N252" s="44" t="e">
        <f t="shared" si="240"/>
        <v>#VALUE!</v>
      </c>
      <c r="O252" s="44" t="e">
        <f t="shared" si="241"/>
        <v>#VALUE!</v>
      </c>
      <c r="P252" s="44" t="e">
        <f t="shared" si="242"/>
        <v>#VALUE!</v>
      </c>
      <c r="Q252" s="44" t="e">
        <f t="shared" si="243"/>
        <v>#VALUE!</v>
      </c>
      <c r="R252" s="44" t="e">
        <f t="shared" si="244"/>
        <v>#VALUE!</v>
      </c>
      <c r="S252" s="44" t="e">
        <f t="shared" si="245"/>
        <v>#VALUE!</v>
      </c>
      <c r="T252" s="44" t="e">
        <f t="shared" si="246"/>
        <v>#VALUE!</v>
      </c>
      <c r="U252" s="44" t="e">
        <f t="shared" si="247"/>
        <v>#VALUE!</v>
      </c>
      <c r="V252" s="44" t="e">
        <f t="shared" si="248"/>
        <v>#VALUE!</v>
      </c>
      <c r="W252" s="44" t="e">
        <f t="shared" si="249"/>
        <v>#VALUE!</v>
      </c>
      <c r="X252" s="44">
        <f t="shared" si="250"/>
        <v>5</v>
      </c>
      <c r="Y252" s="44">
        <f t="shared" si="251"/>
        <v>8</v>
      </c>
      <c r="Z252" s="44">
        <f t="shared" si="252"/>
        <v>9</v>
      </c>
      <c r="AB252" s="7">
        <v>5</v>
      </c>
      <c r="AC252" s="44" t="str">
        <f t="shared" si="205"/>
        <v>5</v>
      </c>
      <c r="AD252" s="44" t="str">
        <f t="shared" si="206"/>
        <v>5</v>
      </c>
      <c r="AE252" s="44" t="str">
        <f t="shared" si="207"/>
        <v>4</v>
      </c>
      <c r="AF252" s="44" t="str">
        <f t="shared" si="208"/>
        <v>4</v>
      </c>
      <c r="AG252" s="44" t="str">
        <f t="shared" si="209"/>
        <v>4</v>
      </c>
      <c r="AH252" s="44" t="b">
        <f t="shared" si="253"/>
        <v>0</v>
      </c>
      <c r="AI252" s="44" t="b">
        <f t="shared" si="254"/>
        <v>0</v>
      </c>
      <c r="AJ252" s="44" t="b">
        <f t="shared" si="255"/>
        <v>0</v>
      </c>
      <c r="AK252" s="44" t="b">
        <f t="shared" si="256"/>
        <v>0</v>
      </c>
      <c r="AL252" s="44" t="b">
        <f t="shared" si="257"/>
        <v>0</v>
      </c>
      <c r="AM252" s="44" t="str">
        <f t="shared" si="258"/>
        <v>8컷원점</v>
      </c>
      <c r="AN252" s="44" t="b">
        <f t="shared" si="259"/>
        <v>0</v>
      </c>
      <c r="AO252" s="44" t="b">
        <f t="shared" si="260"/>
        <v>0</v>
      </c>
      <c r="AP252" s="44" t="b">
        <f t="shared" si="261"/>
        <v>0</v>
      </c>
      <c r="AQ252" s="44" t="b">
        <f t="shared" si="262"/>
        <v>0</v>
      </c>
      <c r="AR252" s="44" t="b">
        <f t="shared" si="263"/>
        <v>0</v>
      </c>
      <c r="AS252" s="44" t="b">
        <f t="shared" si="264"/>
        <v>0</v>
      </c>
      <c r="AT252" s="44" t="b">
        <f t="shared" si="265"/>
        <v>0</v>
      </c>
      <c r="AU252" s="44" t="b">
        <f t="shared" si="266"/>
        <v>0</v>
      </c>
      <c r="AV252" s="44" t="b">
        <f t="shared" si="267"/>
        <v>0</v>
      </c>
      <c r="AW252" s="44" t="b">
        <f t="shared" si="268"/>
        <v>0</v>
      </c>
      <c r="AX252" s="44" t="b">
        <f t="shared" si="269"/>
        <v>0</v>
      </c>
      <c r="AY252" s="7">
        <v>5</v>
      </c>
      <c r="AZ252" s="7">
        <v>8</v>
      </c>
      <c r="BA252" s="7">
        <v>9</v>
      </c>
    </row>
    <row r="253" spans="1:53" hidden="1" x14ac:dyDescent="0.3">
      <c r="A253" s="7">
        <v>54</v>
      </c>
      <c r="B253" s="44">
        <f t="shared" si="228"/>
        <v>5</v>
      </c>
      <c r="C253" s="44">
        <f t="shared" si="229"/>
        <v>5</v>
      </c>
      <c r="D253" s="44">
        <f t="shared" si="230"/>
        <v>4</v>
      </c>
      <c r="E253" s="44">
        <f t="shared" si="231"/>
        <v>4</v>
      </c>
      <c r="F253" s="44">
        <f t="shared" si="232"/>
        <v>4</v>
      </c>
      <c r="G253" s="44" t="e">
        <f t="shared" si="233"/>
        <v>#VALUE!</v>
      </c>
      <c r="H253" s="44" t="e">
        <f t="shared" si="234"/>
        <v>#VALUE!</v>
      </c>
      <c r="I253" s="44" t="e">
        <f t="shared" si="235"/>
        <v>#VALUE!</v>
      </c>
      <c r="J253" s="44" t="e">
        <f t="shared" si="236"/>
        <v>#VALUE!</v>
      </c>
      <c r="K253" s="44" t="e">
        <f t="shared" si="237"/>
        <v>#VALUE!</v>
      </c>
      <c r="L253" s="44" t="e">
        <f t="shared" si="238"/>
        <v>#VALUE!</v>
      </c>
      <c r="M253" s="44" t="e">
        <f t="shared" si="239"/>
        <v>#VALUE!</v>
      </c>
      <c r="N253" s="44" t="e">
        <f t="shared" si="240"/>
        <v>#VALUE!</v>
      </c>
      <c r="O253" s="44" t="e">
        <f t="shared" si="241"/>
        <v>#VALUE!</v>
      </c>
      <c r="P253" s="44" t="e">
        <f t="shared" si="242"/>
        <v>#VALUE!</v>
      </c>
      <c r="Q253" s="44" t="e">
        <f t="shared" si="243"/>
        <v>#VALUE!</v>
      </c>
      <c r="R253" s="44" t="e">
        <f t="shared" si="244"/>
        <v>#VALUE!</v>
      </c>
      <c r="S253" s="44" t="e">
        <f t="shared" si="245"/>
        <v>#VALUE!</v>
      </c>
      <c r="T253" s="44" t="e">
        <f t="shared" si="246"/>
        <v>#VALUE!</v>
      </c>
      <c r="U253" s="44" t="e">
        <f t="shared" si="247"/>
        <v>#VALUE!</v>
      </c>
      <c r="V253" s="44" t="e">
        <f t="shared" si="248"/>
        <v>#VALUE!</v>
      </c>
      <c r="W253" s="44" t="e">
        <f t="shared" si="249"/>
        <v>#VALUE!</v>
      </c>
      <c r="X253" s="44">
        <f t="shared" si="250"/>
        <v>5</v>
      </c>
      <c r="Y253" s="44">
        <f t="shared" si="251"/>
        <v>9</v>
      </c>
      <c r="Z253" s="44">
        <f t="shared" si="252"/>
        <v>9</v>
      </c>
      <c r="AB253" s="7">
        <v>4</v>
      </c>
      <c r="AC253" s="44" t="str">
        <f t="shared" si="205"/>
        <v>5</v>
      </c>
      <c r="AD253" s="44" t="str">
        <f t="shared" si="206"/>
        <v>5</v>
      </c>
      <c r="AE253" s="44" t="str">
        <f t="shared" si="207"/>
        <v>4</v>
      </c>
      <c r="AF253" s="44" t="str">
        <f t="shared" si="208"/>
        <v>4</v>
      </c>
      <c r="AG253" s="44" t="str">
        <f t="shared" si="209"/>
        <v>4컷원점</v>
      </c>
      <c r="AH253" s="44" t="b">
        <f t="shared" si="253"/>
        <v>0</v>
      </c>
      <c r="AI253" s="44" t="b">
        <f t="shared" si="254"/>
        <v>0</v>
      </c>
      <c r="AJ253" s="44" t="b">
        <f t="shared" si="255"/>
        <v>0</v>
      </c>
      <c r="AK253" s="44" t="b">
        <f t="shared" si="256"/>
        <v>0</v>
      </c>
      <c r="AL253" s="44" t="b">
        <f t="shared" si="257"/>
        <v>0</v>
      </c>
      <c r="AM253" s="44" t="b">
        <f t="shared" si="258"/>
        <v>0</v>
      </c>
      <c r="AN253" s="44" t="b">
        <f t="shared" si="259"/>
        <v>0</v>
      </c>
      <c r="AO253" s="44" t="b">
        <f t="shared" si="260"/>
        <v>0</v>
      </c>
      <c r="AP253" s="44" t="b">
        <f t="shared" si="261"/>
        <v>0</v>
      </c>
      <c r="AQ253" s="44" t="b">
        <f t="shared" si="262"/>
        <v>0</v>
      </c>
      <c r="AR253" s="44" t="b">
        <f t="shared" si="263"/>
        <v>0</v>
      </c>
      <c r="AS253" s="44" t="b">
        <f t="shared" si="264"/>
        <v>0</v>
      </c>
      <c r="AT253" s="44" t="b">
        <f t="shared" si="265"/>
        <v>0</v>
      </c>
      <c r="AU253" s="44" t="b">
        <f t="shared" si="266"/>
        <v>0</v>
      </c>
      <c r="AV253" s="44" t="b">
        <f t="shared" si="267"/>
        <v>0</v>
      </c>
      <c r="AW253" s="44" t="b">
        <f t="shared" si="268"/>
        <v>0</v>
      </c>
      <c r="AX253" s="44" t="b">
        <f t="shared" si="269"/>
        <v>0</v>
      </c>
      <c r="AY253" s="7">
        <v>5</v>
      </c>
      <c r="AZ253" s="7">
        <v>9</v>
      </c>
      <c r="BA253" s="7">
        <v>9</v>
      </c>
    </row>
    <row r="254" spans="1:53" hidden="1" x14ac:dyDescent="0.3">
      <c r="A254" s="7">
        <v>53</v>
      </c>
      <c r="B254" s="44">
        <f t="shared" si="228"/>
        <v>5</v>
      </c>
      <c r="C254" s="44">
        <f t="shared" si="229"/>
        <v>5</v>
      </c>
      <c r="D254" s="44">
        <f t="shared" si="230"/>
        <v>4</v>
      </c>
      <c r="E254" s="44">
        <f t="shared" si="231"/>
        <v>4</v>
      </c>
      <c r="F254" s="44">
        <f t="shared" si="232"/>
        <v>5</v>
      </c>
      <c r="G254" s="44" t="e">
        <f t="shared" si="233"/>
        <v>#VALUE!</v>
      </c>
      <c r="H254" s="44" t="e">
        <f t="shared" si="234"/>
        <v>#VALUE!</v>
      </c>
      <c r="I254" s="44" t="e">
        <f t="shared" si="235"/>
        <v>#VALUE!</v>
      </c>
      <c r="J254" s="44" t="e">
        <f t="shared" si="236"/>
        <v>#VALUE!</v>
      </c>
      <c r="K254" s="44" t="e">
        <f t="shared" si="237"/>
        <v>#VALUE!</v>
      </c>
      <c r="L254" s="44" t="e">
        <f t="shared" si="238"/>
        <v>#VALUE!</v>
      </c>
      <c r="M254" s="44" t="e">
        <f t="shared" si="239"/>
        <v>#VALUE!</v>
      </c>
      <c r="N254" s="44" t="e">
        <f t="shared" si="240"/>
        <v>#VALUE!</v>
      </c>
      <c r="O254" s="44" t="e">
        <f t="shared" si="241"/>
        <v>#VALUE!</v>
      </c>
      <c r="P254" s="44" t="e">
        <f t="shared" si="242"/>
        <v>#VALUE!</v>
      </c>
      <c r="Q254" s="44" t="e">
        <f t="shared" si="243"/>
        <v>#VALUE!</v>
      </c>
      <c r="R254" s="44" t="e">
        <f t="shared" si="244"/>
        <v>#VALUE!</v>
      </c>
      <c r="S254" s="44" t="e">
        <f t="shared" si="245"/>
        <v>#VALUE!</v>
      </c>
      <c r="T254" s="44" t="e">
        <f t="shared" si="246"/>
        <v>#VALUE!</v>
      </c>
      <c r="U254" s="44" t="e">
        <f t="shared" si="247"/>
        <v>#VALUE!</v>
      </c>
      <c r="V254" s="44" t="e">
        <f t="shared" si="248"/>
        <v>#VALUE!</v>
      </c>
      <c r="W254" s="44" t="e">
        <f t="shared" si="249"/>
        <v>#VALUE!</v>
      </c>
      <c r="X254" s="44">
        <f t="shared" si="250"/>
        <v>5</v>
      </c>
      <c r="Y254" s="44">
        <f t="shared" si="251"/>
        <v>9</v>
      </c>
      <c r="Z254" s="44">
        <f t="shared" si="252"/>
        <v>9</v>
      </c>
      <c r="AB254" s="7">
        <v>3</v>
      </c>
      <c r="AC254" s="44" t="str">
        <f t="shared" si="205"/>
        <v>5</v>
      </c>
      <c r="AD254" s="44" t="str">
        <f t="shared" si="206"/>
        <v>5</v>
      </c>
      <c r="AE254" s="44" t="str">
        <f t="shared" si="207"/>
        <v>4</v>
      </c>
      <c r="AF254" s="44" t="str">
        <f t="shared" si="208"/>
        <v>4</v>
      </c>
      <c r="AG254" s="44" t="str">
        <f t="shared" si="209"/>
        <v>5</v>
      </c>
      <c r="AH254" s="44" t="b">
        <f t="shared" si="253"/>
        <v>0</v>
      </c>
      <c r="AI254" s="44" t="b">
        <f t="shared" si="254"/>
        <v>0</v>
      </c>
      <c r="AJ254" s="44" t="b">
        <f t="shared" si="255"/>
        <v>0</v>
      </c>
      <c r="AK254" s="44" t="b">
        <f t="shared" si="256"/>
        <v>0</v>
      </c>
      <c r="AL254" s="44" t="b">
        <f t="shared" si="257"/>
        <v>0</v>
      </c>
      <c r="AM254" s="44" t="b">
        <f t="shared" si="258"/>
        <v>0</v>
      </c>
      <c r="AN254" s="44" t="b">
        <f t="shared" si="259"/>
        <v>0</v>
      </c>
      <c r="AO254" s="44" t="b">
        <f t="shared" si="260"/>
        <v>0</v>
      </c>
      <c r="AP254" s="44" t="b">
        <f t="shared" si="261"/>
        <v>0</v>
      </c>
      <c r="AQ254" s="44" t="b">
        <f t="shared" si="262"/>
        <v>0</v>
      </c>
      <c r="AR254" s="44" t="b">
        <f t="shared" si="263"/>
        <v>0</v>
      </c>
      <c r="AS254" s="44" t="b">
        <f t="shared" si="264"/>
        <v>0</v>
      </c>
      <c r="AT254" s="44" t="b">
        <f t="shared" si="265"/>
        <v>0</v>
      </c>
      <c r="AU254" s="44" t="b">
        <f t="shared" si="266"/>
        <v>0</v>
      </c>
      <c r="AV254" s="44" t="b">
        <f t="shared" si="267"/>
        <v>0</v>
      </c>
      <c r="AW254" s="44" t="b">
        <f t="shared" si="268"/>
        <v>0</v>
      </c>
      <c r="AX254" s="44" t="b">
        <f t="shared" si="269"/>
        <v>0</v>
      </c>
      <c r="AY254" s="7">
        <v>5</v>
      </c>
      <c r="AZ254" s="7">
        <v>9</v>
      </c>
      <c r="BA254" s="7">
        <v>9</v>
      </c>
    </row>
    <row r="255" spans="1:53" hidden="1" x14ac:dyDescent="0.3">
      <c r="A255" s="7">
        <v>52</v>
      </c>
      <c r="B255" s="44">
        <f t="shared" si="228"/>
        <v>5</v>
      </c>
      <c r="C255" s="44">
        <f t="shared" si="229"/>
        <v>5</v>
      </c>
      <c r="D255" s="44">
        <f t="shared" si="230"/>
        <v>4</v>
      </c>
      <c r="E255" s="44">
        <f t="shared" si="231"/>
        <v>4</v>
      </c>
      <c r="F255" s="44">
        <f t="shared" si="232"/>
        <v>5</v>
      </c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>
        <f t="shared" si="250"/>
        <v>5</v>
      </c>
      <c r="Y255" s="44">
        <f t="shared" si="251"/>
        <v>9</v>
      </c>
      <c r="Z255" s="44">
        <f t="shared" si="252"/>
        <v>9</v>
      </c>
      <c r="AB255" s="7">
        <v>2</v>
      </c>
      <c r="AC255" s="44" t="str">
        <f t="shared" si="205"/>
        <v>5</v>
      </c>
      <c r="AD255" s="44" t="str">
        <f t="shared" si="206"/>
        <v>5</v>
      </c>
      <c r="AE255" s="44" t="str">
        <f t="shared" si="207"/>
        <v>4</v>
      </c>
      <c r="AF255" s="44" t="str">
        <f t="shared" si="208"/>
        <v>4컷원점</v>
      </c>
      <c r="AG255" s="44" t="str">
        <f t="shared" si="209"/>
        <v>5</v>
      </c>
      <c r="AH255" s="44" t="b">
        <f t="shared" si="253"/>
        <v>0</v>
      </c>
      <c r="AI255" s="44" t="b">
        <f t="shared" si="254"/>
        <v>0</v>
      </c>
      <c r="AJ255" s="44" t="b">
        <f t="shared" si="255"/>
        <v>0</v>
      </c>
      <c r="AK255" s="44" t="b">
        <f t="shared" si="256"/>
        <v>0</v>
      </c>
      <c r="AL255" s="44" t="b">
        <f t="shared" si="257"/>
        <v>0</v>
      </c>
      <c r="AM255" s="44" t="b">
        <f t="shared" si="258"/>
        <v>0</v>
      </c>
      <c r="AN255" s="44" t="b">
        <f t="shared" si="259"/>
        <v>0</v>
      </c>
      <c r="AO255" s="44" t="b">
        <f t="shared" si="260"/>
        <v>0</v>
      </c>
      <c r="AP255" s="44" t="b">
        <f t="shared" si="261"/>
        <v>0</v>
      </c>
      <c r="AQ255" s="44" t="b">
        <f t="shared" si="262"/>
        <v>0</v>
      </c>
      <c r="AR255" s="44" t="b">
        <f t="shared" si="263"/>
        <v>0</v>
      </c>
      <c r="AS255" s="44" t="b">
        <f t="shared" si="264"/>
        <v>0</v>
      </c>
      <c r="AT255" s="44" t="b">
        <f t="shared" si="265"/>
        <v>0</v>
      </c>
      <c r="AU255" s="44" t="b">
        <f t="shared" si="266"/>
        <v>0</v>
      </c>
      <c r="AV255" s="44" t="b">
        <f t="shared" si="267"/>
        <v>0</v>
      </c>
      <c r="AW255" s="44" t="b">
        <f t="shared" si="268"/>
        <v>0</v>
      </c>
      <c r="AX255" s="44" t="b">
        <f t="shared" si="269"/>
        <v>0</v>
      </c>
      <c r="AY255" s="7">
        <v>5</v>
      </c>
      <c r="AZ255" s="7">
        <v>9</v>
      </c>
      <c r="BA255" s="7">
        <v>9</v>
      </c>
    </row>
    <row r="256" spans="1:53" hidden="1" x14ac:dyDescent="0.3">
      <c r="A256" s="7">
        <v>51</v>
      </c>
      <c r="B256" s="44">
        <f t="shared" si="228"/>
        <v>5</v>
      </c>
      <c r="C256" s="44">
        <f t="shared" si="229"/>
        <v>5</v>
      </c>
      <c r="D256" s="44">
        <f t="shared" si="230"/>
        <v>4</v>
      </c>
      <c r="E256" s="44">
        <f t="shared" si="231"/>
        <v>5</v>
      </c>
      <c r="F256" s="44">
        <f t="shared" si="232"/>
        <v>5</v>
      </c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>
        <f t="shared" si="250"/>
        <v>5</v>
      </c>
      <c r="Y256" s="44">
        <f t="shared" si="251"/>
        <v>9</v>
      </c>
      <c r="Z256" s="44">
        <f t="shared" si="252"/>
        <v>9</v>
      </c>
      <c r="AB256" s="7">
        <v>1</v>
      </c>
      <c r="AC256" s="44" t="str">
        <f t="shared" ref="AC256:AC279" si="270">IF(COUNTIF(B$32:B$39,$A256)=1,INDEX($A$32:$A$39,MATCH($A256,B$32:B$39,0)),IF($A256&gt;=B$32,"1",IF($A256&gt;=B$33,"2",IF($A256&gt;=B$34,"3",IF($A256&gt;=B$35,"4",IF($A256&gt;=B$36,"5",IF($A256&gt;=B$37,"6",IF($A256&gt;=B$38,"7",IF($A256&gt;=B$39,"8")))))))))</f>
        <v>5</v>
      </c>
      <c r="AD256" s="44" t="str">
        <f t="shared" ref="AD256:AD279" si="271">IF(COUNTIF(C$32:C$39,$A256)=1,INDEX($A$32:$A$39,MATCH($A256,C$32:C$39,0)),IF($A256&gt;=C$32,"1",IF($A256&gt;=C$33,"2",IF($A256&gt;=C$34,"3",IF($A256&gt;=C$35,"4",IF($A256&gt;=C$36,"5",IF($A256&gt;=C$37,"6",IF($A256&gt;=C$38,"7",IF($A256&gt;=C$39,"8")))))))))</f>
        <v>5</v>
      </c>
      <c r="AE256" s="44" t="str">
        <f t="shared" ref="AE256:AE279" si="272">IF(COUNTIF(D$32:D$39,$A256)=1,INDEX($A$32:$A$39,MATCH($A256,D$32:D$39,0)),IF($A256&gt;=D$32,"1",IF($A256&gt;=D$33,"2",IF($A256&gt;=D$34,"3",IF($A256&gt;=D$35,"4",IF($A256&gt;=D$36,"5",IF($A256&gt;=D$37,"6",IF($A256&gt;=D$38,"7",IF($A256&gt;=D$39,"8")))))))))</f>
        <v>4</v>
      </c>
      <c r="AF256" s="44" t="str">
        <f t="shared" ref="AF256:AF279" si="273">IF(COUNTIF(E$32:E$39,$A256)=1,INDEX($A$32:$A$39,MATCH($A256,E$32:E$39,0)),IF($A256&gt;=E$32,"1",IF($A256&gt;=E$33,"2",IF($A256&gt;=E$34,"3",IF($A256&gt;=E$35,"4",IF($A256&gt;=E$36,"5",IF($A256&gt;=E$37,"6",IF($A256&gt;=E$38,"7",IF($A256&gt;=E$39,"8")))))))))</f>
        <v>5</v>
      </c>
      <c r="AG256" s="44" t="str">
        <f t="shared" ref="AG256:AG279" si="274">IF(COUNTIF(F$32:F$39,$A256)=1,INDEX($A$32:$A$39,MATCH($A256,F$32:F$39,0)),IF($A256&gt;=F$32,"1",IF($A256&gt;=F$33,"2",IF($A256&gt;=F$34,"3",IF($A256&gt;=F$35,"4",IF($A256&gt;=F$36,"5",IF($A256&gt;=F$37,"6",IF($A256&gt;=F$38,"7",IF($A256&gt;=F$39,"8")))))))))</f>
        <v>5</v>
      </c>
      <c r="AH256" s="44" t="b">
        <f t="shared" si="253"/>
        <v>0</v>
      </c>
      <c r="AI256" s="44" t="b">
        <f t="shared" si="254"/>
        <v>0</v>
      </c>
      <c r="AJ256" s="44" t="b">
        <f t="shared" si="255"/>
        <v>0</v>
      </c>
      <c r="AK256" s="44" t="b">
        <f t="shared" si="256"/>
        <v>0</v>
      </c>
      <c r="AL256" s="44" t="b">
        <f t="shared" si="257"/>
        <v>0</v>
      </c>
      <c r="AM256" s="44" t="b">
        <f t="shared" si="258"/>
        <v>0</v>
      </c>
      <c r="AN256" s="44" t="b">
        <f t="shared" si="259"/>
        <v>0</v>
      </c>
      <c r="AO256" s="44" t="b">
        <f t="shared" si="260"/>
        <v>0</v>
      </c>
      <c r="AP256" s="44" t="b">
        <f t="shared" si="261"/>
        <v>0</v>
      </c>
      <c r="AQ256" s="44" t="b">
        <f t="shared" si="262"/>
        <v>0</v>
      </c>
      <c r="AR256" s="44" t="b">
        <f t="shared" si="263"/>
        <v>0</v>
      </c>
      <c r="AS256" s="44" t="b">
        <f t="shared" si="264"/>
        <v>0</v>
      </c>
      <c r="AT256" s="44" t="b">
        <f t="shared" si="265"/>
        <v>0</v>
      </c>
      <c r="AU256" s="44" t="b">
        <f t="shared" si="266"/>
        <v>0</v>
      </c>
      <c r="AV256" s="44" t="b">
        <f t="shared" si="267"/>
        <v>0</v>
      </c>
      <c r="AW256" s="44" t="b">
        <f t="shared" si="268"/>
        <v>0</v>
      </c>
      <c r="AX256" s="44" t="b">
        <f t="shared" si="269"/>
        <v>0</v>
      </c>
      <c r="AY256" s="7">
        <v>5</v>
      </c>
      <c r="AZ256" s="7">
        <v>9</v>
      </c>
      <c r="BA256" s="7">
        <v>9</v>
      </c>
    </row>
    <row r="257" spans="1:53" hidden="1" x14ac:dyDescent="0.3">
      <c r="A257" s="7">
        <v>50</v>
      </c>
      <c r="B257" s="44">
        <f t="shared" si="228"/>
        <v>5</v>
      </c>
      <c r="C257" s="44">
        <f t="shared" si="229"/>
        <v>5</v>
      </c>
      <c r="D257" s="44">
        <f t="shared" si="230"/>
        <v>4</v>
      </c>
      <c r="E257" s="44">
        <f t="shared" si="231"/>
        <v>5</v>
      </c>
      <c r="F257" s="44">
        <f t="shared" si="232"/>
        <v>5</v>
      </c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>
        <f t="shared" si="250"/>
        <v>5</v>
      </c>
      <c r="Y257" s="44">
        <f t="shared" si="251"/>
        <v>9</v>
      </c>
      <c r="Z257" s="44">
        <f t="shared" si="252"/>
        <v>9</v>
      </c>
      <c r="AB257" s="7">
        <v>0</v>
      </c>
      <c r="AC257" s="44" t="str">
        <f t="shared" si="270"/>
        <v>5</v>
      </c>
      <c r="AD257" s="44" t="str">
        <f t="shared" si="271"/>
        <v>5</v>
      </c>
      <c r="AE257" s="44" t="str">
        <f t="shared" si="272"/>
        <v>4컷원점</v>
      </c>
      <c r="AF257" s="44" t="str">
        <f t="shared" si="273"/>
        <v>5</v>
      </c>
      <c r="AG257" s="44" t="str">
        <f t="shared" si="274"/>
        <v>5</v>
      </c>
      <c r="AH257" s="44" t="b">
        <f t="shared" si="253"/>
        <v>0</v>
      </c>
      <c r="AI257" s="44" t="b">
        <f t="shared" si="254"/>
        <v>0</v>
      </c>
      <c r="AJ257" s="44" t="b">
        <f t="shared" si="255"/>
        <v>0</v>
      </c>
      <c r="AK257" s="44" t="b">
        <f t="shared" si="256"/>
        <v>0</v>
      </c>
      <c r="AL257" s="44" t="b">
        <f t="shared" si="257"/>
        <v>0</v>
      </c>
      <c r="AM257" s="44" t="b">
        <f t="shared" si="258"/>
        <v>0</v>
      </c>
      <c r="AN257" s="44" t="b">
        <f t="shared" si="259"/>
        <v>0</v>
      </c>
      <c r="AO257" s="44" t="b">
        <f t="shared" si="260"/>
        <v>0</v>
      </c>
      <c r="AP257" s="44" t="b">
        <f t="shared" si="261"/>
        <v>0</v>
      </c>
      <c r="AQ257" s="44" t="b">
        <f t="shared" si="262"/>
        <v>0</v>
      </c>
      <c r="AR257" s="44" t="b">
        <f t="shared" si="263"/>
        <v>0</v>
      </c>
      <c r="AS257" s="44" t="b">
        <f t="shared" si="264"/>
        <v>0</v>
      </c>
      <c r="AT257" s="44" t="b">
        <f t="shared" si="265"/>
        <v>0</v>
      </c>
      <c r="AU257" s="44" t="b">
        <f t="shared" si="266"/>
        <v>0</v>
      </c>
      <c r="AV257" s="44" t="b">
        <f t="shared" si="267"/>
        <v>0</v>
      </c>
      <c r="AW257" s="44" t="b">
        <f t="shared" si="268"/>
        <v>0</v>
      </c>
      <c r="AX257" s="44" t="b">
        <f t="shared" si="269"/>
        <v>0</v>
      </c>
      <c r="AY257" s="7">
        <v>5</v>
      </c>
      <c r="AZ257" s="7">
        <v>9</v>
      </c>
      <c r="BA257" s="7">
        <v>9</v>
      </c>
    </row>
    <row r="258" spans="1:53" hidden="1" x14ac:dyDescent="0.3">
      <c r="A258" s="7">
        <v>49</v>
      </c>
      <c r="B258" s="44">
        <f>LEFT(AC258,1)+0</f>
        <v>5</v>
      </c>
      <c r="C258" s="44">
        <f t="shared" si="229"/>
        <v>5</v>
      </c>
      <c r="D258" s="44">
        <f t="shared" si="230"/>
        <v>5</v>
      </c>
      <c r="E258" s="44">
        <f t="shared" si="231"/>
        <v>5</v>
      </c>
      <c r="F258" s="44">
        <f t="shared" si="232"/>
        <v>5</v>
      </c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>
        <f t="shared" si="250"/>
        <v>6</v>
      </c>
      <c r="Y258" s="44"/>
      <c r="Z258" s="44"/>
      <c r="AC258" s="44" t="str">
        <f t="shared" si="270"/>
        <v>5</v>
      </c>
      <c r="AD258" s="44" t="str">
        <f t="shared" si="271"/>
        <v>5</v>
      </c>
      <c r="AE258" s="44" t="str">
        <f t="shared" si="272"/>
        <v>5</v>
      </c>
      <c r="AF258" s="44" t="str">
        <f t="shared" si="273"/>
        <v>5</v>
      </c>
      <c r="AG258" s="44" t="str">
        <f t="shared" si="274"/>
        <v>5</v>
      </c>
      <c r="AH258" s="44" t="b">
        <f t="shared" si="253"/>
        <v>0</v>
      </c>
      <c r="AI258" s="44" t="b">
        <f t="shared" si="254"/>
        <v>0</v>
      </c>
      <c r="AJ258" s="44" t="b">
        <f t="shared" si="255"/>
        <v>0</v>
      </c>
      <c r="AK258" s="44" t="b">
        <f t="shared" si="256"/>
        <v>0</v>
      </c>
      <c r="AL258" s="44" t="b">
        <f t="shared" si="257"/>
        <v>0</v>
      </c>
      <c r="AM258" s="44" t="b">
        <f t="shared" si="258"/>
        <v>0</v>
      </c>
      <c r="AN258" s="44" t="b">
        <f t="shared" si="259"/>
        <v>0</v>
      </c>
      <c r="AO258" s="44" t="b">
        <f t="shared" si="260"/>
        <v>0</v>
      </c>
      <c r="AP258" s="44" t="b">
        <f t="shared" si="261"/>
        <v>0</v>
      </c>
      <c r="AQ258" s="44" t="b">
        <f t="shared" si="262"/>
        <v>0</v>
      </c>
      <c r="AR258" s="44" t="b">
        <f t="shared" si="263"/>
        <v>0</v>
      </c>
      <c r="AS258" s="44" t="b">
        <f t="shared" si="264"/>
        <v>0</v>
      </c>
      <c r="AT258" s="44" t="b">
        <f t="shared" si="265"/>
        <v>0</v>
      </c>
      <c r="AU258" s="44" t="b">
        <f t="shared" si="266"/>
        <v>0</v>
      </c>
      <c r="AV258" s="44" t="b">
        <f t="shared" si="267"/>
        <v>0</v>
      </c>
      <c r="AW258" s="44" t="b">
        <f t="shared" si="268"/>
        <v>0</v>
      </c>
      <c r="AX258" s="44" t="b">
        <f t="shared" si="269"/>
        <v>0</v>
      </c>
      <c r="AY258" s="7">
        <v>6</v>
      </c>
    </row>
    <row r="259" spans="1:53" hidden="1" x14ac:dyDescent="0.3">
      <c r="A259" s="7">
        <v>48</v>
      </c>
      <c r="B259" s="44">
        <f t="shared" ref="B259:B277" si="275">LEFT(AC259,1)+0</f>
        <v>5</v>
      </c>
      <c r="C259" s="44">
        <f t="shared" ref="C259:C277" si="276">LEFT(AD259,1)+0</f>
        <v>5</v>
      </c>
      <c r="D259" s="44">
        <f t="shared" ref="D259:D277" si="277">LEFT(AE259,1)+0</f>
        <v>5</v>
      </c>
      <c r="E259" s="44">
        <f t="shared" ref="E259:E277" si="278">LEFT(AF259,1)+0</f>
        <v>5</v>
      </c>
      <c r="F259" s="44">
        <f t="shared" ref="F259:F277" si="279">LEFT(AG259,1)+0</f>
        <v>5</v>
      </c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>
        <f t="shared" ref="X259:X277" si="280">LEFT(AY259,1)+0</f>
        <v>6</v>
      </c>
      <c r="Y259" s="44"/>
      <c r="Z259" s="44"/>
      <c r="AC259" s="44" t="str">
        <f t="shared" si="270"/>
        <v>5</v>
      </c>
      <c r="AD259" s="44" t="str">
        <f t="shared" si="271"/>
        <v>5컷원점</v>
      </c>
      <c r="AE259" s="44" t="str">
        <f t="shared" si="272"/>
        <v>5</v>
      </c>
      <c r="AF259" s="44" t="str">
        <f t="shared" si="273"/>
        <v>5</v>
      </c>
      <c r="AG259" s="44" t="str">
        <f t="shared" si="274"/>
        <v>5</v>
      </c>
      <c r="AH259" s="44" t="b">
        <f t="shared" si="253"/>
        <v>0</v>
      </c>
      <c r="AI259" s="44" t="b">
        <f t="shared" si="254"/>
        <v>0</v>
      </c>
      <c r="AJ259" s="44" t="b">
        <f t="shared" si="255"/>
        <v>0</v>
      </c>
      <c r="AK259" s="44" t="b">
        <f t="shared" si="256"/>
        <v>0</v>
      </c>
      <c r="AL259" s="44" t="b">
        <f t="shared" si="257"/>
        <v>0</v>
      </c>
      <c r="AM259" s="44" t="b">
        <f t="shared" si="258"/>
        <v>0</v>
      </c>
      <c r="AN259" s="44" t="b">
        <f t="shared" si="259"/>
        <v>0</v>
      </c>
      <c r="AO259" s="44" t="b">
        <f t="shared" si="260"/>
        <v>0</v>
      </c>
      <c r="AP259" s="44" t="b">
        <f t="shared" si="261"/>
        <v>0</v>
      </c>
      <c r="AQ259" s="44" t="b">
        <f t="shared" si="262"/>
        <v>0</v>
      </c>
      <c r="AR259" s="44" t="b">
        <f t="shared" si="263"/>
        <v>0</v>
      </c>
      <c r="AS259" s="44" t="b">
        <f t="shared" si="264"/>
        <v>0</v>
      </c>
      <c r="AT259" s="44" t="b">
        <f t="shared" si="265"/>
        <v>0</v>
      </c>
      <c r="AU259" s="44" t="b">
        <f t="shared" si="266"/>
        <v>0</v>
      </c>
      <c r="AV259" s="44" t="b">
        <f t="shared" si="267"/>
        <v>0</v>
      </c>
      <c r="AW259" s="44" t="b">
        <f t="shared" si="268"/>
        <v>0</v>
      </c>
      <c r="AX259" s="44" t="b">
        <f t="shared" si="269"/>
        <v>0</v>
      </c>
      <c r="AY259" s="7">
        <v>6</v>
      </c>
    </row>
    <row r="260" spans="1:53" hidden="1" x14ac:dyDescent="0.3">
      <c r="A260" s="7">
        <v>47</v>
      </c>
      <c r="B260" s="44">
        <f t="shared" si="275"/>
        <v>5</v>
      </c>
      <c r="C260" s="44">
        <f t="shared" si="276"/>
        <v>6</v>
      </c>
      <c r="D260" s="44">
        <f t="shared" si="277"/>
        <v>5</v>
      </c>
      <c r="E260" s="44">
        <f t="shared" si="278"/>
        <v>5</v>
      </c>
      <c r="F260" s="44">
        <f t="shared" si="279"/>
        <v>5</v>
      </c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>
        <f t="shared" si="280"/>
        <v>6</v>
      </c>
      <c r="Y260" s="44"/>
      <c r="Z260" s="44"/>
      <c r="AC260" s="44" t="str">
        <f t="shared" si="270"/>
        <v>5컷원점</v>
      </c>
      <c r="AD260" s="44" t="str">
        <f t="shared" si="271"/>
        <v>6</v>
      </c>
      <c r="AE260" s="44" t="str">
        <f t="shared" si="272"/>
        <v>5</v>
      </c>
      <c r="AF260" s="44" t="str">
        <f t="shared" si="273"/>
        <v>5</v>
      </c>
      <c r="AG260" s="44" t="str">
        <f t="shared" si="274"/>
        <v>5</v>
      </c>
      <c r="AH260" s="44" t="b">
        <f t="shared" si="253"/>
        <v>0</v>
      </c>
      <c r="AI260" s="44" t="b">
        <f t="shared" si="254"/>
        <v>0</v>
      </c>
      <c r="AJ260" s="44" t="b">
        <f t="shared" si="255"/>
        <v>0</v>
      </c>
      <c r="AK260" s="44" t="b">
        <f t="shared" si="256"/>
        <v>0</v>
      </c>
      <c r="AL260" s="44" t="b">
        <f t="shared" si="257"/>
        <v>0</v>
      </c>
      <c r="AM260" s="44" t="b">
        <f t="shared" si="258"/>
        <v>0</v>
      </c>
      <c r="AN260" s="44" t="b">
        <f t="shared" si="259"/>
        <v>0</v>
      </c>
      <c r="AO260" s="44" t="b">
        <f t="shared" si="260"/>
        <v>0</v>
      </c>
      <c r="AP260" s="44" t="b">
        <f t="shared" si="261"/>
        <v>0</v>
      </c>
      <c r="AQ260" s="44" t="b">
        <f t="shared" si="262"/>
        <v>0</v>
      </c>
      <c r="AR260" s="44" t="b">
        <f t="shared" si="263"/>
        <v>0</v>
      </c>
      <c r="AS260" s="44" t="b">
        <f t="shared" si="264"/>
        <v>0</v>
      </c>
      <c r="AT260" s="44" t="b">
        <f t="shared" si="265"/>
        <v>0</v>
      </c>
      <c r="AU260" s="44" t="b">
        <f t="shared" si="266"/>
        <v>0</v>
      </c>
      <c r="AV260" s="44" t="b">
        <f t="shared" si="267"/>
        <v>0</v>
      </c>
      <c r="AW260" s="44" t="b">
        <f t="shared" si="268"/>
        <v>0</v>
      </c>
      <c r="AX260" s="44" t="b">
        <f t="shared" si="269"/>
        <v>0</v>
      </c>
      <c r="AY260" s="7">
        <v>6</v>
      </c>
    </row>
    <row r="261" spans="1:53" hidden="1" x14ac:dyDescent="0.3">
      <c r="A261" s="7">
        <v>46</v>
      </c>
      <c r="B261" s="44">
        <f t="shared" si="275"/>
        <v>6</v>
      </c>
      <c r="C261" s="44">
        <f t="shared" si="276"/>
        <v>6</v>
      </c>
      <c r="D261" s="44">
        <f t="shared" si="277"/>
        <v>5</v>
      </c>
      <c r="E261" s="44">
        <f t="shared" si="278"/>
        <v>5</v>
      </c>
      <c r="F261" s="44">
        <f t="shared" si="279"/>
        <v>5</v>
      </c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>
        <f t="shared" si="280"/>
        <v>6</v>
      </c>
      <c r="Y261" s="44"/>
      <c r="Z261" s="44"/>
      <c r="AC261" s="44" t="str">
        <f t="shared" si="270"/>
        <v>6</v>
      </c>
      <c r="AD261" s="44" t="str">
        <f t="shared" si="271"/>
        <v>6</v>
      </c>
      <c r="AE261" s="44" t="str">
        <f t="shared" si="272"/>
        <v>5</v>
      </c>
      <c r="AF261" s="44" t="str">
        <f t="shared" si="273"/>
        <v>5</v>
      </c>
      <c r="AG261" s="44" t="str">
        <f t="shared" si="274"/>
        <v>5</v>
      </c>
      <c r="AH261" s="44" t="b">
        <f t="shared" si="253"/>
        <v>0</v>
      </c>
      <c r="AI261" s="44" t="b">
        <f t="shared" si="254"/>
        <v>0</v>
      </c>
      <c r="AJ261" s="44" t="b">
        <f t="shared" si="255"/>
        <v>0</v>
      </c>
      <c r="AK261" s="44" t="b">
        <f t="shared" si="256"/>
        <v>0</v>
      </c>
      <c r="AL261" s="44" t="b">
        <f t="shared" si="257"/>
        <v>0</v>
      </c>
      <c r="AM261" s="44" t="b">
        <f t="shared" si="258"/>
        <v>0</v>
      </c>
      <c r="AN261" s="44" t="b">
        <f t="shared" si="259"/>
        <v>0</v>
      </c>
      <c r="AO261" s="44" t="b">
        <f t="shared" si="260"/>
        <v>0</v>
      </c>
      <c r="AP261" s="44" t="b">
        <f t="shared" si="261"/>
        <v>0</v>
      </c>
      <c r="AQ261" s="44" t="b">
        <f t="shared" si="262"/>
        <v>0</v>
      </c>
      <c r="AR261" s="44" t="b">
        <f t="shared" si="263"/>
        <v>0</v>
      </c>
      <c r="AS261" s="44" t="b">
        <f t="shared" si="264"/>
        <v>0</v>
      </c>
      <c r="AT261" s="44" t="b">
        <f t="shared" si="265"/>
        <v>0</v>
      </c>
      <c r="AU261" s="44" t="b">
        <f t="shared" si="266"/>
        <v>0</v>
      </c>
      <c r="AV261" s="44" t="b">
        <f t="shared" si="267"/>
        <v>0</v>
      </c>
      <c r="AW261" s="44" t="b">
        <f t="shared" si="268"/>
        <v>0</v>
      </c>
      <c r="AX261" s="44" t="b">
        <f t="shared" si="269"/>
        <v>0</v>
      </c>
      <c r="AY261" s="7">
        <v>6</v>
      </c>
    </row>
    <row r="262" spans="1:53" hidden="1" x14ac:dyDescent="0.3">
      <c r="A262" s="7">
        <v>45</v>
      </c>
      <c r="B262" s="44">
        <f t="shared" si="275"/>
        <v>6</v>
      </c>
      <c r="C262" s="44">
        <f t="shared" si="276"/>
        <v>6</v>
      </c>
      <c r="D262" s="44">
        <f t="shared" si="277"/>
        <v>5</v>
      </c>
      <c r="E262" s="44">
        <f t="shared" si="278"/>
        <v>5</v>
      </c>
      <c r="F262" s="44">
        <f t="shared" si="279"/>
        <v>5</v>
      </c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>
        <f t="shared" si="280"/>
        <v>6</v>
      </c>
      <c r="Y262" s="44"/>
      <c r="Z262" s="44"/>
      <c r="AC262" s="44" t="str">
        <f t="shared" si="270"/>
        <v>6</v>
      </c>
      <c r="AD262" s="44" t="str">
        <f t="shared" si="271"/>
        <v>6</v>
      </c>
      <c r="AE262" s="44" t="str">
        <f t="shared" si="272"/>
        <v>5</v>
      </c>
      <c r="AF262" s="44" t="str">
        <f t="shared" si="273"/>
        <v>5</v>
      </c>
      <c r="AG262" s="44" t="str">
        <f t="shared" si="274"/>
        <v>5</v>
      </c>
      <c r="AH262" s="44" t="b">
        <f t="shared" si="253"/>
        <v>0</v>
      </c>
      <c r="AI262" s="44" t="b">
        <f t="shared" si="254"/>
        <v>0</v>
      </c>
      <c r="AJ262" s="44" t="b">
        <f t="shared" si="255"/>
        <v>0</v>
      </c>
      <c r="AK262" s="44" t="b">
        <f t="shared" si="256"/>
        <v>0</v>
      </c>
      <c r="AL262" s="44" t="b">
        <f t="shared" si="257"/>
        <v>0</v>
      </c>
      <c r="AM262" s="44" t="b">
        <f t="shared" si="258"/>
        <v>0</v>
      </c>
      <c r="AN262" s="44" t="b">
        <f t="shared" si="259"/>
        <v>0</v>
      </c>
      <c r="AO262" s="44" t="b">
        <f t="shared" si="260"/>
        <v>0</v>
      </c>
      <c r="AP262" s="44" t="b">
        <f t="shared" si="261"/>
        <v>0</v>
      </c>
      <c r="AQ262" s="44" t="b">
        <f t="shared" si="262"/>
        <v>0</v>
      </c>
      <c r="AR262" s="44" t="b">
        <f t="shared" si="263"/>
        <v>0</v>
      </c>
      <c r="AS262" s="44" t="b">
        <f t="shared" si="264"/>
        <v>0</v>
      </c>
      <c r="AT262" s="44" t="b">
        <f t="shared" si="265"/>
        <v>0</v>
      </c>
      <c r="AU262" s="44" t="b">
        <f t="shared" si="266"/>
        <v>0</v>
      </c>
      <c r="AV262" s="44" t="b">
        <f t="shared" si="267"/>
        <v>0</v>
      </c>
      <c r="AW262" s="44" t="b">
        <f t="shared" si="268"/>
        <v>0</v>
      </c>
      <c r="AX262" s="44" t="b">
        <f t="shared" si="269"/>
        <v>0</v>
      </c>
      <c r="AY262" s="7">
        <v>6</v>
      </c>
    </row>
    <row r="263" spans="1:53" hidden="1" x14ac:dyDescent="0.3">
      <c r="A263" s="7">
        <v>44</v>
      </c>
      <c r="B263" s="44">
        <f t="shared" si="275"/>
        <v>6</v>
      </c>
      <c r="C263" s="44">
        <f t="shared" si="276"/>
        <v>6</v>
      </c>
      <c r="D263" s="44">
        <f t="shared" si="277"/>
        <v>5</v>
      </c>
      <c r="E263" s="44">
        <f t="shared" si="278"/>
        <v>5</v>
      </c>
      <c r="F263" s="44">
        <f t="shared" si="279"/>
        <v>5</v>
      </c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>
        <f t="shared" si="280"/>
        <v>6</v>
      </c>
      <c r="Y263" s="44"/>
      <c r="Z263" s="44"/>
      <c r="AC263" s="44" t="str">
        <f t="shared" si="270"/>
        <v>6</v>
      </c>
      <c r="AD263" s="44" t="str">
        <f t="shared" si="271"/>
        <v>6</v>
      </c>
      <c r="AE263" s="44" t="str">
        <f t="shared" si="272"/>
        <v>5</v>
      </c>
      <c r="AF263" s="44" t="str">
        <f t="shared" si="273"/>
        <v>5</v>
      </c>
      <c r="AG263" s="44" t="str">
        <f t="shared" si="274"/>
        <v>5</v>
      </c>
      <c r="AH263" s="44" t="b">
        <f t="shared" si="253"/>
        <v>0</v>
      </c>
      <c r="AI263" s="44" t="b">
        <f t="shared" si="254"/>
        <v>0</v>
      </c>
      <c r="AJ263" s="44" t="b">
        <f t="shared" si="255"/>
        <v>0</v>
      </c>
      <c r="AK263" s="44" t="b">
        <f t="shared" si="256"/>
        <v>0</v>
      </c>
      <c r="AL263" s="44" t="b">
        <f t="shared" si="257"/>
        <v>0</v>
      </c>
      <c r="AM263" s="44" t="b">
        <f t="shared" si="258"/>
        <v>0</v>
      </c>
      <c r="AN263" s="44" t="b">
        <f t="shared" si="259"/>
        <v>0</v>
      </c>
      <c r="AO263" s="44" t="b">
        <f t="shared" si="260"/>
        <v>0</v>
      </c>
      <c r="AP263" s="44" t="b">
        <f t="shared" si="261"/>
        <v>0</v>
      </c>
      <c r="AQ263" s="44" t="b">
        <f t="shared" si="262"/>
        <v>0</v>
      </c>
      <c r="AR263" s="44" t="b">
        <f t="shared" si="263"/>
        <v>0</v>
      </c>
      <c r="AS263" s="44" t="b">
        <f t="shared" si="264"/>
        <v>0</v>
      </c>
      <c r="AT263" s="44" t="b">
        <f t="shared" si="265"/>
        <v>0</v>
      </c>
      <c r="AU263" s="44" t="b">
        <f t="shared" si="266"/>
        <v>0</v>
      </c>
      <c r="AV263" s="44" t="b">
        <f t="shared" si="267"/>
        <v>0</v>
      </c>
      <c r="AW263" s="44" t="b">
        <f t="shared" si="268"/>
        <v>0</v>
      </c>
      <c r="AX263" s="44" t="b">
        <f t="shared" si="269"/>
        <v>0</v>
      </c>
      <c r="AY263" s="7">
        <v>6</v>
      </c>
    </row>
    <row r="264" spans="1:53" hidden="1" x14ac:dyDescent="0.3">
      <c r="A264" s="7">
        <v>43</v>
      </c>
      <c r="B264" s="44">
        <f t="shared" si="275"/>
        <v>6</v>
      </c>
      <c r="C264" s="44">
        <f t="shared" si="276"/>
        <v>6</v>
      </c>
      <c r="D264" s="44">
        <f t="shared" si="277"/>
        <v>5</v>
      </c>
      <c r="E264" s="44">
        <f t="shared" si="278"/>
        <v>5</v>
      </c>
      <c r="F264" s="44">
        <f t="shared" si="279"/>
        <v>5</v>
      </c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>
        <f t="shared" si="280"/>
        <v>6</v>
      </c>
      <c r="Y264" s="44"/>
      <c r="Z264" s="44"/>
      <c r="AC264" s="44" t="str">
        <f t="shared" si="270"/>
        <v>6</v>
      </c>
      <c r="AD264" s="44" t="str">
        <f t="shared" si="271"/>
        <v>6</v>
      </c>
      <c r="AE264" s="44" t="str">
        <f t="shared" si="272"/>
        <v>5</v>
      </c>
      <c r="AF264" s="44" t="str">
        <f t="shared" si="273"/>
        <v>5</v>
      </c>
      <c r="AG264" s="44" t="str">
        <f t="shared" si="274"/>
        <v>5</v>
      </c>
      <c r="AH264" s="44" t="b">
        <f t="shared" si="253"/>
        <v>0</v>
      </c>
      <c r="AI264" s="44" t="b">
        <f t="shared" si="254"/>
        <v>0</v>
      </c>
      <c r="AJ264" s="44" t="b">
        <f t="shared" si="255"/>
        <v>0</v>
      </c>
      <c r="AK264" s="44" t="b">
        <f t="shared" si="256"/>
        <v>0</v>
      </c>
      <c r="AL264" s="44" t="b">
        <f t="shared" si="257"/>
        <v>0</v>
      </c>
      <c r="AM264" s="44" t="b">
        <f t="shared" si="258"/>
        <v>0</v>
      </c>
      <c r="AN264" s="44" t="b">
        <f t="shared" si="259"/>
        <v>0</v>
      </c>
      <c r="AO264" s="44" t="b">
        <f t="shared" si="260"/>
        <v>0</v>
      </c>
      <c r="AP264" s="44" t="b">
        <f t="shared" si="261"/>
        <v>0</v>
      </c>
      <c r="AQ264" s="44" t="b">
        <f t="shared" si="262"/>
        <v>0</v>
      </c>
      <c r="AR264" s="44" t="b">
        <f t="shared" si="263"/>
        <v>0</v>
      </c>
      <c r="AS264" s="44" t="b">
        <f t="shared" si="264"/>
        <v>0</v>
      </c>
      <c r="AT264" s="44" t="b">
        <f t="shared" si="265"/>
        <v>0</v>
      </c>
      <c r="AU264" s="44" t="b">
        <f t="shared" si="266"/>
        <v>0</v>
      </c>
      <c r="AV264" s="44" t="b">
        <f t="shared" si="267"/>
        <v>0</v>
      </c>
      <c r="AW264" s="44" t="b">
        <f t="shared" si="268"/>
        <v>0</v>
      </c>
      <c r="AX264" s="44" t="b">
        <f t="shared" si="269"/>
        <v>0</v>
      </c>
      <c r="AY264" s="7">
        <v>6</v>
      </c>
    </row>
    <row r="265" spans="1:53" hidden="1" x14ac:dyDescent="0.3">
      <c r="A265" s="7">
        <v>42</v>
      </c>
      <c r="B265" s="44">
        <f t="shared" si="275"/>
        <v>6</v>
      </c>
      <c r="C265" s="44">
        <f t="shared" si="276"/>
        <v>6</v>
      </c>
      <c r="D265" s="44">
        <f t="shared" si="277"/>
        <v>5</v>
      </c>
      <c r="E265" s="44">
        <f t="shared" si="278"/>
        <v>5</v>
      </c>
      <c r="F265" s="44">
        <f t="shared" si="279"/>
        <v>5</v>
      </c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>
        <f t="shared" si="280"/>
        <v>6</v>
      </c>
      <c r="Y265" s="44"/>
      <c r="Z265" s="44"/>
      <c r="AC265" s="44" t="str">
        <f t="shared" si="270"/>
        <v>6</v>
      </c>
      <c r="AD265" s="44" t="str">
        <f t="shared" si="271"/>
        <v>6</v>
      </c>
      <c r="AE265" s="44" t="str">
        <f t="shared" si="272"/>
        <v>5</v>
      </c>
      <c r="AF265" s="44" t="str">
        <f t="shared" si="273"/>
        <v>5</v>
      </c>
      <c r="AG265" s="44" t="str">
        <f t="shared" si="274"/>
        <v>5</v>
      </c>
      <c r="AH265" s="44" t="b">
        <f t="shared" si="253"/>
        <v>0</v>
      </c>
      <c r="AI265" s="44" t="b">
        <f t="shared" si="254"/>
        <v>0</v>
      </c>
      <c r="AJ265" s="44" t="b">
        <f t="shared" si="255"/>
        <v>0</v>
      </c>
      <c r="AK265" s="44" t="b">
        <f t="shared" si="256"/>
        <v>0</v>
      </c>
      <c r="AL265" s="44" t="b">
        <f t="shared" si="257"/>
        <v>0</v>
      </c>
      <c r="AM265" s="44" t="b">
        <f t="shared" si="258"/>
        <v>0</v>
      </c>
      <c r="AN265" s="44" t="b">
        <f t="shared" si="259"/>
        <v>0</v>
      </c>
      <c r="AO265" s="44" t="b">
        <f t="shared" si="260"/>
        <v>0</v>
      </c>
      <c r="AP265" s="44" t="b">
        <f t="shared" si="261"/>
        <v>0</v>
      </c>
      <c r="AQ265" s="44" t="b">
        <f t="shared" si="262"/>
        <v>0</v>
      </c>
      <c r="AR265" s="44" t="b">
        <f t="shared" si="263"/>
        <v>0</v>
      </c>
      <c r="AS265" s="44" t="b">
        <f t="shared" si="264"/>
        <v>0</v>
      </c>
      <c r="AT265" s="44" t="b">
        <f t="shared" si="265"/>
        <v>0</v>
      </c>
      <c r="AU265" s="44" t="b">
        <f t="shared" si="266"/>
        <v>0</v>
      </c>
      <c r="AV265" s="44" t="b">
        <f t="shared" si="267"/>
        <v>0</v>
      </c>
      <c r="AW265" s="44" t="b">
        <f t="shared" si="268"/>
        <v>0</v>
      </c>
      <c r="AX265" s="44" t="b">
        <f t="shared" si="269"/>
        <v>0</v>
      </c>
      <c r="AY265" s="7">
        <v>6</v>
      </c>
    </row>
    <row r="266" spans="1:53" hidden="1" x14ac:dyDescent="0.3">
      <c r="A266" s="7">
        <v>41</v>
      </c>
      <c r="B266" s="44">
        <f t="shared" si="275"/>
        <v>6</v>
      </c>
      <c r="C266" s="44">
        <f t="shared" si="276"/>
        <v>6</v>
      </c>
      <c r="D266" s="44">
        <f t="shared" si="277"/>
        <v>5</v>
      </c>
      <c r="E266" s="44">
        <f t="shared" si="278"/>
        <v>5</v>
      </c>
      <c r="F266" s="44">
        <f t="shared" si="279"/>
        <v>5</v>
      </c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>
        <f t="shared" si="280"/>
        <v>6</v>
      </c>
      <c r="Y266" s="44"/>
      <c r="Z266" s="44"/>
      <c r="AC266" s="44" t="str">
        <f t="shared" si="270"/>
        <v>6</v>
      </c>
      <c r="AD266" s="44" t="str">
        <f t="shared" si="271"/>
        <v>6</v>
      </c>
      <c r="AE266" s="44" t="str">
        <f t="shared" si="272"/>
        <v>5</v>
      </c>
      <c r="AF266" s="44" t="str">
        <f t="shared" si="273"/>
        <v>5</v>
      </c>
      <c r="AG266" s="44" t="str">
        <f t="shared" si="274"/>
        <v>5</v>
      </c>
      <c r="AH266" s="44" t="b">
        <f t="shared" si="253"/>
        <v>0</v>
      </c>
      <c r="AI266" s="44" t="b">
        <f t="shared" si="254"/>
        <v>0</v>
      </c>
      <c r="AJ266" s="44" t="b">
        <f t="shared" si="255"/>
        <v>0</v>
      </c>
      <c r="AK266" s="44" t="b">
        <f t="shared" si="256"/>
        <v>0</v>
      </c>
      <c r="AL266" s="44" t="b">
        <f t="shared" si="257"/>
        <v>0</v>
      </c>
      <c r="AM266" s="44" t="b">
        <f t="shared" si="258"/>
        <v>0</v>
      </c>
      <c r="AN266" s="44" t="b">
        <f t="shared" si="259"/>
        <v>0</v>
      </c>
      <c r="AO266" s="44" t="b">
        <f t="shared" si="260"/>
        <v>0</v>
      </c>
      <c r="AP266" s="44" t="b">
        <f t="shared" si="261"/>
        <v>0</v>
      </c>
      <c r="AQ266" s="44" t="b">
        <f t="shared" si="262"/>
        <v>0</v>
      </c>
      <c r="AR266" s="44" t="b">
        <f t="shared" si="263"/>
        <v>0</v>
      </c>
      <c r="AS266" s="44" t="b">
        <f t="shared" si="264"/>
        <v>0</v>
      </c>
      <c r="AT266" s="44" t="b">
        <f t="shared" si="265"/>
        <v>0</v>
      </c>
      <c r="AU266" s="44" t="b">
        <f t="shared" si="266"/>
        <v>0</v>
      </c>
      <c r="AV266" s="44" t="b">
        <f t="shared" si="267"/>
        <v>0</v>
      </c>
      <c r="AW266" s="44" t="b">
        <f t="shared" si="268"/>
        <v>0</v>
      </c>
      <c r="AX266" s="44" t="b">
        <f t="shared" si="269"/>
        <v>0</v>
      </c>
      <c r="AY266" s="7">
        <v>6</v>
      </c>
    </row>
    <row r="267" spans="1:53" hidden="1" x14ac:dyDescent="0.3">
      <c r="A267" s="7">
        <v>40</v>
      </c>
      <c r="B267" s="44">
        <f t="shared" si="275"/>
        <v>6</v>
      </c>
      <c r="C267" s="44">
        <f t="shared" si="276"/>
        <v>6</v>
      </c>
      <c r="D267" s="44">
        <f t="shared" si="277"/>
        <v>5</v>
      </c>
      <c r="E267" s="44">
        <f t="shared" si="278"/>
        <v>5</v>
      </c>
      <c r="F267" s="44">
        <f t="shared" si="279"/>
        <v>5</v>
      </c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>
        <f t="shared" si="280"/>
        <v>6</v>
      </c>
      <c r="Y267" s="44"/>
      <c r="Z267" s="44"/>
      <c r="AC267" s="44" t="str">
        <f t="shared" si="270"/>
        <v>6</v>
      </c>
      <c r="AD267" s="44" t="str">
        <f t="shared" si="271"/>
        <v>6</v>
      </c>
      <c r="AE267" s="44" t="str">
        <f t="shared" si="272"/>
        <v>5</v>
      </c>
      <c r="AF267" s="44" t="str">
        <f t="shared" si="273"/>
        <v>5</v>
      </c>
      <c r="AG267" s="44" t="str">
        <f t="shared" si="274"/>
        <v>5</v>
      </c>
      <c r="AH267" s="44" t="b">
        <f t="shared" si="253"/>
        <v>0</v>
      </c>
      <c r="AI267" s="44" t="b">
        <f t="shared" si="254"/>
        <v>0</v>
      </c>
      <c r="AJ267" s="44" t="b">
        <f t="shared" si="255"/>
        <v>0</v>
      </c>
      <c r="AK267" s="44" t="b">
        <f t="shared" si="256"/>
        <v>0</v>
      </c>
      <c r="AL267" s="44" t="b">
        <f t="shared" si="257"/>
        <v>0</v>
      </c>
      <c r="AM267" s="44" t="b">
        <f t="shared" si="258"/>
        <v>0</v>
      </c>
      <c r="AN267" s="44" t="b">
        <f t="shared" si="259"/>
        <v>0</v>
      </c>
      <c r="AO267" s="44" t="b">
        <f t="shared" si="260"/>
        <v>0</v>
      </c>
      <c r="AP267" s="44" t="b">
        <f t="shared" si="261"/>
        <v>0</v>
      </c>
      <c r="AQ267" s="44" t="b">
        <f t="shared" si="262"/>
        <v>0</v>
      </c>
      <c r="AR267" s="44" t="b">
        <f t="shared" si="263"/>
        <v>0</v>
      </c>
      <c r="AS267" s="44" t="b">
        <f t="shared" si="264"/>
        <v>0</v>
      </c>
      <c r="AT267" s="44" t="b">
        <f t="shared" si="265"/>
        <v>0</v>
      </c>
      <c r="AU267" s="44" t="b">
        <f t="shared" si="266"/>
        <v>0</v>
      </c>
      <c r="AV267" s="44" t="b">
        <f t="shared" si="267"/>
        <v>0</v>
      </c>
      <c r="AW267" s="44" t="b">
        <f t="shared" si="268"/>
        <v>0</v>
      </c>
      <c r="AX267" s="44" t="b">
        <f t="shared" si="269"/>
        <v>0</v>
      </c>
      <c r="AY267" s="7">
        <v>6</v>
      </c>
    </row>
    <row r="268" spans="1:53" hidden="1" x14ac:dyDescent="0.3">
      <c r="A268" s="7">
        <v>39</v>
      </c>
      <c r="B268" s="44">
        <f t="shared" si="275"/>
        <v>6</v>
      </c>
      <c r="C268" s="44">
        <f t="shared" si="276"/>
        <v>6</v>
      </c>
      <c r="D268" s="44">
        <f t="shared" si="277"/>
        <v>5</v>
      </c>
      <c r="E268" s="44">
        <f t="shared" si="278"/>
        <v>5</v>
      </c>
      <c r="F268" s="44">
        <f t="shared" si="279"/>
        <v>5</v>
      </c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>
        <f t="shared" si="280"/>
        <v>7</v>
      </c>
      <c r="Y268" s="44"/>
      <c r="Z268" s="44"/>
      <c r="AC268" s="44" t="str">
        <f t="shared" si="270"/>
        <v>6</v>
      </c>
      <c r="AD268" s="44" t="str">
        <f t="shared" si="271"/>
        <v>6</v>
      </c>
      <c r="AE268" s="44" t="str">
        <f t="shared" si="272"/>
        <v>5</v>
      </c>
      <c r="AF268" s="44" t="str">
        <f t="shared" si="273"/>
        <v>5</v>
      </c>
      <c r="AG268" s="44" t="str">
        <f t="shared" si="274"/>
        <v>5</v>
      </c>
      <c r="AH268" s="44" t="b">
        <f t="shared" si="253"/>
        <v>0</v>
      </c>
      <c r="AI268" s="44" t="b">
        <f t="shared" si="254"/>
        <v>0</v>
      </c>
      <c r="AJ268" s="44" t="b">
        <f t="shared" si="255"/>
        <v>0</v>
      </c>
      <c r="AK268" s="44" t="b">
        <f t="shared" si="256"/>
        <v>0</v>
      </c>
      <c r="AL268" s="44" t="b">
        <f t="shared" si="257"/>
        <v>0</v>
      </c>
      <c r="AM268" s="44" t="b">
        <f t="shared" si="258"/>
        <v>0</v>
      </c>
      <c r="AN268" s="44" t="b">
        <f t="shared" si="259"/>
        <v>0</v>
      </c>
      <c r="AO268" s="44" t="b">
        <f t="shared" si="260"/>
        <v>0</v>
      </c>
      <c r="AP268" s="44" t="b">
        <f t="shared" si="261"/>
        <v>0</v>
      </c>
      <c r="AQ268" s="44" t="b">
        <f t="shared" si="262"/>
        <v>0</v>
      </c>
      <c r="AR268" s="44" t="b">
        <f t="shared" si="263"/>
        <v>0</v>
      </c>
      <c r="AS268" s="44" t="b">
        <f t="shared" si="264"/>
        <v>0</v>
      </c>
      <c r="AT268" s="44" t="b">
        <f t="shared" si="265"/>
        <v>0</v>
      </c>
      <c r="AU268" s="44" t="b">
        <f t="shared" si="266"/>
        <v>0</v>
      </c>
      <c r="AV268" s="44" t="b">
        <f t="shared" si="267"/>
        <v>0</v>
      </c>
      <c r="AW268" s="44" t="b">
        <f t="shared" si="268"/>
        <v>0</v>
      </c>
      <c r="AX268" s="44" t="b">
        <f t="shared" si="269"/>
        <v>0</v>
      </c>
      <c r="AY268" s="7">
        <v>7</v>
      </c>
    </row>
    <row r="269" spans="1:53" hidden="1" x14ac:dyDescent="0.3">
      <c r="A269" s="7">
        <v>38</v>
      </c>
      <c r="B269" s="44">
        <f t="shared" si="275"/>
        <v>6</v>
      </c>
      <c r="C269" s="44">
        <f t="shared" si="276"/>
        <v>6</v>
      </c>
      <c r="D269" s="44">
        <f t="shared" si="277"/>
        <v>5</v>
      </c>
      <c r="E269" s="44">
        <f t="shared" si="278"/>
        <v>5</v>
      </c>
      <c r="F269" s="44">
        <f t="shared" si="279"/>
        <v>5</v>
      </c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>
        <f t="shared" si="280"/>
        <v>7</v>
      </c>
      <c r="Y269" s="44"/>
      <c r="Z269" s="44"/>
      <c r="AC269" s="44" t="str">
        <f t="shared" si="270"/>
        <v>6</v>
      </c>
      <c r="AD269" s="44" t="str">
        <f t="shared" si="271"/>
        <v>6</v>
      </c>
      <c r="AE269" s="44" t="str">
        <f t="shared" si="272"/>
        <v>5</v>
      </c>
      <c r="AF269" s="44" t="str">
        <f t="shared" si="273"/>
        <v>5</v>
      </c>
      <c r="AG269" s="44" t="str">
        <f t="shared" si="274"/>
        <v>5</v>
      </c>
      <c r="AH269" s="44" t="b">
        <f t="shared" si="253"/>
        <v>0</v>
      </c>
      <c r="AI269" s="44" t="b">
        <f t="shared" si="254"/>
        <v>0</v>
      </c>
      <c r="AJ269" s="44" t="b">
        <f t="shared" si="255"/>
        <v>0</v>
      </c>
      <c r="AK269" s="44" t="b">
        <f t="shared" si="256"/>
        <v>0</v>
      </c>
      <c r="AL269" s="44" t="b">
        <f t="shared" si="257"/>
        <v>0</v>
      </c>
      <c r="AM269" s="44" t="b">
        <f t="shared" si="258"/>
        <v>0</v>
      </c>
      <c r="AN269" s="44" t="b">
        <f t="shared" si="259"/>
        <v>0</v>
      </c>
      <c r="AO269" s="44" t="b">
        <f t="shared" si="260"/>
        <v>0</v>
      </c>
      <c r="AP269" s="44" t="b">
        <f t="shared" si="261"/>
        <v>0</v>
      </c>
      <c r="AQ269" s="44" t="b">
        <f t="shared" si="262"/>
        <v>0</v>
      </c>
      <c r="AR269" s="44" t="b">
        <f t="shared" si="263"/>
        <v>0</v>
      </c>
      <c r="AS269" s="44" t="b">
        <f t="shared" si="264"/>
        <v>0</v>
      </c>
      <c r="AT269" s="44" t="b">
        <f t="shared" si="265"/>
        <v>0</v>
      </c>
      <c r="AU269" s="44" t="b">
        <f t="shared" si="266"/>
        <v>0</v>
      </c>
      <c r="AV269" s="44" t="b">
        <f t="shared" si="267"/>
        <v>0</v>
      </c>
      <c r="AW269" s="44" t="b">
        <f t="shared" si="268"/>
        <v>0</v>
      </c>
      <c r="AX269" s="44" t="b">
        <f t="shared" si="269"/>
        <v>0</v>
      </c>
      <c r="AY269" s="7">
        <v>7</v>
      </c>
    </row>
    <row r="270" spans="1:53" hidden="1" x14ac:dyDescent="0.3">
      <c r="A270" s="7">
        <v>37</v>
      </c>
      <c r="B270" s="44">
        <f t="shared" si="275"/>
        <v>6</v>
      </c>
      <c r="C270" s="44">
        <f t="shared" si="276"/>
        <v>6</v>
      </c>
      <c r="D270" s="44">
        <f t="shared" si="277"/>
        <v>5</v>
      </c>
      <c r="E270" s="44">
        <f t="shared" si="278"/>
        <v>5</v>
      </c>
      <c r="F270" s="44">
        <f t="shared" si="279"/>
        <v>5</v>
      </c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>
        <f t="shared" si="280"/>
        <v>7</v>
      </c>
      <c r="Y270" s="44"/>
      <c r="Z270" s="44"/>
      <c r="AC270" s="44" t="str">
        <f t="shared" si="270"/>
        <v>6</v>
      </c>
      <c r="AD270" s="44" t="str">
        <f t="shared" si="271"/>
        <v>6</v>
      </c>
      <c r="AE270" s="44" t="str">
        <f t="shared" si="272"/>
        <v>5</v>
      </c>
      <c r="AF270" s="44" t="str">
        <f t="shared" si="273"/>
        <v>5</v>
      </c>
      <c r="AG270" s="44" t="str">
        <f t="shared" si="274"/>
        <v>5</v>
      </c>
      <c r="AH270" s="44" t="b">
        <f t="shared" si="253"/>
        <v>0</v>
      </c>
      <c r="AI270" s="44" t="b">
        <f t="shared" si="254"/>
        <v>0</v>
      </c>
      <c r="AJ270" s="44" t="b">
        <f t="shared" si="255"/>
        <v>0</v>
      </c>
      <c r="AK270" s="44" t="b">
        <f t="shared" si="256"/>
        <v>0</v>
      </c>
      <c r="AL270" s="44" t="b">
        <f t="shared" si="257"/>
        <v>0</v>
      </c>
      <c r="AM270" s="44" t="b">
        <f t="shared" si="258"/>
        <v>0</v>
      </c>
      <c r="AN270" s="44" t="b">
        <f t="shared" si="259"/>
        <v>0</v>
      </c>
      <c r="AO270" s="44" t="b">
        <f t="shared" si="260"/>
        <v>0</v>
      </c>
      <c r="AP270" s="44" t="b">
        <f t="shared" si="261"/>
        <v>0</v>
      </c>
      <c r="AQ270" s="44" t="b">
        <f t="shared" si="262"/>
        <v>0</v>
      </c>
      <c r="AR270" s="44" t="b">
        <f t="shared" si="263"/>
        <v>0</v>
      </c>
      <c r="AS270" s="44" t="b">
        <f t="shared" si="264"/>
        <v>0</v>
      </c>
      <c r="AT270" s="44" t="b">
        <f t="shared" si="265"/>
        <v>0</v>
      </c>
      <c r="AU270" s="44" t="b">
        <f t="shared" si="266"/>
        <v>0</v>
      </c>
      <c r="AV270" s="44" t="b">
        <f t="shared" si="267"/>
        <v>0</v>
      </c>
      <c r="AW270" s="44" t="b">
        <f t="shared" si="268"/>
        <v>0</v>
      </c>
      <c r="AX270" s="44" t="b">
        <f t="shared" si="269"/>
        <v>0</v>
      </c>
      <c r="AY270" s="7">
        <v>7</v>
      </c>
    </row>
    <row r="271" spans="1:53" hidden="1" x14ac:dyDescent="0.3">
      <c r="A271" s="7">
        <v>36</v>
      </c>
      <c r="B271" s="44">
        <f t="shared" si="275"/>
        <v>6</v>
      </c>
      <c r="C271" s="44">
        <f t="shared" si="276"/>
        <v>6</v>
      </c>
      <c r="D271" s="44">
        <f t="shared" si="277"/>
        <v>5</v>
      </c>
      <c r="E271" s="44">
        <f t="shared" si="278"/>
        <v>5</v>
      </c>
      <c r="F271" s="44">
        <f t="shared" si="279"/>
        <v>5</v>
      </c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>
        <f t="shared" si="280"/>
        <v>7</v>
      </c>
      <c r="Y271" s="44"/>
      <c r="Z271" s="44"/>
      <c r="AC271" s="44" t="str">
        <f t="shared" si="270"/>
        <v>6</v>
      </c>
      <c r="AD271" s="44" t="str">
        <f t="shared" si="271"/>
        <v>6</v>
      </c>
      <c r="AE271" s="44" t="str">
        <f t="shared" si="272"/>
        <v>5</v>
      </c>
      <c r="AF271" s="44" t="str">
        <f t="shared" si="273"/>
        <v>5</v>
      </c>
      <c r="AG271" s="44" t="str">
        <f t="shared" si="274"/>
        <v>5</v>
      </c>
      <c r="AH271" s="44" t="b">
        <f t="shared" si="253"/>
        <v>0</v>
      </c>
      <c r="AI271" s="44" t="b">
        <f t="shared" si="254"/>
        <v>0</v>
      </c>
      <c r="AJ271" s="44" t="b">
        <f t="shared" si="255"/>
        <v>0</v>
      </c>
      <c r="AK271" s="44" t="b">
        <f t="shared" si="256"/>
        <v>0</v>
      </c>
      <c r="AL271" s="44" t="b">
        <f t="shared" si="257"/>
        <v>0</v>
      </c>
      <c r="AM271" s="44" t="b">
        <f t="shared" si="258"/>
        <v>0</v>
      </c>
      <c r="AN271" s="44" t="b">
        <f t="shared" si="259"/>
        <v>0</v>
      </c>
      <c r="AO271" s="44" t="b">
        <f t="shared" si="260"/>
        <v>0</v>
      </c>
      <c r="AP271" s="44" t="b">
        <f t="shared" si="261"/>
        <v>0</v>
      </c>
      <c r="AQ271" s="44" t="b">
        <f t="shared" si="262"/>
        <v>0</v>
      </c>
      <c r="AR271" s="44" t="b">
        <f t="shared" si="263"/>
        <v>0</v>
      </c>
      <c r="AS271" s="44" t="b">
        <f t="shared" si="264"/>
        <v>0</v>
      </c>
      <c r="AT271" s="44" t="b">
        <f t="shared" si="265"/>
        <v>0</v>
      </c>
      <c r="AU271" s="44" t="b">
        <f t="shared" si="266"/>
        <v>0</v>
      </c>
      <c r="AV271" s="44" t="b">
        <f t="shared" si="267"/>
        <v>0</v>
      </c>
      <c r="AW271" s="44" t="b">
        <f t="shared" si="268"/>
        <v>0</v>
      </c>
      <c r="AX271" s="44" t="b">
        <f t="shared" si="269"/>
        <v>0</v>
      </c>
      <c r="AY271" s="7">
        <v>7</v>
      </c>
    </row>
    <row r="272" spans="1:53" hidden="1" x14ac:dyDescent="0.3">
      <c r="A272" s="7">
        <v>35</v>
      </c>
      <c r="B272" s="44">
        <f t="shared" si="275"/>
        <v>6</v>
      </c>
      <c r="C272" s="44">
        <f t="shared" si="276"/>
        <v>6</v>
      </c>
      <c r="D272" s="44">
        <f t="shared" si="277"/>
        <v>5</v>
      </c>
      <c r="E272" s="44">
        <f t="shared" si="278"/>
        <v>5</v>
      </c>
      <c r="F272" s="44">
        <f t="shared" si="279"/>
        <v>5</v>
      </c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>
        <f t="shared" si="280"/>
        <v>7</v>
      </c>
      <c r="Y272" s="44"/>
      <c r="Z272" s="44"/>
      <c r="AC272" s="44" t="str">
        <f t="shared" si="270"/>
        <v>6</v>
      </c>
      <c r="AD272" s="44" t="str">
        <f t="shared" si="271"/>
        <v>6컷원점</v>
      </c>
      <c r="AE272" s="44" t="str">
        <f t="shared" si="272"/>
        <v>5</v>
      </c>
      <c r="AF272" s="44" t="str">
        <f t="shared" si="273"/>
        <v>5</v>
      </c>
      <c r="AG272" s="44" t="str">
        <f t="shared" si="274"/>
        <v>5</v>
      </c>
      <c r="AH272" s="44" t="b">
        <f t="shared" si="253"/>
        <v>0</v>
      </c>
      <c r="AI272" s="44" t="b">
        <f t="shared" si="254"/>
        <v>0</v>
      </c>
      <c r="AJ272" s="44" t="b">
        <f t="shared" si="255"/>
        <v>0</v>
      </c>
      <c r="AK272" s="44" t="b">
        <f t="shared" si="256"/>
        <v>0</v>
      </c>
      <c r="AL272" s="44" t="b">
        <f t="shared" si="257"/>
        <v>0</v>
      </c>
      <c r="AM272" s="44" t="b">
        <f t="shared" si="258"/>
        <v>0</v>
      </c>
      <c r="AN272" s="44" t="b">
        <f t="shared" si="259"/>
        <v>0</v>
      </c>
      <c r="AO272" s="44" t="b">
        <f t="shared" si="260"/>
        <v>0</v>
      </c>
      <c r="AP272" s="44" t="b">
        <f t="shared" si="261"/>
        <v>0</v>
      </c>
      <c r="AQ272" s="44" t="b">
        <f t="shared" si="262"/>
        <v>0</v>
      </c>
      <c r="AR272" s="44" t="b">
        <f t="shared" si="263"/>
        <v>0</v>
      </c>
      <c r="AS272" s="44" t="b">
        <f t="shared" si="264"/>
        <v>0</v>
      </c>
      <c r="AT272" s="44" t="b">
        <f t="shared" si="265"/>
        <v>0</v>
      </c>
      <c r="AU272" s="44" t="b">
        <f t="shared" si="266"/>
        <v>0</v>
      </c>
      <c r="AV272" s="44" t="b">
        <f t="shared" si="267"/>
        <v>0</v>
      </c>
      <c r="AW272" s="44" t="b">
        <f t="shared" si="268"/>
        <v>0</v>
      </c>
      <c r="AX272" s="44" t="b">
        <f t="shared" si="269"/>
        <v>0</v>
      </c>
      <c r="AY272" s="7">
        <v>7</v>
      </c>
    </row>
    <row r="273" spans="1:51" hidden="1" x14ac:dyDescent="0.3">
      <c r="A273" s="7">
        <v>34</v>
      </c>
      <c r="B273" s="44">
        <f t="shared" si="275"/>
        <v>6</v>
      </c>
      <c r="C273" s="44">
        <f t="shared" si="276"/>
        <v>7</v>
      </c>
      <c r="D273" s="44">
        <f t="shared" si="277"/>
        <v>5</v>
      </c>
      <c r="E273" s="44">
        <f t="shared" si="278"/>
        <v>5</v>
      </c>
      <c r="F273" s="44">
        <f t="shared" si="279"/>
        <v>5</v>
      </c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>
        <f t="shared" si="280"/>
        <v>7</v>
      </c>
      <c r="Y273" s="44"/>
      <c r="Z273" s="44"/>
      <c r="AC273" s="44" t="str">
        <f t="shared" si="270"/>
        <v>6컷원점</v>
      </c>
      <c r="AD273" s="44" t="str">
        <f t="shared" si="271"/>
        <v>7</v>
      </c>
      <c r="AE273" s="44" t="str">
        <f t="shared" si="272"/>
        <v>5</v>
      </c>
      <c r="AF273" s="44" t="str">
        <f t="shared" si="273"/>
        <v>5</v>
      </c>
      <c r="AG273" s="44" t="str">
        <f t="shared" si="274"/>
        <v>5컷원점</v>
      </c>
      <c r="AH273" s="44" t="b">
        <f t="shared" si="253"/>
        <v>0</v>
      </c>
      <c r="AI273" s="44" t="b">
        <f t="shared" si="254"/>
        <v>0</v>
      </c>
      <c r="AJ273" s="44" t="b">
        <f t="shared" si="255"/>
        <v>0</v>
      </c>
      <c r="AK273" s="44" t="b">
        <f t="shared" si="256"/>
        <v>0</v>
      </c>
      <c r="AL273" s="44" t="b">
        <f t="shared" si="257"/>
        <v>0</v>
      </c>
      <c r="AM273" s="44" t="b">
        <f t="shared" si="258"/>
        <v>0</v>
      </c>
      <c r="AN273" s="44" t="b">
        <f t="shared" si="259"/>
        <v>0</v>
      </c>
      <c r="AO273" s="44" t="b">
        <f t="shared" si="260"/>
        <v>0</v>
      </c>
      <c r="AP273" s="44" t="b">
        <f t="shared" si="261"/>
        <v>0</v>
      </c>
      <c r="AQ273" s="44" t="b">
        <f t="shared" si="262"/>
        <v>0</v>
      </c>
      <c r="AR273" s="44" t="b">
        <f t="shared" si="263"/>
        <v>0</v>
      </c>
      <c r="AS273" s="44" t="b">
        <f t="shared" si="264"/>
        <v>0</v>
      </c>
      <c r="AT273" s="44" t="b">
        <f t="shared" si="265"/>
        <v>0</v>
      </c>
      <c r="AU273" s="44" t="b">
        <f t="shared" si="266"/>
        <v>0</v>
      </c>
      <c r="AV273" s="44" t="b">
        <f t="shared" si="267"/>
        <v>0</v>
      </c>
      <c r="AW273" s="44" t="b">
        <f t="shared" si="268"/>
        <v>0</v>
      </c>
      <c r="AX273" s="44" t="b">
        <f t="shared" si="269"/>
        <v>0</v>
      </c>
      <c r="AY273" s="7">
        <v>7</v>
      </c>
    </row>
    <row r="274" spans="1:51" hidden="1" x14ac:dyDescent="0.3">
      <c r="A274" s="7">
        <v>33</v>
      </c>
      <c r="B274" s="44">
        <f t="shared" si="275"/>
        <v>7</v>
      </c>
      <c r="C274" s="44">
        <f t="shared" si="276"/>
        <v>7</v>
      </c>
      <c r="D274" s="44">
        <f t="shared" si="277"/>
        <v>5</v>
      </c>
      <c r="E274" s="44">
        <f t="shared" si="278"/>
        <v>5</v>
      </c>
      <c r="F274" s="44">
        <f t="shared" si="279"/>
        <v>6</v>
      </c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>
        <f t="shared" si="280"/>
        <v>7</v>
      </c>
      <c r="Y274" s="44"/>
      <c r="Z274" s="44"/>
      <c r="AC274" s="44" t="str">
        <f t="shared" si="270"/>
        <v>7</v>
      </c>
      <c r="AD274" s="44" t="str">
        <f t="shared" si="271"/>
        <v>7</v>
      </c>
      <c r="AE274" s="44" t="str">
        <f t="shared" si="272"/>
        <v>5</v>
      </c>
      <c r="AF274" s="44" t="str">
        <f t="shared" si="273"/>
        <v>5컷원점</v>
      </c>
      <c r="AG274" s="44" t="str">
        <f t="shared" si="274"/>
        <v>6</v>
      </c>
      <c r="AH274" s="44" t="b">
        <f t="shared" si="253"/>
        <v>0</v>
      </c>
      <c r="AI274" s="44" t="b">
        <f t="shared" si="254"/>
        <v>0</v>
      </c>
      <c r="AJ274" s="44" t="b">
        <f t="shared" si="255"/>
        <v>0</v>
      </c>
      <c r="AK274" s="44" t="b">
        <f t="shared" si="256"/>
        <v>0</v>
      </c>
      <c r="AL274" s="44" t="b">
        <f t="shared" si="257"/>
        <v>0</v>
      </c>
      <c r="AM274" s="44" t="b">
        <f t="shared" si="258"/>
        <v>0</v>
      </c>
      <c r="AN274" s="44" t="b">
        <f t="shared" si="259"/>
        <v>0</v>
      </c>
      <c r="AO274" s="44" t="b">
        <f t="shared" si="260"/>
        <v>0</v>
      </c>
      <c r="AP274" s="44" t="b">
        <f t="shared" si="261"/>
        <v>0</v>
      </c>
      <c r="AQ274" s="44" t="b">
        <f t="shared" si="262"/>
        <v>0</v>
      </c>
      <c r="AR274" s="44" t="b">
        <f t="shared" si="263"/>
        <v>0</v>
      </c>
      <c r="AS274" s="44" t="b">
        <f t="shared" si="264"/>
        <v>0</v>
      </c>
      <c r="AT274" s="44" t="b">
        <f t="shared" si="265"/>
        <v>0</v>
      </c>
      <c r="AU274" s="44" t="b">
        <f t="shared" si="266"/>
        <v>0</v>
      </c>
      <c r="AV274" s="44" t="b">
        <f t="shared" si="267"/>
        <v>0</v>
      </c>
      <c r="AW274" s="44" t="b">
        <f t="shared" si="268"/>
        <v>0</v>
      </c>
      <c r="AX274" s="44" t="b">
        <f t="shared" si="269"/>
        <v>0</v>
      </c>
      <c r="AY274" s="7">
        <v>7</v>
      </c>
    </row>
    <row r="275" spans="1:51" hidden="1" x14ac:dyDescent="0.3">
      <c r="A275" s="7">
        <v>32</v>
      </c>
      <c r="B275" s="44">
        <f t="shared" si="275"/>
        <v>7</v>
      </c>
      <c r="C275" s="44">
        <f t="shared" si="276"/>
        <v>7</v>
      </c>
      <c r="D275" s="44">
        <f t="shared" si="277"/>
        <v>5</v>
      </c>
      <c r="E275" s="44">
        <f t="shared" si="278"/>
        <v>6</v>
      </c>
      <c r="F275" s="44">
        <f t="shared" si="279"/>
        <v>6</v>
      </c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>
        <f t="shared" si="280"/>
        <v>7</v>
      </c>
      <c r="Y275" s="44"/>
      <c r="Z275" s="44"/>
      <c r="AC275" s="44" t="str">
        <f t="shared" si="270"/>
        <v>7</v>
      </c>
      <c r="AD275" s="44" t="str">
        <f t="shared" si="271"/>
        <v>7</v>
      </c>
      <c r="AE275" s="44" t="str">
        <f t="shared" si="272"/>
        <v>5</v>
      </c>
      <c r="AF275" s="44" t="str">
        <f t="shared" si="273"/>
        <v>6</v>
      </c>
      <c r="AG275" s="44" t="str">
        <f t="shared" si="274"/>
        <v>6</v>
      </c>
      <c r="AH275" s="44" t="b">
        <f t="shared" si="253"/>
        <v>0</v>
      </c>
      <c r="AI275" s="44" t="b">
        <f t="shared" si="254"/>
        <v>0</v>
      </c>
      <c r="AJ275" s="44" t="b">
        <f t="shared" si="255"/>
        <v>0</v>
      </c>
      <c r="AK275" s="44" t="b">
        <f t="shared" si="256"/>
        <v>0</v>
      </c>
      <c r="AL275" s="44" t="b">
        <f t="shared" si="257"/>
        <v>0</v>
      </c>
      <c r="AM275" s="44" t="b">
        <f t="shared" si="258"/>
        <v>0</v>
      </c>
      <c r="AN275" s="44" t="b">
        <f t="shared" si="259"/>
        <v>0</v>
      </c>
      <c r="AO275" s="44" t="b">
        <f t="shared" si="260"/>
        <v>0</v>
      </c>
      <c r="AP275" s="44" t="b">
        <f t="shared" si="261"/>
        <v>0</v>
      </c>
      <c r="AQ275" s="44" t="b">
        <f t="shared" si="262"/>
        <v>0</v>
      </c>
      <c r="AR275" s="44" t="b">
        <f t="shared" si="263"/>
        <v>0</v>
      </c>
      <c r="AS275" s="44" t="b">
        <f t="shared" si="264"/>
        <v>0</v>
      </c>
      <c r="AT275" s="44" t="b">
        <f t="shared" si="265"/>
        <v>0</v>
      </c>
      <c r="AU275" s="44" t="b">
        <f t="shared" si="266"/>
        <v>0</v>
      </c>
      <c r="AV275" s="44" t="b">
        <f t="shared" si="267"/>
        <v>0</v>
      </c>
      <c r="AW275" s="44" t="b">
        <f t="shared" si="268"/>
        <v>0</v>
      </c>
      <c r="AX275" s="44" t="b">
        <f t="shared" si="269"/>
        <v>0</v>
      </c>
      <c r="AY275" s="7">
        <v>7</v>
      </c>
    </row>
    <row r="276" spans="1:51" hidden="1" x14ac:dyDescent="0.3">
      <c r="A276" s="7">
        <v>31</v>
      </c>
      <c r="B276" s="44">
        <f t="shared" si="275"/>
        <v>7</v>
      </c>
      <c r="C276" s="44">
        <f t="shared" si="276"/>
        <v>7</v>
      </c>
      <c r="D276" s="44">
        <f t="shared" si="277"/>
        <v>5</v>
      </c>
      <c r="E276" s="44">
        <f t="shared" si="278"/>
        <v>6</v>
      </c>
      <c r="F276" s="44">
        <f t="shared" si="279"/>
        <v>6</v>
      </c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>
        <f t="shared" si="280"/>
        <v>7</v>
      </c>
      <c r="Y276" s="44"/>
      <c r="Z276" s="44"/>
      <c r="AC276" s="44" t="str">
        <f t="shared" si="270"/>
        <v>7</v>
      </c>
      <c r="AD276" s="44" t="str">
        <f t="shared" si="271"/>
        <v>7</v>
      </c>
      <c r="AE276" s="44" t="str">
        <f t="shared" si="272"/>
        <v>5</v>
      </c>
      <c r="AF276" s="44" t="str">
        <f t="shared" si="273"/>
        <v>6</v>
      </c>
      <c r="AG276" s="44" t="str">
        <f t="shared" si="274"/>
        <v>6</v>
      </c>
      <c r="AH276" s="44" t="b">
        <f t="shared" si="253"/>
        <v>0</v>
      </c>
      <c r="AI276" s="44" t="b">
        <f t="shared" si="254"/>
        <v>0</v>
      </c>
      <c r="AJ276" s="44" t="b">
        <f t="shared" si="255"/>
        <v>0</v>
      </c>
      <c r="AK276" s="44" t="b">
        <f t="shared" si="256"/>
        <v>0</v>
      </c>
      <c r="AL276" s="44" t="b">
        <f t="shared" si="257"/>
        <v>0</v>
      </c>
      <c r="AM276" s="44" t="b">
        <f t="shared" si="258"/>
        <v>0</v>
      </c>
      <c r="AN276" s="44" t="b">
        <f t="shared" si="259"/>
        <v>0</v>
      </c>
      <c r="AO276" s="44" t="b">
        <f t="shared" si="260"/>
        <v>0</v>
      </c>
      <c r="AP276" s="44" t="b">
        <f t="shared" si="261"/>
        <v>0</v>
      </c>
      <c r="AQ276" s="44" t="b">
        <f t="shared" si="262"/>
        <v>0</v>
      </c>
      <c r="AR276" s="44" t="b">
        <f t="shared" si="263"/>
        <v>0</v>
      </c>
      <c r="AS276" s="44" t="b">
        <f t="shared" si="264"/>
        <v>0</v>
      </c>
      <c r="AT276" s="44" t="b">
        <f t="shared" si="265"/>
        <v>0</v>
      </c>
      <c r="AU276" s="44" t="b">
        <f t="shared" si="266"/>
        <v>0</v>
      </c>
      <c r="AV276" s="44" t="b">
        <f t="shared" si="267"/>
        <v>0</v>
      </c>
      <c r="AW276" s="44" t="b">
        <f t="shared" si="268"/>
        <v>0</v>
      </c>
      <c r="AX276" s="44" t="b">
        <f t="shared" si="269"/>
        <v>0</v>
      </c>
      <c r="AY276" s="7">
        <v>7</v>
      </c>
    </row>
    <row r="277" spans="1:51" hidden="1" x14ac:dyDescent="0.3">
      <c r="A277" s="7">
        <v>30</v>
      </c>
      <c r="B277" s="44">
        <f t="shared" si="275"/>
        <v>7</v>
      </c>
      <c r="C277" s="44">
        <f t="shared" si="276"/>
        <v>7</v>
      </c>
      <c r="D277" s="44">
        <f t="shared" si="277"/>
        <v>5</v>
      </c>
      <c r="E277" s="44">
        <f t="shared" si="278"/>
        <v>6</v>
      </c>
      <c r="F277" s="44">
        <f t="shared" si="279"/>
        <v>6</v>
      </c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>
        <f t="shared" si="280"/>
        <v>7</v>
      </c>
      <c r="Y277" s="44"/>
      <c r="Z277" s="44"/>
      <c r="AB277" s="55"/>
      <c r="AC277" s="44" t="str">
        <f t="shared" si="270"/>
        <v>7</v>
      </c>
      <c r="AD277" s="44" t="str">
        <f t="shared" si="271"/>
        <v>7</v>
      </c>
      <c r="AE277" s="44" t="str">
        <f t="shared" si="272"/>
        <v>5컷원점</v>
      </c>
      <c r="AF277" s="44" t="str">
        <f t="shared" si="273"/>
        <v>6</v>
      </c>
      <c r="AG277" s="44" t="str">
        <f t="shared" si="274"/>
        <v>6</v>
      </c>
      <c r="AH277" s="44" t="b">
        <f t="shared" si="253"/>
        <v>0</v>
      </c>
      <c r="AI277" s="44" t="b">
        <f t="shared" si="254"/>
        <v>0</v>
      </c>
      <c r="AJ277" s="44" t="b">
        <f t="shared" si="255"/>
        <v>0</v>
      </c>
      <c r="AK277" s="44" t="b">
        <f t="shared" si="256"/>
        <v>0</v>
      </c>
      <c r="AL277" s="44" t="b">
        <f t="shared" si="257"/>
        <v>0</v>
      </c>
      <c r="AM277" s="44" t="b">
        <f t="shared" si="258"/>
        <v>0</v>
      </c>
      <c r="AN277" s="44" t="b">
        <f t="shared" si="259"/>
        <v>0</v>
      </c>
      <c r="AO277" s="44" t="b">
        <f t="shared" si="260"/>
        <v>0</v>
      </c>
      <c r="AP277" s="44" t="b">
        <f t="shared" si="261"/>
        <v>0</v>
      </c>
      <c r="AQ277" s="44" t="b">
        <f t="shared" si="262"/>
        <v>0</v>
      </c>
      <c r="AR277" s="44" t="b">
        <f t="shared" si="263"/>
        <v>0</v>
      </c>
      <c r="AS277" s="44" t="b">
        <f t="shared" si="264"/>
        <v>0</v>
      </c>
      <c r="AT277" s="44" t="b">
        <f t="shared" si="265"/>
        <v>0</v>
      </c>
      <c r="AU277" s="44" t="b">
        <f t="shared" si="266"/>
        <v>0</v>
      </c>
      <c r="AV277" s="44" t="b">
        <f t="shared" si="267"/>
        <v>0</v>
      </c>
      <c r="AW277" s="44" t="b">
        <f t="shared" si="268"/>
        <v>0</v>
      </c>
      <c r="AX277" s="44" t="b">
        <f t="shared" si="269"/>
        <v>0</v>
      </c>
      <c r="AY277" s="7">
        <v>7</v>
      </c>
    </row>
    <row r="278" spans="1:51" hidden="1" x14ac:dyDescent="0.3">
      <c r="AC278" s="44" t="b">
        <f t="shared" si="270"/>
        <v>0</v>
      </c>
      <c r="AD278" s="44" t="b">
        <f t="shared" si="271"/>
        <v>0</v>
      </c>
      <c r="AE278" s="44" t="b">
        <f t="shared" si="272"/>
        <v>0</v>
      </c>
      <c r="AF278" s="44" t="b">
        <f t="shared" si="273"/>
        <v>0</v>
      </c>
      <c r="AG278" s="44" t="b">
        <f t="shared" si="274"/>
        <v>0</v>
      </c>
      <c r="AH278" s="44" t="b">
        <f t="shared" si="253"/>
        <v>0</v>
      </c>
      <c r="AI278" s="44" t="b">
        <f t="shared" si="254"/>
        <v>0</v>
      </c>
      <c r="AJ278" s="44" t="b">
        <f t="shared" si="255"/>
        <v>0</v>
      </c>
      <c r="AK278" s="44" t="b">
        <f t="shared" si="256"/>
        <v>0</v>
      </c>
      <c r="AL278" s="44" t="b">
        <f t="shared" si="257"/>
        <v>0</v>
      </c>
      <c r="AM278" s="44" t="b">
        <f t="shared" si="258"/>
        <v>0</v>
      </c>
      <c r="AN278" s="44" t="b">
        <f t="shared" si="259"/>
        <v>0</v>
      </c>
      <c r="AO278" s="44" t="b">
        <f t="shared" si="260"/>
        <v>0</v>
      </c>
      <c r="AP278" s="44" t="b">
        <f t="shared" si="261"/>
        <v>0</v>
      </c>
      <c r="AQ278" s="44" t="b">
        <f t="shared" si="262"/>
        <v>0</v>
      </c>
      <c r="AR278" s="44" t="b">
        <f t="shared" si="263"/>
        <v>0</v>
      </c>
      <c r="AS278" s="44" t="b">
        <f t="shared" si="264"/>
        <v>0</v>
      </c>
      <c r="AT278" s="44" t="b">
        <f t="shared" si="265"/>
        <v>0</v>
      </c>
      <c r="AU278" s="44" t="b">
        <f t="shared" si="266"/>
        <v>0</v>
      </c>
      <c r="AV278" s="44" t="b">
        <f t="shared" si="267"/>
        <v>0</v>
      </c>
      <c r="AW278" s="44" t="b">
        <f t="shared" si="268"/>
        <v>0</v>
      </c>
      <c r="AX278" s="44" t="b">
        <f t="shared" si="269"/>
        <v>0</v>
      </c>
    </row>
    <row r="279" spans="1:51" hidden="1" x14ac:dyDescent="0.3">
      <c r="AC279" s="44" t="b">
        <f t="shared" si="270"/>
        <v>0</v>
      </c>
      <c r="AD279" s="44" t="b">
        <f t="shared" si="271"/>
        <v>0</v>
      </c>
      <c r="AE279" s="44" t="b">
        <f t="shared" si="272"/>
        <v>0</v>
      </c>
      <c r="AF279" s="44" t="b">
        <f t="shared" si="273"/>
        <v>0</v>
      </c>
      <c r="AG279" s="44" t="b">
        <f t="shared" si="274"/>
        <v>0</v>
      </c>
      <c r="AH279" s="44" t="b">
        <f t="shared" si="253"/>
        <v>0</v>
      </c>
      <c r="AI279" s="44" t="b">
        <f t="shared" si="254"/>
        <v>0</v>
      </c>
      <c r="AJ279" s="44" t="b">
        <f t="shared" si="255"/>
        <v>0</v>
      </c>
      <c r="AK279" s="44" t="b">
        <f t="shared" si="256"/>
        <v>0</v>
      </c>
      <c r="AL279" s="44" t="b">
        <f t="shared" si="257"/>
        <v>0</v>
      </c>
      <c r="AM279" s="44" t="b">
        <f t="shared" si="258"/>
        <v>0</v>
      </c>
      <c r="AN279" s="44" t="b">
        <f t="shared" si="259"/>
        <v>0</v>
      </c>
      <c r="AO279" s="44" t="b">
        <f t="shared" si="260"/>
        <v>0</v>
      </c>
      <c r="AP279" s="44" t="b">
        <f t="shared" si="261"/>
        <v>0</v>
      </c>
      <c r="AQ279" s="44" t="b">
        <f t="shared" si="262"/>
        <v>0</v>
      </c>
      <c r="AR279" s="44" t="b">
        <f t="shared" si="263"/>
        <v>0</v>
      </c>
      <c r="AS279" s="44" t="b">
        <f t="shared" si="264"/>
        <v>0</v>
      </c>
      <c r="AT279" s="44" t="b">
        <f t="shared" si="265"/>
        <v>0</v>
      </c>
      <c r="AU279" s="44" t="b">
        <f t="shared" si="266"/>
        <v>0</v>
      </c>
      <c r="AV279" s="44" t="b">
        <f t="shared" si="267"/>
        <v>0</v>
      </c>
      <c r="AW279" s="44" t="b">
        <f t="shared" si="268"/>
        <v>0</v>
      </c>
      <c r="AX279" s="44" t="b">
        <f t="shared" si="269"/>
        <v>0</v>
      </c>
    </row>
    <row r="280" spans="1:51" hidden="1" x14ac:dyDescent="0.3"/>
    <row r="281" spans="1:51" hidden="1" x14ac:dyDescent="0.3"/>
    <row r="282" spans="1:51" hidden="1" x14ac:dyDescent="0.3"/>
    <row r="283" spans="1:51" hidden="1" x14ac:dyDescent="0.3"/>
    <row r="284" spans="1:51" hidden="1" x14ac:dyDescent="0.3"/>
    <row r="285" spans="1:51" hidden="1" x14ac:dyDescent="0.3">
      <c r="A285" s="7" t="s">
        <v>674</v>
      </c>
      <c r="B285" s="50" t="s">
        <v>675</v>
      </c>
    </row>
    <row r="286" spans="1:51" hidden="1" x14ac:dyDescent="0.3">
      <c r="A286" s="7" t="s">
        <v>119</v>
      </c>
    </row>
    <row r="287" spans="1:51" hidden="1" x14ac:dyDescent="0.3">
      <c r="A287" s="7" t="s">
        <v>33</v>
      </c>
      <c r="B287" s="7" t="s">
        <v>122</v>
      </c>
      <c r="C287" s="7" t="s">
        <v>121</v>
      </c>
    </row>
    <row r="288" spans="1:51" hidden="1" x14ac:dyDescent="0.3">
      <c r="A288" s="7">
        <v>100</v>
      </c>
      <c r="B288" s="7">
        <f>'변표 테이블'!C4</f>
        <v>71.13</v>
      </c>
      <c r="C288" s="7">
        <f>'변표 테이블'!D4</f>
        <v>66</v>
      </c>
    </row>
    <row r="289" spans="1:3" hidden="1" x14ac:dyDescent="0.3">
      <c r="A289" s="7">
        <v>99</v>
      </c>
      <c r="B289" s="7">
        <f>'변표 테이블'!C5</f>
        <v>69.81</v>
      </c>
      <c r="C289" s="7">
        <f>'변표 테이블'!D5</f>
        <v>65.78</v>
      </c>
    </row>
    <row r="290" spans="1:3" hidden="1" x14ac:dyDescent="0.3">
      <c r="A290" s="7">
        <v>98</v>
      </c>
      <c r="B290" s="7">
        <f>'변표 테이블'!C6</f>
        <v>68.5</v>
      </c>
      <c r="C290" s="7">
        <f>'변표 테이블'!D6</f>
        <v>65.56</v>
      </c>
    </row>
    <row r="291" spans="1:3" hidden="1" x14ac:dyDescent="0.3">
      <c r="A291" s="7">
        <v>97</v>
      </c>
      <c r="B291" s="7">
        <f>'변표 테이블'!C7</f>
        <v>67.19</v>
      </c>
      <c r="C291" s="7">
        <f>'변표 테이블'!D7</f>
        <v>65.33</v>
      </c>
    </row>
    <row r="292" spans="1:3" hidden="1" x14ac:dyDescent="0.3">
      <c r="A292" s="7">
        <v>96</v>
      </c>
      <c r="B292" s="7">
        <f>'변표 테이블'!C8</f>
        <v>65.88</v>
      </c>
      <c r="C292" s="7">
        <f>'변표 테이블'!D8</f>
        <v>65.11</v>
      </c>
    </row>
    <row r="293" spans="1:3" hidden="1" x14ac:dyDescent="0.3">
      <c r="A293" s="7">
        <v>95</v>
      </c>
      <c r="B293" s="7">
        <f>'변표 테이블'!C9</f>
        <v>65.430000000000007</v>
      </c>
      <c r="C293" s="7">
        <f>'변표 테이블'!D9</f>
        <v>64.84</v>
      </c>
    </row>
    <row r="294" spans="1:3" hidden="1" x14ac:dyDescent="0.3">
      <c r="A294" s="7">
        <v>94</v>
      </c>
      <c r="B294" s="7">
        <f>'변표 테이블'!C10</f>
        <v>64.98</v>
      </c>
      <c r="C294" s="7">
        <f>'변표 테이블'!D10</f>
        <v>64.569999999999993</v>
      </c>
    </row>
    <row r="295" spans="1:3" hidden="1" x14ac:dyDescent="0.3">
      <c r="A295" s="7">
        <v>93</v>
      </c>
      <c r="B295" s="7">
        <f>'변표 테이블'!C11</f>
        <v>64.540000000000006</v>
      </c>
      <c r="C295" s="7">
        <f>'변표 테이블'!D11</f>
        <v>64.3</v>
      </c>
    </row>
    <row r="296" spans="1:3" hidden="1" x14ac:dyDescent="0.3">
      <c r="A296" s="7">
        <v>92</v>
      </c>
      <c r="B296" s="7">
        <f>'변표 테이블'!C12</f>
        <v>64.09</v>
      </c>
      <c r="C296" s="7">
        <f>'변표 테이블'!D12</f>
        <v>64.03</v>
      </c>
    </row>
    <row r="297" spans="1:3" hidden="1" x14ac:dyDescent="0.3">
      <c r="A297" s="7">
        <v>91</v>
      </c>
      <c r="B297" s="7">
        <f>'변표 테이블'!C13</f>
        <v>63.64</v>
      </c>
      <c r="C297" s="7">
        <f>'변표 테이블'!D13</f>
        <v>63.76</v>
      </c>
    </row>
    <row r="298" spans="1:3" hidden="1" x14ac:dyDescent="0.3">
      <c r="A298" s="7">
        <v>90</v>
      </c>
      <c r="B298" s="7">
        <f>'변표 테이블'!C14</f>
        <v>63.2</v>
      </c>
      <c r="C298" s="7">
        <f>'변표 테이블'!D14</f>
        <v>63.49</v>
      </c>
    </row>
    <row r="299" spans="1:3" hidden="1" x14ac:dyDescent="0.3">
      <c r="A299" s="7">
        <v>89</v>
      </c>
      <c r="B299" s="7">
        <f>'변표 테이블'!C15</f>
        <v>62.75</v>
      </c>
      <c r="C299" s="7">
        <f>'변표 테이블'!D15</f>
        <v>63.22</v>
      </c>
    </row>
    <row r="300" spans="1:3" hidden="1" x14ac:dyDescent="0.3">
      <c r="A300" s="7">
        <v>88</v>
      </c>
      <c r="B300" s="7">
        <f>'변표 테이블'!C16</f>
        <v>62.46</v>
      </c>
      <c r="C300" s="7">
        <f>'변표 테이블'!D16</f>
        <v>62.96</v>
      </c>
    </row>
    <row r="301" spans="1:3" hidden="1" x14ac:dyDescent="0.3">
      <c r="A301" s="7">
        <v>87</v>
      </c>
      <c r="B301" s="7">
        <f>'변표 테이블'!C17</f>
        <v>62.17</v>
      </c>
      <c r="C301" s="7">
        <f>'변표 테이블'!D17</f>
        <v>62.7</v>
      </c>
    </row>
    <row r="302" spans="1:3" hidden="1" x14ac:dyDescent="0.3">
      <c r="A302" s="7">
        <v>86</v>
      </c>
      <c r="B302" s="7">
        <f>'변표 테이블'!C18</f>
        <v>61.88</v>
      </c>
      <c r="C302" s="7">
        <f>'변표 테이블'!D18</f>
        <v>62.44</v>
      </c>
    </row>
    <row r="303" spans="1:3" hidden="1" x14ac:dyDescent="0.3">
      <c r="A303" s="7">
        <v>85</v>
      </c>
      <c r="B303" s="7">
        <f>'변표 테이블'!C19</f>
        <v>61.58</v>
      </c>
      <c r="C303" s="7">
        <f>'변표 테이블'!D19</f>
        <v>62.19</v>
      </c>
    </row>
    <row r="304" spans="1:3" hidden="1" x14ac:dyDescent="0.3">
      <c r="A304" s="7">
        <v>84</v>
      </c>
      <c r="B304" s="7">
        <f>'변표 테이블'!C20</f>
        <v>61.29</v>
      </c>
      <c r="C304" s="7">
        <f>'변표 테이블'!D20</f>
        <v>61.93</v>
      </c>
    </row>
    <row r="305" spans="1:3" hidden="1" x14ac:dyDescent="0.3">
      <c r="A305" s="7">
        <v>83</v>
      </c>
      <c r="B305" s="7">
        <f>'변표 테이블'!C21</f>
        <v>61</v>
      </c>
      <c r="C305" s="7">
        <f>'변표 테이블'!D21</f>
        <v>61.67</v>
      </c>
    </row>
    <row r="306" spans="1:3" hidden="1" x14ac:dyDescent="0.3">
      <c r="A306" s="7">
        <v>82</v>
      </c>
      <c r="B306" s="7">
        <f>'변표 테이블'!C22</f>
        <v>60.71</v>
      </c>
      <c r="C306" s="7">
        <f>'변표 테이블'!D22</f>
        <v>61.41</v>
      </c>
    </row>
    <row r="307" spans="1:3" hidden="1" x14ac:dyDescent="0.3">
      <c r="A307" s="7">
        <v>81</v>
      </c>
      <c r="B307" s="7">
        <f>'변표 테이블'!C23</f>
        <v>60.42</v>
      </c>
      <c r="C307" s="7">
        <f>'변표 테이블'!D23</f>
        <v>61.15</v>
      </c>
    </row>
    <row r="308" spans="1:3" hidden="1" x14ac:dyDescent="0.3">
      <c r="A308" s="7">
        <v>80</v>
      </c>
      <c r="B308" s="7">
        <f>'변표 테이블'!C24</f>
        <v>60.13</v>
      </c>
      <c r="C308" s="7">
        <f>'변표 테이블'!D24</f>
        <v>60.89</v>
      </c>
    </row>
    <row r="309" spans="1:3" hidden="1" x14ac:dyDescent="0.3">
      <c r="A309" s="7">
        <v>79</v>
      </c>
      <c r="B309" s="7">
        <f>'변표 테이블'!C25</f>
        <v>59.83</v>
      </c>
      <c r="C309" s="7">
        <f>'변표 테이블'!D25</f>
        <v>60.63</v>
      </c>
    </row>
    <row r="310" spans="1:3" hidden="1" x14ac:dyDescent="0.3">
      <c r="A310" s="7">
        <v>78</v>
      </c>
      <c r="B310" s="7">
        <f>'변표 테이블'!C26</f>
        <v>59.54</v>
      </c>
      <c r="C310" s="7">
        <f>'변표 테이블'!D26</f>
        <v>60.37</v>
      </c>
    </row>
    <row r="311" spans="1:3" hidden="1" x14ac:dyDescent="0.3">
      <c r="A311" s="7">
        <v>77</v>
      </c>
      <c r="B311" s="7">
        <f>'변표 테이블'!C27</f>
        <v>59.25</v>
      </c>
      <c r="C311" s="7">
        <f>'변표 테이블'!D27</f>
        <v>60.11</v>
      </c>
    </row>
    <row r="312" spans="1:3" hidden="1" x14ac:dyDescent="0.3">
      <c r="A312" s="7">
        <v>76</v>
      </c>
      <c r="B312" s="7">
        <f>'변표 테이블'!C28</f>
        <v>58.93</v>
      </c>
      <c r="C312" s="7">
        <f>'변표 테이블'!D28</f>
        <v>59.76</v>
      </c>
    </row>
    <row r="313" spans="1:3" hidden="1" x14ac:dyDescent="0.3">
      <c r="A313" s="7">
        <v>75</v>
      </c>
      <c r="B313" s="7">
        <f>'변표 테이블'!C29</f>
        <v>58.62</v>
      </c>
      <c r="C313" s="7">
        <f>'변표 테이블'!D29</f>
        <v>59.42</v>
      </c>
    </row>
    <row r="314" spans="1:3" hidden="1" x14ac:dyDescent="0.3">
      <c r="A314" s="7">
        <v>74</v>
      </c>
      <c r="B314" s="7">
        <f>'변표 테이블'!C30</f>
        <v>58.3</v>
      </c>
      <c r="C314" s="7">
        <f>'변표 테이블'!D30</f>
        <v>59.07</v>
      </c>
    </row>
    <row r="315" spans="1:3" hidden="1" x14ac:dyDescent="0.3">
      <c r="A315" s="7">
        <v>73</v>
      </c>
      <c r="B315" s="7">
        <f>'변표 테이블'!C31</f>
        <v>57.99</v>
      </c>
      <c r="C315" s="7">
        <f>'변표 테이블'!D31</f>
        <v>58.73</v>
      </c>
    </row>
    <row r="316" spans="1:3" hidden="1" x14ac:dyDescent="0.3">
      <c r="A316" s="7">
        <v>72</v>
      </c>
      <c r="B316" s="7">
        <f>'변표 테이블'!C32</f>
        <v>57.67</v>
      </c>
      <c r="C316" s="7">
        <f>'변표 테이블'!D32</f>
        <v>58.38</v>
      </c>
    </row>
    <row r="317" spans="1:3" hidden="1" x14ac:dyDescent="0.3">
      <c r="A317" s="7">
        <v>71</v>
      </c>
      <c r="B317" s="7">
        <f>'변표 테이블'!C33</f>
        <v>57.35</v>
      </c>
      <c r="C317" s="7">
        <f>'변표 테이블'!D33</f>
        <v>58.03</v>
      </c>
    </row>
    <row r="318" spans="1:3" hidden="1" x14ac:dyDescent="0.3">
      <c r="A318" s="7">
        <v>70</v>
      </c>
      <c r="B318" s="7">
        <f>'변표 테이블'!C34</f>
        <v>57.04</v>
      </c>
      <c r="C318" s="7">
        <f>'변표 테이블'!D34</f>
        <v>57.69</v>
      </c>
    </row>
    <row r="319" spans="1:3" hidden="1" x14ac:dyDescent="0.3">
      <c r="A319" s="7">
        <v>69</v>
      </c>
      <c r="B319" s="7">
        <f>'변표 테이블'!C35</f>
        <v>56.72</v>
      </c>
      <c r="C319" s="7">
        <f>'변표 테이블'!D35</f>
        <v>57.34</v>
      </c>
    </row>
    <row r="320" spans="1:3" hidden="1" x14ac:dyDescent="0.3">
      <c r="A320" s="7">
        <v>68</v>
      </c>
      <c r="B320" s="7">
        <f>'변표 테이블'!C36</f>
        <v>56.4</v>
      </c>
      <c r="C320" s="7">
        <f>'변표 테이블'!D36</f>
        <v>56.99</v>
      </c>
    </row>
    <row r="321" spans="1:3" hidden="1" x14ac:dyDescent="0.3">
      <c r="A321" s="7">
        <v>67</v>
      </c>
      <c r="B321" s="7">
        <f>'변표 테이블'!C37</f>
        <v>56.09</v>
      </c>
      <c r="C321" s="7">
        <f>'변표 테이블'!D37</f>
        <v>56.65</v>
      </c>
    </row>
    <row r="322" spans="1:3" hidden="1" x14ac:dyDescent="0.3">
      <c r="A322" s="7">
        <v>66</v>
      </c>
      <c r="B322" s="7">
        <f>'변표 테이블'!C38</f>
        <v>55.77</v>
      </c>
      <c r="C322" s="7">
        <f>'변표 테이블'!D38</f>
        <v>56.3</v>
      </c>
    </row>
    <row r="323" spans="1:3" hidden="1" x14ac:dyDescent="0.3">
      <c r="A323" s="7">
        <v>65</v>
      </c>
      <c r="B323" s="7">
        <f>'변표 테이블'!C39</f>
        <v>55.46</v>
      </c>
      <c r="C323" s="7">
        <f>'변표 테이블'!D39</f>
        <v>55.95</v>
      </c>
    </row>
    <row r="324" spans="1:3" hidden="1" x14ac:dyDescent="0.3">
      <c r="A324" s="7">
        <v>64</v>
      </c>
      <c r="B324" s="7">
        <f>'변표 테이블'!C40</f>
        <v>55.14</v>
      </c>
      <c r="C324" s="7">
        <f>'변표 테이블'!D40</f>
        <v>55.61</v>
      </c>
    </row>
    <row r="325" spans="1:3" hidden="1" x14ac:dyDescent="0.3">
      <c r="A325" s="7">
        <v>63</v>
      </c>
      <c r="B325" s="7">
        <f>'변표 테이블'!C41</f>
        <v>54.82</v>
      </c>
      <c r="C325" s="7">
        <f>'변표 테이블'!D41</f>
        <v>55.26</v>
      </c>
    </row>
    <row r="326" spans="1:3" hidden="1" x14ac:dyDescent="0.3">
      <c r="A326" s="7">
        <v>62</v>
      </c>
      <c r="B326" s="7">
        <f>'변표 테이블'!C42</f>
        <v>54.51</v>
      </c>
      <c r="C326" s="7">
        <f>'변표 테이블'!D42</f>
        <v>54.92</v>
      </c>
    </row>
    <row r="327" spans="1:3" hidden="1" x14ac:dyDescent="0.3">
      <c r="A327" s="7">
        <v>61</v>
      </c>
      <c r="B327" s="7">
        <f>'변표 테이블'!C43</f>
        <v>54.19</v>
      </c>
      <c r="C327" s="7">
        <f>'변표 테이블'!D43</f>
        <v>54.57</v>
      </c>
    </row>
    <row r="328" spans="1:3" hidden="1" x14ac:dyDescent="0.3">
      <c r="A328" s="7">
        <v>60</v>
      </c>
      <c r="B328" s="7">
        <f>'변표 테이블'!C44</f>
        <v>53.88</v>
      </c>
      <c r="C328" s="7">
        <f>'변표 테이블'!D44</f>
        <v>54.22</v>
      </c>
    </row>
    <row r="329" spans="1:3" hidden="1" x14ac:dyDescent="0.3">
      <c r="A329" s="7">
        <v>59</v>
      </c>
      <c r="B329" s="7">
        <f>'변표 테이블'!C45</f>
        <v>53.5</v>
      </c>
      <c r="C329" s="7">
        <f>'변표 테이블'!D45</f>
        <v>53.82</v>
      </c>
    </row>
    <row r="330" spans="1:3" hidden="1" x14ac:dyDescent="0.3">
      <c r="A330" s="7">
        <v>58</v>
      </c>
      <c r="B330" s="7">
        <f>'변표 테이블'!C46</f>
        <v>53.13</v>
      </c>
      <c r="C330" s="7">
        <f>'변표 테이블'!D46</f>
        <v>53.41</v>
      </c>
    </row>
    <row r="331" spans="1:3" hidden="1" x14ac:dyDescent="0.3">
      <c r="A331" s="7">
        <v>57</v>
      </c>
      <c r="B331" s="7">
        <f>'변표 테이블'!C47</f>
        <v>52.75</v>
      </c>
      <c r="C331" s="7">
        <f>'변표 테이블'!D47</f>
        <v>53.01</v>
      </c>
    </row>
    <row r="332" spans="1:3" hidden="1" x14ac:dyDescent="0.3">
      <c r="A332" s="7">
        <v>56</v>
      </c>
      <c r="B332" s="7">
        <f>'변표 테이블'!C48</f>
        <v>52.38</v>
      </c>
      <c r="C332" s="7">
        <f>'변표 테이블'!D48</f>
        <v>52.6</v>
      </c>
    </row>
    <row r="333" spans="1:3" hidden="1" x14ac:dyDescent="0.3">
      <c r="A333" s="7">
        <v>55</v>
      </c>
      <c r="B333" s="7">
        <f>'변표 테이블'!C49</f>
        <v>52</v>
      </c>
      <c r="C333" s="7">
        <f>'변표 테이블'!D49</f>
        <v>52.19</v>
      </c>
    </row>
    <row r="334" spans="1:3" hidden="1" x14ac:dyDescent="0.3">
      <c r="A334" s="7">
        <v>54</v>
      </c>
      <c r="B334" s="7">
        <f>'변표 테이블'!C50</f>
        <v>51.63</v>
      </c>
      <c r="C334" s="7">
        <f>'변표 테이블'!D50</f>
        <v>51.79</v>
      </c>
    </row>
    <row r="335" spans="1:3" hidden="1" x14ac:dyDescent="0.3">
      <c r="A335" s="7">
        <v>53</v>
      </c>
      <c r="B335" s="7">
        <f>'변표 테이블'!C51</f>
        <v>51.25</v>
      </c>
      <c r="C335" s="7">
        <f>'변표 테이블'!D51</f>
        <v>51.38</v>
      </c>
    </row>
    <row r="336" spans="1:3" hidden="1" x14ac:dyDescent="0.3">
      <c r="A336" s="7">
        <v>52</v>
      </c>
      <c r="B336" s="7">
        <f>'변표 테이블'!C52</f>
        <v>50.88</v>
      </c>
      <c r="C336" s="7">
        <f>'변표 테이블'!D52</f>
        <v>50.98</v>
      </c>
    </row>
    <row r="337" spans="1:3" hidden="1" x14ac:dyDescent="0.3">
      <c r="A337" s="7">
        <v>51</v>
      </c>
      <c r="B337" s="7">
        <f>'변표 테이블'!C53</f>
        <v>50.5</v>
      </c>
      <c r="C337" s="7">
        <f>'변표 테이블'!D53</f>
        <v>50.57</v>
      </c>
    </row>
    <row r="338" spans="1:3" hidden="1" x14ac:dyDescent="0.3">
      <c r="A338" s="7">
        <v>50</v>
      </c>
      <c r="B338" s="7">
        <f>'변표 테이블'!C54</f>
        <v>50.13</v>
      </c>
      <c r="C338" s="7">
        <f>'변표 테이블'!D54</f>
        <v>50.17</v>
      </c>
    </row>
    <row r="339" spans="1:3" hidden="1" x14ac:dyDescent="0.3">
      <c r="A339" s="7">
        <v>49</v>
      </c>
      <c r="B339" s="7">
        <f>'변표 테이블'!C55</f>
        <v>49.75</v>
      </c>
      <c r="C339" s="7">
        <f>'변표 테이블'!D55</f>
        <v>49.76</v>
      </c>
    </row>
    <row r="340" spans="1:3" hidden="1" x14ac:dyDescent="0.3">
      <c r="A340" s="7">
        <v>48</v>
      </c>
      <c r="B340" s="7">
        <f>'변표 테이블'!C56</f>
        <v>49.38</v>
      </c>
      <c r="C340" s="7">
        <f>'변표 테이블'!D56</f>
        <v>49.36</v>
      </c>
    </row>
    <row r="341" spans="1:3" hidden="1" x14ac:dyDescent="0.3">
      <c r="A341" s="7">
        <v>47</v>
      </c>
      <c r="B341" s="7">
        <f>'변표 테이블'!C57</f>
        <v>49</v>
      </c>
      <c r="C341" s="7">
        <f>'변표 테이블'!D57</f>
        <v>48.95</v>
      </c>
    </row>
    <row r="342" spans="1:3" hidden="1" x14ac:dyDescent="0.3">
      <c r="A342" s="7">
        <v>46</v>
      </c>
      <c r="B342" s="7">
        <f>'변표 테이블'!C58</f>
        <v>48.63</v>
      </c>
      <c r="C342" s="7">
        <f>'변표 테이블'!D58</f>
        <v>48.54</v>
      </c>
    </row>
    <row r="343" spans="1:3" hidden="1" x14ac:dyDescent="0.3">
      <c r="A343" s="7">
        <v>45</v>
      </c>
      <c r="B343" s="7">
        <f>'변표 테이블'!C59</f>
        <v>48.25</v>
      </c>
      <c r="C343" s="7">
        <f>'변표 테이블'!D59</f>
        <v>48.14</v>
      </c>
    </row>
    <row r="344" spans="1:3" hidden="1" x14ac:dyDescent="0.3">
      <c r="A344" s="7">
        <v>44</v>
      </c>
      <c r="B344" s="7">
        <f>'변표 테이블'!C60</f>
        <v>47.88</v>
      </c>
      <c r="C344" s="7">
        <f>'변표 테이블'!D60</f>
        <v>47.73</v>
      </c>
    </row>
    <row r="345" spans="1:3" hidden="1" x14ac:dyDescent="0.3">
      <c r="A345" s="7">
        <v>43</v>
      </c>
      <c r="B345" s="7">
        <f>'변표 테이블'!C61</f>
        <v>47.5</v>
      </c>
      <c r="C345" s="7">
        <f>'변표 테이블'!D61</f>
        <v>47.33</v>
      </c>
    </row>
    <row r="346" spans="1:3" hidden="1" x14ac:dyDescent="0.3">
      <c r="A346" s="7">
        <v>42</v>
      </c>
      <c r="B346" s="7">
        <f>'변표 테이블'!C62</f>
        <v>47.13</v>
      </c>
      <c r="C346" s="7">
        <f>'변표 테이블'!D62</f>
        <v>46.92</v>
      </c>
    </row>
    <row r="347" spans="1:3" hidden="1" x14ac:dyDescent="0.3">
      <c r="A347" s="7">
        <v>41</v>
      </c>
      <c r="B347" s="7">
        <f>'변표 테이블'!C63</f>
        <v>46.75</v>
      </c>
      <c r="C347" s="7">
        <f>'변표 테이블'!D63</f>
        <v>46.52</v>
      </c>
    </row>
    <row r="348" spans="1:3" hidden="1" x14ac:dyDescent="0.3">
      <c r="A348" s="7">
        <v>40</v>
      </c>
      <c r="B348" s="7">
        <f>'변표 테이블'!C64</f>
        <v>46.38</v>
      </c>
      <c r="C348" s="7">
        <f>'변표 테이블'!D64</f>
        <v>46.11</v>
      </c>
    </row>
    <row r="349" spans="1:3" hidden="1" x14ac:dyDescent="0.3">
      <c r="A349" s="7">
        <v>39</v>
      </c>
      <c r="B349" s="7">
        <f>'변표 테이블'!C65</f>
        <v>46.04</v>
      </c>
      <c r="C349" s="7">
        <f>'변표 테이블'!D65</f>
        <v>45.77</v>
      </c>
    </row>
    <row r="350" spans="1:3" hidden="1" x14ac:dyDescent="0.3">
      <c r="A350" s="7">
        <v>38</v>
      </c>
      <c r="B350" s="7">
        <f>'변표 테이블'!C66</f>
        <v>45.7</v>
      </c>
      <c r="C350" s="7">
        <f>'변표 테이블'!D66</f>
        <v>45.43</v>
      </c>
    </row>
    <row r="351" spans="1:3" hidden="1" x14ac:dyDescent="0.3">
      <c r="A351" s="7">
        <v>37</v>
      </c>
      <c r="B351" s="7">
        <f>'변표 테이블'!C67</f>
        <v>45.36</v>
      </c>
      <c r="C351" s="7">
        <f>'변표 테이블'!D67</f>
        <v>45.09</v>
      </c>
    </row>
    <row r="352" spans="1:3" hidden="1" x14ac:dyDescent="0.3">
      <c r="A352" s="7">
        <v>36</v>
      </c>
      <c r="B352" s="7">
        <f>'변표 테이블'!C68</f>
        <v>45.02</v>
      </c>
      <c r="C352" s="7">
        <f>'변표 테이블'!D68</f>
        <v>44.75</v>
      </c>
    </row>
    <row r="353" spans="1:3" hidden="1" x14ac:dyDescent="0.3">
      <c r="A353" s="7">
        <v>35</v>
      </c>
      <c r="B353" s="7">
        <f>'변표 테이블'!C69</f>
        <v>44.68</v>
      </c>
      <c r="C353" s="7">
        <f>'변표 테이블'!D69</f>
        <v>44.41</v>
      </c>
    </row>
    <row r="354" spans="1:3" hidden="1" x14ac:dyDescent="0.3">
      <c r="A354" s="7">
        <v>34</v>
      </c>
      <c r="B354" s="7">
        <f>'변표 테이블'!C70</f>
        <v>44.35</v>
      </c>
      <c r="C354" s="7">
        <f>'변표 테이블'!D70</f>
        <v>44.07</v>
      </c>
    </row>
    <row r="355" spans="1:3" hidden="1" x14ac:dyDescent="0.3">
      <c r="A355" s="7">
        <v>33</v>
      </c>
      <c r="B355" s="7">
        <f>'변표 테이블'!C71</f>
        <v>44.01</v>
      </c>
      <c r="C355" s="7">
        <f>'변표 테이블'!D71</f>
        <v>43.73</v>
      </c>
    </row>
    <row r="356" spans="1:3" hidden="1" x14ac:dyDescent="0.3">
      <c r="A356" s="7">
        <v>32</v>
      </c>
      <c r="B356" s="7">
        <f>'변표 테이블'!C72</f>
        <v>43.67</v>
      </c>
      <c r="C356" s="7">
        <f>'변표 테이블'!D72</f>
        <v>43.39</v>
      </c>
    </row>
    <row r="357" spans="1:3" hidden="1" x14ac:dyDescent="0.3">
      <c r="A357" s="7">
        <v>31</v>
      </c>
      <c r="B357" s="7">
        <f>'변표 테이블'!C73</f>
        <v>43.33</v>
      </c>
      <c r="C357" s="7">
        <f>'변표 테이블'!D73</f>
        <v>43.05</v>
      </c>
    </row>
    <row r="358" spans="1:3" hidden="1" x14ac:dyDescent="0.3">
      <c r="A358" s="7">
        <v>30</v>
      </c>
      <c r="B358" s="7">
        <f>'변표 테이블'!C74</f>
        <v>42.99</v>
      </c>
      <c r="C358" s="7">
        <f>'변표 테이블'!D74</f>
        <v>42.71</v>
      </c>
    </row>
    <row r="360" spans="1:3" x14ac:dyDescent="0.3">
      <c r="B360" s="102" t="s">
        <v>1586</v>
      </c>
    </row>
    <row r="361" spans="1:3" x14ac:dyDescent="0.3">
      <c r="B361" s="102" t="s">
        <v>1585</v>
      </c>
    </row>
    <row r="362" spans="1:3" x14ac:dyDescent="0.3">
      <c r="B362" s="54" t="s">
        <v>1587</v>
      </c>
    </row>
  </sheetData>
  <sheetProtection algorithmName="SHA-512" hashValue="Al7g2X+9V/HHtBqZYvhiYCWYrbWLGMEAngDDT/aEP9v9ZGkvxbThVFsdl2BIPyLwibqSFQsKKU2F5IGmagZ9YA==" saltValue="2rnWsZthp+zqlldOXN1NqA==" spinCount="100000" sheet="1"/>
  <scenarios current="0" sqref="F20">
    <scenario name="dd" locked="1" count="1" user="k2" comment="만든 사람 k2 날짜 2021-10-09">
      <inputCells r="B62" val="3"/>
    </scenario>
  </scenarios>
  <mergeCells count="2">
    <mergeCell ref="B1:F1"/>
    <mergeCell ref="B3:C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B2A1-9EA8-4D57-BFFB-1605D67742C4}">
  <dimension ref="B1:AE421"/>
  <sheetViews>
    <sheetView workbookViewId="0">
      <pane ySplit="7" topLeftCell="A8" activePane="bottomLeft" state="frozen"/>
      <selection pane="bottomLeft" activeCell="G1" sqref="G1:O3"/>
    </sheetView>
  </sheetViews>
  <sheetFormatPr defaultRowHeight="16.5" x14ac:dyDescent="0.3"/>
  <cols>
    <col min="1" max="1" width="17.625" style="7" customWidth="1"/>
    <col min="2" max="3" width="9" style="7" hidden="1" customWidth="1"/>
    <col min="4" max="5" width="0" style="41" hidden="1" customWidth="1"/>
    <col min="6" max="6" width="6.875" style="113" customWidth="1"/>
    <col min="7" max="7" width="12.375" style="41" customWidth="1"/>
    <col min="8" max="8" width="14.75" style="41" customWidth="1"/>
    <col min="9" max="9" width="7" style="41" customWidth="1"/>
    <col min="10" max="10" width="8.625" style="41" customWidth="1"/>
    <col min="11" max="11" width="10.625" style="113" customWidth="1"/>
    <col min="12" max="12" width="12.125" style="41" customWidth="1"/>
    <col min="13" max="13" width="10.625" style="41" customWidth="1"/>
    <col min="14" max="14" width="13.875" style="113" customWidth="1"/>
    <col min="15" max="16" width="9.125" style="73" customWidth="1"/>
    <col min="17" max="20" width="9.125" style="41" customWidth="1"/>
    <col min="21" max="21" width="0.25" style="41" hidden="1" customWidth="1"/>
    <col min="22" max="22" width="0.25" style="113" hidden="1" customWidth="1"/>
    <col min="23" max="24" width="9.5" style="108" customWidth="1"/>
    <col min="25" max="27" width="5" style="41" customWidth="1"/>
    <col min="28" max="30" width="9" style="7"/>
    <col min="31" max="31" width="9" style="7" hidden="1" customWidth="1"/>
    <col min="32" max="16384" width="9" style="7"/>
  </cols>
  <sheetData>
    <row r="1" spans="2:31" x14ac:dyDescent="0.3">
      <c r="B1" s="107" t="s">
        <v>345</v>
      </c>
      <c r="C1" s="73" t="s">
        <v>251</v>
      </c>
      <c r="D1" s="41" t="s">
        <v>379</v>
      </c>
      <c r="E1" s="73" t="s">
        <v>459</v>
      </c>
      <c r="F1" s="73"/>
      <c r="G1" s="217" t="s">
        <v>889</v>
      </c>
      <c r="H1" s="218"/>
      <c r="I1" s="218"/>
      <c r="J1" s="218"/>
      <c r="K1" s="218"/>
      <c r="L1" s="218"/>
      <c r="M1" s="218"/>
      <c r="N1" s="218"/>
      <c r="O1" s="218"/>
      <c r="T1" s="73"/>
      <c r="V1" s="73"/>
    </row>
    <row r="2" spans="2:31" x14ac:dyDescent="0.3">
      <c r="B2" s="107">
        <v>1</v>
      </c>
      <c r="C2" s="73">
        <v>2</v>
      </c>
      <c r="D2" s="41">
        <v>3</v>
      </c>
      <c r="E2" s="73">
        <v>4</v>
      </c>
      <c r="F2" s="73"/>
      <c r="G2" s="218"/>
      <c r="H2" s="218"/>
      <c r="I2" s="218"/>
      <c r="J2" s="218"/>
      <c r="K2" s="218"/>
      <c r="L2" s="218"/>
      <c r="M2" s="218"/>
      <c r="N2" s="218"/>
      <c r="O2" s="218"/>
      <c r="T2" s="73"/>
      <c r="V2" s="73"/>
    </row>
    <row r="3" spans="2:31" x14ac:dyDescent="0.3">
      <c r="B3" s="43" t="s">
        <v>671</v>
      </c>
      <c r="F3" s="73"/>
      <c r="G3" s="218"/>
      <c r="H3" s="218"/>
      <c r="I3" s="218"/>
      <c r="J3" s="218"/>
      <c r="K3" s="218"/>
      <c r="L3" s="218"/>
      <c r="M3" s="218"/>
      <c r="N3" s="218"/>
      <c r="O3" s="218"/>
      <c r="R3" s="73"/>
      <c r="T3" s="73"/>
      <c r="V3" s="73"/>
    </row>
    <row r="4" spans="2:31" x14ac:dyDescent="0.3">
      <c r="B4" s="43">
        <v>1</v>
      </c>
      <c r="C4" s="7" t="str">
        <f>IF($B$4=1,CONCATENATE($B$1,AE4),IF($B$4=2,CONCATENATE($C$1,AE4),IF($B$4=3,CONCATENATE($D$1,AE4),IF($B$4=4,CONCATENATE($E$1,AE4)))))</f>
        <v>가</v>
      </c>
      <c r="F4" s="73"/>
      <c r="J4" s="73"/>
      <c r="K4" s="73"/>
      <c r="M4" s="73"/>
      <c r="N4" s="73"/>
      <c r="T4" s="73"/>
      <c r="V4" s="73"/>
    </row>
    <row r="5" spans="2:31" x14ac:dyDescent="0.3">
      <c r="F5" s="73"/>
      <c r="J5" s="73"/>
      <c r="K5" s="73"/>
      <c r="M5" s="109"/>
      <c r="N5" s="73"/>
      <c r="P5" s="214" t="s">
        <v>474</v>
      </c>
      <c r="Q5" s="215"/>
      <c r="R5" s="215"/>
      <c r="S5" s="215"/>
      <c r="T5" s="216"/>
      <c r="V5" s="73"/>
      <c r="W5" s="110"/>
    </row>
    <row r="6" spans="2:31" x14ac:dyDescent="0.3">
      <c r="F6" s="111"/>
      <c r="G6" s="112"/>
      <c r="H6" s="112"/>
      <c r="I6" s="112"/>
      <c r="J6" s="62"/>
      <c r="K6" s="214" t="s">
        <v>475</v>
      </c>
      <c r="L6" s="215"/>
      <c r="M6" s="216"/>
      <c r="N6" s="219" t="s">
        <v>476</v>
      </c>
      <c r="O6" s="220"/>
      <c r="P6" s="61" t="s">
        <v>885</v>
      </c>
      <c r="Q6" s="62" t="s">
        <v>886</v>
      </c>
      <c r="R6" s="62" t="s">
        <v>887</v>
      </c>
      <c r="S6" s="62" t="s">
        <v>888</v>
      </c>
      <c r="T6" s="63"/>
      <c r="W6" s="221" t="s">
        <v>893</v>
      </c>
      <c r="X6" s="222"/>
      <c r="Y6" s="214" t="s">
        <v>672</v>
      </c>
      <c r="Z6" s="215"/>
      <c r="AA6" s="216"/>
    </row>
    <row r="7" spans="2:31" x14ac:dyDescent="0.3">
      <c r="D7" s="41" t="s">
        <v>473</v>
      </c>
      <c r="E7" s="41" t="s">
        <v>472</v>
      </c>
      <c r="F7" s="114" t="s">
        <v>97</v>
      </c>
      <c r="G7" s="109" t="s">
        <v>88</v>
      </c>
      <c r="H7" s="109" t="s">
        <v>89</v>
      </c>
      <c r="I7" s="109" t="s">
        <v>90</v>
      </c>
      <c r="J7" s="115" t="s">
        <v>96</v>
      </c>
      <c r="K7" s="114" t="s">
        <v>461</v>
      </c>
      <c r="L7" s="116" t="s">
        <v>463</v>
      </c>
      <c r="M7" s="116" t="s">
        <v>462</v>
      </c>
      <c r="N7" s="114" t="s">
        <v>284</v>
      </c>
      <c r="O7" s="115" t="s">
        <v>98</v>
      </c>
      <c r="P7" s="64">
        <v>0.9</v>
      </c>
      <c r="Q7" s="65">
        <v>0.7</v>
      </c>
      <c r="R7" s="66">
        <v>0.4</v>
      </c>
      <c r="S7" s="67">
        <v>0.1</v>
      </c>
      <c r="T7" s="68">
        <v>0.01</v>
      </c>
      <c r="U7" s="41" t="s">
        <v>96</v>
      </c>
      <c r="V7" s="113" t="s">
        <v>250</v>
      </c>
      <c r="W7" s="117" t="s">
        <v>894</v>
      </c>
      <c r="X7" s="118" t="s">
        <v>103</v>
      </c>
      <c r="Y7" s="109" t="s">
        <v>113</v>
      </c>
      <c r="Z7" s="109" t="s">
        <v>237</v>
      </c>
      <c r="AA7" s="115" t="s">
        <v>673</v>
      </c>
    </row>
    <row r="8" spans="2:31" x14ac:dyDescent="0.3">
      <c r="C8" s="7" t="s">
        <v>897</v>
      </c>
      <c r="D8" s="41" t="str">
        <f>IFERROR(INDEX('배치점수 계산기'!V$11:V$1000,MATCH($C8,'배치점수 계산기'!$U$11:$U$1000,0)),"")</f>
        <v>연세대 자연</v>
      </c>
      <c r="E8" s="41">
        <f>IFERROR(INDEX('배치점수 계산기'!W$11:W$1000,MATCH($C8,'배치점수 계산기'!$U$11:$U$1000,0)),"")</f>
        <v>19</v>
      </c>
      <c r="F8" s="113" t="s">
        <v>276</v>
      </c>
      <c r="G8" s="41" t="s">
        <v>277</v>
      </c>
      <c r="H8" s="41" t="s">
        <v>278</v>
      </c>
      <c r="I8" s="41" t="s">
        <v>274</v>
      </c>
      <c r="J8" s="41" t="str">
        <f t="shared" ref="J8:J71" si="0">IFERROR(IF(U8=1,"O",IF(U8=0,"X","")),"")</f>
        <v>X</v>
      </c>
      <c r="K8" s="113">
        <f>IFERROR(INDEX(환산공식!CI$16:CI$301,MATCH($E8,환산공식!$A$16:$A$301,0)),"")</f>
        <v>111.1</v>
      </c>
      <c r="L8" s="41" t="str">
        <f>IFERROR(CONCATENATE(ROUND(INDEX(환산공식!CJ$16:CJ$301,MATCH(E8,환산공식!$A$16:$A$301,0)),1),"%"),"")</f>
        <v>100%</v>
      </c>
      <c r="M8" s="41">
        <f>IFERROR(INDEX(환산공식!CK$16:CK$301,MATCH(E8,환산공식!$A$16:$A$301,0)),"")</f>
        <v>10</v>
      </c>
      <c r="N8" s="113" t="str">
        <f t="shared" ref="N8:N71" si="1">IF(E8="","",IF(O8&gt;P8,"90% 이상",IF(O8&gt;Q8,CONCATENATE(ROUND(((O8-Q8)/(P8-Q8))*20+70,0),"%"),IF(O8&gt;R8,CONCATENATE(ROUND(((O8-R8)/(Q8-R8))*30+40,0),"%"),IF(O8&gt;S8,CONCATENATE(ROUND(((O8-S8)/(R8-S8))*30+10,0),"%"),IF(O8&gt;T8,CONCATENATE(ROUND(((O8-T8)/(S8-T8))*9+1,0),"%"),"1% 이하"))))))</f>
        <v>1% 이하</v>
      </c>
      <c r="O8" s="119">
        <f>IFERROR(ROUND(INDEX(환산공식!$EF$16:$EF$301,MATCH(E8,환산공식!$A$16:$A$301,0)),3),"")</f>
        <v>0</v>
      </c>
      <c r="P8" s="119">
        <f>IFERROR(ROUND(INDEX('배치점수 계산기'!M$11:M$1000,MATCH($C8,'배치점수 계산기'!$U$11:$U$1000,0)),2),"")</f>
        <v>718.06</v>
      </c>
      <c r="Q8" s="41">
        <f>IFERROR(ROUND(INDEX('배치점수 계산기'!N$11:N$1000,MATCH($C8,'배치점수 계산기'!$U$11:$U$1000,0)),2),"")</f>
        <v>716.11</v>
      </c>
      <c r="R8" s="41">
        <f>IFERROR(ROUND(INDEX('배치점수 계산기'!O$11:O$1000,MATCH($C8,'배치점수 계산기'!$U$11:$U$1000,0)),2),"")</f>
        <v>713.33</v>
      </c>
      <c r="S8" s="41">
        <f>IFERROR(ROUND(INDEX('배치점수 계산기'!P$11:P$1000,MATCH($C8,'배치점수 계산기'!$U$11:$U$1000,0)),2),"")</f>
        <v>708</v>
      </c>
      <c r="T8" s="41">
        <f>IFERROR(ROUND(INDEX('배치점수 계산기'!Q$11:Q$1000,MATCH($C8,'배치점수 계산기'!$U$11:$U$1000,0)),2),"")</f>
        <v>703.5</v>
      </c>
      <c r="U8" s="41">
        <f>IFERROR(INDEX(환산공식!$DC$16:$DC$301,MATCH(E8,환산공식!$A$16:$A$301,0)),"")</f>
        <v>0</v>
      </c>
      <c r="V8" s="113">
        <f t="shared" ref="V8:V71" si="2">IFERROR(IF(T8="","",IF(O8&gt;P8,1,IF(O8&gt;Q8,2,IF(O8&gt;R8,3,IF(O8&gt;S8,4,IF(O8&gt;=T8,5,IF(O8&lt;T8,6))))))),"")</f>
        <v>6</v>
      </c>
      <c r="W8" s="110" t="str">
        <f>INDEX('배치점수 계산기'!$AG$11:$AG$800,MATCH('       가 군       '!$C8,'배치점수 계산기'!$U$11:$U$800,0))</f>
        <v>표점</v>
      </c>
      <c r="X8" s="108" t="str">
        <f>INDEX('배치점수 계산기'!$AH$11:$AH$800,MATCH('       가 군       '!$C8,'배치점수 계산기'!$U$11:$U$800,0))</f>
        <v>표점</v>
      </c>
      <c r="Y8" s="111">
        <f>INDEX('배치점수 계산기'!$AB$11:$AB$800,MATCH('       가 군       '!$C8,'배치점수 계산기'!$U$11:$U$800,0))</f>
        <v>0.24999999999999994</v>
      </c>
      <c r="Z8" s="112">
        <f>INDEX('배치점수 계산기'!$AC$11:$AC$800,MATCH('       가 군       '!$C8,'배치점수 계산기'!$U$11:$U$800,0))</f>
        <v>0.37499999999999994</v>
      </c>
      <c r="AA8" s="62">
        <f>INDEX('배치점수 계산기'!$AD$11:$AD$800,MATCH('       가 군       '!$C8,'배치점수 계산기'!$U$11:$U$800,0))</f>
        <v>0.37499999999999994</v>
      </c>
      <c r="AE8" s="7">
        <v>1</v>
      </c>
    </row>
    <row r="9" spans="2:31" x14ac:dyDescent="0.3">
      <c r="C9" s="7" t="s">
        <v>898</v>
      </c>
      <c r="D9" s="41" t="str">
        <f>IFERROR(INDEX('배치점수 계산기'!V$11:V$1000,MATCH($C9,'배치점수 계산기'!$U$11:$U$1000,0)),"")</f>
        <v>연세대 자연</v>
      </c>
      <c r="E9" s="41">
        <f>IFERROR(INDEX('배치점수 계산기'!W$11:W$1000,MATCH($C9,'배치점수 계산기'!$U$11:$U$1000,0)),"")</f>
        <v>19</v>
      </c>
      <c r="F9" s="113" t="s">
        <v>276</v>
      </c>
      <c r="G9" s="41" t="s">
        <v>277</v>
      </c>
      <c r="H9" s="41" t="s">
        <v>279</v>
      </c>
      <c r="I9" s="41" t="s">
        <v>274</v>
      </c>
      <c r="J9" s="41" t="str">
        <f t="shared" si="0"/>
        <v>X</v>
      </c>
      <c r="K9" s="113">
        <f>IFERROR(INDEX(환산공식!CI$16:CI$301,MATCH($E9,환산공식!$A$16:$A$301,0)),"")</f>
        <v>111.1</v>
      </c>
      <c r="L9" s="41" t="str">
        <f>IFERROR(CONCATENATE(ROUND(INDEX(환산공식!CJ$16:CJ$301,MATCH(E9,환산공식!$A$16:$A$301,0)),1),"%"),"")</f>
        <v>100%</v>
      </c>
      <c r="M9" s="41">
        <f>IFERROR(INDEX(환산공식!CK$16:CK$301,MATCH(E9,환산공식!$A$16:$A$301,0)),"")</f>
        <v>10</v>
      </c>
      <c r="N9" s="113" t="str">
        <f t="shared" si="1"/>
        <v>1% 이하</v>
      </c>
      <c r="O9" s="119">
        <f>IFERROR(ROUND(INDEX(환산공식!$EF$16:$EF$301,MATCH(E9,환산공식!$A$16:$A$301,0)),3),"")</f>
        <v>0</v>
      </c>
      <c r="P9" s="119">
        <f>IFERROR(ROUND(INDEX('배치점수 계산기'!M$11:M$1000,MATCH($C9,'배치점수 계산기'!$U$11:$U$1000,0)),2),"")</f>
        <v>716.52</v>
      </c>
      <c r="Q9" s="41">
        <f>IFERROR(ROUND(INDEX('배치점수 계산기'!N$11:N$1000,MATCH($C9,'배치점수 계산기'!$U$11:$U$1000,0)),2),"")</f>
        <v>714.39</v>
      </c>
      <c r="R9" s="41">
        <f>IFERROR(ROUND(INDEX('배치점수 계산기'!O$11:O$1000,MATCH($C9,'배치점수 계산기'!$U$11:$U$1000,0)),2),"")</f>
        <v>710.74</v>
      </c>
      <c r="S9" s="41">
        <f>IFERROR(ROUND(INDEX('배치점수 계산기'!P$11:P$1000,MATCH($C9,'배치점수 계산기'!$U$11:$U$1000,0)),2),"")</f>
        <v>708</v>
      </c>
      <c r="T9" s="41">
        <f>IFERROR(ROUND(INDEX('배치점수 계산기'!Q$11:Q$1000,MATCH($C9,'배치점수 계산기'!$U$11:$U$1000,0)),2),"")</f>
        <v>703.5</v>
      </c>
      <c r="U9" s="41">
        <f>IFERROR(INDEX(환산공식!$DC$16:$DC$301,MATCH(E9,환산공식!$A$16:$A$301,0)),"")</f>
        <v>0</v>
      </c>
      <c r="V9" s="113">
        <f t="shared" si="2"/>
        <v>6</v>
      </c>
      <c r="W9" s="110" t="str">
        <f>INDEX('배치점수 계산기'!$AG$11:$AG$800,MATCH('       가 군       '!$C9,'배치점수 계산기'!$U$11:$U$800,0))</f>
        <v>표점</v>
      </c>
      <c r="X9" s="108" t="str">
        <f>INDEX('배치점수 계산기'!$AH$11:$AH$800,MATCH('       가 군       '!$C9,'배치점수 계산기'!$U$11:$U$800,0))</f>
        <v>표점</v>
      </c>
      <c r="Y9" s="113">
        <f>INDEX('배치점수 계산기'!$AB$11:$AB$800,MATCH('       가 군       '!$C9,'배치점수 계산기'!$U$11:$U$800,0))</f>
        <v>0.24999999999999994</v>
      </c>
      <c r="Z9" s="73">
        <f>INDEX('배치점수 계산기'!$AC$11:$AC$800,MATCH('       가 군       '!$C9,'배치점수 계산기'!$U$11:$U$800,0))</f>
        <v>0.37499999999999994</v>
      </c>
      <c r="AA9" s="63">
        <f>INDEX('배치점수 계산기'!$AD$11:$AD$800,MATCH('       가 군       '!$C9,'배치점수 계산기'!$U$11:$U$800,0))</f>
        <v>0.37499999999999994</v>
      </c>
      <c r="AE9" s="7">
        <v>2</v>
      </c>
    </row>
    <row r="10" spans="2:31" x14ac:dyDescent="0.3">
      <c r="C10" s="7" t="s">
        <v>899</v>
      </c>
      <c r="D10" s="41" t="str">
        <f>IFERROR(INDEX('배치점수 계산기'!V$11:V$1000,MATCH($C10,'배치점수 계산기'!$U$11:$U$1000,0)),"")</f>
        <v>연세대 자연</v>
      </c>
      <c r="E10" s="41">
        <f>IFERROR(INDEX('배치점수 계산기'!W$11:W$1000,MATCH($C10,'배치점수 계산기'!$U$11:$U$1000,0)),"")</f>
        <v>19</v>
      </c>
      <c r="F10" s="113" t="s">
        <v>276</v>
      </c>
      <c r="G10" s="41" t="s">
        <v>277</v>
      </c>
      <c r="H10" s="41" t="s">
        <v>285</v>
      </c>
      <c r="I10" s="41" t="s">
        <v>274</v>
      </c>
      <c r="J10" s="41" t="str">
        <f t="shared" si="0"/>
        <v>X</v>
      </c>
      <c r="K10" s="113">
        <f>IFERROR(INDEX(환산공식!CI$16:CI$301,MATCH($E10,환산공식!$A$16:$A$301,0)),"")</f>
        <v>111.1</v>
      </c>
      <c r="L10" s="41" t="str">
        <f>IFERROR(CONCATENATE(ROUND(INDEX(환산공식!CJ$16:CJ$301,MATCH(E10,환산공식!$A$16:$A$301,0)),1),"%"),"")</f>
        <v>100%</v>
      </c>
      <c r="M10" s="41">
        <f>IFERROR(INDEX(환산공식!CK$16:CK$301,MATCH(E10,환산공식!$A$16:$A$301,0)),"")</f>
        <v>10</v>
      </c>
      <c r="N10" s="113" t="str">
        <f t="shared" si="1"/>
        <v>1% 이하</v>
      </c>
      <c r="O10" s="119">
        <f>IFERROR(ROUND(INDEX(환산공식!$EF$16:$EF$301,MATCH(E10,환산공식!$A$16:$A$301,0)),3),"")</f>
        <v>0</v>
      </c>
      <c r="P10" s="119">
        <f>IFERROR(ROUND(INDEX('배치점수 계산기'!M$11:M$1000,MATCH($C10,'배치점수 계산기'!$U$11:$U$1000,0)),2),"")</f>
        <v>716.52</v>
      </c>
      <c r="Q10" s="41">
        <f>IFERROR(ROUND(INDEX('배치점수 계산기'!N$11:N$1000,MATCH($C10,'배치점수 계산기'!$U$11:$U$1000,0)),2),"")</f>
        <v>714.39</v>
      </c>
      <c r="R10" s="41">
        <f>IFERROR(ROUND(INDEX('배치점수 계산기'!O$11:O$1000,MATCH($C10,'배치점수 계산기'!$U$11:$U$1000,0)),2),"")</f>
        <v>709</v>
      </c>
      <c r="S10" s="41">
        <f>IFERROR(ROUND(INDEX('배치점수 계산기'!P$11:P$1000,MATCH($C10,'배치점수 계산기'!$U$11:$U$1000,0)),2),"")</f>
        <v>705.28</v>
      </c>
      <c r="T10" s="41">
        <f>IFERROR(ROUND(INDEX('배치점수 계산기'!Q$11:Q$1000,MATCH($C10,'배치점수 계산기'!$U$11:$U$1000,0)),2),"")</f>
        <v>704.22</v>
      </c>
      <c r="U10" s="41">
        <f>IFERROR(INDEX(환산공식!$DC$16:$DC$301,MATCH(E10,환산공식!$A$16:$A$301,0)),"")</f>
        <v>0</v>
      </c>
      <c r="V10" s="113">
        <f t="shared" si="2"/>
        <v>6</v>
      </c>
      <c r="W10" s="110" t="str">
        <f>INDEX('배치점수 계산기'!$AG$11:$AG$800,MATCH('       가 군       '!$C10,'배치점수 계산기'!$U$11:$U$800,0))</f>
        <v>표점</v>
      </c>
      <c r="X10" s="108" t="str">
        <f>INDEX('배치점수 계산기'!$AH$11:$AH$800,MATCH('       가 군       '!$C10,'배치점수 계산기'!$U$11:$U$800,0))</f>
        <v>표점</v>
      </c>
      <c r="Y10" s="113">
        <f>INDEX('배치점수 계산기'!$AB$11:$AB$800,MATCH('       가 군       '!$C10,'배치점수 계산기'!$U$11:$U$800,0))</f>
        <v>0.24999999999999994</v>
      </c>
      <c r="Z10" s="73">
        <f>INDEX('배치점수 계산기'!$AC$11:$AC$800,MATCH('       가 군       '!$C10,'배치점수 계산기'!$U$11:$U$800,0))</f>
        <v>0.37499999999999994</v>
      </c>
      <c r="AA10" s="63">
        <f>INDEX('배치점수 계산기'!$AD$11:$AD$800,MATCH('       가 군       '!$C10,'배치점수 계산기'!$U$11:$U$800,0))</f>
        <v>0.37499999999999994</v>
      </c>
      <c r="AE10" s="7">
        <v>3</v>
      </c>
    </row>
    <row r="11" spans="2:31" x14ac:dyDescent="0.3">
      <c r="C11" s="7" t="s">
        <v>900</v>
      </c>
      <c r="D11" s="41" t="str">
        <f>IFERROR(INDEX('배치점수 계산기'!V$11:V$1000,MATCH($C11,'배치점수 계산기'!$U$11:$U$1000,0)),"")</f>
        <v>연세대 자연</v>
      </c>
      <c r="E11" s="41">
        <f>IFERROR(INDEX('배치점수 계산기'!W$11:W$1000,MATCH($C11,'배치점수 계산기'!$U$11:$U$1000,0)),"")</f>
        <v>19</v>
      </c>
      <c r="F11" s="113" t="s">
        <v>276</v>
      </c>
      <c r="G11" s="41" t="s">
        <v>277</v>
      </c>
      <c r="H11" s="41" t="s">
        <v>280</v>
      </c>
      <c r="I11" s="41" t="s">
        <v>274</v>
      </c>
      <c r="J11" s="41" t="str">
        <f t="shared" si="0"/>
        <v>X</v>
      </c>
      <c r="K11" s="113">
        <f>IFERROR(INDEX(환산공식!CI$16:CI$301,MATCH($E11,환산공식!$A$16:$A$301,0)),"")</f>
        <v>111.1</v>
      </c>
      <c r="L11" s="41" t="str">
        <f>IFERROR(CONCATENATE(ROUND(INDEX(환산공식!CJ$16:CJ$301,MATCH(E11,환산공식!$A$16:$A$301,0)),1),"%"),"")</f>
        <v>100%</v>
      </c>
      <c r="M11" s="41">
        <f>IFERROR(INDEX(환산공식!CK$16:CK$301,MATCH(E11,환산공식!$A$16:$A$301,0)),"")</f>
        <v>10</v>
      </c>
      <c r="N11" s="113" t="str">
        <f t="shared" si="1"/>
        <v>1% 이하</v>
      </c>
      <c r="O11" s="119">
        <f>IFERROR(ROUND(INDEX(환산공식!$EF$16:$EF$301,MATCH(E11,환산공식!$A$16:$A$301,0)),3),"")</f>
        <v>0</v>
      </c>
      <c r="P11" s="119">
        <f>IFERROR(ROUND(INDEX('배치점수 계산기'!M$11:M$1000,MATCH($C11,'배치점수 계산기'!$U$11:$U$1000,0)),2),"")</f>
        <v>710.06</v>
      </c>
      <c r="Q11" s="41">
        <f>IFERROR(ROUND(INDEX('배치점수 계산기'!N$11:N$1000,MATCH($C11,'배치점수 계산기'!$U$11:$U$1000,0)),2),"")</f>
        <v>708.74</v>
      </c>
      <c r="R11" s="41">
        <f>IFERROR(ROUND(INDEX('배치점수 계산기'!O$11:O$1000,MATCH($C11,'배치점수 계산기'!$U$11:$U$1000,0)),2),"")</f>
        <v>707.07</v>
      </c>
      <c r="S11" s="41">
        <f>IFERROR(ROUND(INDEX('배치점수 계산기'!P$11:P$1000,MATCH($C11,'배치점수 계산기'!$U$11:$U$1000,0)),2),"")</f>
        <v>705.74</v>
      </c>
      <c r="T11" s="41">
        <f>IFERROR(ROUND(INDEX('배치점수 계산기'!Q$11:Q$1000,MATCH($C11,'배치점수 계산기'!$U$11:$U$1000,0)),2),"")</f>
        <v>703.5</v>
      </c>
      <c r="U11" s="41">
        <f>IFERROR(INDEX(환산공식!$DC$16:$DC$301,MATCH(E11,환산공식!$A$16:$A$301,0)),"")</f>
        <v>0</v>
      </c>
      <c r="V11" s="113">
        <f t="shared" si="2"/>
        <v>6</v>
      </c>
      <c r="W11" s="110" t="str">
        <f>INDEX('배치점수 계산기'!$AG$11:$AG$800,MATCH('       가 군       '!$C11,'배치점수 계산기'!$U$11:$U$800,0))</f>
        <v>표점</v>
      </c>
      <c r="X11" s="108" t="str">
        <f>INDEX('배치점수 계산기'!$AH$11:$AH$800,MATCH('       가 군       '!$C11,'배치점수 계산기'!$U$11:$U$800,0))</f>
        <v>표점</v>
      </c>
      <c r="Y11" s="113">
        <f>INDEX('배치점수 계산기'!$AB$11:$AB$800,MATCH('       가 군       '!$C11,'배치점수 계산기'!$U$11:$U$800,0))</f>
        <v>0.24999999999999994</v>
      </c>
      <c r="Z11" s="73">
        <f>INDEX('배치점수 계산기'!$AC$11:$AC$800,MATCH('       가 군       '!$C11,'배치점수 계산기'!$U$11:$U$800,0))</f>
        <v>0.37499999999999994</v>
      </c>
      <c r="AA11" s="63">
        <f>INDEX('배치점수 계산기'!$AD$11:$AD$800,MATCH('       가 군       '!$C11,'배치점수 계산기'!$U$11:$U$800,0))</f>
        <v>0.37499999999999994</v>
      </c>
      <c r="AE11" s="7">
        <v>4</v>
      </c>
    </row>
    <row r="12" spans="2:31" x14ac:dyDescent="0.3">
      <c r="C12" s="7" t="s">
        <v>901</v>
      </c>
      <c r="D12" s="41" t="str">
        <f>IFERROR(INDEX('배치점수 계산기'!V$11:V$1000,MATCH($C12,'배치점수 계산기'!$U$11:$U$1000,0)),"")</f>
        <v>연세대 자연</v>
      </c>
      <c r="E12" s="41">
        <f>IFERROR(INDEX('배치점수 계산기'!W$11:W$1000,MATCH($C12,'배치점수 계산기'!$U$11:$U$1000,0)),"")</f>
        <v>19</v>
      </c>
      <c r="F12" s="113" t="s">
        <v>276</v>
      </c>
      <c r="G12" s="41" t="s">
        <v>277</v>
      </c>
      <c r="H12" s="41" t="s">
        <v>286</v>
      </c>
      <c r="I12" s="41" t="s">
        <v>274</v>
      </c>
      <c r="J12" s="41" t="str">
        <f t="shared" si="0"/>
        <v>X</v>
      </c>
      <c r="K12" s="113">
        <f>IFERROR(INDEX(환산공식!CI$16:CI$301,MATCH($E12,환산공식!$A$16:$A$301,0)),"")</f>
        <v>111.1</v>
      </c>
      <c r="L12" s="41" t="str">
        <f>IFERROR(CONCATENATE(ROUND(INDEX(환산공식!CJ$16:CJ$301,MATCH(E12,환산공식!$A$16:$A$301,0)),1),"%"),"")</f>
        <v>100%</v>
      </c>
      <c r="M12" s="41">
        <f>IFERROR(INDEX(환산공식!CK$16:CK$301,MATCH(E12,환산공식!$A$16:$A$301,0)),"")</f>
        <v>10</v>
      </c>
      <c r="N12" s="113" t="str">
        <f t="shared" si="1"/>
        <v>1% 이하</v>
      </c>
      <c r="O12" s="119">
        <f>IFERROR(ROUND(INDEX(환산공식!$EF$16:$EF$301,MATCH(E12,환산공식!$A$16:$A$301,0)),3),"")</f>
        <v>0</v>
      </c>
      <c r="P12" s="119">
        <f>IFERROR(ROUND(INDEX('배치점수 계산기'!M$11:M$1000,MATCH($C12,'배치점수 계산기'!$U$11:$U$1000,0)),2),"")</f>
        <v>710.67</v>
      </c>
      <c r="Q12" s="41">
        <f>IFERROR(ROUND(INDEX('배치점수 계산기'!N$11:N$1000,MATCH($C12,'배치점수 계산기'!$U$11:$U$1000,0)),2),"")</f>
        <v>709</v>
      </c>
      <c r="R12" s="41">
        <f>IFERROR(ROUND(INDEX('배치점수 계산기'!O$11:O$1000,MATCH($C12,'배치점수 계산기'!$U$11:$U$1000,0)),2),"")</f>
        <v>706.56</v>
      </c>
      <c r="S12" s="41">
        <f>IFERROR(ROUND(INDEX('배치점수 계산기'!P$11:P$1000,MATCH($C12,'배치점수 계산기'!$U$11:$U$1000,0)),2),"")</f>
        <v>705</v>
      </c>
      <c r="T12" s="41">
        <f>IFERROR(ROUND(INDEX('배치점수 계산기'!Q$11:Q$1000,MATCH($C12,'배치점수 계산기'!$U$11:$U$1000,0)),2),"")</f>
        <v>703.5</v>
      </c>
      <c r="U12" s="41">
        <f>IFERROR(INDEX(환산공식!$DC$16:$DC$301,MATCH(E12,환산공식!$A$16:$A$301,0)),"")</f>
        <v>0</v>
      </c>
      <c r="V12" s="113">
        <f t="shared" si="2"/>
        <v>6</v>
      </c>
      <c r="W12" s="110" t="str">
        <f>INDEX('배치점수 계산기'!$AG$11:$AG$800,MATCH('       가 군       '!$C12,'배치점수 계산기'!$U$11:$U$800,0))</f>
        <v>표점</v>
      </c>
      <c r="X12" s="108" t="str">
        <f>INDEX('배치점수 계산기'!$AH$11:$AH$800,MATCH('       가 군       '!$C12,'배치점수 계산기'!$U$11:$U$800,0))</f>
        <v>표점</v>
      </c>
      <c r="Y12" s="113">
        <f>INDEX('배치점수 계산기'!$AB$11:$AB$800,MATCH('       가 군       '!$C12,'배치점수 계산기'!$U$11:$U$800,0))</f>
        <v>0.24999999999999994</v>
      </c>
      <c r="Z12" s="73">
        <f>INDEX('배치점수 계산기'!$AC$11:$AC$800,MATCH('       가 군       '!$C12,'배치점수 계산기'!$U$11:$U$800,0))</f>
        <v>0.37499999999999994</v>
      </c>
      <c r="AA12" s="63">
        <f>INDEX('배치점수 계산기'!$AD$11:$AD$800,MATCH('       가 군       '!$C12,'배치점수 계산기'!$U$11:$U$800,0))</f>
        <v>0.37499999999999994</v>
      </c>
      <c r="AE12" s="7">
        <v>5</v>
      </c>
    </row>
    <row r="13" spans="2:31" x14ac:dyDescent="0.3">
      <c r="C13" s="7" t="s">
        <v>902</v>
      </c>
      <c r="D13" s="41" t="str">
        <f>IFERROR(INDEX('배치점수 계산기'!V$11:V$1000,MATCH($C13,'배치점수 계산기'!$U$11:$U$1000,0)),"")</f>
        <v>연세대 자연</v>
      </c>
      <c r="E13" s="41">
        <f>IFERROR(INDEX('배치점수 계산기'!W$11:W$1000,MATCH($C13,'배치점수 계산기'!$U$11:$U$1000,0)),"")</f>
        <v>19</v>
      </c>
      <c r="F13" s="113" t="s">
        <v>276</v>
      </c>
      <c r="G13" s="41" t="s">
        <v>277</v>
      </c>
      <c r="H13" s="41" t="s">
        <v>281</v>
      </c>
      <c r="I13" s="41" t="s">
        <v>274</v>
      </c>
      <c r="J13" s="41" t="str">
        <f t="shared" si="0"/>
        <v>X</v>
      </c>
      <c r="K13" s="113">
        <f>IFERROR(INDEX(환산공식!CI$16:CI$301,MATCH($E13,환산공식!$A$16:$A$301,0)),"")</f>
        <v>111.1</v>
      </c>
      <c r="L13" s="41" t="str">
        <f>IFERROR(CONCATENATE(ROUND(INDEX(환산공식!CJ$16:CJ$301,MATCH(E13,환산공식!$A$16:$A$301,0)),1),"%"),"")</f>
        <v>100%</v>
      </c>
      <c r="M13" s="41">
        <f>IFERROR(INDEX(환산공식!CK$16:CK$301,MATCH(E13,환산공식!$A$16:$A$301,0)),"")</f>
        <v>10</v>
      </c>
      <c r="N13" s="113" t="str">
        <f t="shared" si="1"/>
        <v>1% 이하</v>
      </c>
      <c r="O13" s="119">
        <f>IFERROR(ROUND(INDEX(환산공식!$EF$16:$EF$301,MATCH(E13,환산공식!$A$16:$A$301,0)),3),"")</f>
        <v>0</v>
      </c>
      <c r="P13" s="119">
        <f>IFERROR(ROUND(INDEX('배치점수 계산기'!M$11:M$1000,MATCH($C13,'배치점수 계산기'!$U$11:$U$1000,0)),2),"")</f>
        <v>710.74</v>
      </c>
      <c r="Q13" s="41">
        <f>IFERROR(ROUND(INDEX('배치점수 계산기'!N$11:N$1000,MATCH($C13,'배치점수 계산기'!$U$11:$U$1000,0)),2),"")</f>
        <v>709</v>
      </c>
      <c r="R13" s="41">
        <f>IFERROR(ROUND(INDEX('배치점수 계산기'!O$11:O$1000,MATCH($C13,'배치점수 계산기'!$U$11:$U$1000,0)),2),"")</f>
        <v>707.07</v>
      </c>
      <c r="S13" s="41">
        <f>IFERROR(ROUND(INDEX('배치점수 계산기'!P$11:P$1000,MATCH($C13,'배치점수 계산기'!$U$11:$U$1000,0)),2),"")</f>
        <v>705</v>
      </c>
      <c r="T13" s="41">
        <f>IFERROR(ROUND(INDEX('배치점수 계산기'!Q$11:Q$1000,MATCH($C13,'배치점수 계산기'!$U$11:$U$1000,0)),2),"")</f>
        <v>703.5</v>
      </c>
      <c r="U13" s="41">
        <f>IFERROR(INDEX(환산공식!$DC$16:$DC$301,MATCH(E13,환산공식!$A$16:$A$301,0)),"")</f>
        <v>0</v>
      </c>
      <c r="V13" s="113">
        <f t="shared" si="2"/>
        <v>6</v>
      </c>
      <c r="W13" s="110" t="str">
        <f>INDEX('배치점수 계산기'!$AG$11:$AG$800,MATCH('       가 군       '!$C13,'배치점수 계산기'!$U$11:$U$800,0))</f>
        <v>표점</v>
      </c>
      <c r="X13" s="108" t="str">
        <f>INDEX('배치점수 계산기'!$AH$11:$AH$800,MATCH('       가 군       '!$C13,'배치점수 계산기'!$U$11:$U$800,0))</f>
        <v>표점</v>
      </c>
      <c r="Y13" s="113">
        <f>INDEX('배치점수 계산기'!$AB$11:$AB$800,MATCH('       가 군       '!$C13,'배치점수 계산기'!$U$11:$U$800,0))</f>
        <v>0.24999999999999994</v>
      </c>
      <c r="Z13" s="73">
        <f>INDEX('배치점수 계산기'!$AC$11:$AC$800,MATCH('       가 군       '!$C13,'배치점수 계산기'!$U$11:$U$800,0))</f>
        <v>0.37499999999999994</v>
      </c>
      <c r="AA13" s="63">
        <f>INDEX('배치점수 계산기'!$AD$11:$AD$800,MATCH('       가 군       '!$C13,'배치점수 계산기'!$U$11:$U$800,0))</f>
        <v>0.37499999999999994</v>
      </c>
      <c r="AE13" s="7">
        <v>6</v>
      </c>
    </row>
    <row r="14" spans="2:31" x14ac:dyDescent="0.3">
      <c r="C14" s="7" t="s">
        <v>903</v>
      </c>
      <c r="D14" s="41" t="str">
        <f>IFERROR(INDEX('배치점수 계산기'!V$11:V$1000,MATCH($C14,'배치점수 계산기'!$U$11:$U$1000,0)),"")</f>
        <v>연세대 국제</v>
      </c>
      <c r="E14" s="41">
        <f>IFERROR(INDEX('배치점수 계산기'!W$11:W$1000,MATCH($C14,'배치점수 계산기'!$U$11:$U$1000,0)),"")</f>
        <v>22</v>
      </c>
      <c r="F14" s="113" t="s">
        <v>276</v>
      </c>
      <c r="G14" s="41" t="s">
        <v>277</v>
      </c>
      <c r="H14" s="41" t="s">
        <v>287</v>
      </c>
      <c r="I14" s="41" t="s">
        <v>274</v>
      </c>
      <c r="J14" s="41" t="str">
        <f t="shared" si="0"/>
        <v>X</v>
      </c>
      <c r="K14" s="113">
        <f>IFERROR(INDEX(환산공식!CI$16:CI$301,MATCH($E14,환산공식!$A$16:$A$301,0)),"")</f>
        <v>150</v>
      </c>
      <c r="L14" s="41" t="str">
        <f>IFERROR(CONCATENATE(ROUND(INDEX(환산공식!CJ$16:CJ$301,MATCH(E14,환산공식!$A$16:$A$301,0)),1),"%"),"")</f>
        <v>100%</v>
      </c>
      <c r="M14" s="41">
        <f>IFERROR(INDEX(환산공식!CK$16:CK$301,MATCH(E14,환산공식!$A$16:$A$301,0)),"")</f>
        <v>10</v>
      </c>
      <c r="N14" s="113" t="str">
        <f t="shared" si="1"/>
        <v>1% 이하</v>
      </c>
      <c r="O14" s="119">
        <f>IFERROR(ROUND(INDEX(환산공식!$EF$16:$EF$301,MATCH(E14,환산공식!$A$16:$A$301,0)),3),"")</f>
        <v>0</v>
      </c>
      <c r="P14" s="119">
        <f>IFERROR(ROUND(INDEX('배치점수 계산기'!M$11:M$1000,MATCH($C14,'배치점수 계산기'!$U$11:$U$1000,0)),2),"")</f>
        <v>663.1</v>
      </c>
      <c r="Q14" s="41">
        <f>IFERROR(ROUND(INDEX('배치점수 계산기'!N$11:N$1000,MATCH($C14,'배치점수 계산기'!$U$11:$U$1000,0)),2),"")</f>
        <v>655.85</v>
      </c>
      <c r="R14" s="41">
        <f>IFERROR(ROUND(INDEX('배치점수 계산기'!O$11:O$1000,MATCH($C14,'배치점수 계산기'!$U$11:$U$1000,0)),2),"")</f>
        <v>652.83000000000004</v>
      </c>
      <c r="S14" s="41">
        <f>IFERROR(ROUND(INDEX('배치점수 계산기'!P$11:P$1000,MATCH($C14,'배치점수 계산기'!$U$11:$U$1000,0)),2),"")</f>
        <v>651.35</v>
      </c>
      <c r="T14" s="41">
        <f>IFERROR(ROUND(INDEX('배치점수 계산기'!Q$11:Q$1000,MATCH($C14,'배치점수 계산기'!$U$11:$U$1000,0)),2),"")</f>
        <v>649.77</v>
      </c>
      <c r="U14" s="41">
        <f>IFERROR(INDEX(환산공식!$DC$16:$DC$301,MATCH(E14,환산공식!$A$16:$A$301,0)),"")</f>
        <v>0</v>
      </c>
      <c r="V14" s="113">
        <f t="shared" si="2"/>
        <v>6</v>
      </c>
      <c r="W14" s="110" t="str">
        <f>INDEX('배치점수 계산기'!$AG$11:$AG$800,MATCH('       가 군       '!$C14,'배치점수 계산기'!$U$11:$U$800,0))</f>
        <v>표점</v>
      </c>
      <c r="X14" s="108" t="str">
        <f>INDEX('배치점수 계산기'!$AH$11:$AH$800,MATCH('       가 군       '!$C14,'배치점수 계산기'!$U$11:$U$800,0))</f>
        <v>표점</v>
      </c>
      <c r="Y14" s="113">
        <f>INDEX('배치점수 계산기'!$AB$11:$AB$800,MATCH('       가 군       '!$C14,'배치점수 계산기'!$U$11:$U$800,0))</f>
        <v>0.4</v>
      </c>
      <c r="Z14" s="73">
        <f>INDEX('배치점수 계산기'!$AC$11:$AC$800,MATCH('       가 군       '!$C14,'배치점수 계산기'!$U$11:$U$800,0))</f>
        <v>0.4</v>
      </c>
      <c r="AA14" s="63">
        <f>INDEX('배치점수 계산기'!$AD$11:$AD$800,MATCH('       가 군       '!$C14,'배치점수 계산기'!$U$11:$U$800,0))</f>
        <v>0.2</v>
      </c>
      <c r="AE14" s="7">
        <v>7</v>
      </c>
    </row>
    <row r="15" spans="2:31" x14ac:dyDescent="0.3">
      <c r="C15" s="7" t="s">
        <v>904</v>
      </c>
      <c r="D15" s="41" t="str">
        <f>IFERROR(INDEX('배치점수 계산기'!V$11:V$1000,MATCH($C15,'배치점수 계산기'!$U$11:$U$1000,0)),"")</f>
        <v>연세대 자연</v>
      </c>
      <c r="E15" s="41">
        <f>IFERROR(INDEX('배치점수 계산기'!W$11:W$1000,MATCH($C15,'배치점수 계산기'!$U$11:$U$1000,0)),"")</f>
        <v>19</v>
      </c>
      <c r="F15" s="113" t="s">
        <v>276</v>
      </c>
      <c r="G15" s="41" t="s">
        <v>277</v>
      </c>
      <c r="H15" s="41" t="s">
        <v>288</v>
      </c>
      <c r="I15" s="41" t="s">
        <v>274</v>
      </c>
      <c r="J15" s="41" t="str">
        <f t="shared" si="0"/>
        <v>X</v>
      </c>
      <c r="K15" s="113">
        <f>IFERROR(INDEX(환산공식!CI$16:CI$301,MATCH($E15,환산공식!$A$16:$A$301,0)),"")</f>
        <v>111.1</v>
      </c>
      <c r="L15" s="41" t="str">
        <f>IFERROR(CONCATENATE(ROUND(INDEX(환산공식!CJ$16:CJ$301,MATCH(E15,환산공식!$A$16:$A$301,0)),1),"%"),"")</f>
        <v>100%</v>
      </c>
      <c r="M15" s="41">
        <f>IFERROR(INDEX(환산공식!CK$16:CK$301,MATCH(E15,환산공식!$A$16:$A$301,0)),"")</f>
        <v>10</v>
      </c>
      <c r="N15" s="113" t="str">
        <f t="shared" si="1"/>
        <v>1% 이하</v>
      </c>
      <c r="O15" s="119">
        <f>IFERROR(ROUND(INDEX(환산공식!$EF$16:$EF$301,MATCH(E15,환산공식!$A$16:$A$301,0)),3),"")</f>
        <v>0</v>
      </c>
      <c r="P15" s="119">
        <f>IFERROR(ROUND(INDEX('배치점수 계산기'!M$11:M$1000,MATCH($C15,'배치점수 계산기'!$U$11:$U$1000,0)),2),"")</f>
        <v>714.39</v>
      </c>
      <c r="Q15" s="41">
        <f>IFERROR(ROUND(INDEX('배치점수 계산기'!N$11:N$1000,MATCH($C15,'배치점수 계산기'!$U$11:$U$1000,0)),2),"")</f>
        <v>711</v>
      </c>
      <c r="R15" s="41">
        <f>IFERROR(ROUND(INDEX('배치점수 계산기'!O$11:O$1000,MATCH($C15,'배치점수 계산기'!$U$11:$U$1000,0)),2),"")</f>
        <v>709.68</v>
      </c>
      <c r="S15" s="41">
        <f>IFERROR(ROUND(INDEX('배치점수 계산기'!P$11:P$1000,MATCH($C15,'배치점수 계산기'!$U$11:$U$1000,0)),2),"")</f>
        <v>705.28</v>
      </c>
      <c r="T15" s="41">
        <f>IFERROR(ROUND(INDEX('배치점수 계산기'!Q$11:Q$1000,MATCH($C15,'배치점수 계산기'!$U$11:$U$1000,0)),2),"")</f>
        <v>703.5</v>
      </c>
      <c r="U15" s="41">
        <f>IFERROR(INDEX(환산공식!$DC$16:$DC$301,MATCH(E15,환산공식!$A$16:$A$301,0)),"")</f>
        <v>0</v>
      </c>
      <c r="V15" s="113">
        <f t="shared" si="2"/>
        <v>6</v>
      </c>
      <c r="W15" s="110" t="str">
        <f>INDEX('배치점수 계산기'!$AG$11:$AG$800,MATCH('       가 군       '!$C15,'배치점수 계산기'!$U$11:$U$800,0))</f>
        <v>표점</v>
      </c>
      <c r="X15" s="108" t="str">
        <f>INDEX('배치점수 계산기'!$AH$11:$AH$800,MATCH('       가 군       '!$C15,'배치점수 계산기'!$U$11:$U$800,0))</f>
        <v>표점</v>
      </c>
      <c r="Y15" s="113">
        <f>INDEX('배치점수 계산기'!$AB$11:$AB$800,MATCH('       가 군       '!$C15,'배치점수 계산기'!$U$11:$U$800,0))</f>
        <v>0.24999999999999994</v>
      </c>
      <c r="Z15" s="73">
        <f>INDEX('배치점수 계산기'!$AC$11:$AC$800,MATCH('       가 군       '!$C15,'배치점수 계산기'!$U$11:$U$800,0))</f>
        <v>0.37499999999999994</v>
      </c>
      <c r="AA15" s="63">
        <f>INDEX('배치점수 계산기'!$AD$11:$AD$800,MATCH('       가 군       '!$C15,'배치점수 계산기'!$U$11:$U$800,0))</f>
        <v>0.37499999999999994</v>
      </c>
      <c r="AE15" s="7">
        <v>8</v>
      </c>
    </row>
    <row r="16" spans="2:31" x14ac:dyDescent="0.3">
      <c r="C16" s="7" t="s">
        <v>905</v>
      </c>
      <c r="D16" s="41" t="str">
        <f>IFERROR(INDEX('배치점수 계산기'!V$11:V$1000,MATCH($C16,'배치점수 계산기'!$U$11:$U$1000,0)),"")</f>
        <v>연세대 자연</v>
      </c>
      <c r="E16" s="41">
        <f>IFERROR(INDEX('배치점수 계산기'!W$11:W$1000,MATCH($C16,'배치점수 계산기'!$U$11:$U$1000,0)),"")</f>
        <v>19</v>
      </c>
      <c r="F16" s="113" t="s">
        <v>276</v>
      </c>
      <c r="G16" s="41" t="s">
        <v>277</v>
      </c>
      <c r="H16" s="41" t="s">
        <v>289</v>
      </c>
      <c r="I16" s="41" t="s">
        <v>274</v>
      </c>
      <c r="J16" s="41" t="str">
        <f t="shared" si="0"/>
        <v>X</v>
      </c>
      <c r="K16" s="113">
        <f>IFERROR(INDEX(환산공식!CI$16:CI$301,MATCH($E16,환산공식!$A$16:$A$301,0)),"")</f>
        <v>111.1</v>
      </c>
      <c r="L16" s="41" t="str">
        <f>IFERROR(CONCATENATE(ROUND(INDEX(환산공식!CJ$16:CJ$301,MATCH(E16,환산공식!$A$16:$A$301,0)),1),"%"),"")</f>
        <v>100%</v>
      </c>
      <c r="M16" s="41">
        <f>IFERROR(INDEX(환산공식!CK$16:CK$301,MATCH(E16,환산공식!$A$16:$A$301,0)),"")</f>
        <v>10</v>
      </c>
      <c r="N16" s="113" t="str">
        <f t="shared" si="1"/>
        <v>1% 이하</v>
      </c>
      <c r="O16" s="119">
        <f>IFERROR(ROUND(INDEX(환산공식!$EF$16:$EF$301,MATCH(E16,환산공식!$A$16:$A$301,0)),3),"")</f>
        <v>0</v>
      </c>
      <c r="P16" s="119">
        <f>IFERROR(ROUND(INDEX('배치점수 계산기'!M$11:M$1000,MATCH($C16,'배치점수 계산기'!$U$11:$U$1000,0)),2),"")</f>
        <v>710.06</v>
      </c>
      <c r="Q16" s="41">
        <f>IFERROR(ROUND(INDEX('배치점수 계산기'!N$11:N$1000,MATCH($C16,'배치점수 계산기'!$U$11:$U$1000,0)),2),"")</f>
        <v>707.5</v>
      </c>
      <c r="R16" s="41">
        <f>IFERROR(ROUND(INDEX('배치점수 계산기'!O$11:O$1000,MATCH($C16,'배치점수 계산기'!$U$11:$U$1000,0)),2),"")</f>
        <v>705.74</v>
      </c>
      <c r="S16" s="41">
        <f>IFERROR(ROUND(INDEX('배치점수 계산기'!P$11:P$1000,MATCH($C16,'배치점수 계산기'!$U$11:$U$1000,0)),2),"")</f>
        <v>703.61</v>
      </c>
      <c r="T16" s="41">
        <f>IFERROR(ROUND(INDEX('배치점수 계산기'!Q$11:Q$1000,MATCH($C16,'배치점수 계산기'!$U$11:$U$1000,0)),2),"")</f>
        <v>701.83</v>
      </c>
      <c r="U16" s="41">
        <f>IFERROR(INDEX(환산공식!$DC$16:$DC$301,MATCH(E16,환산공식!$A$16:$A$301,0)),"")</f>
        <v>0</v>
      </c>
      <c r="V16" s="113">
        <f t="shared" si="2"/>
        <v>6</v>
      </c>
      <c r="W16" s="110" t="str">
        <f>INDEX('배치점수 계산기'!$AG$11:$AG$800,MATCH('       가 군       '!$C16,'배치점수 계산기'!$U$11:$U$800,0))</f>
        <v>표점</v>
      </c>
      <c r="X16" s="108" t="str">
        <f>INDEX('배치점수 계산기'!$AH$11:$AH$800,MATCH('       가 군       '!$C16,'배치점수 계산기'!$U$11:$U$800,0))</f>
        <v>표점</v>
      </c>
      <c r="Y16" s="113">
        <f>INDEX('배치점수 계산기'!$AB$11:$AB$800,MATCH('       가 군       '!$C16,'배치점수 계산기'!$U$11:$U$800,0))</f>
        <v>0.24999999999999994</v>
      </c>
      <c r="Z16" s="73">
        <f>INDEX('배치점수 계산기'!$AC$11:$AC$800,MATCH('       가 군       '!$C16,'배치점수 계산기'!$U$11:$U$800,0))</f>
        <v>0.37499999999999994</v>
      </c>
      <c r="AA16" s="63">
        <f>INDEX('배치점수 계산기'!$AD$11:$AD$800,MATCH('       가 군       '!$C16,'배치점수 계산기'!$U$11:$U$800,0))</f>
        <v>0.37499999999999994</v>
      </c>
      <c r="AE16" s="7">
        <v>9</v>
      </c>
    </row>
    <row r="17" spans="3:31" x14ac:dyDescent="0.3">
      <c r="C17" s="7" t="s">
        <v>906</v>
      </c>
      <c r="D17" s="41" t="str">
        <f>IFERROR(INDEX('배치점수 계산기'!V$11:V$1000,MATCH($C17,'배치점수 계산기'!$U$11:$U$1000,0)),"")</f>
        <v>연세대 자연</v>
      </c>
      <c r="E17" s="41">
        <f>IFERROR(INDEX('배치점수 계산기'!W$11:W$1000,MATCH($C17,'배치점수 계산기'!$U$11:$U$1000,0)),"")</f>
        <v>19</v>
      </c>
      <c r="F17" s="113" t="s">
        <v>276</v>
      </c>
      <c r="G17" s="41" t="s">
        <v>277</v>
      </c>
      <c r="H17" s="41" t="s">
        <v>290</v>
      </c>
      <c r="I17" s="41" t="s">
        <v>274</v>
      </c>
      <c r="J17" s="41" t="str">
        <f t="shared" si="0"/>
        <v>X</v>
      </c>
      <c r="K17" s="113">
        <f>IFERROR(INDEX(환산공식!CI$16:CI$301,MATCH($E17,환산공식!$A$16:$A$301,0)),"")</f>
        <v>111.1</v>
      </c>
      <c r="L17" s="41" t="str">
        <f>IFERROR(CONCATENATE(ROUND(INDEX(환산공식!CJ$16:CJ$301,MATCH(E17,환산공식!$A$16:$A$301,0)),1),"%"),"")</f>
        <v>100%</v>
      </c>
      <c r="M17" s="41">
        <f>IFERROR(INDEX(환산공식!CK$16:CK$301,MATCH(E17,환산공식!$A$16:$A$301,0)),"")</f>
        <v>10</v>
      </c>
      <c r="N17" s="113" t="str">
        <f t="shared" si="1"/>
        <v>1% 이하</v>
      </c>
      <c r="O17" s="119">
        <f>IFERROR(ROUND(INDEX(환산공식!$EF$16:$EF$301,MATCH(E17,환산공식!$A$16:$A$301,0)),3),"")</f>
        <v>0</v>
      </c>
      <c r="P17" s="119">
        <f>IFERROR(ROUND(INDEX('배치점수 계산기'!M$11:M$1000,MATCH($C17,'배치점수 계산기'!$U$11:$U$1000,0)),2),"")</f>
        <v>708</v>
      </c>
      <c r="Q17" s="41">
        <f>IFERROR(ROUND(INDEX('배치점수 계산기'!N$11:N$1000,MATCH($C17,'배치점수 계산기'!$U$11:$U$1000,0)),2),"")</f>
        <v>705.96</v>
      </c>
      <c r="R17" s="41">
        <f>IFERROR(ROUND(INDEX('배치점수 계산기'!O$11:O$1000,MATCH($C17,'배치점수 계산기'!$U$11:$U$1000,0)),2),"")</f>
        <v>704.33</v>
      </c>
      <c r="S17" s="41">
        <f>IFERROR(ROUND(INDEX('배치점수 계산기'!P$11:P$1000,MATCH($C17,'배치점수 계산기'!$U$11:$U$1000,0)),2),"")</f>
        <v>701.83</v>
      </c>
      <c r="T17" s="41">
        <f>IFERROR(ROUND(INDEX('배치점수 계산기'!Q$11:Q$1000,MATCH($C17,'배치점수 계산기'!$U$11:$U$1000,0)),2),"")</f>
        <v>700.02</v>
      </c>
      <c r="U17" s="41">
        <f>IFERROR(INDEX(환산공식!$DC$16:$DC$301,MATCH(E17,환산공식!$A$16:$A$301,0)),"")</f>
        <v>0</v>
      </c>
      <c r="V17" s="113">
        <f t="shared" si="2"/>
        <v>6</v>
      </c>
      <c r="W17" s="110" t="str">
        <f>INDEX('배치점수 계산기'!$AG$11:$AG$800,MATCH('       가 군       '!$C17,'배치점수 계산기'!$U$11:$U$800,0))</f>
        <v>표점</v>
      </c>
      <c r="X17" s="108" t="str">
        <f>INDEX('배치점수 계산기'!$AH$11:$AH$800,MATCH('       가 군       '!$C17,'배치점수 계산기'!$U$11:$U$800,0))</f>
        <v>표점</v>
      </c>
      <c r="Y17" s="113">
        <f>INDEX('배치점수 계산기'!$AB$11:$AB$800,MATCH('       가 군       '!$C17,'배치점수 계산기'!$U$11:$U$800,0))</f>
        <v>0.24999999999999994</v>
      </c>
      <c r="Z17" s="73">
        <f>INDEX('배치점수 계산기'!$AC$11:$AC$800,MATCH('       가 군       '!$C17,'배치점수 계산기'!$U$11:$U$800,0))</f>
        <v>0.37499999999999994</v>
      </c>
      <c r="AA17" s="63">
        <f>INDEX('배치점수 계산기'!$AD$11:$AD$800,MATCH('       가 군       '!$C17,'배치점수 계산기'!$U$11:$U$800,0))</f>
        <v>0.37499999999999994</v>
      </c>
      <c r="AE17" s="7">
        <v>10</v>
      </c>
    </row>
    <row r="18" spans="3:31" x14ac:dyDescent="0.3">
      <c r="C18" s="7" t="s">
        <v>907</v>
      </c>
      <c r="D18" s="41" t="str">
        <f>IFERROR(INDEX('배치점수 계산기'!V$11:V$1000,MATCH($C18,'배치점수 계산기'!$U$11:$U$1000,0)),"")</f>
        <v>연세대 자연</v>
      </c>
      <c r="E18" s="41">
        <f>IFERROR(INDEX('배치점수 계산기'!W$11:W$1000,MATCH($C18,'배치점수 계산기'!$U$11:$U$1000,0)),"")</f>
        <v>19</v>
      </c>
      <c r="F18" s="113" t="s">
        <v>276</v>
      </c>
      <c r="G18" s="41" t="s">
        <v>277</v>
      </c>
      <c r="H18" s="41" t="s">
        <v>291</v>
      </c>
      <c r="I18" s="41" t="s">
        <v>274</v>
      </c>
      <c r="J18" s="41" t="str">
        <f t="shared" si="0"/>
        <v>X</v>
      </c>
      <c r="K18" s="113">
        <f>IFERROR(INDEX(환산공식!CI$16:CI$301,MATCH($E18,환산공식!$A$16:$A$301,0)),"")</f>
        <v>111.1</v>
      </c>
      <c r="L18" s="41" t="str">
        <f>IFERROR(CONCATENATE(ROUND(INDEX(환산공식!CJ$16:CJ$301,MATCH(E18,환산공식!$A$16:$A$301,0)),1),"%"),"")</f>
        <v>100%</v>
      </c>
      <c r="M18" s="41">
        <f>IFERROR(INDEX(환산공식!CK$16:CK$301,MATCH(E18,환산공식!$A$16:$A$301,0)),"")</f>
        <v>10</v>
      </c>
      <c r="N18" s="113" t="str">
        <f t="shared" si="1"/>
        <v>1% 이하</v>
      </c>
      <c r="O18" s="119">
        <f>IFERROR(ROUND(INDEX(환산공식!$EF$16:$EF$301,MATCH(E18,환산공식!$A$16:$A$301,0)),3),"")</f>
        <v>0</v>
      </c>
      <c r="P18" s="119">
        <f>IFERROR(ROUND(INDEX('배치점수 계산기'!M$11:M$1000,MATCH($C18,'배치점수 계산기'!$U$11:$U$1000,0)),2),"")</f>
        <v>707.5</v>
      </c>
      <c r="Q18" s="41">
        <f>IFERROR(ROUND(INDEX('배치점수 계산기'!N$11:N$1000,MATCH($C18,'배치점수 계산기'!$U$11:$U$1000,0)),2),"")</f>
        <v>705.28</v>
      </c>
      <c r="R18" s="41">
        <f>IFERROR(ROUND(INDEX('배치점수 계산기'!O$11:O$1000,MATCH($C18,'배치점수 계산기'!$U$11:$U$1000,0)),2),"")</f>
        <v>704.22</v>
      </c>
      <c r="S18" s="41">
        <f>IFERROR(ROUND(INDEX('배치점수 계산기'!P$11:P$1000,MATCH($C18,'배치점수 계산기'!$U$11:$U$1000,0)),2),"")</f>
        <v>702.52</v>
      </c>
      <c r="T18" s="41">
        <f>IFERROR(ROUND(INDEX('배치점수 계산기'!Q$11:Q$1000,MATCH($C18,'배치점수 계산기'!$U$11:$U$1000,0)),2),"")</f>
        <v>700.02</v>
      </c>
      <c r="U18" s="41">
        <f>IFERROR(INDEX(환산공식!$DC$16:$DC$301,MATCH(E18,환산공식!$A$16:$A$301,0)),"")</f>
        <v>0</v>
      </c>
      <c r="V18" s="113">
        <f t="shared" si="2"/>
        <v>6</v>
      </c>
      <c r="W18" s="110" t="str">
        <f>INDEX('배치점수 계산기'!$AG$11:$AG$800,MATCH('       가 군       '!$C18,'배치점수 계산기'!$U$11:$U$800,0))</f>
        <v>표점</v>
      </c>
      <c r="X18" s="108" t="str">
        <f>INDEX('배치점수 계산기'!$AH$11:$AH$800,MATCH('       가 군       '!$C18,'배치점수 계산기'!$U$11:$U$800,0))</f>
        <v>표점</v>
      </c>
      <c r="Y18" s="113">
        <f>INDEX('배치점수 계산기'!$AB$11:$AB$800,MATCH('       가 군       '!$C18,'배치점수 계산기'!$U$11:$U$800,0))</f>
        <v>0.24999999999999994</v>
      </c>
      <c r="Z18" s="73">
        <f>INDEX('배치점수 계산기'!$AC$11:$AC$800,MATCH('       가 군       '!$C18,'배치점수 계산기'!$U$11:$U$800,0))</f>
        <v>0.37499999999999994</v>
      </c>
      <c r="AA18" s="63">
        <f>INDEX('배치점수 계산기'!$AD$11:$AD$800,MATCH('       가 군       '!$C18,'배치점수 계산기'!$U$11:$U$800,0))</f>
        <v>0.37499999999999994</v>
      </c>
      <c r="AE18" s="7">
        <v>11</v>
      </c>
    </row>
    <row r="19" spans="3:31" x14ac:dyDescent="0.3">
      <c r="C19" s="7" t="s">
        <v>908</v>
      </c>
      <c r="D19" s="41" t="str">
        <f>IFERROR(INDEX('배치점수 계산기'!V$11:V$1000,MATCH($C19,'배치점수 계산기'!$U$11:$U$1000,0)),"")</f>
        <v>연세대 자연</v>
      </c>
      <c r="E19" s="41">
        <f>IFERROR(INDEX('배치점수 계산기'!W$11:W$1000,MATCH($C19,'배치점수 계산기'!$U$11:$U$1000,0)),"")</f>
        <v>19</v>
      </c>
      <c r="F19" s="113" t="s">
        <v>276</v>
      </c>
      <c r="G19" s="41" t="s">
        <v>277</v>
      </c>
      <c r="H19" s="41" t="s">
        <v>292</v>
      </c>
      <c r="I19" s="41" t="s">
        <v>274</v>
      </c>
      <c r="J19" s="41" t="str">
        <f t="shared" si="0"/>
        <v>X</v>
      </c>
      <c r="K19" s="113">
        <f>IFERROR(INDEX(환산공식!CI$16:CI$301,MATCH($E19,환산공식!$A$16:$A$301,0)),"")</f>
        <v>111.1</v>
      </c>
      <c r="L19" s="41" t="str">
        <f>IFERROR(CONCATENATE(ROUND(INDEX(환산공식!CJ$16:CJ$301,MATCH(E19,환산공식!$A$16:$A$301,0)),1),"%"),"")</f>
        <v>100%</v>
      </c>
      <c r="M19" s="41">
        <f>IFERROR(INDEX(환산공식!CK$16:CK$301,MATCH(E19,환산공식!$A$16:$A$301,0)),"")</f>
        <v>10</v>
      </c>
      <c r="N19" s="113" t="str">
        <f t="shared" si="1"/>
        <v>1% 이하</v>
      </c>
      <c r="O19" s="119">
        <f>IFERROR(ROUND(INDEX(환산공식!$EF$16:$EF$301,MATCH(E19,환산공식!$A$16:$A$301,0)),3),"")</f>
        <v>0</v>
      </c>
      <c r="P19" s="119">
        <f>IFERROR(ROUND(INDEX('배치점수 계산기'!M$11:M$1000,MATCH($C19,'배치점수 계산기'!$U$11:$U$1000,0)),2),"")</f>
        <v>707.5</v>
      </c>
      <c r="Q19" s="41">
        <f>IFERROR(ROUND(INDEX('배치점수 계산기'!N$11:N$1000,MATCH($C19,'배치점수 계산기'!$U$11:$U$1000,0)),2),"")</f>
        <v>705.96</v>
      </c>
      <c r="R19" s="41">
        <f>IFERROR(ROUND(INDEX('배치점수 계산기'!O$11:O$1000,MATCH($C19,'배치점수 계산기'!$U$11:$U$1000,0)),2),"")</f>
        <v>704.22</v>
      </c>
      <c r="S19" s="41">
        <f>IFERROR(ROUND(INDEX('배치점수 계산기'!P$11:P$1000,MATCH($C19,'배치점수 계산기'!$U$11:$U$1000,0)),2),"")</f>
        <v>703.33</v>
      </c>
      <c r="T19" s="41">
        <f>IFERROR(ROUND(INDEX('배치점수 계산기'!Q$11:Q$1000,MATCH($C19,'배치점수 계산기'!$U$11:$U$1000,0)),2),"")</f>
        <v>701.39</v>
      </c>
      <c r="U19" s="41">
        <f>IFERROR(INDEX(환산공식!$DC$16:$DC$301,MATCH(E19,환산공식!$A$16:$A$301,0)),"")</f>
        <v>0</v>
      </c>
      <c r="V19" s="113">
        <f t="shared" si="2"/>
        <v>6</v>
      </c>
      <c r="W19" s="110" t="str">
        <f>INDEX('배치점수 계산기'!$AG$11:$AG$800,MATCH('       가 군       '!$C19,'배치점수 계산기'!$U$11:$U$800,0))</f>
        <v>표점</v>
      </c>
      <c r="X19" s="108" t="str">
        <f>INDEX('배치점수 계산기'!$AH$11:$AH$800,MATCH('       가 군       '!$C19,'배치점수 계산기'!$U$11:$U$800,0))</f>
        <v>표점</v>
      </c>
      <c r="Y19" s="113">
        <f>INDEX('배치점수 계산기'!$AB$11:$AB$800,MATCH('       가 군       '!$C19,'배치점수 계산기'!$U$11:$U$800,0))</f>
        <v>0.24999999999999994</v>
      </c>
      <c r="Z19" s="73">
        <f>INDEX('배치점수 계산기'!$AC$11:$AC$800,MATCH('       가 군       '!$C19,'배치점수 계산기'!$U$11:$U$800,0))</f>
        <v>0.37499999999999994</v>
      </c>
      <c r="AA19" s="63">
        <f>INDEX('배치점수 계산기'!$AD$11:$AD$800,MATCH('       가 군       '!$C19,'배치점수 계산기'!$U$11:$U$800,0))</f>
        <v>0.37499999999999994</v>
      </c>
      <c r="AE19" s="7">
        <v>12</v>
      </c>
    </row>
    <row r="20" spans="3:31" x14ac:dyDescent="0.3">
      <c r="C20" s="7" t="s">
        <v>909</v>
      </c>
      <c r="D20" s="41" t="str">
        <f>IFERROR(INDEX('배치점수 계산기'!V$11:V$1000,MATCH($C20,'배치점수 계산기'!$U$11:$U$1000,0)),"")</f>
        <v>연세대 자연</v>
      </c>
      <c r="E20" s="41">
        <f>IFERROR(INDEX('배치점수 계산기'!W$11:W$1000,MATCH($C20,'배치점수 계산기'!$U$11:$U$1000,0)),"")</f>
        <v>19</v>
      </c>
      <c r="F20" s="113" t="s">
        <v>276</v>
      </c>
      <c r="G20" s="41" t="s">
        <v>277</v>
      </c>
      <c r="H20" s="41" t="s">
        <v>293</v>
      </c>
      <c r="I20" s="41" t="s">
        <v>274</v>
      </c>
      <c r="J20" s="41" t="str">
        <f t="shared" si="0"/>
        <v>X</v>
      </c>
      <c r="K20" s="113">
        <f>IFERROR(INDEX(환산공식!CI$16:CI$301,MATCH($E20,환산공식!$A$16:$A$301,0)),"")</f>
        <v>111.1</v>
      </c>
      <c r="L20" s="41" t="str">
        <f>IFERROR(CONCATENATE(ROUND(INDEX(환산공식!CJ$16:CJ$301,MATCH(E20,환산공식!$A$16:$A$301,0)),1),"%"),"")</f>
        <v>100%</v>
      </c>
      <c r="M20" s="41">
        <f>IFERROR(INDEX(환산공식!CK$16:CK$301,MATCH(E20,환산공식!$A$16:$A$301,0)),"")</f>
        <v>10</v>
      </c>
      <c r="N20" s="113" t="str">
        <f t="shared" si="1"/>
        <v>1% 이하</v>
      </c>
      <c r="O20" s="119">
        <f>IFERROR(ROUND(INDEX(환산공식!$EF$16:$EF$301,MATCH(E20,환산공식!$A$16:$A$301,0)),3),"")</f>
        <v>0</v>
      </c>
      <c r="P20" s="119">
        <f>IFERROR(ROUND(INDEX('배치점수 계산기'!M$11:M$1000,MATCH($C20,'배치점수 계산기'!$U$11:$U$1000,0)),2),"")</f>
        <v>706.56</v>
      </c>
      <c r="Q20" s="41">
        <f>IFERROR(ROUND(INDEX('배치점수 계산기'!N$11:N$1000,MATCH($C20,'배치점수 계산기'!$U$11:$U$1000,0)),2),"")</f>
        <v>705.28</v>
      </c>
      <c r="R20" s="41">
        <f>IFERROR(ROUND(INDEX('배치점수 계산기'!O$11:O$1000,MATCH($C20,'배치점수 계산기'!$U$11:$U$1000,0)),2),"")</f>
        <v>703.61</v>
      </c>
      <c r="S20" s="41">
        <f>IFERROR(ROUND(INDEX('배치점수 계산기'!P$11:P$1000,MATCH($C20,'배치점수 계산기'!$U$11:$U$1000,0)),2),"")</f>
        <v>702.52</v>
      </c>
      <c r="T20" s="41">
        <f>IFERROR(ROUND(INDEX('배치점수 계산기'!Q$11:Q$1000,MATCH($C20,'배치점수 계산기'!$U$11:$U$1000,0)),2),"")</f>
        <v>700.02</v>
      </c>
      <c r="U20" s="41">
        <f>IFERROR(INDEX(환산공식!$DC$16:$DC$301,MATCH(E20,환산공식!$A$16:$A$301,0)),"")</f>
        <v>0</v>
      </c>
      <c r="V20" s="113">
        <f t="shared" si="2"/>
        <v>6</v>
      </c>
      <c r="W20" s="110" t="str">
        <f>INDEX('배치점수 계산기'!$AG$11:$AG$800,MATCH('       가 군       '!$C20,'배치점수 계산기'!$U$11:$U$800,0))</f>
        <v>표점</v>
      </c>
      <c r="X20" s="108" t="str">
        <f>INDEX('배치점수 계산기'!$AH$11:$AH$800,MATCH('       가 군       '!$C20,'배치점수 계산기'!$U$11:$U$800,0))</f>
        <v>표점</v>
      </c>
      <c r="Y20" s="113">
        <f>INDEX('배치점수 계산기'!$AB$11:$AB$800,MATCH('       가 군       '!$C20,'배치점수 계산기'!$U$11:$U$800,0))</f>
        <v>0.24999999999999994</v>
      </c>
      <c r="Z20" s="73">
        <f>INDEX('배치점수 계산기'!$AC$11:$AC$800,MATCH('       가 군       '!$C20,'배치점수 계산기'!$U$11:$U$800,0))</f>
        <v>0.37499999999999994</v>
      </c>
      <c r="AA20" s="63">
        <f>INDEX('배치점수 계산기'!$AD$11:$AD$800,MATCH('       가 군       '!$C20,'배치점수 계산기'!$U$11:$U$800,0))</f>
        <v>0.37499999999999994</v>
      </c>
      <c r="AE20" s="7">
        <v>13</v>
      </c>
    </row>
    <row r="21" spans="3:31" x14ac:dyDescent="0.3">
      <c r="C21" s="7" t="s">
        <v>910</v>
      </c>
      <c r="D21" s="41" t="str">
        <f>IFERROR(INDEX('배치점수 계산기'!V$11:V$1000,MATCH($C21,'배치점수 계산기'!$U$11:$U$1000,0)),"")</f>
        <v>연세대 자연</v>
      </c>
      <c r="E21" s="41">
        <f>IFERROR(INDEX('배치점수 계산기'!W$11:W$1000,MATCH($C21,'배치점수 계산기'!$U$11:$U$1000,0)),"")</f>
        <v>19</v>
      </c>
      <c r="F21" s="113" t="s">
        <v>276</v>
      </c>
      <c r="G21" s="41" t="s">
        <v>277</v>
      </c>
      <c r="H21" s="41" t="s">
        <v>256</v>
      </c>
      <c r="I21" s="41" t="s">
        <v>274</v>
      </c>
      <c r="J21" s="41" t="str">
        <f t="shared" si="0"/>
        <v>X</v>
      </c>
      <c r="K21" s="113">
        <f>IFERROR(INDEX(환산공식!CI$16:CI$301,MATCH($E21,환산공식!$A$16:$A$301,0)),"")</f>
        <v>111.1</v>
      </c>
      <c r="L21" s="41" t="str">
        <f>IFERROR(CONCATENATE(ROUND(INDEX(환산공식!CJ$16:CJ$301,MATCH(E21,환산공식!$A$16:$A$301,0)),1),"%"),"")</f>
        <v>100%</v>
      </c>
      <c r="M21" s="41">
        <f>IFERROR(INDEX(환산공식!CK$16:CK$301,MATCH(E21,환산공식!$A$16:$A$301,0)),"")</f>
        <v>10</v>
      </c>
      <c r="N21" s="113" t="str">
        <f t="shared" si="1"/>
        <v>1% 이하</v>
      </c>
      <c r="O21" s="119">
        <f>IFERROR(ROUND(INDEX(환산공식!$EF$16:$EF$301,MATCH(E21,환산공식!$A$16:$A$301,0)),3),"")</f>
        <v>0</v>
      </c>
      <c r="P21" s="119">
        <f>IFERROR(ROUND(INDEX('배치점수 계산기'!M$11:M$1000,MATCH($C21,'배치점수 계산기'!$U$11:$U$1000,0)),2),"")</f>
        <v>706.56</v>
      </c>
      <c r="Q21" s="41">
        <f>IFERROR(ROUND(INDEX('배치점수 계산기'!N$11:N$1000,MATCH($C21,'배치점수 계산기'!$U$11:$U$1000,0)),2),"")</f>
        <v>705.28</v>
      </c>
      <c r="R21" s="41">
        <f>IFERROR(ROUND(INDEX('배치점수 계산기'!O$11:O$1000,MATCH($C21,'배치점수 계산기'!$U$11:$U$1000,0)),2),"")</f>
        <v>703.33</v>
      </c>
      <c r="S21" s="41">
        <f>IFERROR(ROUND(INDEX('배치점수 계산기'!P$11:P$1000,MATCH($C21,'배치점수 계산기'!$U$11:$U$1000,0)),2),"")</f>
        <v>701.83</v>
      </c>
      <c r="T21" s="41">
        <f>IFERROR(ROUND(INDEX('배치점수 계산기'!Q$11:Q$1000,MATCH($C21,'배치점수 계산기'!$U$11:$U$1000,0)),2),"")</f>
        <v>701</v>
      </c>
      <c r="U21" s="41">
        <f>IFERROR(INDEX(환산공식!$DC$16:$DC$301,MATCH(E21,환산공식!$A$16:$A$301,0)),"")</f>
        <v>0</v>
      </c>
      <c r="V21" s="113">
        <f t="shared" si="2"/>
        <v>6</v>
      </c>
      <c r="W21" s="110" t="str">
        <f>INDEX('배치점수 계산기'!$AG$11:$AG$800,MATCH('       가 군       '!$C21,'배치점수 계산기'!$U$11:$U$800,0))</f>
        <v>표점</v>
      </c>
      <c r="X21" s="108" t="str">
        <f>INDEX('배치점수 계산기'!$AH$11:$AH$800,MATCH('       가 군       '!$C21,'배치점수 계산기'!$U$11:$U$800,0))</f>
        <v>표점</v>
      </c>
      <c r="Y21" s="113">
        <f>INDEX('배치점수 계산기'!$AB$11:$AB$800,MATCH('       가 군       '!$C21,'배치점수 계산기'!$U$11:$U$800,0))</f>
        <v>0.24999999999999994</v>
      </c>
      <c r="Z21" s="73">
        <f>INDEX('배치점수 계산기'!$AC$11:$AC$800,MATCH('       가 군       '!$C21,'배치점수 계산기'!$U$11:$U$800,0))</f>
        <v>0.37499999999999994</v>
      </c>
      <c r="AA21" s="63">
        <f>INDEX('배치점수 계산기'!$AD$11:$AD$800,MATCH('       가 군       '!$C21,'배치점수 계산기'!$U$11:$U$800,0))</f>
        <v>0.37499999999999994</v>
      </c>
      <c r="AE21" s="7">
        <v>14</v>
      </c>
    </row>
    <row r="22" spans="3:31" x14ac:dyDescent="0.3">
      <c r="C22" s="7" t="s">
        <v>911</v>
      </c>
      <c r="D22" s="41" t="str">
        <f>IFERROR(INDEX('배치점수 계산기'!V$11:V$1000,MATCH($C22,'배치점수 계산기'!$U$11:$U$1000,0)),"")</f>
        <v>연세대 자연</v>
      </c>
      <c r="E22" s="41">
        <f>IFERROR(INDEX('배치점수 계산기'!W$11:W$1000,MATCH($C22,'배치점수 계산기'!$U$11:$U$1000,0)),"")</f>
        <v>19</v>
      </c>
      <c r="F22" s="113" t="s">
        <v>276</v>
      </c>
      <c r="G22" s="41" t="s">
        <v>277</v>
      </c>
      <c r="H22" s="41" t="s">
        <v>294</v>
      </c>
      <c r="I22" s="41" t="s">
        <v>274</v>
      </c>
      <c r="J22" s="41" t="str">
        <f t="shared" si="0"/>
        <v>X</v>
      </c>
      <c r="K22" s="113">
        <f>IFERROR(INDEX(환산공식!CI$16:CI$301,MATCH($E22,환산공식!$A$16:$A$301,0)),"")</f>
        <v>111.1</v>
      </c>
      <c r="L22" s="41" t="str">
        <f>IFERROR(CONCATENATE(ROUND(INDEX(환산공식!CJ$16:CJ$301,MATCH(E22,환산공식!$A$16:$A$301,0)),1),"%"),"")</f>
        <v>100%</v>
      </c>
      <c r="M22" s="41">
        <f>IFERROR(INDEX(환산공식!CK$16:CK$301,MATCH(E22,환산공식!$A$16:$A$301,0)),"")</f>
        <v>10</v>
      </c>
      <c r="N22" s="113" t="str">
        <f t="shared" si="1"/>
        <v>1% 이하</v>
      </c>
      <c r="O22" s="119">
        <f>IFERROR(ROUND(INDEX(환산공식!$EF$16:$EF$301,MATCH(E22,환산공식!$A$16:$A$301,0)),3),"")</f>
        <v>0</v>
      </c>
      <c r="P22" s="119">
        <f>IFERROR(ROUND(INDEX('배치점수 계산기'!M$11:M$1000,MATCH($C22,'배치점수 계산기'!$U$11:$U$1000,0)),2),"")</f>
        <v>705.74</v>
      </c>
      <c r="Q22" s="41">
        <f>IFERROR(ROUND(INDEX('배치점수 계산기'!N$11:N$1000,MATCH($C22,'배치점수 계산기'!$U$11:$U$1000,0)),2),"")</f>
        <v>704.33</v>
      </c>
      <c r="R22" s="41">
        <f>IFERROR(ROUND(INDEX('배치점수 계산기'!O$11:O$1000,MATCH($C22,'배치점수 계산기'!$U$11:$U$1000,0)),2),"")</f>
        <v>703.33</v>
      </c>
      <c r="S22" s="41">
        <f>IFERROR(ROUND(INDEX('배치점수 계산기'!P$11:P$1000,MATCH($C22,'배치점수 계산기'!$U$11:$U$1000,0)),2),"")</f>
        <v>701.83</v>
      </c>
      <c r="T22" s="41">
        <f>IFERROR(ROUND(INDEX('배치점수 계산기'!Q$11:Q$1000,MATCH($C22,'배치점수 계산기'!$U$11:$U$1000,0)),2),"")</f>
        <v>701</v>
      </c>
      <c r="U22" s="41">
        <f>IFERROR(INDEX(환산공식!$DC$16:$DC$301,MATCH(E22,환산공식!$A$16:$A$301,0)),"")</f>
        <v>0</v>
      </c>
      <c r="V22" s="113">
        <f t="shared" si="2"/>
        <v>6</v>
      </c>
      <c r="W22" s="110" t="str">
        <f>INDEX('배치점수 계산기'!$AG$11:$AG$800,MATCH('       가 군       '!$C22,'배치점수 계산기'!$U$11:$U$800,0))</f>
        <v>표점</v>
      </c>
      <c r="X22" s="108" t="str">
        <f>INDEX('배치점수 계산기'!$AH$11:$AH$800,MATCH('       가 군       '!$C22,'배치점수 계산기'!$U$11:$U$800,0))</f>
        <v>표점</v>
      </c>
      <c r="Y22" s="113">
        <f>INDEX('배치점수 계산기'!$AB$11:$AB$800,MATCH('       가 군       '!$C22,'배치점수 계산기'!$U$11:$U$800,0))</f>
        <v>0.24999999999999994</v>
      </c>
      <c r="Z22" s="73">
        <f>INDEX('배치점수 계산기'!$AC$11:$AC$800,MATCH('       가 군       '!$C22,'배치점수 계산기'!$U$11:$U$800,0))</f>
        <v>0.37499999999999994</v>
      </c>
      <c r="AA22" s="63">
        <f>INDEX('배치점수 계산기'!$AD$11:$AD$800,MATCH('       가 군       '!$C22,'배치점수 계산기'!$U$11:$U$800,0))</f>
        <v>0.37499999999999994</v>
      </c>
      <c r="AE22" s="7">
        <v>15</v>
      </c>
    </row>
    <row r="23" spans="3:31" x14ac:dyDescent="0.3">
      <c r="C23" s="7" t="s">
        <v>912</v>
      </c>
      <c r="D23" s="41" t="str">
        <f>IFERROR(INDEX('배치점수 계산기'!V$11:V$1000,MATCH($C23,'배치점수 계산기'!$U$11:$U$1000,0)),"")</f>
        <v>연세대 자연</v>
      </c>
      <c r="E23" s="41">
        <f>IFERROR(INDEX('배치점수 계산기'!W$11:W$1000,MATCH($C23,'배치점수 계산기'!$U$11:$U$1000,0)),"")</f>
        <v>19</v>
      </c>
      <c r="F23" s="113" t="s">
        <v>276</v>
      </c>
      <c r="G23" s="41" t="s">
        <v>277</v>
      </c>
      <c r="H23" s="41" t="s">
        <v>252</v>
      </c>
      <c r="I23" s="41" t="s">
        <v>274</v>
      </c>
      <c r="J23" s="41" t="str">
        <f t="shared" si="0"/>
        <v>X</v>
      </c>
      <c r="K23" s="113">
        <f>IFERROR(INDEX(환산공식!CI$16:CI$301,MATCH($E23,환산공식!$A$16:$A$301,0)),"")</f>
        <v>111.1</v>
      </c>
      <c r="L23" s="41" t="str">
        <f>IFERROR(CONCATENATE(ROUND(INDEX(환산공식!CJ$16:CJ$301,MATCH(E23,환산공식!$A$16:$A$301,0)),1),"%"),"")</f>
        <v>100%</v>
      </c>
      <c r="M23" s="41">
        <f>IFERROR(INDEX(환산공식!CK$16:CK$301,MATCH(E23,환산공식!$A$16:$A$301,0)),"")</f>
        <v>10</v>
      </c>
      <c r="N23" s="113" t="str">
        <f t="shared" si="1"/>
        <v>1% 이하</v>
      </c>
      <c r="O23" s="119">
        <f>IFERROR(ROUND(INDEX(환산공식!$EF$16:$EF$301,MATCH(E23,환산공식!$A$16:$A$301,0)),3),"")</f>
        <v>0</v>
      </c>
      <c r="P23" s="119">
        <f>IFERROR(ROUND(INDEX('배치점수 계산기'!M$11:M$1000,MATCH($C23,'배치점수 계산기'!$U$11:$U$1000,0)),2),"")</f>
        <v>706.8</v>
      </c>
      <c r="Q23" s="41">
        <f>IFERROR(ROUND(INDEX('배치점수 계산기'!N$11:N$1000,MATCH($C23,'배치점수 계산기'!$U$11:$U$1000,0)),2),"")</f>
        <v>705</v>
      </c>
      <c r="R23" s="41">
        <f>IFERROR(ROUND(INDEX('배치점수 계산기'!O$11:O$1000,MATCH($C23,'배치점수 계산기'!$U$11:$U$1000,0)),2),"")</f>
        <v>703.5</v>
      </c>
      <c r="S23" s="41">
        <f>IFERROR(ROUND(INDEX('배치점수 계산기'!P$11:P$1000,MATCH($C23,'배치점수 계산기'!$U$11:$U$1000,0)),2),"")</f>
        <v>702.52</v>
      </c>
      <c r="T23" s="41">
        <f>IFERROR(ROUND(INDEX('배치점수 계산기'!Q$11:Q$1000,MATCH($C23,'배치점수 계산기'!$U$11:$U$1000,0)),2),"")</f>
        <v>701.39</v>
      </c>
      <c r="U23" s="41">
        <f>IFERROR(INDEX(환산공식!$DC$16:$DC$301,MATCH(E23,환산공식!$A$16:$A$301,0)),"")</f>
        <v>0</v>
      </c>
      <c r="V23" s="113">
        <f t="shared" si="2"/>
        <v>6</v>
      </c>
      <c r="W23" s="110" t="str">
        <f>INDEX('배치점수 계산기'!$AG$11:$AG$800,MATCH('       가 군       '!$C23,'배치점수 계산기'!$U$11:$U$800,0))</f>
        <v>표점</v>
      </c>
      <c r="X23" s="108" t="str">
        <f>INDEX('배치점수 계산기'!$AH$11:$AH$800,MATCH('       가 군       '!$C23,'배치점수 계산기'!$U$11:$U$800,0))</f>
        <v>표점</v>
      </c>
      <c r="Y23" s="113">
        <f>INDEX('배치점수 계산기'!$AB$11:$AB$800,MATCH('       가 군       '!$C23,'배치점수 계산기'!$U$11:$U$800,0))</f>
        <v>0.24999999999999994</v>
      </c>
      <c r="Z23" s="73">
        <f>INDEX('배치점수 계산기'!$AC$11:$AC$800,MATCH('       가 군       '!$C23,'배치점수 계산기'!$U$11:$U$800,0))</f>
        <v>0.37499999999999994</v>
      </c>
      <c r="AA23" s="63">
        <f>INDEX('배치점수 계산기'!$AD$11:$AD$800,MATCH('       가 군       '!$C23,'배치점수 계산기'!$U$11:$U$800,0))</f>
        <v>0.37499999999999994</v>
      </c>
      <c r="AE23" s="7">
        <v>16</v>
      </c>
    </row>
    <row r="24" spans="3:31" x14ac:dyDescent="0.3">
      <c r="C24" s="7" t="s">
        <v>913</v>
      </c>
      <c r="D24" s="41" t="str">
        <f>IFERROR(INDEX('배치점수 계산기'!V$11:V$1000,MATCH($C24,'배치점수 계산기'!$U$11:$U$1000,0)),"")</f>
        <v>연세대 자연</v>
      </c>
      <c r="E24" s="41">
        <f>IFERROR(INDEX('배치점수 계산기'!W$11:W$1000,MATCH($C24,'배치점수 계산기'!$U$11:$U$1000,0)),"")</f>
        <v>19</v>
      </c>
      <c r="F24" s="113" t="s">
        <v>276</v>
      </c>
      <c r="G24" s="41" t="s">
        <v>277</v>
      </c>
      <c r="H24" s="41" t="s">
        <v>295</v>
      </c>
      <c r="I24" s="41" t="s">
        <v>274</v>
      </c>
      <c r="J24" s="41" t="str">
        <f t="shared" si="0"/>
        <v>X</v>
      </c>
      <c r="K24" s="113">
        <f>IFERROR(INDEX(환산공식!CI$16:CI$301,MATCH($E24,환산공식!$A$16:$A$301,0)),"")</f>
        <v>111.1</v>
      </c>
      <c r="L24" s="41" t="str">
        <f>IFERROR(CONCATENATE(ROUND(INDEX(환산공식!CJ$16:CJ$301,MATCH(E24,환산공식!$A$16:$A$301,0)),1),"%"),"")</f>
        <v>100%</v>
      </c>
      <c r="M24" s="41">
        <f>IFERROR(INDEX(환산공식!CK$16:CK$301,MATCH(E24,환산공식!$A$16:$A$301,0)),"")</f>
        <v>10</v>
      </c>
      <c r="N24" s="113" t="str">
        <f t="shared" si="1"/>
        <v>1% 이하</v>
      </c>
      <c r="O24" s="119">
        <f>IFERROR(ROUND(INDEX(환산공식!$EF$16:$EF$301,MATCH(E24,환산공식!$A$16:$A$301,0)),3),"")</f>
        <v>0</v>
      </c>
      <c r="P24" s="119">
        <f>IFERROR(ROUND(INDEX('배치점수 계산기'!M$11:M$1000,MATCH($C24,'배치점수 계산기'!$U$11:$U$1000,0)),2),"")</f>
        <v>705</v>
      </c>
      <c r="Q24" s="41">
        <f>IFERROR(ROUND(INDEX('배치점수 계산기'!N$11:N$1000,MATCH($C24,'배치점수 계산기'!$U$11:$U$1000,0)),2),"")</f>
        <v>703.5</v>
      </c>
      <c r="R24" s="41">
        <f>IFERROR(ROUND(INDEX('배치점수 계산기'!O$11:O$1000,MATCH($C24,'배치점수 계산기'!$U$11:$U$1000,0)),2),"")</f>
        <v>702.52</v>
      </c>
      <c r="S24" s="41">
        <f>IFERROR(ROUND(INDEX('배치점수 계산기'!P$11:P$1000,MATCH($C24,'배치점수 계산기'!$U$11:$U$1000,0)),2),"")</f>
        <v>701.39</v>
      </c>
      <c r="T24" s="41">
        <f>IFERROR(ROUND(INDEX('배치점수 계산기'!Q$11:Q$1000,MATCH($C24,'배치점수 계산기'!$U$11:$U$1000,0)),2),"")</f>
        <v>700.02</v>
      </c>
      <c r="U24" s="41">
        <f>IFERROR(INDEX(환산공식!$DC$16:$DC$301,MATCH(E24,환산공식!$A$16:$A$301,0)),"")</f>
        <v>0</v>
      </c>
      <c r="V24" s="113">
        <f t="shared" si="2"/>
        <v>6</v>
      </c>
      <c r="W24" s="110" t="str">
        <f>INDEX('배치점수 계산기'!$AG$11:$AG$800,MATCH('       가 군       '!$C24,'배치점수 계산기'!$U$11:$U$800,0))</f>
        <v>표점</v>
      </c>
      <c r="X24" s="108" t="str">
        <f>INDEX('배치점수 계산기'!$AH$11:$AH$800,MATCH('       가 군       '!$C24,'배치점수 계산기'!$U$11:$U$800,0))</f>
        <v>표점</v>
      </c>
      <c r="Y24" s="113">
        <f>INDEX('배치점수 계산기'!$AB$11:$AB$800,MATCH('       가 군       '!$C24,'배치점수 계산기'!$U$11:$U$800,0))</f>
        <v>0.24999999999999994</v>
      </c>
      <c r="Z24" s="73">
        <f>INDEX('배치점수 계산기'!$AC$11:$AC$800,MATCH('       가 군       '!$C24,'배치점수 계산기'!$U$11:$U$800,0))</f>
        <v>0.37499999999999994</v>
      </c>
      <c r="AA24" s="63">
        <f>INDEX('배치점수 계산기'!$AD$11:$AD$800,MATCH('       가 군       '!$C24,'배치점수 계산기'!$U$11:$U$800,0))</f>
        <v>0.37499999999999994</v>
      </c>
      <c r="AE24" s="7">
        <v>17</v>
      </c>
    </row>
    <row r="25" spans="3:31" x14ac:dyDescent="0.3">
      <c r="C25" s="7" t="s">
        <v>914</v>
      </c>
      <c r="D25" s="41" t="str">
        <f>IFERROR(INDEX('배치점수 계산기'!V$11:V$1000,MATCH($C25,'배치점수 계산기'!$U$11:$U$1000,0)),"")</f>
        <v>연세대 자연</v>
      </c>
      <c r="E25" s="41">
        <f>IFERROR(INDEX('배치점수 계산기'!W$11:W$1000,MATCH($C25,'배치점수 계산기'!$U$11:$U$1000,0)),"")</f>
        <v>19</v>
      </c>
      <c r="F25" s="113" t="s">
        <v>276</v>
      </c>
      <c r="G25" s="41" t="s">
        <v>277</v>
      </c>
      <c r="H25" s="41" t="s">
        <v>254</v>
      </c>
      <c r="I25" s="41" t="s">
        <v>274</v>
      </c>
      <c r="J25" s="41" t="str">
        <f t="shared" si="0"/>
        <v>X</v>
      </c>
      <c r="K25" s="113">
        <f>IFERROR(INDEX(환산공식!CI$16:CI$301,MATCH($E25,환산공식!$A$16:$A$301,0)),"")</f>
        <v>111.1</v>
      </c>
      <c r="L25" s="41" t="str">
        <f>IFERROR(CONCATENATE(ROUND(INDEX(환산공식!CJ$16:CJ$301,MATCH(E25,환산공식!$A$16:$A$301,0)),1),"%"),"")</f>
        <v>100%</v>
      </c>
      <c r="M25" s="41">
        <f>IFERROR(INDEX(환산공식!CK$16:CK$301,MATCH(E25,환산공식!$A$16:$A$301,0)),"")</f>
        <v>10</v>
      </c>
      <c r="N25" s="113" t="str">
        <f t="shared" si="1"/>
        <v>1% 이하</v>
      </c>
      <c r="O25" s="119">
        <f>IFERROR(ROUND(INDEX(환산공식!$EF$16:$EF$301,MATCH(E25,환산공식!$A$16:$A$301,0)),3),"")</f>
        <v>0</v>
      </c>
      <c r="P25" s="119">
        <f>IFERROR(ROUND(INDEX('배치점수 계산기'!M$11:M$1000,MATCH($C25,'배치점수 계산기'!$U$11:$U$1000,0)),2),"")</f>
        <v>705</v>
      </c>
      <c r="Q25" s="41">
        <f>IFERROR(ROUND(INDEX('배치점수 계산기'!N$11:N$1000,MATCH($C25,'배치점수 계산기'!$U$11:$U$1000,0)),2),"")</f>
        <v>703.5</v>
      </c>
      <c r="R25" s="41">
        <f>IFERROR(ROUND(INDEX('배치점수 계산기'!O$11:O$1000,MATCH($C25,'배치점수 계산기'!$U$11:$U$1000,0)),2),"")</f>
        <v>702.07</v>
      </c>
      <c r="S25" s="41">
        <f>IFERROR(ROUND(INDEX('배치점수 계산기'!P$11:P$1000,MATCH($C25,'배치점수 계산기'!$U$11:$U$1000,0)),2),"")</f>
        <v>701.11</v>
      </c>
      <c r="T25" s="41">
        <f>IFERROR(ROUND(INDEX('배치점수 계산기'!Q$11:Q$1000,MATCH($C25,'배치점수 계산기'!$U$11:$U$1000,0)),2),"")</f>
        <v>699.72</v>
      </c>
      <c r="U25" s="41">
        <f>IFERROR(INDEX(환산공식!$DC$16:$DC$301,MATCH(E25,환산공식!$A$16:$A$301,0)),"")</f>
        <v>0</v>
      </c>
      <c r="V25" s="113">
        <f t="shared" si="2"/>
        <v>6</v>
      </c>
      <c r="W25" s="110" t="str">
        <f>INDEX('배치점수 계산기'!$AG$11:$AG$800,MATCH('       가 군       '!$C25,'배치점수 계산기'!$U$11:$U$800,0))</f>
        <v>표점</v>
      </c>
      <c r="X25" s="108" t="str">
        <f>INDEX('배치점수 계산기'!$AH$11:$AH$800,MATCH('       가 군       '!$C25,'배치점수 계산기'!$U$11:$U$800,0))</f>
        <v>표점</v>
      </c>
      <c r="Y25" s="113">
        <f>INDEX('배치점수 계산기'!$AB$11:$AB$800,MATCH('       가 군       '!$C25,'배치점수 계산기'!$U$11:$U$800,0))</f>
        <v>0.24999999999999994</v>
      </c>
      <c r="Z25" s="73">
        <f>INDEX('배치점수 계산기'!$AC$11:$AC$800,MATCH('       가 군       '!$C25,'배치점수 계산기'!$U$11:$U$800,0))</f>
        <v>0.37499999999999994</v>
      </c>
      <c r="AA25" s="63">
        <f>INDEX('배치점수 계산기'!$AD$11:$AD$800,MATCH('       가 군       '!$C25,'배치점수 계산기'!$U$11:$U$800,0))</f>
        <v>0.37499999999999994</v>
      </c>
      <c r="AE25" s="7">
        <v>18</v>
      </c>
    </row>
    <row r="26" spans="3:31" x14ac:dyDescent="0.3">
      <c r="C26" s="7" t="s">
        <v>915</v>
      </c>
      <c r="D26" s="41" t="str">
        <f>IFERROR(INDEX('배치점수 계산기'!V$11:V$1000,MATCH($C26,'배치점수 계산기'!$U$11:$U$1000,0)),"")</f>
        <v>연세대 자연</v>
      </c>
      <c r="E26" s="41">
        <f>IFERROR(INDEX('배치점수 계산기'!W$11:W$1000,MATCH($C26,'배치점수 계산기'!$U$11:$U$1000,0)),"")</f>
        <v>19</v>
      </c>
      <c r="F26" s="113" t="s">
        <v>276</v>
      </c>
      <c r="G26" s="41" t="s">
        <v>277</v>
      </c>
      <c r="H26" s="41" t="s">
        <v>257</v>
      </c>
      <c r="I26" s="41" t="s">
        <v>274</v>
      </c>
      <c r="J26" s="41" t="str">
        <f t="shared" si="0"/>
        <v>X</v>
      </c>
      <c r="K26" s="113">
        <f>IFERROR(INDEX(환산공식!CI$16:CI$301,MATCH($E26,환산공식!$A$16:$A$301,0)),"")</f>
        <v>111.1</v>
      </c>
      <c r="L26" s="41" t="str">
        <f>IFERROR(CONCATENATE(ROUND(INDEX(환산공식!CJ$16:CJ$301,MATCH(E26,환산공식!$A$16:$A$301,0)),1),"%"),"")</f>
        <v>100%</v>
      </c>
      <c r="M26" s="41">
        <f>IFERROR(INDEX(환산공식!CK$16:CK$301,MATCH(E26,환산공식!$A$16:$A$301,0)),"")</f>
        <v>10</v>
      </c>
      <c r="N26" s="113" t="str">
        <f t="shared" si="1"/>
        <v>1% 이하</v>
      </c>
      <c r="O26" s="119">
        <f>IFERROR(ROUND(INDEX(환산공식!$EF$16:$EF$301,MATCH(E26,환산공식!$A$16:$A$301,0)),3),"")</f>
        <v>0</v>
      </c>
      <c r="P26" s="119">
        <f>IFERROR(ROUND(INDEX('배치점수 계산기'!M$11:M$1000,MATCH($C26,'배치점수 계산기'!$U$11:$U$1000,0)),2),"")</f>
        <v>705</v>
      </c>
      <c r="Q26" s="41">
        <f>IFERROR(ROUND(INDEX('배치점수 계산기'!N$11:N$1000,MATCH($C26,'배치점수 계산기'!$U$11:$U$1000,0)),2),"")</f>
        <v>703.5</v>
      </c>
      <c r="R26" s="41">
        <f>IFERROR(ROUND(INDEX('배치점수 계산기'!O$11:O$1000,MATCH($C26,'배치점수 계산기'!$U$11:$U$1000,0)),2),"")</f>
        <v>702.07</v>
      </c>
      <c r="S26" s="41">
        <f>IFERROR(ROUND(INDEX('배치점수 계산기'!P$11:P$1000,MATCH($C26,'배치점수 계산기'!$U$11:$U$1000,0)),2),"")</f>
        <v>701.11</v>
      </c>
      <c r="T26" s="41">
        <f>IFERROR(ROUND(INDEX('배치점수 계산기'!Q$11:Q$1000,MATCH($C26,'배치점수 계산기'!$U$11:$U$1000,0)),2),"")</f>
        <v>699.72</v>
      </c>
      <c r="U26" s="41">
        <f>IFERROR(INDEX(환산공식!$DC$16:$DC$301,MATCH(E26,환산공식!$A$16:$A$301,0)),"")</f>
        <v>0</v>
      </c>
      <c r="V26" s="113">
        <f t="shared" si="2"/>
        <v>6</v>
      </c>
      <c r="W26" s="110" t="str">
        <f>INDEX('배치점수 계산기'!$AG$11:$AG$800,MATCH('       가 군       '!$C26,'배치점수 계산기'!$U$11:$U$800,0))</f>
        <v>표점</v>
      </c>
      <c r="X26" s="108" t="str">
        <f>INDEX('배치점수 계산기'!$AH$11:$AH$800,MATCH('       가 군       '!$C26,'배치점수 계산기'!$U$11:$U$800,0))</f>
        <v>표점</v>
      </c>
      <c r="Y26" s="113">
        <f>INDEX('배치점수 계산기'!$AB$11:$AB$800,MATCH('       가 군       '!$C26,'배치점수 계산기'!$U$11:$U$800,0))</f>
        <v>0.24999999999999994</v>
      </c>
      <c r="Z26" s="73">
        <f>INDEX('배치점수 계산기'!$AC$11:$AC$800,MATCH('       가 군       '!$C26,'배치점수 계산기'!$U$11:$U$800,0))</f>
        <v>0.37499999999999994</v>
      </c>
      <c r="AA26" s="63">
        <f>INDEX('배치점수 계산기'!$AD$11:$AD$800,MATCH('       가 군       '!$C26,'배치점수 계산기'!$U$11:$U$800,0))</f>
        <v>0.37499999999999994</v>
      </c>
      <c r="AE26" s="7">
        <v>19</v>
      </c>
    </row>
    <row r="27" spans="3:31" x14ac:dyDescent="0.3">
      <c r="C27" s="7" t="s">
        <v>916</v>
      </c>
      <c r="D27" s="41" t="str">
        <f>IFERROR(INDEX('배치점수 계산기'!V$11:V$1000,MATCH($C27,'배치점수 계산기'!$U$11:$U$1000,0)),"")</f>
        <v>연세대 자연</v>
      </c>
      <c r="E27" s="41">
        <f>IFERROR(INDEX('배치점수 계산기'!W$11:W$1000,MATCH($C27,'배치점수 계산기'!$U$11:$U$1000,0)),"")</f>
        <v>19</v>
      </c>
      <c r="F27" s="113" t="s">
        <v>276</v>
      </c>
      <c r="G27" s="41" t="s">
        <v>277</v>
      </c>
      <c r="H27" s="41" t="s">
        <v>259</v>
      </c>
      <c r="I27" s="41" t="s">
        <v>274</v>
      </c>
      <c r="J27" s="41" t="str">
        <f t="shared" si="0"/>
        <v>X</v>
      </c>
      <c r="K27" s="113">
        <f>IFERROR(INDEX(환산공식!CI$16:CI$301,MATCH($E27,환산공식!$A$16:$A$301,0)),"")</f>
        <v>111.1</v>
      </c>
      <c r="L27" s="41" t="str">
        <f>IFERROR(CONCATENATE(ROUND(INDEX(환산공식!CJ$16:CJ$301,MATCH(E27,환산공식!$A$16:$A$301,0)),1),"%"),"")</f>
        <v>100%</v>
      </c>
      <c r="M27" s="41">
        <f>IFERROR(INDEX(환산공식!CK$16:CK$301,MATCH(E27,환산공식!$A$16:$A$301,0)),"")</f>
        <v>10</v>
      </c>
      <c r="N27" s="113" t="str">
        <f t="shared" si="1"/>
        <v>1% 이하</v>
      </c>
      <c r="O27" s="119">
        <f>IFERROR(ROUND(INDEX(환산공식!$EF$16:$EF$301,MATCH(E27,환산공식!$A$16:$A$301,0)),3),"")</f>
        <v>0</v>
      </c>
      <c r="P27" s="119">
        <f>IFERROR(ROUND(INDEX('배치점수 계산기'!M$11:M$1000,MATCH($C27,'배치점수 계산기'!$U$11:$U$1000,0)),2),"")</f>
        <v>704.33</v>
      </c>
      <c r="Q27" s="41">
        <f>IFERROR(ROUND(INDEX('배치점수 계산기'!N$11:N$1000,MATCH($C27,'배치점수 계산기'!$U$11:$U$1000,0)),2),"")</f>
        <v>703.33</v>
      </c>
      <c r="R27" s="41">
        <f>IFERROR(ROUND(INDEX('배치점수 계산기'!O$11:O$1000,MATCH($C27,'배치점수 계산기'!$U$11:$U$1000,0)),2),"")</f>
        <v>701</v>
      </c>
      <c r="S27" s="41">
        <f>IFERROR(ROUND(INDEX('배치점수 계산기'!P$11:P$1000,MATCH($C27,'배치점수 계산기'!$U$11:$U$1000,0)),2),"")</f>
        <v>699.72</v>
      </c>
      <c r="T27" s="41">
        <f>IFERROR(ROUND(INDEX('배치점수 계산기'!Q$11:Q$1000,MATCH($C27,'배치점수 계산기'!$U$11:$U$1000,0)),2),"")</f>
        <v>697.78</v>
      </c>
      <c r="U27" s="41">
        <f>IFERROR(INDEX(환산공식!$DC$16:$DC$301,MATCH(E27,환산공식!$A$16:$A$301,0)),"")</f>
        <v>0</v>
      </c>
      <c r="V27" s="113">
        <f t="shared" si="2"/>
        <v>6</v>
      </c>
      <c r="W27" s="110" t="str">
        <f>INDEX('배치점수 계산기'!$AG$11:$AG$800,MATCH('       가 군       '!$C27,'배치점수 계산기'!$U$11:$U$800,0))</f>
        <v>표점</v>
      </c>
      <c r="X27" s="108" t="str">
        <f>INDEX('배치점수 계산기'!$AH$11:$AH$800,MATCH('       가 군       '!$C27,'배치점수 계산기'!$U$11:$U$800,0))</f>
        <v>표점</v>
      </c>
      <c r="Y27" s="113">
        <f>INDEX('배치점수 계산기'!$AB$11:$AB$800,MATCH('       가 군       '!$C27,'배치점수 계산기'!$U$11:$U$800,0))</f>
        <v>0.24999999999999994</v>
      </c>
      <c r="Z27" s="73">
        <f>INDEX('배치점수 계산기'!$AC$11:$AC$800,MATCH('       가 군       '!$C27,'배치점수 계산기'!$U$11:$U$800,0))</f>
        <v>0.37499999999999994</v>
      </c>
      <c r="AA27" s="63">
        <f>INDEX('배치점수 계산기'!$AD$11:$AD$800,MATCH('       가 군       '!$C27,'배치점수 계산기'!$U$11:$U$800,0))</f>
        <v>0.37499999999999994</v>
      </c>
      <c r="AE27" s="7">
        <v>20</v>
      </c>
    </row>
    <row r="28" spans="3:31" x14ac:dyDescent="0.3">
      <c r="C28" s="7" t="s">
        <v>917</v>
      </c>
      <c r="D28" s="41" t="str">
        <f>IFERROR(INDEX('배치점수 계산기'!V$11:V$1000,MATCH($C28,'배치점수 계산기'!$U$11:$U$1000,0)),"")</f>
        <v>연세대 자연</v>
      </c>
      <c r="E28" s="41">
        <f>IFERROR(INDEX('배치점수 계산기'!W$11:W$1000,MATCH($C28,'배치점수 계산기'!$U$11:$U$1000,0)),"")</f>
        <v>19</v>
      </c>
      <c r="F28" s="113" t="s">
        <v>276</v>
      </c>
      <c r="G28" s="41" t="s">
        <v>277</v>
      </c>
      <c r="H28" s="41" t="s">
        <v>304</v>
      </c>
      <c r="I28" s="41" t="s">
        <v>274</v>
      </c>
      <c r="J28" s="41" t="str">
        <f t="shared" si="0"/>
        <v>X</v>
      </c>
      <c r="K28" s="113">
        <f>IFERROR(INDEX(환산공식!CI$16:CI$301,MATCH($E28,환산공식!$A$16:$A$301,0)),"")</f>
        <v>111.1</v>
      </c>
      <c r="L28" s="41" t="str">
        <f>IFERROR(CONCATENATE(ROUND(INDEX(환산공식!CJ$16:CJ$301,MATCH(E28,환산공식!$A$16:$A$301,0)),1),"%"),"")</f>
        <v>100%</v>
      </c>
      <c r="M28" s="41">
        <f>IFERROR(INDEX(환산공식!CK$16:CK$301,MATCH(E28,환산공식!$A$16:$A$301,0)),"")</f>
        <v>10</v>
      </c>
      <c r="N28" s="113" t="str">
        <f t="shared" si="1"/>
        <v>1% 이하</v>
      </c>
      <c r="O28" s="119">
        <f>IFERROR(ROUND(INDEX(환산공식!$EF$16:$EF$301,MATCH(E28,환산공식!$A$16:$A$301,0)),3),"")</f>
        <v>0</v>
      </c>
      <c r="P28" s="119">
        <f>IFERROR(ROUND(INDEX('배치점수 계산기'!M$11:M$1000,MATCH($C28,'배치점수 계산기'!$U$11:$U$1000,0)),2),"")</f>
        <v>701.83</v>
      </c>
      <c r="Q28" s="41">
        <f>IFERROR(ROUND(INDEX('배치점수 계산기'!N$11:N$1000,MATCH($C28,'배치점수 계산기'!$U$11:$U$1000,0)),2),"")</f>
        <v>701</v>
      </c>
      <c r="R28" s="41">
        <f>IFERROR(ROUND(INDEX('배치점수 계산기'!O$11:O$1000,MATCH($C28,'배치점수 계산기'!$U$11:$U$1000,0)),2),"")</f>
        <v>700.02</v>
      </c>
      <c r="S28" s="41">
        <f>IFERROR(ROUND(INDEX('배치점수 계산기'!P$11:P$1000,MATCH($C28,'배치점수 계산기'!$U$11:$U$1000,0)),2),"")</f>
        <v>698.94</v>
      </c>
      <c r="T28" s="41">
        <f>IFERROR(ROUND(INDEX('배치점수 계산기'!Q$11:Q$1000,MATCH($C28,'배치점수 계산기'!$U$11:$U$1000,0)),2),"")</f>
        <v>697.78</v>
      </c>
      <c r="U28" s="41">
        <f>IFERROR(INDEX(환산공식!$DC$16:$DC$301,MATCH(E28,환산공식!$A$16:$A$301,0)),"")</f>
        <v>0</v>
      </c>
      <c r="V28" s="113">
        <f t="shared" si="2"/>
        <v>6</v>
      </c>
      <c r="W28" s="110" t="str">
        <f>INDEX('배치점수 계산기'!$AG$11:$AG$800,MATCH('       가 군       '!$C28,'배치점수 계산기'!$U$11:$U$800,0))</f>
        <v>표점</v>
      </c>
      <c r="X28" s="108" t="str">
        <f>INDEX('배치점수 계산기'!$AH$11:$AH$800,MATCH('       가 군       '!$C28,'배치점수 계산기'!$U$11:$U$800,0))</f>
        <v>표점</v>
      </c>
      <c r="Y28" s="113">
        <f>INDEX('배치점수 계산기'!$AB$11:$AB$800,MATCH('       가 군       '!$C28,'배치점수 계산기'!$U$11:$U$800,0))</f>
        <v>0.24999999999999994</v>
      </c>
      <c r="Z28" s="73">
        <f>INDEX('배치점수 계산기'!$AC$11:$AC$800,MATCH('       가 군       '!$C28,'배치점수 계산기'!$U$11:$U$800,0))</f>
        <v>0.37499999999999994</v>
      </c>
      <c r="AA28" s="63">
        <f>INDEX('배치점수 계산기'!$AD$11:$AD$800,MATCH('       가 군       '!$C28,'배치점수 계산기'!$U$11:$U$800,0))</f>
        <v>0.37499999999999994</v>
      </c>
      <c r="AE28" s="7">
        <v>21</v>
      </c>
    </row>
    <row r="29" spans="3:31" x14ac:dyDescent="0.3">
      <c r="C29" s="7" t="s">
        <v>918</v>
      </c>
      <c r="D29" s="41" t="str">
        <f>IFERROR(INDEX('배치점수 계산기'!V$11:V$1000,MATCH($C29,'배치점수 계산기'!$U$11:$U$1000,0)),"")</f>
        <v>연세대 자연</v>
      </c>
      <c r="E29" s="41">
        <f>IFERROR(INDEX('배치점수 계산기'!W$11:W$1000,MATCH($C29,'배치점수 계산기'!$U$11:$U$1000,0)),"")</f>
        <v>19</v>
      </c>
      <c r="F29" s="113" t="s">
        <v>276</v>
      </c>
      <c r="G29" s="41" t="s">
        <v>277</v>
      </c>
      <c r="H29" s="41" t="s">
        <v>316</v>
      </c>
      <c r="I29" s="41" t="s">
        <v>274</v>
      </c>
      <c r="J29" s="41" t="str">
        <f t="shared" si="0"/>
        <v>X</v>
      </c>
      <c r="K29" s="113">
        <f>IFERROR(INDEX(환산공식!CI$16:CI$301,MATCH($E29,환산공식!$A$16:$A$301,0)),"")</f>
        <v>111.1</v>
      </c>
      <c r="L29" s="41" t="str">
        <f>IFERROR(CONCATENATE(ROUND(INDEX(환산공식!CJ$16:CJ$301,MATCH(E29,환산공식!$A$16:$A$301,0)),1),"%"),"")</f>
        <v>100%</v>
      </c>
      <c r="M29" s="41">
        <f>IFERROR(INDEX(환산공식!CK$16:CK$301,MATCH(E29,환산공식!$A$16:$A$301,0)),"")</f>
        <v>10</v>
      </c>
      <c r="N29" s="113" t="str">
        <f t="shared" si="1"/>
        <v>1% 이하</v>
      </c>
      <c r="O29" s="119">
        <f>IFERROR(ROUND(INDEX(환산공식!$EF$16:$EF$301,MATCH(E29,환산공식!$A$16:$A$301,0)),3),"")</f>
        <v>0</v>
      </c>
      <c r="P29" s="119">
        <f>IFERROR(ROUND(INDEX('배치점수 계산기'!M$11:M$1000,MATCH($C29,'배치점수 계산기'!$U$11:$U$1000,0)),2),"")</f>
        <v>702.8</v>
      </c>
      <c r="Q29" s="41">
        <f>IFERROR(ROUND(INDEX('배치점수 계산기'!N$11:N$1000,MATCH($C29,'배치점수 계산기'!$U$11:$U$1000,0)),2),"")</f>
        <v>701.83</v>
      </c>
      <c r="R29" s="41">
        <f>IFERROR(ROUND(INDEX('배치점수 계산기'!O$11:O$1000,MATCH($C29,'배치점수 계산기'!$U$11:$U$1000,0)),2),"")</f>
        <v>701</v>
      </c>
      <c r="S29" s="41">
        <f>IFERROR(ROUND(INDEX('배치점수 계산기'!P$11:P$1000,MATCH($C29,'배치점수 계산기'!$U$11:$U$1000,0)),2),"")</f>
        <v>699.83</v>
      </c>
      <c r="T29" s="41">
        <f>IFERROR(ROUND(INDEX('배치점수 계산기'!Q$11:Q$1000,MATCH($C29,'배치점수 계산기'!$U$11:$U$1000,0)),2),"")</f>
        <v>697.78</v>
      </c>
      <c r="U29" s="41">
        <f>IFERROR(INDEX(환산공식!$DC$16:$DC$301,MATCH(E29,환산공식!$A$16:$A$301,0)),"")</f>
        <v>0</v>
      </c>
      <c r="V29" s="113">
        <f t="shared" si="2"/>
        <v>6</v>
      </c>
      <c r="W29" s="110" t="str">
        <f>INDEX('배치점수 계산기'!$AG$11:$AG$800,MATCH('       가 군       '!$C29,'배치점수 계산기'!$U$11:$U$800,0))</f>
        <v>표점</v>
      </c>
      <c r="X29" s="108" t="str">
        <f>INDEX('배치점수 계산기'!$AH$11:$AH$800,MATCH('       가 군       '!$C29,'배치점수 계산기'!$U$11:$U$800,0))</f>
        <v>표점</v>
      </c>
      <c r="Y29" s="113">
        <f>INDEX('배치점수 계산기'!$AB$11:$AB$800,MATCH('       가 군       '!$C29,'배치점수 계산기'!$U$11:$U$800,0))</f>
        <v>0.24999999999999994</v>
      </c>
      <c r="Z29" s="73">
        <f>INDEX('배치점수 계산기'!$AC$11:$AC$800,MATCH('       가 군       '!$C29,'배치점수 계산기'!$U$11:$U$800,0))</f>
        <v>0.37499999999999994</v>
      </c>
      <c r="AA29" s="63">
        <f>INDEX('배치점수 계산기'!$AD$11:$AD$800,MATCH('       가 군       '!$C29,'배치점수 계산기'!$U$11:$U$800,0))</f>
        <v>0.37499999999999994</v>
      </c>
      <c r="AE29" s="7">
        <v>22</v>
      </c>
    </row>
    <row r="30" spans="3:31" x14ac:dyDescent="0.3">
      <c r="C30" s="7" t="s">
        <v>919</v>
      </c>
      <c r="D30" s="41" t="str">
        <f>IFERROR(INDEX('배치점수 계산기'!V$11:V$1000,MATCH($C30,'배치점수 계산기'!$U$11:$U$1000,0)),"")</f>
        <v>연세대 자연</v>
      </c>
      <c r="E30" s="41">
        <f>IFERROR(INDEX('배치점수 계산기'!W$11:W$1000,MATCH($C30,'배치점수 계산기'!$U$11:$U$1000,0)),"")</f>
        <v>19</v>
      </c>
      <c r="F30" s="113" t="s">
        <v>276</v>
      </c>
      <c r="G30" s="41" t="s">
        <v>277</v>
      </c>
      <c r="H30" s="41" t="s">
        <v>260</v>
      </c>
      <c r="I30" s="41" t="s">
        <v>274</v>
      </c>
      <c r="J30" s="41" t="str">
        <f t="shared" si="0"/>
        <v>X</v>
      </c>
      <c r="K30" s="113">
        <f>IFERROR(INDEX(환산공식!CI$16:CI$301,MATCH($E30,환산공식!$A$16:$A$301,0)),"")</f>
        <v>111.1</v>
      </c>
      <c r="L30" s="41" t="str">
        <f>IFERROR(CONCATENATE(ROUND(INDEX(환산공식!CJ$16:CJ$301,MATCH(E30,환산공식!$A$16:$A$301,0)),1),"%"),"")</f>
        <v>100%</v>
      </c>
      <c r="M30" s="41">
        <f>IFERROR(INDEX(환산공식!CK$16:CK$301,MATCH(E30,환산공식!$A$16:$A$301,0)),"")</f>
        <v>10</v>
      </c>
      <c r="N30" s="113" t="str">
        <f t="shared" si="1"/>
        <v>1% 이하</v>
      </c>
      <c r="O30" s="119">
        <f>IFERROR(ROUND(INDEX(환산공식!$EF$16:$EF$301,MATCH(E30,환산공식!$A$16:$A$301,0)),3),"")</f>
        <v>0</v>
      </c>
      <c r="P30" s="119">
        <f>IFERROR(ROUND(INDEX('배치점수 계산기'!M$11:M$1000,MATCH($C30,'배치점수 계산기'!$U$11:$U$1000,0)),2),"")</f>
        <v>702.52</v>
      </c>
      <c r="Q30" s="41">
        <f>IFERROR(ROUND(INDEX('배치점수 계산기'!N$11:N$1000,MATCH($C30,'배치점수 계산기'!$U$11:$U$1000,0)),2),"")</f>
        <v>701</v>
      </c>
      <c r="R30" s="41">
        <f>IFERROR(ROUND(INDEX('배치점수 계산기'!O$11:O$1000,MATCH($C30,'배치점수 계산기'!$U$11:$U$1000,0)),2),"")</f>
        <v>699.83</v>
      </c>
      <c r="S30" s="41">
        <f>IFERROR(ROUND(INDEX('배치점수 계산기'!P$11:P$1000,MATCH($C30,'배치점수 계산기'!$U$11:$U$1000,0)),2),"")</f>
        <v>698.68</v>
      </c>
      <c r="T30" s="41">
        <f>IFERROR(ROUND(INDEX('배치점수 계산기'!Q$11:Q$1000,MATCH($C30,'배치점수 계산기'!$U$11:$U$1000,0)),2),"")</f>
        <v>697.5</v>
      </c>
      <c r="U30" s="41">
        <f>IFERROR(INDEX(환산공식!$DC$16:$DC$301,MATCH(E30,환산공식!$A$16:$A$301,0)),"")</f>
        <v>0</v>
      </c>
      <c r="V30" s="113">
        <f t="shared" si="2"/>
        <v>6</v>
      </c>
      <c r="W30" s="110" t="str">
        <f>INDEX('배치점수 계산기'!$AG$11:$AG$800,MATCH('       가 군       '!$C30,'배치점수 계산기'!$U$11:$U$800,0))</f>
        <v>표점</v>
      </c>
      <c r="X30" s="108" t="str">
        <f>INDEX('배치점수 계산기'!$AH$11:$AH$800,MATCH('       가 군       '!$C30,'배치점수 계산기'!$U$11:$U$800,0))</f>
        <v>표점</v>
      </c>
      <c r="Y30" s="113">
        <f>INDEX('배치점수 계산기'!$AB$11:$AB$800,MATCH('       가 군       '!$C30,'배치점수 계산기'!$U$11:$U$800,0))</f>
        <v>0.24999999999999994</v>
      </c>
      <c r="Z30" s="73">
        <f>INDEX('배치점수 계산기'!$AC$11:$AC$800,MATCH('       가 군       '!$C30,'배치점수 계산기'!$U$11:$U$800,0))</f>
        <v>0.37499999999999994</v>
      </c>
      <c r="AA30" s="63">
        <f>INDEX('배치점수 계산기'!$AD$11:$AD$800,MATCH('       가 군       '!$C30,'배치점수 계산기'!$U$11:$U$800,0))</f>
        <v>0.37499999999999994</v>
      </c>
      <c r="AE30" s="7">
        <v>23</v>
      </c>
    </row>
    <row r="31" spans="3:31" x14ac:dyDescent="0.3">
      <c r="C31" s="7" t="s">
        <v>920</v>
      </c>
      <c r="D31" s="41" t="str">
        <f>IFERROR(INDEX('배치점수 계산기'!V$11:V$1000,MATCH($C31,'배치점수 계산기'!$U$11:$U$1000,0)),"")</f>
        <v>연세대 자연</v>
      </c>
      <c r="E31" s="41">
        <f>IFERROR(INDEX('배치점수 계산기'!W$11:W$1000,MATCH($C31,'배치점수 계산기'!$U$11:$U$1000,0)),"")</f>
        <v>19</v>
      </c>
      <c r="F31" s="113" t="s">
        <v>276</v>
      </c>
      <c r="G31" s="41" t="s">
        <v>277</v>
      </c>
      <c r="H31" s="41" t="s">
        <v>296</v>
      </c>
      <c r="I31" s="41" t="s">
        <v>274</v>
      </c>
      <c r="J31" s="41" t="str">
        <f t="shared" si="0"/>
        <v>X</v>
      </c>
      <c r="K31" s="113">
        <f>IFERROR(INDEX(환산공식!CI$16:CI$301,MATCH($E31,환산공식!$A$16:$A$301,0)),"")</f>
        <v>111.1</v>
      </c>
      <c r="L31" s="41" t="str">
        <f>IFERROR(CONCATENATE(ROUND(INDEX(환산공식!CJ$16:CJ$301,MATCH(E31,환산공식!$A$16:$A$301,0)),1),"%"),"")</f>
        <v>100%</v>
      </c>
      <c r="M31" s="41">
        <f>IFERROR(INDEX(환산공식!CK$16:CK$301,MATCH(E31,환산공식!$A$16:$A$301,0)),"")</f>
        <v>10</v>
      </c>
      <c r="N31" s="113" t="str">
        <f t="shared" si="1"/>
        <v>1% 이하</v>
      </c>
      <c r="O31" s="119">
        <f>IFERROR(ROUND(INDEX(환산공식!$EF$16:$EF$301,MATCH(E31,환산공식!$A$16:$A$301,0)),3),"")</f>
        <v>0</v>
      </c>
      <c r="P31" s="119">
        <f>IFERROR(ROUND(INDEX('배치점수 계산기'!M$11:M$1000,MATCH($C31,'배치점수 계산기'!$U$11:$U$1000,0)),2),"")</f>
        <v>705</v>
      </c>
      <c r="Q31" s="41">
        <f>IFERROR(ROUND(INDEX('배치점수 계산기'!N$11:N$1000,MATCH($C31,'배치점수 계산기'!$U$11:$U$1000,0)),2),"")</f>
        <v>703.5</v>
      </c>
      <c r="R31" s="41">
        <f>IFERROR(ROUND(INDEX('배치점수 계산기'!O$11:O$1000,MATCH($C31,'배치점수 계산기'!$U$11:$U$1000,0)),2),"")</f>
        <v>702.07</v>
      </c>
      <c r="S31" s="41">
        <f>IFERROR(ROUND(INDEX('배치점수 계산기'!P$11:P$1000,MATCH($C31,'배치점수 계산기'!$U$11:$U$1000,0)),2),"")</f>
        <v>701.11</v>
      </c>
      <c r="T31" s="41">
        <f>IFERROR(ROUND(INDEX('배치점수 계산기'!Q$11:Q$1000,MATCH($C31,'배치점수 계산기'!$U$11:$U$1000,0)),2),"")</f>
        <v>699.83</v>
      </c>
      <c r="U31" s="41">
        <f>IFERROR(INDEX(환산공식!$DC$16:$DC$301,MATCH(E31,환산공식!$A$16:$A$301,0)),"")</f>
        <v>0</v>
      </c>
      <c r="V31" s="113">
        <f t="shared" si="2"/>
        <v>6</v>
      </c>
      <c r="W31" s="110" t="str">
        <f>INDEX('배치점수 계산기'!$AG$11:$AG$800,MATCH('       가 군       '!$C31,'배치점수 계산기'!$U$11:$U$800,0))</f>
        <v>표점</v>
      </c>
      <c r="X31" s="108" t="str">
        <f>INDEX('배치점수 계산기'!$AH$11:$AH$800,MATCH('       가 군       '!$C31,'배치점수 계산기'!$U$11:$U$800,0))</f>
        <v>표점</v>
      </c>
      <c r="Y31" s="113">
        <f>INDEX('배치점수 계산기'!$AB$11:$AB$800,MATCH('       가 군       '!$C31,'배치점수 계산기'!$U$11:$U$800,0))</f>
        <v>0.24999999999999994</v>
      </c>
      <c r="Z31" s="73">
        <f>INDEX('배치점수 계산기'!$AC$11:$AC$800,MATCH('       가 군       '!$C31,'배치점수 계산기'!$U$11:$U$800,0))</f>
        <v>0.37499999999999994</v>
      </c>
      <c r="AA31" s="63">
        <f>INDEX('배치점수 계산기'!$AD$11:$AD$800,MATCH('       가 군       '!$C31,'배치점수 계산기'!$U$11:$U$800,0))</f>
        <v>0.37499999999999994</v>
      </c>
      <c r="AE31" s="7">
        <v>24</v>
      </c>
    </row>
    <row r="32" spans="3:31" x14ac:dyDescent="0.3">
      <c r="C32" s="7" t="s">
        <v>921</v>
      </c>
      <c r="D32" s="41" t="str">
        <f>IFERROR(INDEX('배치점수 계산기'!V$11:V$1000,MATCH($C32,'배치점수 계산기'!$U$11:$U$1000,0)),"")</f>
        <v>연세대 자연</v>
      </c>
      <c r="E32" s="41">
        <f>IFERROR(INDEX('배치점수 계산기'!W$11:W$1000,MATCH($C32,'배치점수 계산기'!$U$11:$U$1000,0)),"")</f>
        <v>19</v>
      </c>
      <c r="F32" s="113" t="s">
        <v>276</v>
      </c>
      <c r="G32" s="41" t="s">
        <v>277</v>
      </c>
      <c r="H32" s="41" t="s">
        <v>297</v>
      </c>
      <c r="I32" s="41" t="s">
        <v>274</v>
      </c>
      <c r="J32" s="41" t="str">
        <f t="shared" si="0"/>
        <v>X</v>
      </c>
      <c r="K32" s="113">
        <f>IFERROR(INDEX(환산공식!CI$16:CI$301,MATCH($E32,환산공식!$A$16:$A$301,0)),"")</f>
        <v>111.1</v>
      </c>
      <c r="L32" s="41" t="str">
        <f>IFERROR(CONCATENATE(ROUND(INDEX(환산공식!CJ$16:CJ$301,MATCH(E32,환산공식!$A$16:$A$301,0)),1),"%"),"")</f>
        <v>100%</v>
      </c>
      <c r="M32" s="41">
        <f>IFERROR(INDEX(환산공식!CK$16:CK$301,MATCH(E32,환산공식!$A$16:$A$301,0)),"")</f>
        <v>10</v>
      </c>
      <c r="N32" s="113" t="str">
        <f t="shared" si="1"/>
        <v>1% 이하</v>
      </c>
      <c r="O32" s="119">
        <f>IFERROR(ROUND(INDEX(환산공식!$EF$16:$EF$301,MATCH(E32,환산공식!$A$16:$A$301,0)),3),"")</f>
        <v>0</v>
      </c>
      <c r="P32" s="119">
        <f>IFERROR(ROUND(INDEX('배치점수 계산기'!M$11:M$1000,MATCH($C32,'배치점수 계산기'!$U$11:$U$1000,0)),2),"")</f>
        <v>705.28</v>
      </c>
      <c r="Q32" s="41">
        <f>IFERROR(ROUND(INDEX('배치점수 계산기'!N$11:N$1000,MATCH($C32,'배치점수 계산기'!$U$11:$U$1000,0)),2),"")</f>
        <v>703.61</v>
      </c>
      <c r="R32" s="41">
        <f>IFERROR(ROUND(INDEX('배치점수 계산기'!O$11:O$1000,MATCH($C32,'배치점수 계산기'!$U$11:$U$1000,0)),2),"")</f>
        <v>702.52</v>
      </c>
      <c r="S32" s="41">
        <f>IFERROR(ROUND(INDEX('배치점수 계산기'!P$11:P$1000,MATCH($C32,'배치점수 계산기'!$U$11:$U$1000,0)),2),"")</f>
        <v>701.11</v>
      </c>
      <c r="T32" s="41">
        <f>IFERROR(ROUND(INDEX('배치점수 계산기'!Q$11:Q$1000,MATCH($C32,'배치점수 계산기'!$U$11:$U$1000,0)),2),"")</f>
        <v>699.83</v>
      </c>
      <c r="U32" s="41">
        <f>IFERROR(INDEX(환산공식!$DC$16:$DC$301,MATCH(E32,환산공식!$A$16:$A$301,0)),"")</f>
        <v>0</v>
      </c>
      <c r="V32" s="113">
        <f t="shared" si="2"/>
        <v>6</v>
      </c>
      <c r="W32" s="110" t="str">
        <f>INDEX('배치점수 계산기'!$AG$11:$AG$800,MATCH('       가 군       '!$C32,'배치점수 계산기'!$U$11:$U$800,0))</f>
        <v>표점</v>
      </c>
      <c r="X32" s="108" t="str">
        <f>INDEX('배치점수 계산기'!$AH$11:$AH$800,MATCH('       가 군       '!$C32,'배치점수 계산기'!$U$11:$U$800,0))</f>
        <v>표점</v>
      </c>
      <c r="Y32" s="113">
        <f>INDEX('배치점수 계산기'!$AB$11:$AB$800,MATCH('       가 군       '!$C32,'배치점수 계산기'!$U$11:$U$800,0))</f>
        <v>0.24999999999999994</v>
      </c>
      <c r="Z32" s="73">
        <f>INDEX('배치점수 계산기'!$AC$11:$AC$800,MATCH('       가 군       '!$C32,'배치점수 계산기'!$U$11:$U$800,0))</f>
        <v>0.37499999999999994</v>
      </c>
      <c r="AA32" s="63">
        <f>INDEX('배치점수 계산기'!$AD$11:$AD$800,MATCH('       가 군       '!$C32,'배치점수 계산기'!$U$11:$U$800,0))</f>
        <v>0.37499999999999994</v>
      </c>
      <c r="AE32" s="7">
        <v>25</v>
      </c>
    </row>
    <row r="33" spans="3:31" x14ac:dyDescent="0.3">
      <c r="C33" s="7" t="s">
        <v>922</v>
      </c>
      <c r="D33" s="41" t="str">
        <f>IFERROR(INDEX('배치점수 계산기'!V$11:V$1000,MATCH($C33,'배치점수 계산기'!$U$11:$U$1000,0)),"")</f>
        <v>연세대 통합</v>
      </c>
      <c r="E33" s="41">
        <f>IFERROR(INDEX('배치점수 계산기'!W$11:W$1000,MATCH($C33,'배치점수 계산기'!$U$11:$U$1000,0)),"")</f>
        <v>20</v>
      </c>
      <c r="F33" s="113" t="s">
        <v>276</v>
      </c>
      <c r="G33" s="41" t="s">
        <v>277</v>
      </c>
      <c r="H33" s="41" t="s">
        <v>261</v>
      </c>
      <c r="I33" s="41" t="s">
        <v>275</v>
      </c>
      <c r="J33" s="41" t="str">
        <f t="shared" si="0"/>
        <v>X</v>
      </c>
      <c r="K33" s="113">
        <f>IFERROR(INDEX(환산공식!CI$16:CI$301,MATCH($E33,환산공식!$A$16:$A$301,0)),"")</f>
        <v>166.7</v>
      </c>
      <c r="L33" s="41" t="str">
        <f>IFERROR(CONCATENATE(ROUND(INDEX(환산공식!CJ$16:CJ$301,MATCH(E33,환산공식!$A$16:$A$301,0)),1),"%"),"")</f>
        <v>100%</v>
      </c>
      <c r="M33" s="41">
        <f>IFERROR(INDEX(환산공식!CK$16:CK$301,MATCH(E33,환산공식!$A$16:$A$301,0)),"")</f>
        <v>10</v>
      </c>
      <c r="N33" s="113" t="str">
        <f t="shared" si="1"/>
        <v>1% 이하</v>
      </c>
      <c r="O33" s="119">
        <f>IFERROR(ROUND(INDEX(환산공식!$EF$16:$EF$301,MATCH(E33,환산공식!$A$16:$A$301,0)),3),"")</f>
        <v>0</v>
      </c>
      <c r="P33" s="119">
        <f>IFERROR(ROUND(INDEX('배치점수 계산기'!M$11:M$1000,MATCH($C33,'배치점수 계산기'!$U$11:$U$1000,0)),2),"")</f>
        <v>724.31</v>
      </c>
      <c r="Q33" s="41">
        <f>IFERROR(ROUND(INDEX('배치점수 계산기'!N$11:N$1000,MATCH($C33,'배치점수 계산기'!$U$11:$U$1000,0)),2),"")</f>
        <v>723.17</v>
      </c>
      <c r="R33" s="41">
        <f>IFERROR(ROUND(INDEX('배치점수 계산기'!O$11:O$1000,MATCH($C33,'배치점수 계산기'!$U$11:$U$1000,0)),2),"")</f>
        <v>720.36</v>
      </c>
      <c r="S33" s="41">
        <f>IFERROR(ROUND(INDEX('배치점수 계산기'!P$11:P$1000,MATCH($C33,'배치점수 계산기'!$U$11:$U$1000,0)),2),"")</f>
        <v>716.83</v>
      </c>
      <c r="T33" s="41">
        <f>IFERROR(ROUND(INDEX('배치점수 계산기'!Q$11:Q$1000,MATCH($C33,'배치점수 계산기'!$U$11:$U$1000,0)),2),"")</f>
        <v>714.86</v>
      </c>
      <c r="U33" s="41">
        <f>IFERROR(INDEX(환산공식!$DC$16:$DC$301,MATCH(E33,환산공식!$A$16:$A$301,0)),"")</f>
        <v>0</v>
      </c>
      <c r="V33" s="113">
        <f t="shared" si="2"/>
        <v>6</v>
      </c>
      <c r="W33" s="110" t="str">
        <f>INDEX('배치점수 계산기'!$AG$11:$AG$800,MATCH('       가 군       '!$C33,'배치점수 계산기'!$U$11:$U$800,0))</f>
        <v>표점</v>
      </c>
      <c r="X33" s="108" t="str">
        <f>INDEX('배치점수 계산기'!$AH$11:$AH$800,MATCH('       가 군       '!$C33,'배치점수 계산기'!$U$11:$U$800,0))</f>
        <v>표점</v>
      </c>
      <c r="Y33" s="113">
        <f>INDEX('배치점수 계산기'!$AB$11:$AB$800,MATCH('       가 군       '!$C33,'배치점수 계산기'!$U$11:$U$800,0))</f>
        <v>0.4</v>
      </c>
      <c r="Z33" s="73">
        <f>INDEX('배치점수 계산기'!$AC$11:$AC$800,MATCH('       가 군       '!$C33,'배치점수 계산기'!$U$11:$U$800,0))</f>
        <v>0.4</v>
      </c>
      <c r="AA33" s="63">
        <f>INDEX('배치점수 계산기'!$AD$11:$AD$800,MATCH('       가 군       '!$C33,'배치점수 계산기'!$U$11:$U$800,0))</f>
        <v>0.2</v>
      </c>
      <c r="AE33" s="7">
        <v>26</v>
      </c>
    </row>
    <row r="34" spans="3:31" x14ac:dyDescent="0.3">
      <c r="C34" s="7" t="s">
        <v>923</v>
      </c>
      <c r="D34" s="41" t="str">
        <f>IFERROR(INDEX('배치점수 계산기'!V$11:V$1000,MATCH($C34,'배치점수 계산기'!$U$11:$U$1000,0)),"")</f>
        <v>연세대 통합</v>
      </c>
      <c r="E34" s="41">
        <f>IFERROR(INDEX('배치점수 계산기'!W$11:W$1000,MATCH($C34,'배치점수 계산기'!$U$11:$U$1000,0)),"")</f>
        <v>20</v>
      </c>
      <c r="F34" s="113" t="s">
        <v>276</v>
      </c>
      <c r="G34" s="41" t="s">
        <v>277</v>
      </c>
      <c r="H34" s="41" t="s">
        <v>262</v>
      </c>
      <c r="I34" s="41" t="s">
        <v>275</v>
      </c>
      <c r="J34" s="41" t="str">
        <f t="shared" si="0"/>
        <v>X</v>
      </c>
      <c r="K34" s="113">
        <f>IFERROR(INDEX(환산공식!CI$16:CI$301,MATCH($E34,환산공식!$A$16:$A$301,0)),"")</f>
        <v>166.7</v>
      </c>
      <c r="L34" s="41" t="str">
        <f>IFERROR(CONCATENATE(ROUND(INDEX(환산공식!CJ$16:CJ$301,MATCH(E34,환산공식!$A$16:$A$301,0)),1),"%"),"")</f>
        <v>100%</v>
      </c>
      <c r="M34" s="41">
        <f>IFERROR(INDEX(환산공식!CK$16:CK$301,MATCH(E34,환산공식!$A$16:$A$301,0)),"")</f>
        <v>10</v>
      </c>
      <c r="N34" s="113" t="str">
        <f t="shared" si="1"/>
        <v>1% 이하</v>
      </c>
      <c r="O34" s="119">
        <f>IFERROR(ROUND(INDEX(환산공식!$EF$16:$EF$301,MATCH(E34,환산공식!$A$16:$A$301,0)),3),"")</f>
        <v>0</v>
      </c>
      <c r="P34" s="119">
        <f>IFERROR(ROUND(INDEX('배치점수 계산기'!M$11:M$1000,MATCH($C34,'배치점수 계산기'!$U$11:$U$1000,0)),2),"")</f>
        <v>724.97</v>
      </c>
      <c r="Q34" s="41">
        <f>IFERROR(ROUND(INDEX('배치점수 계산기'!N$11:N$1000,MATCH($C34,'배치점수 계산기'!$U$11:$U$1000,0)),2),"")</f>
        <v>723.17</v>
      </c>
      <c r="R34" s="41">
        <f>IFERROR(ROUND(INDEX('배치점수 계산기'!O$11:O$1000,MATCH($C34,'배치점수 계산기'!$U$11:$U$1000,0)),2),"")</f>
        <v>721.11</v>
      </c>
      <c r="S34" s="41">
        <f>IFERROR(ROUND(INDEX('배치점수 계산기'!P$11:P$1000,MATCH($C34,'배치점수 계산기'!$U$11:$U$1000,0)),2),"")</f>
        <v>716.83</v>
      </c>
      <c r="T34" s="41">
        <f>IFERROR(ROUND(INDEX('배치점수 계산기'!Q$11:Q$1000,MATCH($C34,'배치점수 계산기'!$U$11:$U$1000,0)),2),"")</f>
        <v>714.86</v>
      </c>
      <c r="U34" s="41">
        <f>IFERROR(INDEX(환산공식!$DC$16:$DC$301,MATCH(E34,환산공식!$A$16:$A$301,0)),"")</f>
        <v>0</v>
      </c>
      <c r="V34" s="113">
        <f t="shared" si="2"/>
        <v>6</v>
      </c>
      <c r="W34" s="110" t="str">
        <f>INDEX('배치점수 계산기'!$AG$11:$AG$800,MATCH('       가 군       '!$C34,'배치점수 계산기'!$U$11:$U$800,0))</f>
        <v>표점</v>
      </c>
      <c r="X34" s="108" t="str">
        <f>INDEX('배치점수 계산기'!$AH$11:$AH$800,MATCH('       가 군       '!$C34,'배치점수 계산기'!$U$11:$U$800,0))</f>
        <v>표점</v>
      </c>
      <c r="Y34" s="113">
        <f>INDEX('배치점수 계산기'!$AB$11:$AB$800,MATCH('       가 군       '!$C34,'배치점수 계산기'!$U$11:$U$800,0))</f>
        <v>0.4</v>
      </c>
      <c r="Z34" s="73">
        <f>INDEX('배치점수 계산기'!$AC$11:$AC$800,MATCH('       가 군       '!$C34,'배치점수 계산기'!$U$11:$U$800,0))</f>
        <v>0.4</v>
      </c>
      <c r="AA34" s="63">
        <f>INDEX('배치점수 계산기'!$AD$11:$AD$800,MATCH('       가 군       '!$C34,'배치점수 계산기'!$U$11:$U$800,0))</f>
        <v>0.2</v>
      </c>
      <c r="AE34" s="7">
        <v>27</v>
      </c>
    </row>
    <row r="35" spans="3:31" x14ac:dyDescent="0.3">
      <c r="C35" s="7" t="s">
        <v>924</v>
      </c>
      <c r="D35" s="41" t="str">
        <f>IFERROR(INDEX('배치점수 계산기'!V$11:V$1000,MATCH($C35,'배치점수 계산기'!$U$11:$U$1000,0)),"")</f>
        <v>연세대 통합</v>
      </c>
      <c r="E35" s="41">
        <f>IFERROR(INDEX('배치점수 계산기'!W$11:W$1000,MATCH($C35,'배치점수 계산기'!$U$11:$U$1000,0)),"")</f>
        <v>20</v>
      </c>
      <c r="F35" s="113" t="s">
        <v>276</v>
      </c>
      <c r="G35" s="41" t="s">
        <v>277</v>
      </c>
      <c r="H35" s="41" t="s">
        <v>298</v>
      </c>
      <c r="I35" s="41" t="s">
        <v>275</v>
      </c>
      <c r="J35" s="41" t="str">
        <f t="shared" si="0"/>
        <v>X</v>
      </c>
      <c r="K35" s="113">
        <f>IFERROR(INDEX(환산공식!CI$16:CI$301,MATCH($E35,환산공식!$A$16:$A$301,0)),"")</f>
        <v>166.7</v>
      </c>
      <c r="L35" s="41" t="str">
        <f>IFERROR(CONCATENATE(ROUND(INDEX(환산공식!CJ$16:CJ$301,MATCH(E35,환산공식!$A$16:$A$301,0)),1),"%"),"")</f>
        <v>100%</v>
      </c>
      <c r="M35" s="41">
        <f>IFERROR(INDEX(환산공식!CK$16:CK$301,MATCH(E35,환산공식!$A$16:$A$301,0)),"")</f>
        <v>10</v>
      </c>
      <c r="N35" s="113" t="str">
        <f t="shared" si="1"/>
        <v>1% 이하</v>
      </c>
      <c r="O35" s="119">
        <f>IFERROR(ROUND(INDEX(환산공식!$EF$16:$EF$301,MATCH(E35,환산공식!$A$16:$A$301,0)),3),"")</f>
        <v>0</v>
      </c>
      <c r="P35" s="119">
        <f>IFERROR(ROUND(INDEX('배치점수 계산기'!M$11:M$1000,MATCH($C35,'배치점수 계산기'!$U$11:$U$1000,0)),2),"")</f>
        <v>716.83</v>
      </c>
      <c r="Q35" s="41">
        <f>IFERROR(ROUND(INDEX('배치점수 계산기'!N$11:N$1000,MATCH($C35,'배치점수 계산기'!$U$11:$U$1000,0)),2),"")</f>
        <v>714.86</v>
      </c>
      <c r="R35" s="41">
        <f>IFERROR(ROUND(INDEX('배치점수 계산기'!O$11:O$1000,MATCH($C35,'배치점수 계산기'!$U$11:$U$1000,0)),2),"")</f>
        <v>712.19</v>
      </c>
      <c r="S35" s="41">
        <f>IFERROR(ROUND(INDEX('배치점수 계산기'!P$11:P$1000,MATCH($C35,'배치점수 계산기'!$U$11:$U$1000,0)),2),"")</f>
        <v>711</v>
      </c>
      <c r="T35" s="41">
        <f>IFERROR(ROUND(INDEX('배치점수 계산기'!Q$11:Q$1000,MATCH($C35,'배치점수 계산기'!$U$11:$U$1000,0)),2),"")</f>
        <v>708.17</v>
      </c>
      <c r="U35" s="41">
        <f>IFERROR(INDEX(환산공식!$DC$16:$DC$301,MATCH(E35,환산공식!$A$16:$A$301,0)),"")</f>
        <v>0</v>
      </c>
      <c r="V35" s="113">
        <f t="shared" si="2"/>
        <v>6</v>
      </c>
      <c r="W35" s="110" t="str">
        <f>INDEX('배치점수 계산기'!$AG$11:$AG$800,MATCH('       가 군       '!$C35,'배치점수 계산기'!$U$11:$U$800,0))</f>
        <v>표점</v>
      </c>
      <c r="X35" s="108" t="str">
        <f>INDEX('배치점수 계산기'!$AH$11:$AH$800,MATCH('       가 군       '!$C35,'배치점수 계산기'!$U$11:$U$800,0))</f>
        <v>표점</v>
      </c>
      <c r="Y35" s="113">
        <f>INDEX('배치점수 계산기'!$AB$11:$AB$800,MATCH('       가 군       '!$C35,'배치점수 계산기'!$U$11:$U$800,0))</f>
        <v>0.4</v>
      </c>
      <c r="Z35" s="73">
        <f>INDEX('배치점수 계산기'!$AC$11:$AC$800,MATCH('       가 군       '!$C35,'배치점수 계산기'!$U$11:$U$800,0))</f>
        <v>0.4</v>
      </c>
      <c r="AA35" s="63">
        <f>INDEX('배치점수 계산기'!$AD$11:$AD$800,MATCH('       가 군       '!$C35,'배치점수 계산기'!$U$11:$U$800,0))</f>
        <v>0.2</v>
      </c>
      <c r="AE35" s="7">
        <v>28</v>
      </c>
    </row>
    <row r="36" spans="3:31" x14ac:dyDescent="0.3">
      <c r="C36" s="7" t="s">
        <v>925</v>
      </c>
      <c r="D36" s="41" t="str">
        <f>IFERROR(INDEX('배치점수 계산기'!V$11:V$1000,MATCH($C36,'배치점수 계산기'!$U$11:$U$1000,0)),"")</f>
        <v>연세대 통합</v>
      </c>
      <c r="E36" s="41">
        <f>IFERROR(INDEX('배치점수 계산기'!W$11:W$1000,MATCH($C36,'배치점수 계산기'!$U$11:$U$1000,0)),"")</f>
        <v>20</v>
      </c>
      <c r="F36" s="113" t="s">
        <v>276</v>
      </c>
      <c r="G36" s="41" t="s">
        <v>277</v>
      </c>
      <c r="H36" s="41" t="s">
        <v>266</v>
      </c>
      <c r="I36" s="41" t="s">
        <v>275</v>
      </c>
      <c r="J36" s="41" t="str">
        <f t="shared" si="0"/>
        <v>X</v>
      </c>
      <c r="K36" s="113">
        <f>IFERROR(INDEX(환산공식!CI$16:CI$301,MATCH($E36,환산공식!$A$16:$A$301,0)),"")</f>
        <v>166.7</v>
      </c>
      <c r="L36" s="41" t="str">
        <f>IFERROR(CONCATENATE(ROUND(INDEX(환산공식!CJ$16:CJ$301,MATCH(E36,환산공식!$A$16:$A$301,0)),1),"%"),"")</f>
        <v>100%</v>
      </c>
      <c r="M36" s="41">
        <f>IFERROR(INDEX(환산공식!CK$16:CK$301,MATCH(E36,환산공식!$A$16:$A$301,0)),"")</f>
        <v>10</v>
      </c>
      <c r="N36" s="113" t="str">
        <f t="shared" si="1"/>
        <v>1% 이하</v>
      </c>
      <c r="O36" s="119">
        <f>IFERROR(ROUND(INDEX(환산공식!$EF$16:$EF$301,MATCH(E36,환산공식!$A$16:$A$301,0)),3),"")</f>
        <v>0</v>
      </c>
      <c r="P36" s="119">
        <f>IFERROR(ROUND(INDEX('배치점수 계산기'!M$11:M$1000,MATCH($C36,'배치점수 계산기'!$U$11:$U$1000,0)),2),"")</f>
        <v>720.17</v>
      </c>
      <c r="Q36" s="41">
        <f>IFERROR(ROUND(INDEX('배치점수 계산기'!N$11:N$1000,MATCH($C36,'배치점수 계산기'!$U$11:$U$1000,0)),2),"")</f>
        <v>718.86</v>
      </c>
      <c r="R36" s="41">
        <f>IFERROR(ROUND(INDEX('배치점수 계산기'!O$11:O$1000,MATCH($C36,'배치점수 계산기'!$U$11:$U$1000,0)),2),"")</f>
        <v>713.33</v>
      </c>
      <c r="S36" s="41">
        <f>IFERROR(ROUND(INDEX('배치점수 계산기'!P$11:P$1000,MATCH($C36,'배치점수 계산기'!$U$11:$U$1000,0)),2),"")</f>
        <v>711.64</v>
      </c>
      <c r="T36" s="41">
        <f>IFERROR(ROUND(INDEX('배치점수 계산기'!Q$11:Q$1000,MATCH($C36,'배치점수 계산기'!$U$11:$U$1000,0)),2),"")</f>
        <v>708.67</v>
      </c>
      <c r="U36" s="41">
        <f>IFERROR(INDEX(환산공식!$DC$16:$DC$301,MATCH(E36,환산공식!$A$16:$A$301,0)),"")</f>
        <v>0</v>
      </c>
      <c r="V36" s="113">
        <f t="shared" si="2"/>
        <v>6</v>
      </c>
      <c r="W36" s="110" t="str">
        <f>INDEX('배치점수 계산기'!$AG$11:$AG$800,MATCH('       가 군       '!$C36,'배치점수 계산기'!$U$11:$U$800,0))</f>
        <v>표점</v>
      </c>
      <c r="X36" s="108" t="str">
        <f>INDEX('배치점수 계산기'!$AH$11:$AH$800,MATCH('       가 군       '!$C36,'배치점수 계산기'!$U$11:$U$800,0))</f>
        <v>표점</v>
      </c>
      <c r="Y36" s="113">
        <f>INDEX('배치점수 계산기'!$AB$11:$AB$800,MATCH('       가 군       '!$C36,'배치점수 계산기'!$U$11:$U$800,0))</f>
        <v>0.4</v>
      </c>
      <c r="Z36" s="73">
        <f>INDEX('배치점수 계산기'!$AC$11:$AC$800,MATCH('       가 군       '!$C36,'배치점수 계산기'!$U$11:$U$800,0))</f>
        <v>0.4</v>
      </c>
      <c r="AA36" s="63">
        <f>INDEX('배치점수 계산기'!$AD$11:$AD$800,MATCH('       가 군       '!$C36,'배치점수 계산기'!$U$11:$U$800,0))</f>
        <v>0.2</v>
      </c>
      <c r="AE36" s="7">
        <v>29</v>
      </c>
    </row>
    <row r="37" spans="3:31" x14ac:dyDescent="0.3">
      <c r="C37" s="7" t="s">
        <v>926</v>
      </c>
      <c r="D37" s="41" t="str">
        <f>IFERROR(INDEX('배치점수 계산기'!V$11:V$1000,MATCH($C37,'배치점수 계산기'!$U$11:$U$1000,0)),"")</f>
        <v>연세대 통합</v>
      </c>
      <c r="E37" s="41">
        <f>IFERROR(INDEX('배치점수 계산기'!W$11:W$1000,MATCH($C37,'배치점수 계산기'!$U$11:$U$1000,0)),"")</f>
        <v>20</v>
      </c>
      <c r="F37" s="113" t="s">
        <v>276</v>
      </c>
      <c r="G37" s="41" t="s">
        <v>277</v>
      </c>
      <c r="H37" s="41" t="s">
        <v>299</v>
      </c>
      <c r="I37" s="41" t="s">
        <v>275</v>
      </c>
      <c r="J37" s="41" t="str">
        <f t="shared" si="0"/>
        <v>X</v>
      </c>
      <c r="K37" s="113">
        <f>IFERROR(INDEX(환산공식!CI$16:CI$301,MATCH($E37,환산공식!$A$16:$A$301,0)),"")</f>
        <v>166.7</v>
      </c>
      <c r="L37" s="41" t="str">
        <f>IFERROR(CONCATENATE(ROUND(INDEX(환산공식!CJ$16:CJ$301,MATCH(E37,환산공식!$A$16:$A$301,0)),1),"%"),"")</f>
        <v>100%</v>
      </c>
      <c r="M37" s="41">
        <f>IFERROR(INDEX(환산공식!CK$16:CK$301,MATCH(E37,환산공식!$A$16:$A$301,0)),"")</f>
        <v>10</v>
      </c>
      <c r="N37" s="113" t="str">
        <f t="shared" si="1"/>
        <v>1% 이하</v>
      </c>
      <c r="O37" s="119">
        <f>IFERROR(ROUND(INDEX(환산공식!$EF$16:$EF$301,MATCH(E37,환산공식!$A$16:$A$301,0)),3),"")</f>
        <v>0</v>
      </c>
      <c r="P37" s="119">
        <f>IFERROR(ROUND(INDEX('배치점수 계산기'!M$11:M$1000,MATCH($C37,'배치점수 계산기'!$U$11:$U$1000,0)),2),"")</f>
        <v>716.83</v>
      </c>
      <c r="Q37" s="41">
        <f>IFERROR(ROUND(INDEX('배치점수 계산기'!N$11:N$1000,MATCH($C37,'배치점수 계산기'!$U$11:$U$1000,0)),2),"")</f>
        <v>714</v>
      </c>
      <c r="R37" s="41">
        <f>IFERROR(ROUND(INDEX('배치점수 계산기'!O$11:O$1000,MATCH($C37,'배치점수 계산기'!$U$11:$U$1000,0)),2),"")</f>
        <v>710.83</v>
      </c>
      <c r="S37" s="41">
        <f>IFERROR(ROUND(INDEX('배치점수 계산기'!P$11:P$1000,MATCH($C37,'배치점수 계산기'!$U$11:$U$1000,0)),2),"")</f>
        <v>709.31</v>
      </c>
      <c r="T37" s="41">
        <f>IFERROR(ROUND(INDEX('배치점수 계산기'!Q$11:Q$1000,MATCH($C37,'배치점수 계산기'!$U$11:$U$1000,0)),2),"")</f>
        <v>708.17</v>
      </c>
      <c r="U37" s="41">
        <f>IFERROR(INDEX(환산공식!$DC$16:$DC$301,MATCH(E37,환산공식!$A$16:$A$301,0)),"")</f>
        <v>0</v>
      </c>
      <c r="V37" s="113">
        <f t="shared" si="2"/>
        <v>6</v>
      </c>
      <c r="W37" s="110" t="str">
        <f>INDEX('배치점수 계산기'!$AG$11:$AG$800,MATCH('       가 군       '!$C37,'배치점수 계산기'!$U$11:$U$800,0))</f>
        <v>표점</v>
      </c>
      <c r="X37" s="108" t="str">
        <f>INDEX('배치점수 계산기'!$AH$11:$AH$800,MATCH('       가 군       '!$C37,'배치점수 계산기'!$U$11:$U$800,0))</f>
        <v>표점</v>
      </c>
      <c r="Y37" s="113">
        <f>INDEX('배치점수 계산기'!$AB$11:$AB$800,MATCH('       가 군       '!$C37,'배치점수 계산기'!$U$11:$U$800,0))</f>
        <v>0.4</v>
      </c>
      <c r="Z37" s="73">
        <f>INDEX('배치점수 계산기'!$AC$11:$AC$800,MATCH('       가 군       '!$C37,'배치점수 계산기'!$U$11:$U$800,0))</f>
        <v>0.4</v>
      </c>
      <c r="AA37" s="63">
        <f>INDEX('배치점수 계산기'!$AD$11:$AD$800,MATCH('       가 군       '!$C37,'배치점수 계산기'!$U$11:$U$800,0))</f>
        <v>0.2</v>
      </c>
      <c r="AE37" s="7">
        <v>30</v>
      </c>
    </row>
    <row r="38" spans="3:31" x14ac:dyDescent="0.3">
      <c r="C38" s="7" t="s">
        <v>927</v>
      </c>
      <c r="D38" s="41" t="str">
        <f>IFERROR(INDEX('배치점수 계산기'!V$11:V$1000,MATCH($C38,'배치점수 계산기'!$U$11:$U$1000,0)),"")</f>
        <v>연세대 통합</v>
      </c>
      <c r="E38" s="41">
        <f>IFERROR(INDEX('배치점수 계산기'!W$11:W$1000,MATCH($C38,'배치점수 계산기'!$U$11:$U$1000,0)),"")</f>
        <v>20</v>
      </c>
      <c r="F38" s="113" t="s">
        <v>276</v>
      </c>
      <c r="G38" s="41" t="s">
        <v>277</v>
      </c>
      <c r="H38" s="41" t="s">
        <v>255</v>
      </c>
      <c r="I38" s="41" t="s">
        <v>275</v>
      </c>
      <c r="J38" s="41" t="str">
        <f t="shared" si="0"/>
        <v>X</v>
      </c>
      <c r="K38" s="113">
        <f>IFERROR(INDEX(환산공식!CI$16:CI$301,MATCH($E38,환산공식!$A$16:$A$301,0)),"")</f>
        <v>166.7</v>
      </c>
      <c r="L38" s="41" t="str">
        <f>IFERROR(CONCATENATE(ROUND(INDEX(환산공식!CJ$16:CJ$301,MATCH(E38,환산공식!$A$16:$A$301,0)),1),"%"),"")</f>
        <v>100%</v>
      </c>
      <c r="M38" s="41">
        <f>IFERROR(INDEX(환산공식!CK$16:CK$301,MATCH(E38,환산공식!$A$16:$A$301,0)),"")</f>
        <v>10</v>
      </c>
      <c r="N38" s="113" t="str">
        <f t="shared" si="1"/>
        <v>1% 이하</v>
      </c>
      <c r="O38" s="119">
        <f>IFERROR(ROUND(INDEX(환산공식!$EF$16:$EF$301,MATCH(E38,환산공식!$A$16:$A$301,0)),3),"")</f>
        <v>0</v>
      </c>
      <c r="P38" s="119">
        <f>IFERROR(ROUND(INDEX('배치점수 계산기'!M$11:M$1000,MATCH($C38,'배치점수 계산기'!$U$11:$U$1000,0)),2),"")</f>
        <v>720.17</v>
      </c>
      <c r="Q38" s="41">
        <f>IFERROR(ROUND(INDEX('배치점수 계산기'!N$11:N$1000,MATCH($C38,'배치점수 계산기'!$U$11:$U$1000,0)),2),"")</f>
        <v>718.86</v>
      </c>
      <c r="R38" s="41">
        <f>IFERROR(ROUND(INDEX('배치점수 계산기'!O$11:O$1000,MATCH($C38,'배치점수 계산기'!$U$11:$U$1000,0)),2),"")</f>
        <v>714.17</v>
      </c>
      <c r="S38" s="41">
        <f>IFERROR(ROUND(INDEX('배치점수 계산기'!P$11:P$1000,MATCH($C38,'배치점수 계산기'!$U$11:$U$1000,0)),2),"")</f>
        <v>712.19</v>
      </c>
      <c r="T38" s="41">
        <f>IFERROR(ROUND(INDEX('배치점수 계산기'!Q$11:Q$1000,MATCH($C38,'배치점수 계산기'!$U$11:$U$1000,0)),2),"")</f>
        <v>710.33</v>
      </c>
      <c r="U38" s="41">
        <f>IFERROR(INDEX(환산공식!$DC$16:$DC$301,MATCH(E38,환산공식!$A$16:$A$301,0)),"")</f>
        <v>0</v>
      </c>
      <c r="V38" s="113">
        <f t="shared" si="2"/>
        <v>6</v>
      </c>
      <c r="W38" s="110" t="str">
        <f>INDEX('배치점수 계산기'!$AG$11:$AG$800,MATCH('       가 군       '!$C38,'배치점수 계산기'!$U$11:$U$800,0))</f>
        <v>표점</v>
      </c>
      <c r="X38" s="108" t="str">
        <f>INDEX('배치점수 계산기'!$AH$11:$AH$800,MATCH('       가 군       '!$C38,'배치점수 계산기'!$U$11:$U$800,0))</f>
        <v>표점</v>
      </c>
      <c r="Y38" s="113">
        <f>INDEX('배치점수 계산기'!$AB$11:$AB$800,MATCH('       가 군       '!$C38,'배치점수 계산기'!$U$11:$U$800,0))</f>
        <v>0.4</v>
      </c>
      <c r="Z38" s="73">
        <f>INDEX('배치점수 계산기'!$AC$11:$AC$800,MATCH('       가 군       '!$C38,'배치점수 계산기'!$U$11:$U$800,0))</f>
        <v>0.4</v>
      </c>
      <c r="AA38" s="63">
        <f>INDEX('배치점수 계산기'!$AD$11:$AD$800,MATCH('       가 군       '!$C38,'배치점수 계산기'!$U$11:$U$800,0))</f>
        <v>0.2</v>
      </c>
      <c r="AE38" s="7">
        <v>31</v>
      </c>
    </row>
    <row r="39" spans="3:31" x14ac:dyDescent="0.3">
      <c r="C39" s="7" t="s">
        <v>928</v>
      </c>
      <c r="D39" s="41" t="str">
        <f>IFERROR(INDEX('배치점수 계산기'!V$11:V$1000,MATCH($C39,'배치점수 계산기'!$U$11:$U$1000,0)),"")</f>
        <v>연세대 통합</v>
      </c>
      <c r="E39" s="41">
        <f>IFERROR(INDEX('배치점수 계산기'!W$11:W$1000,MATCH($C39,'배치점수 계산기'!$U$11:$U$1000,0)),"")</f>
        <v>20</v>
      </c>
      <c r="F39" s="113" t="s">
        <v>276</v>
      </c>
      <c r="G39" s="41" t="s">
        <v>277</v>
      </c>
      <c r="H39" s="41" t="s">
        <v>300</v>
      </c>
      <c r="I39" s="41" t="s">
        <v>275</v>
      </c>
      <c r="J39" s="41" t="str">
        <f t="shared" si="0"/>
        <v>X</v>
      </c>
      <c r="K39" s="113">
        <f>IFERROR(INDEX(환산공식!CI$16:CI$301,MATCH($E39,환산공식!$A$16:$A$301,0)),"")</f>
        <v>166.7</v>
      </c>
      <c r="L39" s="41" t="str">
        <f>IFERROR(CONCATENATE(ROUND(INDEX(환산공식!CJ$16:CJ$301,MATCH(E39,환산공식!$A$16:$A$301,0)),1),"%"),"")</f>
        <v>100%</v>
      </c>
      <c r="M39" s="41">
        <f>IFERROR(INDEX(환산공식!CK$16:CK$301,MATCH(E39,환산공식!$A$16:$A$301,0)),"")</f>
        <v>10</v>
      </c>
      <c r="N39" s="113" t="str">
        <f t="shared" si="1"/>
        <v>1% 이하</v>
      </c>
      <c r="O39" s="119">
        <f>IFERROR(ROUND(INDEX(환산공식!$EF$16:$EF$301,MATCH(E39,환산공식!$A$16:$A$301,0)),3),"")</f>
        <v>0</v>
      </c>
      <c r="P39" s="119">
        <f>IFERROR(ROUND(INDEX('배치점수 계산기'!M$11:M$1000,MATCH($C39,'배치점수 계산기'!$U$11:$U$1000,0)),2),"")</f>
        <v>716.83</v>
      </c>
      <c r="Q39" s="41">
        <f>IFERROR(ROUND(INDEX('배치점수 계산기'!N$11:N$1000,MATCH($C39,'배치점수 계산기'!$U$11:$U$1000,0)),2),"")</f>
        <v>714.86</v>
      </c>
      <c r="R39" s="41">
        <f>IFERROR(ROUND(INDEX('배치점수 계산기'!O$11:O$1000,MATCH($C39,'배치점수 계산기'!$U$11:$U$1000,0)),2),"")</f>
        <v>712.19</v>
      </c>
      <c r="S39" s="41">
        <f>IFERROR(ROUND(INDEX('배치점수 계산기'!P$11:P$1000,MATCH($C39,'배치점수 계산기'!$U$11:$U$1000,0)),2),"")</f>
        <v>711</v>
      </c>
      <c r="T39" s="41">
        <f>IFERROR(ROUND(INDEX('배치점수 계산기'!Q$11:Q$1000,MATCH($C39,'배치점수 계산기'!$U$11:$U$1000,0)),2),"")</f>
        <v>709.69</v>
      </c>
      <c r="U39" s="41">
        <f>IFERROR(INDEX(환산공식!$DC$16:$DC$301,MATCH(E39,환산공식!$A$16:$A$301,0)),"")</f>
        <v>0</v>
      </c>
      <c r="V39" s="113">
        <f t="shared" si="2"/>
        <v>6</v>
      </c>
      <c r="W39" s="110" t="str">
        <f>INDEX('배치점수 계산기'!$AG$11:$AG$800,MATCH('       가 군       '!$C39,'배치점수 계산기'!$U$11:$U$800,0))</f>
        <v>표점</v>
      </c>
      <c r="X39" s="108" t="str">
        <f>INDEX('배치점수 계산기'!$AH$11:$AH$800,MATCH('       가 군       '!$C39,'배치점수 계산기'!$U$11:$U$800,0))</f>
        <v>표점</v>
      </c>
      <c r="Y39" s="113">
        <f>INDEX('배치점수 계산기'!$AB$11:$AB$800,MATCH('       가 군       '!$C39,'배치점수 계산기'!$U$11:$U$800,0))</f>
        <v>0.4</v>
      </c>
      <c r="Z39" s="73">
        <f>INDEX('배치점수 계산기'!$AC$11:$AC$800,MATCH('       가 군       '!$C39,'배치점수 계산기'!$U$11:$U$800,0))</f>
        <v>0.4</v>
      </c>
      <c r="AA39" s="63">
        <f>INDEX('배치점수 계산기'!$AD$11:$AD$800,MATCH('       가 군       '!$C39,'배치점수 계산기'!$U$11:$U$800,0))</f>
        <v>0.2</v>
      </c>
      <c r="AE39" s="7">
        <v>32</v>
      </c>
    </row>
    <row r="40" spans="3:31" x14ac:dyDescent="0.3">
      <c r="C40" s="7" t="s">
        <v>929</v>
      </c>
      <c r="D40" s="41" t="str">
        <f>IFERROR(INDEX('배치점수 계산기'!V$11:V$1000,MATCH($C40,'배치점수 계산기'!$U$11:$U$1000,0)),"")</f>
        <v>연세대 통합</v>
      </c>
      <c r="E40" s="41">
        <f>IFERROR(INDEX('배치점수 계산기'!W$11:W$1000,MATCH($C40,'배치점수 계산기'!$U$11:$U$1000,0)),"")</f>
        <v>20</v>
      </c>
      <c r="F40" s="113" t="s">
        <v>276</v>
      </c>
      <c r="G40" s="41" t="s">
        <v>277</v>
      </c>
      <c r="H40" s="41" t="s">
        <v>301</v>
      </c>
      <c r="I40" s="41" t="s">
        <v>275</v>
      </c>
      <c r="J40" s="41" t="str">
        <f t="shared" si="0"/>
        <v>X</v>
      </c>
      <c r="K40" s="113">
        <f>IFERROR(INDEX(환산공식!CI$16:CI$301,MATCH($E40,환산공식!$A$16:$A$301,0)),"")</f>
        <v>166.7</v>
      </c>
      <c r="L40" s="41" t="str">
        <f>IFERROR(CONCATENATE(ROUND(INDEX(환산공식!CJ$16:CJ$301,MATCH(E40,환산공식!$A$16:$A$301,0)),1),"%"),"")</f>
        <v>100%</v>
      </c>
      <c r="M40" s="41">
        <f>IFERROR(INDEX(환산공식!CK$16:CK$301,MATCH(E40,환산공식!$A$16:$A$301,0)),"")</f>
        <v>10</v>
      </c>
      <c r="N40" s="113" t="str">
        <f t="shared" si="1"/>
        <v>1% 이하</v>
      </c>
      <c r="O40" s="119">
        <f>IFERROR(ROUND(INDEX(환산공식!$EF$16:$EF$301,MATCH(E40,환산공식!$A$16:$A$301,0)),3),"")</f>
        <v>0</v>
      </c>
      <c r="P40" s="119">
        <f>IFERROR(ROUND(INDEX('배치점수 계산기'!M$11:M$1000,MATCH($C40,'배치점수 계산기'!$U$11:$U$1000,0)),2),"")</f>
        <v>716.83</v>
      </c>
      <c r="Q40" s="41">
        <f>IFERROR(ROUND(INDEX('배치점수 계산기'!N$11:N$1000,MATCH($C40,'배치점수 계산기'!$U$11:$U$1000,0)),2),"")</f>
        <v>716.53</v>
      </c>
      <c r="R40" s="41">
        <f>IFERROR(ROUND(INDEX('배치점수 계산기'!O$11:O$1000,MATCH($C40,'배치점수 계산기'!$U$11:$U$1000,0)),2),"")</f>
        <v>711.64</v>
      </c>
      <c r="S40" s="41">
        <f>IFERROR(ROUND(INDEX('배치점수 계산기'!P$11:P$1000,MATCH($C40,'배치점수 계산기'!$U$11:$U$1000,0)),2),"")</f>
        <v>710.33</v>
      </c>
      <c r="T40" s="41">
        <f>IFERROR(ROUND(INDEX('배치점수 계산기'!Q$11:Q$1000,MATCH($C40,'배치점수 계산기'!$U$11:$U$1000,0)),2),"")</f>
        <v>709.31</v>
      </c>
      <c r="U40" s="41">
        <f>IFERROR(INDEX(환산공식!$DC$16:$DC$301,MATCH(E40,환산공식!$A$16:$A$301,0)),"")</f>
        <v>0</v>
      </c>
      <c r="V40" s="113">
        <f t="shared" si="2"/>
        <v>6</v>
      </c>
      <c r="W40" s="110" t="str">
        <f>INDEX('배치점수 계산기'!$AG$11:$AG$800,MATCH('       가 군       '!$C40,'배치점수 계산기'!$U$11:$U$800,0))</f>
        <v>표점</v>
      </c>
      <c r="X40" s="108" t="str">
        <f>INDEX('배치점수 계산기'!$AH$11:$AH$800,MATCH('       가 군       '!$C40,'배치점수 계산기'!$U$11:$U$800,0))</f>
        <v>표점</v>
      </c>
      <c r="Y40" s="113">
        <f>INDEX('배치점수 계산기'!$AB$11:$AB$800,MATCH('       가 군       '!$C40,'배치점수 계산기'!$U$11:$U$800,0))</f>
        <v>0.4</v>
      </c>
      <c r="Z40" s="73">
        <f>INDEX('배치점수 계산기'!$AC$11:$AC$800,MATCH('       가 군       '!$C40,'배치점수 계산기'!$U$11:$U$800,0))</f>
        <v>0.4</v>
      </c>
      <c r="AA40" s="63">
        <f>INDEX('배치점수 계산기'!$AD$11:$AD$800,MATCH('       가 군       '!$C40,'배치점수 계산기'!$U$11:$U$800,0))</f>
        <v>0.2</v>
      </c>
      <c r="AE40" s="7">
        <v>33</v>
      </c>
    </row>
    <row r="41" spans="3:31" x14ac:dyDescent="0.3">
      <c r="C41" s="7" t="s">
        <v>930</v>
      </c>
      <c r="D41" s="41" t="str">
        <f>IFERROR(INDEX('배치점수 계산기'!V$11:V$1000,MATCH($C41,'배치점수 계산기'!$U$11:$U$1000,0)),"")</f>
        <v>연세대 통합</v>
      </c>
      <c r="E41" s="41">
        <f>IFERROR(INDEX('배치점수 계산기'!W$11:W$1000,MATCH($C41,'배치점수 계산기'!$U$11:$U$1000,0)),"")</f>
        <v>20</v>
      </c>
      <c r="F41" s="113" t="s">
        <v>276</v>
      </c>
      <c r="G41" s="41" t="s">
        <v>277</v>
      </c>
      <c r="H41" s="41" t="s">
        <v>302</v>
      </c>
      <c r="I41" s="41" t="s">
        <v>275</v>
      </c>
      <c r="J41" s="41" t="str">
        <f t="shared" si="0"/>
        <v>X</v>
      </c>
      <c r="K41" s="113">
        <f>IFERROR(INDEX(환산공식!CI$16:CI$301,MATCH($E41,환산공식!$A$16:$A$301,0)),"")</f>
        <v>166.7</v>
      </c>
      <c r="L41" s="41" t="str">
        <f>IFERROR(CONCATENATE(ROUND(INDEX(환산공식!CJ$16:CJ$301,MATCH(E41,환산공식!$A$16:$A$301,0)),1),"%"),"")</f>
        <v>100%</v>
      </c>
      <c r="M41" s="41">
        <f>IFERROR(INDEX(환산공식!CK$16:CK$301,MATCH(E41,환산공식!$A$16:$A$301,0)),"")</f>
        <v>10</v>
      </c>
      <c r="N41" s="113" t="str">
        <f t="shared" si="1"/>
        <v>1% 이하</v>
      </c>
      <c r="O41" s="119">
        <f>IFERROR(ROUND(INDEX(환산공식!$EF$16:$EF$301,MATCH(E41,환산공식!$A$16:$A$301,0)),3),"")</f>
        <v>0</v>
      </c>
      <c r="P41" s="119">
        <f>IFERROR(ROUND(INDEX('배치점수 계산기'!M$11:M$1000,MATCH($C41,'배치점수 계산기'!$U$11:$U$1000,0)),2),"")</f>
        <v>716.83</v>
      </c>
      <c r="Q41" s="41">
        <f>IFERROR(ROUND(INDEX('배치점수 계산기'!N$11:N$1000,MATCH($C41,'배치점수 계산기'!$U$11:$U$1000,0)),2),"")</f>
        <v>714.86</v>
      </c>
      <c r="R41" s="41">
        <f>IFERROR(ROUND(INDEX('배치점수 계산기'!O$11:O$1000,MATCH($C41,'배치점수 계산기'!$U$11:$U$1000,0)),2),"")</f>
        <v>711.64</v>
      </c>
      <c r="S41" s="41">
        <f>IFERROR(ROUND(INDEX('배치점수 계산기'!P$11:P$1000,MATCH($C41,'배치점수 계산기'!$U$11:$U$1000,0)),2),"")</f>
        <v>709.69</v>
      </c>
      <c r="T41" s="41">
        <f>IFERROR(ROUND(INDEX('배치점수 계산기'!Q$11:Q$1000,MATCH($C41,'배치점수 계산기'!$U$11:$U$1000,0)),2),"")</f>
        <v>708.67</v>
      </c>
      <c r="U41" s="41">
        <f>IFERROR(INDEX(환산공식!$DC$16:$DC$301,MATCH(E41,환산공식!$A$16:$A$301,0)),"")</f>
        <v>0</v>
      </c>
      <c r="V41" s="113">
        <f t="shared" si="2"/>
        <v>6</v>
      </c>
      <c r="W41" s="110" t="str">
        <f>INDEX('배치점수 계산기'!$AG$11:$AG$800,MATCH('       가 군       '!$C41,'배치점수 계산기'!$U$11:$U$800,0))</f>
        <v>표점</v>
      </c>
      <c r="X41" s="108" t="str">
        <f>INDEX('배치점수 계산기'!$AH$11:$AH$800,MATCH('       가 군       '!$C41,'배치점수 계산기'!$U$11:$U$800,0))</f>
        <v>표점</v>
      </c>
      <c r="Y41" s="113">
        <f>INDEX('배치점수 계산기'!$AB$11:$AB$800,MATCH('       가 군       '!$C41,'배치점수 계산기'!$U$11:$U$800,0))</f>
        <v>0.4</v>
      </c>
      <c r="Z41" s="73">
        <f>INDEX('배치점수 계산기'!$AC$11:$AC$800,MATCH('       가 군       '!$C41,'배치점수 계산기'!$U$11:$U$800,0))</f>
        <v>0.4</v>
      </c>
      <c r="AA41" s="63">
        <f>INDEX('배치점수 계산기'!$AD$11:$AD$800,MATCH('       가 군       '!$C41,'배치점수 계산기'!$U$11:$U$800,0))</f>
        <v>0.2</v>
      </c>
      <c r="AE41" s="7">
        <v>34</v>
      </c>
    </row>
    <row r="42" spans="3:31" x14ac:dyDescent="0.3">
      <c r="C42" s="7" t="s">
        <v>931</v>
      </c>
      <c r="D42" s="41" t="str">
        <f>IFERROR(INDEX('배치점수 계산기'!V$11:V$1000,MATCH($C42,'배치점수 계산기'!$U$11:$U$1000,0)),"")</f>
        <v>연세대 통합</v>
      </c>
      <c r="E42" s="41">
        <f>IFERROR(INDEX('배치점수 계산기'!W$11:W$1000,MATCH($C42,'배치점수 계산기'!$U$11:$U$1000,0)),"")</f>
        <v>20</v>
      </c>
      <c r="F42" s="113" t="s">
        <v>276</v>
      </c>
      <c r="G42" s="41" t="s">
        <v>277</v>
      </c>
      <c r="H42" s="41" t="s">
        <v>273</v>
      </c>
      <c r="I42" s="41" t="s">
        <v>275</v>
      </c>
      <c r="J42" s="41" t="str">
        <f t="shared" si="0"/>
        <v>X</v>
      </c>
      <c r="K42" s="113">
        <f>IFERROR(INDEX(환산공식!CI$16:CI$301,MATCH($E42,환산공식!$A$16:$A$301,0)),"")</f>
        <v>166.7</v>
      </c>
      <c r="L42" s="41" t="str">
        <f>IFERROR(CONCATENATE(ROUND(INDEX(환산공식!CJ$16:CJ$301,MATCH(E42,환산공식!$A$16:$A$301,0)),1),"%"),"")</f>
        <v>100%</v>
      </c>
      <c r="M42" s="41">
        <f>IFERROR(INDEX(환산공식!CK$16:CK$301,MATCH(E42,환산공식!$A$16:$A$301,0)),"")</f>
        <v>10</v>
      </c>
      <c r="N42" s="113" t="str">
        <f t="shared" si="1"/>
        <v>1% 이하</v>
      </c>
      <c r="O42" s="119">
        <f>IFERROR(ROUND(INDEX(환산공식!$EF$16:$EF$301,MATCH(E42,환산공식!$A$16:$A$301,0)),3),"")</f>
        <v>0</v>
      </c>
      <c r="P42" s="119">
        <f>IFERROR(ROUND(INDEX('배치점수 계산기'!M$11:M$1000,MATCH($C42,'배치점수 계산기'!$U$11:$U$1000,0)),2),"")</f>
        <v>716.83</v>
      </c>
      <c r="Q42" s="41">
        <f>IFERROR(ROUND(INDEX('배치점수 계산기'!N$11:N$1000,MATCH($C42,'배치점수 계산기'!$U$11:$U$1000,0)),2),"")</f>
        <v>715.67</v>
      </c>
      <c r="R42" s="41">
        <f>IFERROR(ROUND(INDEX('배치점수 계산기'!O$11:O$1000,MATCH($C42,'배치점수 계산기'!$U$11:$U$1000,0)),2),"")</f>
        <v>712.19</v>
      </c>
      <c r="S42" s="41">
        <f>IFERROR(ROUND(INDEX('배치점수 계산기'!P$11:P$1000,MATCH($C42,'배치점수 계산기'!$U$11:$U$1000,0)),2),"")</f>
        <v>710.33</v>
      </c>
      <c r="T42" s="41">
        <f>IFERROR(ROUND(INDEX('배치점수 계산기'!Q$11:Q$1000,MATCH($C42,'배치점수 계산기'!$U$11:$U$1000,0)),2),"")</f>
        <v>709.31</v>
      </c>
      <c r="U42" s="41">
        <f>IFERROR(INDEX(환산공식!$DC$16:$DC$301,MATCH(E42,환산공식!$A$16:$A$301,0)),"")</f>
        <v>0</v>
      </c>
      <c r="V42" s="113">
        <f t="shared" si="2"/>
        <v>6</v>
      </c>
      <c r="W42" s="110" t="str">
        <f>INDEX('배치점수 계산기'!$AG$11:$AG$800,MATCH('       가 군       '!$C42,'배치점수 계산기'!$U$11:$U$800,0))</f>
        <v>표점</v>
      </c>
      <c r="X42" s="108" t="str">
        <f>INDEX('배치점수 계산기'!$AH$11:$AH$800,MATCH('       가 군       '!$C42,'배치점수 계산기'!$U$11:$U$800,0))</f>
        <v>표점</v>
      </c>
      <c r="Y42" s="113">
        <f>INDEX('배치점수 계산기'!$AB$11:$AB$800,MATCH('       가 군       '!$C42,'배치점수 계산기'!$U$11:$U$800,0))</f>
        <v>0.4</v>
      </c>
      <c r="Z42" s="73">
        <f>INDEX('배치점수 계산기'!$AC$11:$AC$800,MATCH('       가 군       '!$C42,'배치점수 계산기'!$U$11:$U$800,0))</f>
        <v>0.4</v>
      </c>
      <c r="AA42" s="63">
        <f>INDEX('배치점수 계산기'!$AD$11:$AD$800,MATCH('       가 군       '!$C42,'배치점수 계산기'!$U$11:$U$800,0))</f>
        <v>0.2</v>
      </c>
      <c r="AE42" s="7">
        <v>35</v>
      </c>
    </row>
    <row r="43" spans="3:31" x14ac:dyDescent="0.3">
      <c r="C43" s="7" t="s">
        <v>932</v>
      </c>
      <c r="D43" s="41" t="str">
        <f>IFERROR(INDEX('배치점수 계산기'!V$11:V$1000,MATCH($C43,'배치점수 계산기'!$U$11:$U$1000,0)),"")</f>
        <v>연세대 통합</v>
      </c>
      <c r="E43" s="41">
        <f>IFERROR(INDEX('배치점수 계산기'!W$11:W$1000,MATCH($C43,'배치점수 계산기'!$U$11:$U$1000,0)),"")</f>
        <v>20</v>
      </c>
      <c r="F43" s="113" t="s">
        <v>276</v>
      </c>
      <c r="G43" s="41" t="s">
        <v>277</v>
      </c>
      <c r="H43" s="41" t="s">
        <v>264</v>
      </c>
      <c r="I43" s="41" t="s">
        <v>275</v>
      </c>
      <c r="J43" s="41" t="str">
        <f t="shared" si="0"/>
        <v>X</v>
      </c>
      <c r="K43" s="113">
        <f>IFERROR(INDEX(환산공식!CI$16:CI$301,MATCH($E43,환산공식!$A$16:$A$301,0)),"")</f>
        <v>166.7</v>
      </c>
      <c r="L43" s="41" t="str">
        <f>IFERROR(CONCATENATE(ROUND(INDEX(환산공식!CJ$16:CJ$301,MATCH(E43,환산공식!$A$16:$A$301,0)),1),"%"),"")</f>
        <v>100%</v>
      </c>
      <c r="M43" s="41">
        <f>IFERROR(INDEX(환산공식!CK$16:CK$301,MATCH(E43,환산공식!$A$16:$A$301,0)),"")</f>
        <v>10</v>
      </c>
      <c r="N43" s="113" t="str">
        <f t="shared" si="1"/>
        <v>1% 이하</v>
      </c>
      <c r="O43" s="119">
        <f>IFERROR(ROUND(INDEX(환산공식!$EF$16:$EF$301,MATCH(E43,환산공식!$A$16:$A$301,0)),3),"")</f>
        <v>0</v>
      </c>
      <c r="P43" s="119">
        <f>IFERROR(ROUND(INDEX('배치점수 계산기'!M$11:M$1000,MATCH($C43,'배치점수 계산기'!$U$11:$U$1000,0)),2),"")</f>
        <v>718.86</v>
      </c>
      <c r="Q43" s="41">
        <f>IFERROR(ROUND(INDEX('배치점수 계산기'!N$11:N$1000,MATCH($C43,'배치점수 계산기'!$U$11:$U$1000,0)),2),"")</f>
        <v>716.53</v>
      </c>
      <c r="R43" s="41">
        <f>IFERROR(ROUND(INDEX('배치점수 계산기'!O$11:O$1000,MATCH($C43,'배치점수 계산기'!$U$11:$U$1000,0)),2),"")</f>
        <v>712.19</v>
      </c>
      <c r="S43" s="41">
        <f>IFERROR(ROUND(INDEX('배치점수 계산기'!P$11:P$1000,MATCH($C43,'배치점수 계산기'!$U$11:$U$1000,0)),2),"")</f>
        <v>711</v>
      </c>
      <c r="T43" s="41">
        <f>IFERROR(ROUND(INDEX('배치점수 계산기'!Q$11:Q$1000,MATCH($C43,'배치점수 계산기'!$U$11:$U$1000,0)),2),"")</f>
        <v>710.17</v>
      </c>
      <c r="U43" s="41">
        <f>IFERROR(INDEX(환산공식!$DC$16:$DC$301,MATCH(E43,환산공식!$A$16:$A$301,0)),"")</f>
        <v>0</v>
      </c>
      <c r="V43" s="113">
        <f t="shared" si="2"/>
        <v>6</v>
      </c>
      <c r="W43" s="110" t="str">
        <f>INDEX('배치점수 계산기'!$AG$11:$AG$800,MATCH('       가 군       '!$C43,'배치점수 계산기'!$U$11:$U$800,0))</f>
        <v>표점</v>
      </c>
      <c r="X43" s="108" t="str">
        <f>INDEX('배치점수 계산기'!$AH$11:$AH$800,MATCH('       가 군       '!$C43,'배치점수 계산기'!$U$11:$U$800,0))</f>
        <v>표점</v>
      </c>
      <c r="Y43" s="113">
        <f>INDEX('배치점수 계산기'!$AB$11:$AB$800,MATCH('       가 군       '!$C43,'배치점수 계산기'!$U$11:$U$800,0))</f>
        <v>0.4</v>
      </c>
      <c r="Z43" s="73">
        <f>INDEX('배치점수 계산기'!$AC$11:$AC$800,MATCH('       가 군       '!$C43,'배치점수 계산기'!$U$11:$U$800,0))</f>
        <v>0.4</v>
      </c>
      <c r="AA43" s="63">
        <f>INDEX('배치점수 계산기'!$AD$11:$AD$800,MATCH('       가 군       '!$C43,'배치점수 계산기'!$U$11:$U$800,0))</f>
        <v>0.2</v>
      </c>
      <c r="AE43" s="7">
        <v>36</v>
      </c>
    </row>
    <row r="44" spans="3:31" x14ac:dyDescent="0.3">
      <c r="C44" s="7" t="s">
        <v>933</v>
      </c>
      <c r="D44" s="41" t="str">
        <f>IFERROR(INDEX('배치점수 계산기'!V$11:V$1000,MATCH($C44,'배치점수 계산기'!$U$11:$U$1000,0)),"")</f>
        <v>연세대 통합</v>
      </c>
      <c r="E44" s="41">
        <f>IFERROR(INDEX('배치점수 계산기'!W$11:W$1000,MATCH($C44,'배치점수 계산기'!$U$11:$U$1000,0)),"")</f>
        <v>20</v>
      </c>
      <c r="F44" s="113" t="s">
        <v>276</v>
      </c>
      <c r="G44" s="41" t="s">
        <v>277</v>
      </c>
      <c r="H44" s="41" t="s">
        <v>267</v>
      </c>
      <c r="I44" s="41" t="s">
        <v>275</v>
      </c>
      <c r="J44" s="41" t="str">
        <f t="shared" si="0"/>
        <v>X</v>
      </c>
      <c r="K44" s="113">
        <f>IFERROR(INDEX(환산공식!CI$16:CI$301,MATCH($E44,환산공식!$A$16:$A$301,0)),"")</f>
        <v>166.7</v>
      </c>
      <c r="L44" s="41" t="str">
        <f>IFERROR(CONCATENATE(ROUND(INDEX(환산공식!CJ$16:CJ$301,MATCH(E44,환산공식!$A$16:$A$301,0)),1),"%"),"")</f>
        <v>100%</v>
      </c>
      <c r="M44" s="41">
        <f>IFERROR(INDEX(환산공식!CK$16:CK$301,MATCH(E44,환산공식!$A$16:$A$301,0)),"")</f>
        <v>10</v>
      </c>
      <c r="N44" s="113" t="str">
        <f t="shared" si="1"/>
        <v>1% 이하</v>
      </c>
      <c r="O44" s="119">
        <f>IFERROR(ROUND(INDEX(환산공식!$EF$16:$EF$301,MATCH(E44,환산공식!$A$16:$A$301,0)),3),"")</f>
        <v>0</v>
      </c>
      <c r="P44" s="119">
        <f>IFERROR(ROUND(INDEX('배치점수 계산기'!M$11:M$1000,MATCH($C44,'배치점수 계산기'!$U$11:$U$1000,0)),2),"")</f>
        <v>720.17</v>
      </c>
      <c r="Q44" s="41">
        <f>IFERROR(ROUND(INDEX('배치점수 계산기'!N$11:N$1000,MATCH($C44,'배치점수 계산기'!$U$11:$U$1000,0)),2),"")</f>
        <v>716.83</v>
      </c>
      <c r="R44" s="41">
        <f>IFERROR(ROUND(INDEX('배치점수 계산기'!O$11:O$1000,MATCH($C44,'배치점수 계산기'!$U$11:$U$1000,0)),2),"")</f>
        <v>713.33</v>
      </c>
      <c r="S44" s="41">
        <f>IFERROR(ROUND(INDEX('배치점수 계산기'!P$11:P$1000,MATCH($C44,'배치점수 계산기'!$U$11:$U$1000,0)),2),"")</f>
        <v>711</v>
      </c>
      <c r="T44" s="41">
        <f>IFERROR(ROUND(INDEX('배치점수 계산기'!Q$11:Q$1000,MATCH($C44,'배치점수 계산기'!$U$11:$U$1000,0)),2),"")</f>
        <v>710.17</v>
      </c>
      <c r="U44" s="41">
        <f>IFERROR(INDEX(환산공식!$DC$16:$DC$301,MATCH(E44,환산공식!$A$16:$A$301,0)),"")</f>
        <v>0</v>
      </c>
      <c r="V44" s="113">
        <f t="shared" si="2"/>
        <v>6</v>
      </c>
      <c r="W44" s="110" t="str">
        <f>INDEX('배치점수 계산기'!$AG$11:$AG$800,MATCH('       가 군       '!$C44,'배치점수 계산기'!$U$11:$U$800,0))</f>
        <v>표점</v>
      </c>
      <c r="X44" s="108" t="str">
        <f>INDEX('배치점수 계산기'!$AH$11:$AH$800,MATCH('       가 군       '!$C44,'배치점수 계산기'!$U$11:$U$800,0))</f>
        <v>표점</v>
      </c>
      <c r="Y44" s="113">
        <f>INDEX('배치점수 계산기'!$AB$11:$AB$800,MATCH('       가 군       '!$C44,'배치점수 계산기'!$U$11:$U$800,0))</f>
        <v>0.4</v>
      </c>
      <c r="Z44" s="73">
        <f>INDEX('배치점수 계산기'!$AC$11:$AC$800,MATCH('       가 군       '!$C44,'배치점수 계산기'!$U$11:$U$800,0))</f>
        <v>0.4</v>
      </c>
      <c r="AA44" s="63">
        <f>INDEX('배치점수 계산기'!$AD$11:$AD$800,MATCH('       가 군       '!$C44,'배치점수 계산기'!$U$11:$U$800,0))</f>
        <v>0.2</v>
      </c>
      <c r="AE44" s="7">
        <v>37</v>
      </c>
    </row>
    <row r="45" spans="3:31" x14ac:dyDescent="0.3">
      <c r="C45" s="7" t="s">
        <v>934</v>
      </c>
      <c r="D45" s="41" t="str">
        <f>IFERROR(INDEX('배치점수 계산기'!V$11:V$1000,MATCH($C45,'배치점수 계산기'!$U$11:$U$1000,0)),"")</f>
        <v>연세대 통합</v>
      </c>
      <c r="E45" s="41">
        <f>IFERROR(INDEX('배치점수 계산기'!W$11:W$1000,MATCH($C45,'배치점수 계산기'!$U$11:$U$1000,0)),"")</f>
        <v>20</v>
      </c>
      <c r="F45" s="113" t="s">
        <v>276</v>
      </c>
      <c r="G45" s="41" t="s">
        <v>277</v>
      </c>
      <c r="H45" s="41" t="s">
        <v>303</v>
      </c>
      <c r="I45" s="41" t="s">
        <v>275</v>
      </c>
      <c r="J45" s="41" t="str">
        <f t="shared" si="0"/>
        <v>X</v>
      </c>
      <c r="K45" s="113">
        <f>IFERROR(INDEX(환산공식!CI$16:CI$301,MATCH($E45,환산공식!$A$16:$A$301,0)),"")</f>
        <v>166.7</v>
      </c>
      <c r="L45" s="41" t="str">
        <f>IFERROR(CONCATENATE(ROUND(INDEX(환산공식!CJ$16:CJ$301,MATCH(E45,환산공식!$A$16:$A$301,0)),1),"%"),"")</f>
        <v>100%</v>
      </c>
      <c r="M45" s="41">
        <f>IFERROR(INDEX(환산공식!CK$16:CK$301,MATCH(E45,환산공식!$A$16:$A$301,0)),"")</f>
        <v>10</v>
      </c>
      <c r="N45" s="113" t="str">
        <f t="shared" si="1"/>
        <v>1% 이하</v>
      </c>
      <c r="O45" s="119">
        <f>IFERROR(ROUND(INDEX(환산공식!$EF$16:$EF$301,MATCH(E45,환산공식!$A$16:$A$301,0)),3),"")</f>
        <v>0</v>
      </c>
      <c r="P45" s="119">
        <f>IFERROR(ROUND(INDEX('배치점수 계산기'!M$11:M$1000,MATCH($C45,'배치점수 계산기'!$U$11:$U$1000,0)),2),"")</f>
        <v>716.83</v>
      </c>
      <c r="Q45" s="41">
        <f>IFERROR(ROUND(INDEX('배치점수 계산기'!N$11:N$1000,MATCH($C45,'배치점수 계산기'!$U$11:$U$1000,0)),2),"")</f>
        <v>714.86</v>
      </c>
      <c r="R45" s="41">
        <f>IFERROR(ROUND(INDEX('배치점수 계산기'!O$11:O$1000,MATCH($C45,'배치점수 계산기'!$U$11:$U$1000,0)),2),"")</f>
        <v>711.64</v>
      </c>
      <c r="S45" s="41">
        <f>IFERROR(ROUND(INDEX('배치점수 계산기'!P$11:P$1000,MATCH($C45,'배치점수 계산기'!$U$11:$U$1000,0)),2),"")</f>
        <v>709.69</v>
      </c>
      <c r="T45" s="41">
        <f>IFERROR(ROUND(INDEX('배치점수 계산기'!Q$11:Q$1000,MATCH($C45,'배치점수 계산기'!$U$11:$U$1000,0)),2),"")</f>
        <v>708.17</v>
      </c>
      <c r="U45" s="41">
        <f>IFERROR(INDEX(환산공식!$DC$16:$DC$301,MATCH(E45,환산공식!$A$16:$A$301,0)),"")</f>
        <v>0</v>
      </c>
      <c r="V45" s="113">
        <f t="shared" si="2"/>
        <v>6</v>
      </c>
      <c r="W45" s="110" t="str">
        <f>INDEX('배치점수 계산기'!$AG$11:$AG$800,MATCH('       가 군       '!$C45,'배치점수 계산기'!$U$11:$U$800,0))</f>
        <v>표점</v>
      </c>
      <c r="X45" s="108" t="str">
        <f>INDEX('배치점수 계산기'!$AH$11:$AH$800,MATCH('       가 군       '!$C45,'배치점수 계산기'!$U$11:$U$800,0))</f>
        <v>표점</v>
      </c>
      <c r="Y45" s="113">
        <f>INDEX('배치점수 계산기'!$AB$11:$AB$800,MATCH('       가 군       '!$C45,'배치점수 계산기'!$U$11:$U$800,0))</f>
        <v>0.4</v>
      </c>
      <c r="Z45" s="73">
        <f>INDEX('배치점수 계산기'!$AC$11:$AC$800,MATCH('       가 군       '!$C45,'배치점수 계산기'!$U$11:$U$800,0))</f>
        <v>0.4</v>
      </c>
      <c r="AA45" s="63">
        <f>INDEX('배치점수 계산기'!$AD$11:$AD$800,MATCH('       가 군       '!$C45,'배치점수 계산기'!$U$11:$U$800,0))</f>
        <v>0.2</v>
      </c>
      <c r="AE45" s="7">
        <v>38</v>
      </c>
    </row>
    <row r="46" spans="3:31" x14ac:dyDescent="0.3">
      <c r="C46" s="7" t="s">
        <v>935</v>
      </c>
      <c r="D46" s="41" t="str">
        <f>IFERROR(INDEX('배치점수 계산기'!V$11:V$1000,MATCH($C46,'배치점수 계산기'!$U$11:$U$1000,0)),"")</f>
        <v>연세대 통합</v>
      </c>
      <c r="E46" s="41">
        <f>IFERROR(INDEX('배치점수 계산기'!W$11:W$1000,MATCH($C46,'배치점수 계산기'!$U$11:$U$1000,0)),"")</f>
        <v>20</v>
      </c>
      <c r="F46" s="113" t="s">
        <v>276</v>
      </c>
      <c r="G46" s="41" t="s">
        <v>277</v>
      </c>
      <c r="H46" s="41" t="s">
        <v>305</v>
      </c>
      <c r="I46" s="41" t="s">
        <v>275</v>
      </c>
      <c r="J46" s="41" t="str">
        <f t="shared" si="0"/>
        <v>X</v>
      </c>
      <c r="K46" s="113">
        <f>IFERROR(INDEX(환산공식!CI$16:CI$301,MATCH($E46,환산공식!$A$16:$A$301,0)),"")</f>
        <v>166.7</v>
      </c>
      <c r="L46" s="41" t="str">
        <f>IFERROR(CONCATENATE(ROUND(INDEX(환산공식!CJ$16:CJ$301,MATCH(E46,환산공식!$A$16:$A$301,0)),1),"%"),"")</f>
        <v>100%</v>
      </c>
      <c r="M46" s="41">
        <f>IFERROR(INDEX(환산공식!CK$16:CK$301,MATCH(E46,환산공식!$A$16:$A$301,0)),"")</f>
        <v>10</v>
      </c>
      <c r="N46" s="113" t="str">
        <f t="shared" si="1"/>
        <v>1% 이하</v>
      </c>
      <c r="O46" s="119">
        <f>IFERROR(ROUND(INDEX(환산공식!$EF$16:$EF$301,MATCH(E46,환산공식!$A$16:$A$301,0)),3),"")</f>
        <v>0</v>
      </c>
      <c r="P46" s="119">
        <f>IFERROR(ROUND(INDEX('배치점수 계산기'!M$11:M$1000,MATCH($C46,'배치점수 계산기'!$U$11:$U$1000,0)),2),"")</f>
        <v>714.86</v>
      </c>
      <c r="Q46" s="41">
        <f>IFERROR(ROUND(INDEX('배치점수 계산기'!N$11:N$1000,MATCH($C46,'배치점수 계산기'!$U$11:$U$1000,0)),2),"")</f>
        <v>713.67</v>
      </c>
      <c r="R46" s="41">
        <f>IFERROR(ROUND(INDEX('배치점수 계산기'!O$11:O$1000,MATCH($C46,'배치점수 계산기'!$U$11:$U$1000,0)),2),"")</f>
        <v>711.64</v>
      </c>
      <c r="S46" s="41">
        <f>IFERROR(ROUND(INDEX('배치점수 계산기'!P$11:P$1000,MATCH($C46,'배치점수 계산기'!$U$11:$U$1000,0)),2),"")</f>
        <v>710.33</v>
      </c>
      <c r="T46" s="41">
        <f>IFERROR(ROUND(INDEX('배치점수 계산기'!Q$11:Q$1000,MATCH($C46,'배치점수 계산기'!$U$11:$U$1000,0)),2),"")</f>
        <v>709.31</v>
      </c>
      <c r="U46" s="41">
        <f>IFERROR(INDEX(환산공식!$DC$16:$DC$301,MATCH(E46,환산공식!$A$16:$A$301,0)),"")</f>
        <v>0</v>
      </c>
      <c r="V46" s="113">
        <f t="shared" si="2"/>
        <v>6</v>
      </c>
      <c r="W46" s="110" t="str">
        <f>INDEX('배치점수 계산기'!$AG$11:$AG$800,MATCH('       가 군       '!$C46,'배치점수 계산기'!$U$11:$U$800,0))</f>
        <v>표점</v>
      </c>
      <c r="X46" s="108" t="str">
        <f>INDEX('배치점수 계산기'!$AH$11:$AH$800,MATCH('       가 군       '!$C46,'배치점수 계산기'!$U$11:$U$800,0))</f>
        <v>표점</v>
      </c>
      <c r="Y46" s="113">
        <f>INDEX('배치점수 계산기'!$AB$11:$AB$800,MATCH('       가 군       '!$C46,'배치점수 계산기'!$U$11:$U$800,0))</f>
        <v>0.4</v>
      </c>
      <c r="Z46" s="73">
        <f>INDEX('배치점수 계산기'!$AC$11:$AC$800,MATCH('       가 군       '!$C46,'배치점수 계산기'!$U$11:$U$800,0))</f>
        <v>0.4</v>
      </c>
      <c r="AA46" s="63">
        <f>INDEX('배치점수 계산기'!$AD$11:$AD$800,MATCH('       가 군       '!$C46,'배치점수 계산기'!$U$11:$U$800,0))</f>
        <v>0.2</v>
      </c>
      <c r="AE46" s="7">
        <v>39</v>
      </c>
    </row>
    <row r="47" spans="3:31" x14ac:dyDescent="0.3">
      <c r="C47" s="7" t="s">
        <v>936</v>
      </c>
      <c r="D47" s="41" t="str">
        <f>IFERROR(INDEX('배치점수 계산기'!V$11:V$1000,MATCH($C47,'배치점수 계산기'!$U$11:$U$1000,0)),"")</f>
        <v>연세대 통합</v>
      </c>
      <c r="E47" s="41">
        <f>IFERROR(INDEX('배치점수 계산기'!W$11:W$1000,MATCH($C47,'배치점수 계산기'!$U$11:$U$1000,0)),"")</f>
        <v>20</v>
      </c>
      <c r="F47" s="113" t="s">
        <v>276</v>
      </c>
      <c r="G47" s="41" t="s">
        <v>277</v>
      </c>
      <c r="H47" s="41" t="s">
        <v>265</v>
      </c>
      <c r="I47" s="41" t="s">
        <v>275</v>
      </c>
      <c r="J47" s="41" t="str">
        <f t="shared" si="0"/>
        <v>X</v>
      </c>
      <c r="K47" s="113">
        <f>IFERROR(INDEX(환산공식!CI$16:CI$301,MATCH($E47,환산공식!$A$16:$A$301,0)),"")</f>
        <v>166.7</v>
      </c>
      <c r="L47" s="41" t="str">
        <f>IFERROR(CONCATENATE(ROUND(INDEX(환산공식!CJ$16:CJ$301,MATCH(E47,환산공식!$A$16:$A$301,0)),1),"%"),"")</f>
        <v>100%</v>
      </c>
      <c r="M47" s="41">
        <f>IFERROR(INDEX(환산공식!CK$16:CK$301,MATCH(E47,환산공식!$A$16:$A$301,0)),"")</f>
        <v>10</v>
      </c>
      <c r="N47" s="113" t="str">
        <f t="shared" si="1"/>
        <v>1% 이하</v>
      </c>
      <c r="O47" s="119">
        <f>IFERROR(ROUND(INDEX(환산공식!$EF$16:$EF$301,MATCH(E47,환산공식!$A$16:$A$301,0)),3),"")</f>
        <v>0</v>
      </c>
      <c r="P47" s="119">
        <f>IFERROR(ROUND(INDEX('배치점수 계산기'!M$11:M$1000,MATCH($C47,'배치점수 계산기'!$U$11:$U$1000,0)),2),"")</f>
        <v>716.83</v>
      </c>
      <c r="Q47" s="41">
        <f>IFERROR(ROUND(INDEX('배치점수 계산기'!N$11:N$1000,MATCH($C47,'배치점수 계산기'!$U$11:$U$1000,0)),2),"")</f>
        <v>714</v>
      </c>
      <c r="R47" s="41">
        <f>IFERROR(ROUND(INDEX('배치점수 계산기'!O$11:O$1000,MATCH($C47,'배치점수 계산기'!$U$11:$U$1000,0)),2),"")</f>
        <v>711</v>
      </c>
      <c r="S47" s="41">
        <f>IFERROR(ROUND(INDEX('배치점수 계산기'!P$11:P$1000,MATCH($C47,'배치점수 계산기'!$U$11:$U$1000,0)),2),"")</f>
        <v>709.69</v>
      </c>
      <c r="T47" s="41">
        <f>IFERROR(ROUND(INDEX('배치점수 계산기'!Q$11:Q$1000,MATCH($C47,'배치점수 계산기'!$U$11:$U$1000,0)),2),"")</f>
        <v>708.67</v>
      </c>
      <c r="U47" s="41">
        <f>IFERROR(INDEX(환산공식!$DC$16:$DC$301,MATCH(E47,환산공식!$A$16:$A$301,0)),"")</f>
        <v>0</v>
      </c>
      <c r="V47" s="113">
        <f t="shared" si="2"/>
        <v>6</v>
      </c>
      <c r="W47" s="110" t="str">
        <f>INDEX('배치점수 계산기'!$AG$11:$AG$800,MATCH('       가 군       '!$C47,'배치점수 계산기'!$U$11:$U$800,0))</f>
        <v>표점</v>
      </c>
      <c r="X47" s="108" t="str">
        <f>INDEX('배치점수 계산기'!$AH$11:$AH$800,MATCH('       가 군       '!$C47,'배치점수 계산기'!$U$11:$U$800,0))</f>
        <v>표점</v>
      </c>
      <c r="Y47" s="113">
        <f>INDEX('배치점수 계산기'!$AB$11:$AB$800,MATCH('       가 군       '!$C47,'배치점수 계산기'!$U$11:$U$800,0))</f>
        <v>0.4</v>
      </c>
      <c r="Z47" s="73">
        <f>INDEX('배치점수 계산기'!$AC$11:$AC$800,MATCH('       가 군       '!$C47,'배치점수 계산기'!$U$11:$U$800,0))</f>
        <v>0.4</v>
      </c>
      <c r="AA47" s="63">
        <f>INDEX('배치점수 계산기'!$AD$11:$AD$800,MATCH('       가 군       '!$C47,'배치점수 계산기'!$U$11:$U$800,0))</f>
        <v>0.2</v>
      </c>
      <c r="AE47" s="7">
        <v>40</v>
      </c>
    </row>
    <row r="48" spans="3:31" x14ac:dyDescent="0.3">
      <c r="C48" s="7" t="s">
        <v>937</v>
      </c>
      <c r="D48" s="41" t="str">
        <f>IFERROR(INDEX('배치점수 계산기'!V$11:V$1000,MATCH($C48,'배치점수 계산기'!$U$11:$U$1000,0)),"")</f>
        <v>연세대 통합</v>
      </c>
      <c r="E48" s="41">
        <f>IFERROR(INDEX('배치점수 계산기'!W$11:W$1000,MATCH($C48,'배치점수 계산기'!$U$11:$U$1000,0)),"")</f>
        <v>20</v>
      </c>
      <c r="F48" s="113" t="s">
        <v>276</v>
      </c>
      <c r="G48" s="41" t="s">
        <v>277</v>
      </c>
      <c r="H48" s="41" t="s">
        <v>315</v>
      </c>
      <c r="I48" s="41" t="s">
        <v>275</v>
      </c>
      <c r="J48" s="41" t="str">
        <f t="shared" si="0"/>
        <v>X</v>
      </c>
      <c r="K48" s="113">
        <f>IFERROR(INDEX(환산공식!CI$16:CI$301,MATCH($E48,환산공식!$A$16:$A$301,0)),"")</f>
        <v>166.7</v>
      </c>
      <c r="L48" s="41" t="str">
        <f>IFERROR(CONCATENATE(ROUND(INDEX(환산공식!CJ$16:CJ$301,MATCH(E48,환산공식!$A$16:$A$301,0)),1),"%"),"")</f>
        <v>100%</v>
      </c>
      <c r="M48" s="41">
        <f>IFERROR(INDEX(환산공식!CK$16:CK$301,MATCH(E48,환산공식!$A$16:$A$301,0)),"")</f>
        <v>10</v>
      </c>
      <c r="N48" s="113" t="str">
        <f t="shared" si="1"/>
        <v>1% 이하</v>
      </c>
      <c r="O48" s="119">
        <f>IFERROR(ROUND(INDEX(환산공식!$EF$16:$EF$301,MATCH(E48,환산공식!$A$16:$A$301,0)),3),"")</f>
        <v>0</v>
      </c>
      <c r="P48" s="119">
        <f>IFERROR(ROUND(INDEX('배치점수 계산기'!M$11:M$1000,MATCH($C48,'배치점수 계산기'!$U$11:$U$1000,0)),2),"")</f>
        <v>715.67</v>
      </c>
      <c r="Q48" s="41">
        <f>IFERROR(ROUND(INDEX('배치점수 계산기'!N$11:N$1000,MATCH($C48,'배치점수 계산기'!$U$11:$U$1000,0)),2),"")</f>
        <v>714</v>
      </c>
      <c r="R48" s="41">
        <f>IFERROR(ROUND(INDEX('배치점수 계산기'!O$11:O$1000,MATCH($C48,'배치점수 계산기'!$U$11:$U$1000,0)),2),"")</f>
        <v>712.19</v>
      </c>
      <c r="S48" s="41">
        <f>IFERROR(ROUND(INDEX('배치점수 계산기'!P$11:P$1000,MATCH($C48,'배치점수 계산기'!$U$11:$U$1000,0)),2),"")</f>
        <v>711</v>
      </c>
      <c r="T48" s="41">
        <f>IFERROR(ROUND(INDEX('배치점수 계산기'!Q$11:Q$1000,MATCH($C48,'배치점수 계산기'!$U$11:$U$1000,0)),2),"")</f>
        <v>709.69</v>
      </c>
      <c r="U48" s="41">
        <f>IFERROR(INDEX(환산공식!$DC$16:$DC$301,MATCH(E48,환산공식!$A$16:$A$301,0)),"")</f>
        <v>0</v>
      </c>
      <c r="V48" s="113">
        <f t="shared" si="2"/>
        <v>6</v>
      </c>
      <c r="W48" s="110" t="str">
        <f>INDEX('배치점수 계산기'!$AG$11:$AG$800,MATCH('       가 군       '!$C48,'배치점수 계산기'!$U$11:$U$800,0))</f>
        <v>표점</v>
      </c>
      <c r="X48" s="108" t="str">
        <f>INDEX('배치점수 계산기'!$AH$11:$AH$800,MATCH('       가 군       '!$C48,'배치점수 계산기'!$U$11:$U$800,0))</f>
        <v>표점</v>
      </c>
      <c r="Y48" s="113">
        <f>INDEX('배치점수 계산기'!$AB$11:$AB$800,MATCH('       가 군       '!$C48,'배치점수 계산기'!$U$11:$U$800,0))</f>
        <v>0.4</v>
      </c>
      <c r="Z48" s="73">
        <f>INDEX('배치점수 계산기'!$AC$11:$AC$800,MATCH('       가 군       '!$C48,'배치점수 계산기'!$U$11:$U$800,0))</f>
        <v>0.4</v>
      </c>
      <c r="AA48" s="63">
        <f>INDEX('배치점수 계산기'!$AD$11:$AD$800,MATCH('       가 군       '!$C48,'배치점수 계산기'!$U$11:$U$800,0))</f>
        <v>0.2</v>
      </c>
      <c r="AE48" s="7">
        <v>41</v>
      </c>
    </row>
    <row r="49" spans="3:31" x14ac:dyDescent="0.3">
      <c r="C49" s="7" t="s">
        <v>938</v>
      </c>
      <c r="D49" s="41" t="str">
        <f>IFERROR(INDEX('배치점수 계산기'!V$11:V$1000,MATCH($C49,'배치점수 계산기'!$U$11:$U$1000,0)),"")</f>
        <v>연세대 통합</v>
      </c>
      <c r="E49" s="41">
        <f>IFERROR(INDEX('배치점수 계산기'!W$11:W$1000,MATCH($C49,'배치점수 계산기'!$U$11:$U$1000,0)),"")</f>
        <v>20</v>
      </c>
      <c r="F49" s="113" t="s">
        <v>276</v>
      </c>
      <c r="G49" s="41" t="s">
        <v>277</v>
      </c>
      <c r="H49" s="41" t="s">
        <v>272</v>
      </c>
      <c r="I49" s="41" t="s">
        <v>275</v>
      </c>
      <c r="J49" s="41" t="str">
        <f t="shared" si="0"/>
        <v>X</v>
      </c>
      <c r="K49" s="113">
        <f>IFERROR(INDEX(환산공식!CI$16:CI$301,MATCH($E49,환산공식!$A$16:$A$301,0)),"")</f>
        <v>166.7</v>
      </c>
      <c r="L49" s="41" t="str">
        <f>IFERROR(CONCATENATE(ROUND(INDEX(환산공식!CJ$16:CJ$301,MATCH(E49,환산공식!$A$16:$A$301,0)),1),"%"),"")</f>
        <v>100%</v>
      </c>
      <c r="M49" s="41">
        <f>IFERROR(INDEX(환산공식!CK$16:CK$301,MATCH(E49,환산공식!$A$16:$A$301,0)),"")</f>
        <v>10</v>
      </c>
      <c r="N49" s="113" t="str">
        <f t="shared" si="1"/>
        <v>1% 이하</v>
      </c>
      <c r="O49" s="119">
        <f>IFERROR(ROUND(INDEX(환산공식!$EF$16:$EF$301,MATCH(E49,환산공식!$A$16:$A$301,0)),3),"")</f>
        <v>0</v>
      </c>
      <c r="P49" s="119">
        <f>IFERROR(ROUND(INDEX('배치점수 계산기'!M$11:M$1000,MATCH($C49,'배치점수 계산기'!$U$11:$U$1000,0)),2),"")</f>
        <v>715.67</v>
      </c>
      <c r="Q49" s="41">
        <f>IFERROR(ROUND(INDEX('배치점수 계산기'!N$11:N$1000,MATCH($C49,'배치점수 계산기'!$U$11:$U$1000,0)),2),"")</f>
        <v>714</v>
      </c>
      <c r="R49" s="41">
        <f>IFERROR(ROUND(INDEX('배치점수 계산기'!O$11:O$1000,MATCH($C49,'배치점수 계산기'!$U$11:$U$1000,0)),2),"")</f>
        <v>712.19</v>
      </c>
      <c r="S49" s="41">
        <f>IFERROR(ROUND(INDEX('배치점수 계산기'!P$11:P$1000,MATCH($C49,'배치점수 계산기'!$U$11:$U$1000,0)),2),"")</f>
        <v>711</v>
      </c>
      <c r="T49" s="41">
        <f>IFERROR(ROUND(INDEX('배치점수 계산기'!Q$11:Q$1000,MATCH($C49,'배치점수 계산기'!$U$11:$U$1000,0)),2),"")</f>
        <v>709.69</v>
      </c>
      <c r="U49" s="41">
        <f>IFERROR(INDEX(환산공식!$DC$16:$DC$301,MATCH(E49,환산공식!$A$16:$A$301,0)),"")</f>
        <v>0</v>
      </c>
      <c r="V49" s="113">
        <f t="shared" si="2"/>
        <v>6</v>
      </c>
      <c r="W49" s="110" t="str">
        <f>INDEX('배치점수 계산기'!$AG$11:$AG$800,MATCH('       가 군       '!$C49,'배치점수 계산기'!$U$11:$U$800,0))</f>
        <v>표점</v>
      </c>
      <c r="X49" s="108" t="str">
        <f>INDEX('배치점수 계산기'!$AH$11:$AH$800,MATCH('       가 군       '!$C49,'배치점수 계산기'!$U$11:$U$800,0))</f>
        <v>표점</v>
      </c>
      <c r="Y49" s="113">
        <f>INDEX('배치점수 계산기'!$AB$11:$AB$800,MATCH('       가 군       '!$C49,'배치점수 계산기'!$U$11:$U$800,0))</f>
        <v>0.4</v>
      </c>
      <c r="Z49" s="73">
        <f>INDEX('배치점수 계산기'!$AC$11:$AC$800,MATCH('       가 군       '!$C49,'배치점수 계산기'!$U$11:$U$800,0))</f>
        <v>0.4</v>
      </c>
      <c r="AA49" s="63">
        <f>INDEX('배치점수 계산기'!$AD$11:$AD$800,MATCH('       가 군       '!$C49,'배치점수 계산기'!$U$11:$U$800,0))</f>
        <v>0.2</v>
      </c>
      <c r="AE49" s="7">
        <v>42</v>
      </c>
    </row>
    <row r="50" spans="3:31" x14ac:dyDescent="0.3">
      <c r="C50" s="7" t="s">
        <v>939</v>
      </c>
      <c r="D50" s="41" t="str">
        <f>IFERROR(INDEX('배치점수 계산기'!V$11:V$1000,MATCH($C50,'배치점수 계산기'!$U$11:$U$1000,0)),"")</f>
        <v>연세대 통합</v>
      </c>
      <c r="E50" s="41">
        <f>IFERROR(INDEX('배치점수 계산기'!W$11:W$1000,MATCH($C50,'배치점수 계산기'!$U$11:$U$1000,0)),"")</f>
        <v>20</v>
      </c>
      <c r="F50" s="113" t="s">
        <v>276</v>
      </c>
      <c r="G50" s="41" t="s">
        <v>277</v>
      </c>
      <c r="H50" s="41" t="s">
        <v>306</v>
      </c>
      <c r="I50" s="41" t="s">
        <v>275</v>
      </c>
      <c r="J50" s="41" t="str">
        <f t="shared" si="0"/>
        <v>X</v>
      </c>
      <c r="K50" s="113">
        <f>IFERROR(INDEX(환산공식!CI$16:CI$301,MATCH($E50,환산공식!$A$16:$A$301,0)),"")</f>
        <v>166.7</v>
      </c>
      <c r="L50" s="41" t="str">
        <f>IFERROR(CONCATENATE(ROUND(INDEX(환산공식!CJ$16:CJ$301,MATCH(E50,환산공식!$A$16:$A$301,0)),1),"%"),"")</f>
        <v>100%</v>
      </c>
      <c r="M50" s="41">
        <f>IFERROR(INDEX(환산공식!CK$16:CK$301,MATCH(E50,환산공식!$A$16:$A$301,0)),"")</f>
        <v>10</v>
      </c>
      <c r="N50" s="113" t="str">
        <f t="shared" si="1"/>
        <v>1% 이하</v>
      </c>
      <c r="O50" s="119">
        <f>IFERROR(ROUND(INDEX(환산공식!$EF$16:$EF$301,MATCH(E50,환산공식!$A$16:$A$301,0)),3),"")</f>
        <v>0</v>
      </c>
      <c r="P50" s="119">
        <f>IFERROR(ROUND(INDEX('배치점수 계산기'!M$11:M$1000,MATCH($C50,'배치점수 계산기'!$U$11:$U$1000,0)),2),"")</f>
        <v>715.5</v>
      </c>
      <c r="Q50" s="41">
        <f>IFERROR(ROUND(INDEX('배치점수 계산기'!N$11:N$1000,MATCH($C50,'배치점수 계산기'!$U$11:$U$1000,0)),2),"")</f>
        <v>714.86</v>
      </c>
      <c r="R50" s="41">
        <f>IFERROR(ROUND(INDEX('배치점수 계산기'!O$11:O$1000,MATCH($C50,'배치점수 계산기'!$U$11:$U$1000,0)),2),"")</f>
        <v>711.64</v>
      </c>
      <c r="S50" s="41">
        <f>IFERROR(ROUND(INDEX('배치점수 계산기'!P$11:P$1000,MATCH($C50,'배치점수 계산기'!$U$11:$U$1000,0)),2),"")</f>
        <v>710.17</v>
      </c>
      <c r="T50" s="41">
        <f>IFERROR(ROUND(INDEX('배치점수 계산기'!Q$11:Q$1000,MATCH($C50,'배치점수 계산기'!$U$11:$U$1000,0)),2),"")</f>
        <v>708.67</v>
      </c>
      <c r="U50" s="41">
        <f>IFERROR(INDEX(환산공식!$DC$16:$DC$301,MATCH(E50,환산공식!$A$16:$A$301,0)),"")</f>
        <v>0</v>
      </c>
      <c r="V50" s="113">
        <f t="shared" si="2"/>
        <v>6</v>
      </c>
      <c r="W50" s="110" t="str">
        <f>INDEX('배치점수 계산기'!$AG$11:$AG$800,MATCH('       가 군       '!$C50,'배치점수 계산기'!$U$11:$U$800,0))</f>
        <v>표점</v>
      </c>
      <c r="X50" s="108" t="str">
        <f>INDEX('배치점수 계산기'!$AH$11:$AH$800,MATCH('       가 군       '!$C50,'배치점수 계산기'!$U$11:$U$800,0))</f>
        <v>표점</v>
      </c>
      <c r="Y50" s="113">
        <f>INDEX('배치점수 계산기'!$AB$11:$AB$800,MATCH('       가 군       '!$C50,'배치점수 계산기'!$U$11:$U$800,0))</f>
        <v>0.4</v>
      </c>
      <c r="Z50" s="73">
        <f>INDEX('배치점수 계산기'!$AC$11:$AC$800,MATCH('       가 군       '!$C50,'배치점수 계산기'!$U$11:$U$800,0))</f>
        <v>0.4</v>
      </c>
      <c r="AA50" s="63">
        <f>INDEX('배치점수 계산기'!$AD$11:$AD$800,MATCH('       가 군       '!$C50,'배치점수 계산기'!$U$11:$U$800,0))</f>
        <v>0.2</v>
      </c>
      <c r="AE50" s="7">
        <v>43</v>
      </c>
    </row>
    <row r="51" spans="3:31" x14ac:dyDescent="0.3">
      <c r="C51" s="7" t="s">
        <v>940</v>
      </c>
      <c r="D51" s="41" t="str">
        <f>IFERROR(INDEX('배치점수 계산기'!V$11:V$1000,MATCH($C51,'배치점수 계산기'!$U$11:$U$1000,0)),"")</f>
        <v>연세대 통합</v>
      </c>
      <c r="E51" s="41">
        <f>IFERROR(INDEX('배치점수 계산기'!W$11:W$1000,MATCH($C51,'배치점수 계산기'!$U$11:$U$1000,0)),"")</f>
        <v>20</v>
      </c>
      <c r="F51" s="113" t="s">
        <v>276</v>
      </c>
      <c r="G51" s="41" t="s">
        <v>277</v>
      </c>
      <c r="H51" s="41" t="s">
        <v>263</v>
      </c>
      <c r="I51" s="41" t="s">
        <v>275</v>
      </c>
      <c r="J51" s="41" t="str">
        <f t="shared" si="0"/>
        <v>X</v>
      </c>
      <c r="K51" s="113">
        <f>IFERROR(INDEX(환산공식!CI$16:CI$301,MATCH($E51,환산공식!$A$16:$A$301,0)),"")</f>
        <v>166.7</v>
      </c>
      <c r="L51" s="41" t="str">
        <f>IFERROR(CONCATENATE(ROUND(INDEX(환산공식!CJ$16:CJ$301,MATCH(E51,환산공식!$A$16:$A$301,0)),1),"%"),"")</f>
        <v>100%</v>
      </c>
      <c r="M51" s="41">
        <f>IFERROR(INDEX(환산공식!CK$16:CK$301,MATCH(E51,환산공식!$A$16:$A$301,0)),"")</f>
        <v>10</v>
      </c>
      <c r="N51" s="113" t="str">
        <f t="shared" si="1"/>
        <v>1% 이하</v>
      </c>
      <c r="O51" s="119">
        <f>IFERROR(ROUND(INDEX(환산공식!$EF$16:$EF$301,MATCH(E51,환산공식!$A$16:$A$301,0)),3),"")</f>
        <v>0</v>
      </c>
      <c r="P51" s="119">
        <f>IFERROR(ROUND(INDEX('배치점수 계산기'!M$11:M$1000,MATCH($C51,'배치점수 계산기'!$U$11:$U$1000,0)),2),"")</f>
        <v>720.36</v>
      </c>
      <c r="Q51" s="41">
        <f>IFERROR(ROUND(INDEX('배치점수 계산기'!N$11:N$1000,MATCH($C51,'배치점수 계산기'!$U$11:$U$1000,0)),2),"")</f>
        <v>718.86</v>
      </c>
      <c r="R51" s="41">
        <f>IFERROR(ROUND(INDEX('배치점수 계산기'!O$11:O$1000,MATCH($C51,'배치점수 계산기'!$U$11:$U$1000,0)),2),"")</f>
        <v>713.33</v>
      </c>
      <c r="S51" s="41">
        <f>IFERROR(ROUND(INDEX('배치점수 계산기'!P$11:P$1000,MATCH($C51,'배치점수 계산기'!$U$11:$U$1000,0)),2),"")</f>
        <v>711.64</v>
      </c>
      <c r="T51" s="41">
        <f>IFERROR(ROUND(INDEX('배치점수 계산기'!Q$11:Q$1000,MATCH($C51,'배치점수 계산기'!$U$11:$U$1000,0)),2),"")</f>
        <v>708.67</v>
      </c>
      <c r="U51" s="41">
        <f>IFERROR(INDEX(환산공식!$DC$16:$DC$301,MATCH(E51,환산공식!$A$16:$A$301,0)),"")</f>
        <v>0</v>
      </c>
      <c r="V51" s="113">
        <f t="shared" si="2"/>
        <v>6</v>
      </c>
      <c r="W51" s="110" t="str">
        <f>INDEX('배치점수 계산기'!$AG$11:$AG$800,MATCH('       가 군       '!$C51,'배치점수 계산기'!$U$11:$U$800,0))</f>
        <v>표점</v>
      </c>
      <c r="X51" s="108" t="str">
        <f>INDEX('배치점수 계산기'!$AH$11:$AH$800,MATCH('       가 군       '!$C51,'배치점수 계산기'!$U$11:$U$800,0))</f>
        <v>표점</v>
      </c>
      <c r="Y51" s="113">
        <f>INDEX('배치점수 계산기'!$AB$11:$AB$800,MATCH('       가 군       '!$C51,'배치점수 계산기'!$U$11:$U$800,0))</f>
        <v>0.4</v>
      </c>
      <c r="Z51" s="73">
        <f>INDEX('배치점수 계산기'!$AC$11:$AC$800,MATCH('       가 군       '!$C51,'배치점수 계산기'!$U$11:$U$800,0))</f>
        <v>0.4</v>
      </c>
      <c r="AA51" s="63">
        <f>INDEX('배치점수 계산기'!$AD$11:$AD$800,MATCH('       가 군       '!$C51,'배치점수 계산기'!$U$11:$U$800,0))</f>
        <v>0.2</v>
      </c>
      <c r="AE51" s="7">
        <v>44</v>
      </c>
    </row>
    <row r="52" spans="3:31" x14ac:dyDescent="0.3">
      <c r="C52" s="7" t="s">
        <v>941</v>
      </c>
      <c r="D52" s="41" t="str">
        <f>IFERROR(INDEX('배치점수 계산기'!V$11:V$1000,MATCH($C52,'배치점수 계산기'!$U$11:$U$1000,0)),"")</f>
        <v>연세대 통합</v>
      </c>
      <c r="E52" s="41">
        <f>IFERROR(INDEX('배치점수 계산기'!W$11:W$1000,MATCH($C52,'배치점수 계산기'!$U$11:$U$1000,0)),"")</f>
        <v>20</v>
      </c>
      <c r="F52" s="113" t="s">
        <v>276</v>
      </c>
      <c r="G52" s="41" t="s">
        <v>277</v>
      </c>
      <c r="H52" s="41" t="s">
        <v>307</v>
      </c>
      <c r="I52" s="41" t="s">
        <v>275</v>
      </c>
      <c r="J52" s="41" t="str">
        <f t="shared" si="0"/>
        <v>X</v>
      </c>
      <c r="K52" s="113">
        <f>IFERROR(INDEX(환산공식!CI$16:CI$301,MATCH($E52,환산공식!$A$16:$A$301,0)),"")</f>
        <v>166.7</v>
      </c>
      <c r="L52" s="41" t="str">
        <f>IFERROR(CONCATENATE(ROUND(INDEX(환산공식!CJ$16:CJ$301,MATCH(E52,환산공식!$A$16:$A$301,0)),1),"%"),"")</f>
        <v>100%</v>
      </c>
      <c r="M52" s="41">
        <f>IFERROR(INDEX(환산공식!CK$16:CK$301,MATCH(E52,환산공식!$A$16:$A$301,0)),"")</f>
        <v>10</v>
      </c>
      <c r="N52" s="113" t="str">
        <f t="shared" si="1"/>
        <v>1% 이하</v>
      </c>
      <c r="O52" s="119">
        <f>IFERROR(ROUND(INDEX(환산공식!$EF$16:$EF$301,MATCH(E52,환산공식!$A$16:$A$301,0)),3),"")</f>
        <v>0</v>
      </c>
      <c r="P52" s="119">
        <f>IFERROR(ROUND(INDEX('배치점수 계산기'!M$11:M$1000,MATCH($C52,'배치점수 계산기'!$U$11:$U$1000,0)),2),"")</f>
        <v>712.19</v>
      </c>
      <c r="Q52" s="41">
        <f>IFERROR(ROUND(INDEX('배치점수 계산기'!N$11:N$1000,MATCH($C52,'배치점수 계산기'!$U$11:$U$1000,0)),2),"")</f>
        <v>711.64</v>
      </c>
      <c r="R52" s="41">
        <f>IFERROR(ROUND(INDEX('배치점수 계산기'!O$11:O$1000,MATCH($C52,'배치점수 계산기'!$U$11:$U$1000,0)),2),"")</f>
        <v>709.69</v>
      </c>
      <c r="S52" s="41">
        <f>IFERROR(ROUND(INDEX('배치점수 계산기'!P$11:P$1000,MATCH($C52,'배치점수 계산기'!$U$11:$U$1000,0)),2),"")</f>
        <v>708.67</v>
      </c>
      <c r="T52" s="41">
        <f>IFERROR(ROUND(INDEX('배치점수 계산기'!Q$11:Q$1000,MATCH($C52,'배치점수 계산기'!$U$11:$U$1000,0)),2),"")</f>
        <v>707.31</v>
      </c>
      <c r="U52" s="41">
        <f>IFERROR(INDEX(환산공식!$DC$16:$DC$301,MATCH(E52,환산공식!$A$16:$A$301,0)),"")</f>
        <v>0</v>
      </c>
      <c r="V52" s="113">
        <f t="shared" si="2"/>
        <v>6</v>
      </c>
      <c r="W52" s="110" t="str">
        <f>INDEX('배치점수 계산기'!$AG$11:$AG$800,MATCH('       가 군       '!$C52,'배치점수 계산기'!$U$11:$U$800,0))</f>
        <v>표점</v>
      </c>
      <c r="X52" s="108" t="str">
        <f>INDEX('배치점수 계산기'!$AH$11:$AH$800,MATCH('       가 군       '!$C52,'배치점수 계산기'!$U$11:$U$800,0))</f>
        <v>표점</v>
      </c>
      <c r="Y52" s="113">
        <f>INDEX('배치점수 계산기'!$AB$11:$AB$800,MATCH('       가 군       '!$C52,'배치점수 계산기'!$U$11:$U$800,0))</f>
        <v>0.4</v>
      </c>
      <c r="Z52" s="73">
        <f>INDEX('배치점수 계산기'!$AC$11:$AC$800,MATCH('       가 군       '!$C52,'배치점수 계산기'!$U$11:$U$800,0))</f>
        <v>0.4</v>
      </c>
      <c r="AA52" s="63">
        <f>INDEX('배치점수 계산기'!$AD$11:$AD$800,MATCH('       가 군       '!$C52,'배치점수 계산기'!$U$11:$U$800,0))</f>
        <v>0.2</v>
      </c>
      <c r="AE52" s="7">
        <v>45</v>
      </c>
    </row>
    <row r="53" spans="3:31" x14ac:dyDescent="0.3">
      <c r="C53" s="7" t="s">
        <v>942</v>
      </c>
      <c r="D53" s="41" t="str">
        <f>IFERROR(INDEX('배치점수 계산기'!V$11:V$1000,MATCH($C53,'배치점수 계산기'!$U$11:$U$1000,0)),"")</f>
        <v>연세대 통합</v>
      </c>
      <c r="E53" s="41">
        <f>IFERROR(INDEX('배치점수 계산기'!W$11:W$1000,MATCH($C53,'배치점수 계산기'!$U$11:$U$1000,0)),"")</f>
        <v>20</v>
      </c>
      <c r="F53" s="113" t="s">
        <v>276</v>
      </c>
      <c r="G53" s="41" t="s">
        <v>277</v>
      </c>
      <c r="H53" s="41" t="s">
        <v>308</v>
      </c>
      <c r="I53" s="41" t="s">
        <v>275</v>
      </c>
      <c r="J53" s="41" t="str">
        <f t="shared" si="0"/>
        <v>X</v>
      </c>
      <c r="K53" s="113">
        <f>IFERROR(INDEX(환산공식!CI$16:CI$301,MATCH($E53,환산공식!$A$16:$A$301,0)),"")</f>
        <v>166.7</v>
      </c>
      <c r="L53" s="41" t="str">
        <f>IFERROR(CONCATENATE(ROUND(INDEX(환산공식!CJ$16:CJ$301,MATCH(E53,환산공식!$A$16:$A$301,0)),1),"%"),"")</f>
        <v>100%</v>
      </c>
      <c r="M53" s="41">
        <f>IFERROR(INDEX(환산공식!CK$16:CK$301,MATCH(E53,환산공식!$A$16:$A$301,0)),"")</f>
        <v>10</v>
      </c>
      <c r="N53" s="113" t="str">
        <f t="shared" si="1"/>
        <v>1% 이하</v>
      </c>
      <c r="O53" s="119">
        <f>IFERROR(ROUND(INDEX(환산공식!$EF$16:$EF$301,MATCH(E53,환산공식!$A$16:$A$301,0)),3),"")</f>
        <v>0</v>
      </c>
      <c r="P53" s="119">
        <f>IFERROR(ROUND(INDEX('배치점수 계산기'!M$11:M$1000,MATCH($C53,'배치점수 계산기'!$U$11:$U$1000,0)),2),"")</f>
        <v>712.97</v>
      </c>
      <c r="Q53" s="41">
        <f>IFERROR(ROUND(INDEX('배치점수 계산기'!N$11:N$1000,MATCH($C53,'배치점수 계산기'!$U$11:$U$1000,0)),2),"")</f>
        <v>711</v>
      </c>
      <c r="R53" s="41">
        <f>IFERROR(ROUND(INDEX('배치점수 계산기'!O$11:O$1000,MATCH($C53,'배치점수 계산기'!$U$11:$U$1000,0)),2),"")</f>
        <v>709.5</v>
      </c>
      <c r="S53" s="41">
        <f>IFERROR(ROUND(INDEX('배치점수 계산기'!P$11:P$1000,MATCH($C53,'배치점수 계산기'!$U$11:$U$1000,0)),2),"")</f>
        <v>708.67</v>
      </c>
      <c r="T53" s="41">
        <f>IFERROR(ROUND(INDEX('배치점수 계산기'!Q$11:Q$1000,MATCH($C53,'배치점수 계산기'!$U$11:$U$1000,0)),2),"")</f>
        <v>707.31</v>
      </c>
      <c r="U53" s="41">
        <f>IFERROR(INDEX(환산공식!$DC$16:$DC$301,MATCH(E53,환산공식!$A$16:$A$301,0)),"")</f>
        <v>0</v>
      </c>
      <c r="V53" s="113">
        <f t="shared" si="2"/>
        <v>6</v>
      </c>
      <c r="W53" s="110" t="str">
        <f>INDEX('배치점수 계산기'!$AG$11:$AG$800,MATCH('       가 군       '!$C53,'배치점수 계산기'!$U$11:$U$800,0))</f>
        <v>표점</v>
      </c>
      <c r="X53" s="108" t="str">
        <f>INDEX('배치점수 계산기'!$AH$11:$AH$800,MATCH('       가 군       '!$C53,'배치점수 계산기'!$U$11:$U$800,0))</f>
        <v>표점</v>
      </c>
      <c r="Y53" s="113">
        <f>INDEX('배치점수 계산기'!$AB$11:$AB$800,MATCH('       가 군       '!$C53,'배치점수 계산기'!$U$11:$U$800,0))</f>
        <v>0.4</v>
      </c>
      <c r="Z53" s="73">
        <f>INDEX('배치점수 계산기'!$AC$11:$AC$800,MATCH('       가 군       '!$C53,'배치점수 계산기'!$U$11:$U$800,0))</f>
        <v>0.4</v>
      </c>
      <c r="AA53" s="63">
        <f>INDEX('배치점수 계산기'!$AD$11:$AD$800,MATCH('       가 군       '!$C53,'배치점수 계산기'!$U$11:$U$800,0))</f>
        <v>0.2</v>
      </c>
      <c r="AE53" s="7">
        <v>46</v>
      </c>
    </row>
    <row r="54" spans="3:31" x14ac:dyDescent="0.3">
      <c r="C54" s="7" t="s">
        <v>943</v>
      </c>
      <c r="D54" s="41" t="str">
        <f>IFERROR(INDEX('배치점수 계산기'!V$11:V$1000,MATCH($C54,'배치점수 계산기'!$U$11:$U$1000,0)),"")</f>
        <v>연세대 통합</v>
      </c>
      <c r="E54" s="41">
        <f>IFERROR(INDEX('배치점수 계산기'!W$11:W$1000,MATCH($C54,'배치점수 계산기'!$U$11:$U$1000,0)),"")</f>
        <v>20</v>
      </c>
      <c r="F54" s="113" t="s">
        <v>276</v>
      </c>
      <c r="G54" s="41" t="s">
        <v>277</v>
      </c>
      <c r="H54" s="41" t="s">
        <v>309</v>
      </c>
      <c r="I54" s="41" t="s">
        <v>275</v>
      </c>
      <c r="J54" s="41" t="str">
        <f t="shared" si="0"/>
        <v>X</v>
      </c>
      <c r="K54" s="113">
        <f>IFERROR(INDEX(환산공식!CI$16:CI$301,MATCH($E54,환산공식!$A$16:$A$301,0)),"")</f>
        <v>166.7</v>
      </c>
      <c r="L54" s="41" t="str">
        <f>IFERROR(CONCATENATE(ROUND(INDEX(환산공식!CJ$16:CJ$301,MATCH(E54,환산공식!$A$16:$A$301,0)),1),"%"),"")</f>
        <v>100%</v>
      </c>
      <c r="M54" s="41">
        <f>IFERROR(INDEX(환산공식!CK$16:CK$301,MATCH(E54,환산공식!$A$16:$A$301,0)),"")</f>
        <v>10</v>
      </c>
      <c r="N54" s="113" t="str">
        <f t="shared" si="1"/>
        <v>1% 이하</v>
      </c>
      <c r="O54" s="119">
        <f>IFERROR(ROUND(INDEX(환산공식!$EF$16:$EF$301,MATCH(E54,환산공식!$A$16:$A$301,0)),3),"")</f>
        <v>0</v>
      </c>
      <c r="P54" s="119">
        <f>IFERROR(ROUND(INDEX('배치점수 계산기'!M$11:M$1000,MATCH($C54,'배치점수 계산기'!$U$11:$U$1000,0)),2),"")</f>
        <v>712.97</v>
      </c>
      <c r="Q54" s="41">
        <f>IFERROR(ROUND(INDEX('배치점수 계산기'!N$11:N$1000,MATCH($C54,'배치점수 계산기'!$U$11:$U$1000,0)),2),"")</f>
        <v>711</v>
      </c>
      <c r="R54" s="41">
        <f>IFERROR(ROUND(INDEX('배치점수 계산기'!O$11:O$1000,MATCH($C54,'배치점수 계산기'!$U$11:$U$1000,0)),2),"")</f>
        <v>709.5</v>
      </c>
      <c r="S54" s="41">
        <f>IFERROR(ROUND(INDEX('배치점수 계산기'!P$11:P$1000,MATCH($C54,'배치점수 계산기'!$U$11:$U$1000,0)),2),"")</f>
        <v>708.67</v>
      </c>
      <c r="T54" s="41">
        <f>IFERROR(ROUND(INDEX('배치점수 계산기'!Q$11:Q$1000,MATCH($C54,'배치점수 계산기'!$U$11:$U$1000,0)),2),"")</f>
        <v>707.31</v>
      </c>
      <c r="U54" s="41">
        <f>IFERROR(INDEX(환산공식!$DC$16:$DC$301,MATCH(E54,환산공식!$A$16:$A$301,0)),"")</f>
        <v>0</v>
      </c>
      <c r="V54" s="113">
        <f t="shared" si="2"/>
        <v>6</v>
      </c>
      <c r="W54" s="110" t="str">
        <f>INDEX('배치점수 계산기'!$AG$11:$AG$800,MATCH('       가 군       '!$C54,'배치점수 계산기'!$U$11:$U$800,0))</f>
        <v>표점</v>
      </c>
      <c r="X54" s="108" t="str">
        <f>INDEX('배치점수 계산기'!$AH$11:$AH$800,MATCH('       가 군       '!$C54,'배치점수 계산기'!$U$11:$U$800,0))</f>
        <v>표점</v>
      </c>
      <c r="Y54" s="113">
        <f>INDEX('배치점수 계산기'!$AB$11:$AB$800,MATCH('       가 군       '!$C54,'배치점수 계산기'!$U$11:$U$800,0))</f>
        <v>0.4</v>
      </c>
      <c r="Z54" s="73">
        <f>INDEX('배치점수 계산기'!$AC$11:$AC$800,MATCH('       가 군       '!$C54,'배치점수 계산기'!$U$11:$U$800,0))</f>
        <v>0.4</v>
      </c>
      <c r="AA54" s="63">
        <f>INDEX('배치점수 계산기'!$AD$11:$AD$800,MATCH('       가 군       '!$C54,'배치점수 계산기'!$U$11:$U$800,0))</f>
        <v>0.2</v>
      </c>
      <c r="AE54" s="7">
        <v>47</v>
      </c>
    </row>
    <row r="55" spans="3:31" x14ac:dyDescent="0.3">
      <c r="C55" s="7" t="s">
        <v>944</v>
      </c>
      <c r="D55" s="41" t="str">
        <f>IFERROR(INDEX('배치점수 계산기'!V$11:V$1000,MATCH($C55,'배치점수 계산기'!$U$11:$U$1000,0)),"")</f>
        <v>연세대 통합</v>
      </c>
      <c r="E55" s="41">
        <f>IFERROR(INDEX('배치점수 계산기'!W$11:W$1000,MATCH($C55,'배치점수 계산기'!$U$11:$U$1000,0)),"")</f>
        <v>20</v>
      </c>
      <c r="F55" s="113" t="s">
        <v>276</v>
      </c>
      <c r="G55" s="41" t="s">
        <v>277</v>
      </c>
      <c r="H55" s="41" t="s">
        <v>310</v>
      </c>
      <c r="I55" s="41" t="s">
        <v>275</v>
      </c>
      <c r="J55" s="41" t="str">
        <f t="shared" si="0"/>
        <v>X</v>
      </c>
      <c r="K55" s="113">
        <f>IFERROR(INDEX(환산공식!CI$16:CI$301,MATCH($E55,환산공식!$A$16:$A$301,0)),"")</f>
        <v>166.7</v>
      </c>
      <c r="L55" s="41" t="str">
        <f>IFERROR(CONCATENATE(ROUND(INDEX(환산공식!CJ$16:CJ$301,MATCH(E55,환산공식!$A$16:$A$301,0)),1),"%"),"")</f>
        <v>100%</v>
      </c>
      <c r="M55" s="41">
        <f>IFERROR(INDEX(환산공식!CK$16:CK$301,MATCH(E55,환산공식!$A$16:$A$301,0)),"")</f>
        <v>10</v>
      </c>
      <c r="N55" s="113" t="str">
        <f t="shared" si="1"/>
        <v>1% 이하</v>
      </c>
      <c r="O55" s="119">
        <f>IFERROR(ROUND(INDEX(환산공식!$EF$16:$EF$301,MATCH(E55,환산공식!$A$16:$A$301,0)),3),"")</f>
        <v>0</v>
      </c>
      <c r="P55" s="119">
        <f>IFERROR(ROUND(INDEX('배치점수 계산기'!M$11:M$1000,MATCH($C55,'배치점수 계산기'!$U$11:$U$1000,0)),2),"")</f>
        <v>712.97</v>
      </c>
      <c r="Q55" s="41">
        <f>IFERROR(ROUND(INDEX('배치점수 계산기'!N$11:N$1000,MATCH($C55,'배치점수 계산기'!$U$11:$U$1000,0)),2),"")</f>
        <v>710.83</v>
      </c>
      <c r="R55" s="41">
        <f>IFERROR(ROUND(INDEX('배치점수 계산기'!O$11:O$1000,MATCH($C55,'배치점수 계산기'!$U$11:$U$1000,0)),2),"")</f>
        <v>709.31</v>
      </c>
      <c r="S55" s="41">
        <f>IFERROR(ROUND(INDEX('배치점수 계산기'!P$11:P$1000,MATCH($C55,'배치점수 계산기'!$U$11:$U$1000,0)),2),"")</f>
        <v>708.67</v>
      </c>
      <c r="T55" s="41">
        <f>IFERROR(ROUND(INDEX('배치점수 계산기'!Q$11:Q$1000,MATCH($C55,'배치점수 계산기'!$U$11:$U$1000,0)),2),"")</f>
        <v>706.33</v>
      </c>
      <c r="U55" s="41">
        <f>IFERROR(INDEX(환산공식!$DC$16:$DC$301,MATCH(E55,환산공식!$A$16:$A$301,0)),"")</f>
        <v>0</v>
      </c>
      <c r="V55" s="113">
        <f t="shared" si="2"/>
        <v>6</v>
      </c>
      <c r="W55" s="110" t="str">
        <f>INDEX('배치점수 계산기'!$AG$11:$AG$800,MATCH('       가 군       '!$C55,'배치점수 계산기'!$U$11:$U$800,0))</f>
        <v>표점</v>
      </c>
      <c r="X55" s="108" t="str">
        <f>INDEX('배치점수 계산기'!$AH$11:$AH$800,MATCH('       가 군       '!$C55,'배치점수 계산기'!$U$11:$U$800,0))</f>
        <v>표점</v>
      </c>
      <c r="Y55" s="113">
        <f>INDEX('배치점수 계산기'!$AB$11:$AB$800,MATCH('       가 군       '!$C55,'배치점수 계산기'!$U$11:$U$800,0))</f>
        <v>0.4</v>
      </c>
      <c r="Z55" s="73">
        <f>INDEX('배치점수 계산기'!$AC$11:$AC$800,MATCH('       가 군       '!$C55,'배치점수 계산기'!$U$11:$U$800,0))</f>
        <v>0.4</v>
      </c>
      <c r="AA55" s="63">
        <f>INDEX('배치점수 계산기'!$AD$11:$AD$800,MATCH('       가 군       '!$C55,'배치점수 계산기'!$U$11:$U$800,0))</f>
        <v>0.2</v>
      </c>
      <c r="AE55" s="7">
        <v>48</v>
      </c>
    </row>
    <row r="56" spans="3:31" x14ac:dyDescent="0.3">
      <c r="C56" s="7" t="s">
        <v>945</v>
      </c>
      <c r="D56" s="41" t="str">
        <f>IFERROR(INDEX('배치점수 계산기'!V$11:V$1000,MATCH($C56,'배치점수 계산기'!$U$11:$U$1000,0)),"")</f>
        <v>연세대 통합</v>
      </c>
      <c r="E56" s="41">
        <f>IFERROR(INDEX('배치점수 계산기'!W$11:W$1000,MATCH($C56,'배치점수 계산기'!$U$11:$U$1000,0)),"")</f>
        <v>20</v>
      </c>
      <c r="F56" s="113" t="s">
        <v>276</v>
      </c>
      <c r="G56" s="41" t="s">
        <v>277</v>
      </c>
      <c r="H56" s="41" t="s">
        <v>311</v>
      </c>
      <c r="I56" s="41" t="s">
        <v>275</v>
      </c>
      <c r="J56" s="41" t="str">
        <f t="shared" si="0"/>
        <v>X</v>
      </c>
      <c r="K56" s="113">
        <f>IFERROR(INDEX(환산공식!CI$16:CI$301,MATCH($E56,환산공식!$A$16:$A$301,0)),"")</f>
        <v>166.7</v>
      </c>
      <c r="L56" s="41" t="str">
        <f>IFERROR(CONCATENATE(ROUND(INDEX(환산공식!CJ$16:CJ$301,MATCH(E56,환산공식!$A$16:$A$301,0)),1),"%"),"")</f>
        <v>100%</v>
      </c>
      <c r="M56" s="41">
        <f>IFERROR(INDEX(환산공식!CK$16:CK$301,MATCH(E56,환산공식!$A$16:$A$301,0)),"")</f>
        <v>10</v>
      </c>
      <c r="N56" s="113" t="str">
        <f t="shared" si="1"/>
        <v>1% 이하</v>
      </c>
      <c r="O56" s="119">
        <f>IFERROR(ROUND(INDEX(환산공식!$EF$16:$EF$301,MATCH(E56,환산공식!$A$16:$A$301,0)),3),"")</f>
        <v>0</v>
      </c>
      <c r="P56" s="119">
        <f>IFERROR(ROUND(INDEX('배치점수 계산기'!M$11:M$1000,MATCH($C56,'배치점수 계산기'!$U$11:$U$1000,0)),2),"")</f>
        <v>714</v>
      </c>
      <c r="Q56" s="41">
        <f>IFERROR(ROUND(INDEX('배치점수 계산기'!N$11:N$1000,MATCH($C56,'배치점수 계산기'!$U$11:$U$1000,0)),2),"")</f>
        <v>711.64</v>
      </c>
      <c r="R56" s="41">
        <f>IFERROR(ROUND(INDEX('배치점수 계산기'!O$11:O$1000,MATCH($C56,'배치점수 계산기'!$U$11:$U$1000,0)),2),"")</f>
        <v>709.69</v>
      </c>
      <c r="S56" s="41">
        <f>IFERROR(ROUND(INDEX('배치점수 계산기'!P$11:P$1000,MATCH($C56,'배치점수 계산기'!$U$11:$U$1000,0)),2),"")</f>
        <v>708.67</v>
      </c>
      <c r="T56" s="41">
        <f>IFERROR(ROUND(INDEX('배치점수 계산기'!Q$11:Q$1000,MATCH($C56,'배치점수 계산기'!$U$11:$U$1000,0)),2),"")</f>
        <v>707.31</v>
      </c>
      <c r="U56" s="41">
        <f>IFERROR(INDEX(환산공식!$DC$16:$DC$301,MATCH(E56,환산공식!$A$16:$A$301,0)),"")</f>
        <v>0</v>
      </c>
      <c r="V56" s="113">
        <f t="shared" si="2"/>
        <v>6</v>
      </c>
      <c r="W56" s="110" t="str">
        <f>INDEX('배치점수 계산기'!$AG$11:$AG$800,MATCH('       가 군       '!$C56,'배치점수 계산기'!$U$11:$U$800,0))</f>
        <v>표점</v>
      </c>
      <c r="X56" s="108" t="str">
        <f>INDEX('배치점수 계산기'!$AH$11:$AH$800,MATCH('       가 군       '!$C56,'배치점수 계산기'!$U$11:$U$800,0))</f>
        <v>표점</v>
      </c>
      <c r="Y56" s="113">
        <f>INDEX('배치점수 계산기'!$AB$11:$AB$800,MATCH('       가 군       '!$C56,'배치점수 계산기'!$U$11:$U$800,0))</f>
        <v>0.4</v>
      </c>
      <c r="Z56" s="73">
        <f>INDEX('배치점수 계산기'!$AC$11:$AC$800,MATCH('       가 군       '!$C56,'배치점수 계산기'!$U$11:$U$800,0))</f>
        <v>0.4</v>
      </c>
      <c r="AA56" s="63">
        <f>INDEX('배치점수 계산기'!$AD$11:$AD$800,MATCH('       가 군       '!$C56,'배치점수 계산기'!$U$11:$U$800,0))</f>
        <v>0.2</v>
      </c>
      <c r="AE56" s="7">
        <v>49</v>
      </c>
    </row>
    <row r="57" spans="3:31" x14ac:dyDescent="0.3">
      <c r="C57" s="7" t="s">
        <v>946</v>
      </c>
      <c r="D57" s="41" t="str">
        <f>IFERROR(INDEX('배치점수 계산기'!V$11:V$1000,MATCH($C57,'배치점수 계산기'!$U$11:$U$1000,0)),"")</f>
        <v>연세대 통합</v>
      </c>
      <c r="E57" s="41">
        <f>IFERROR(INDEX('배치점수 계산기'!W$11:W$1000,MATCH($C57,'배치점수 계산기'!$U$11:$U$1000,0)),"")</f>
        <v>20</v>
      </c>
      <c r="F57" s="113" t="s">
        <v>276</v>
      </c>
      <c r="G57" s="41" t="s">
        <v>277</v>
      </c>
      <c r="H57" s="41" t="s">
        <v>312</v>
      </c>
      <c r="I57" s="41" t="s">
        <v>275</v>
      </c>
      <c r="J57" s="41" t="str">
        <f t="shared" si="0"/>
        <v>X</v>
      </c>
      <c r="K57" s="113">
        <f>IFERROR(INDEX(환산공식!CI$16:CI$301,MATCH($E57,환산공식!$A$16:$A$301,0)),"")</f>
        <v>166.7</v>
      </c>
      <c r="L57" s="41" t="str">
        <f>IFERROR(CONCATENATE(ROUND(INDEX(환산공식!CJ$16:CJ$301,MATCH(E57,환산공식!$A$16:$A$301,0)),1),"%"),"")</f>
        <v>100%</v>
      </c>
      <c r="M57" s="41">
        <f>IFERROR(INDEX(환산공식!CK$16:CK$301,MATCH(E57,환산공식!$A$16:$A$301,0)),"")</f>
        <v>10</v>
      </c>
      <c r="N57" s="113" t="str">
        <f t="shared" si="1"/>
        <v>1% 이하</v>
      </c>
      <c r="O57" s="119">
        <f>IFERROR(ROUND(INDEX(환산공식!$EF$16:$EF$301,MATCH(E57,환산공식!$A$16:$A$301,0)),3),"")</f>
        <v>0</v>
      </c>
      <c r="P57" s="119">
        <f>IFERROR(ROUND(INDEX('배치점수 계산기'!M$11:M$1000,MATCH($C57,'배치점수 계산기'!$U$11:$U$1000,0)),2),"")</f>
        <v>712.19</v>
      </c>
      <c r="Q57" s="41">
        <f>IFERROR(ROUND(INDEX('배치점수 계산기'!N$11:N$1000,MATCH($C57,'배치점수 계산기'!$U$11:$U$1000,0)),2),"")</f>
        <v>711</v>
      </c>
      <c r="R57" s="41">
        <f>IFERROR(ROUND(INDEX('배치점수 계산기'!O$11:O$1000,MATCH($C57,'배치점수 계산기'!$U$11:$U$1000,0)),2),"")</f>
        <v>709.69</v>
      </c>
      <c r="S57" s="41">
        <f>IFERROR(ROUND(INDEX('배치점수 계산기'!P$11:P$1000,MATCH($C57,'배치점수 계산기'!$U$11:$U$1000,0)),2),"")</f>
        <v>708.67</v>
      </c>
      <c r="T57" s="41">
        <f>IFERROR(ROUND(INDEX('배치점수 계산기'!Q$11:Q$1000,MATCH($C57,'배치점수 계산기'!$U$11:$U$1000,0)),2),"")</f>
        <v>706</v>
      </c>
      <c r="U57" s="41">
        <f>IFERROR(INDEX(환산공식!$DC$16:$DC$301,MATCH(E57,환산공식!$A$16:$A$301,0)),"")</f>
        <v>0</v>
      </c>
      <c r="V57" s="113">
        <f t="shared" si="2"/>
        <v>6</v>
      </c>
      <c r="W57" s="110" t="str">
        <f>INDEX('배치점수 계산기'!$AG$11:$AG$800,MATCH('       가 군       '!$C57,'배치점수 계산기'!$U$11:$U$800,0))</f>
        <v>표점</v>
      </c>
      <c r="X57" s="108" t="str">
        <f>INDEX('배치점수 계산기'!$AH$11:$AH$800,MATCH('       가 군       '!$C57,'배치점수 계산기'!$U$11:$U$800,0))</f>
        <v>표점</v>
      </c>
      <c r="Y57" s="113">
        <f>INDEX('배치점수 계산기'!$AB$11:$AB$800,MATCH('       가 군       '!$C57,'배치점수 계산기'!$U$11:$U$800,0))</f>
        <v>0.4</v>
      </c>
      <c r="Z57" s="73">
        <f>INDEX('배치점수 계산기'!$AC$11:$AC$800,MATCH('       가 군       '!$C57,'배치점수 계산기'!$U$11:$U$800,0))</f>
        <v>0.4</v>
      </c>
      <c r="AA57" s="63">
        <f>INDEX('배치점수 계산기'!$AD$11:$AD$800,MATCH('       가 군       '!$C57,'배치점수 계산기'!$U$11:$U$800,0))</f>
        <v>0.2</v>
      </c>
      <c r="AE57" s="7">
        <v>50</v>
      </c>
    </row>
    <row r="58" spans="3:31" x14ac:dyDescent="0.3">
      <c r="C58" s="7" t="s">
        <v>947</v>
      </c>
      <c r="D58" s="41" t="str">
        <f>IFERROR(INDEX('배치점수 계산기'!V$11:V$1000,MATCH($C58,'배치점수 계산기'!$U$11:$U$1000,0)),"")</f>
        <v>연세대 통합</v>
      </c>
      <c r="E58" s="41">
        <f>IFERROR(INDEX('배치점수 계산기'!W$11:W$1000,MATCH($C58,'배치점수 계산기'!$U$11:$U$1000,0)),"")</f>
        <v>20</v>
      </c>
      <c r="F58" s="113" t="s">
        <v>276</v>
      </c>
      <c r="G58" s="41" t="s">
        <v>277</v>
      </c>
      <c r="H58" s="41" t="s">
        <v>313</v>
      </c>
      <c r="I58" s="41" t="s">
        <v>275</v>
      </c>
      <c r="J58" s="41" t="str">
        <f t="shared" si="0"/>
        <v>X</v>
      </c>
      <c r="K58" s="113">
        <f>IFERROR(INDEX(환산공식!CI$16:CI$301,MATCH($E58,환산공식!$A$16:$A$301,0)),"")</f>
        <v>166.7</v>
      </c>
      <c r="L58" s="41" t="str">
        <f>IFERROR(CONCATENATE(ROUND(INDEX(환산공식!CJ$16:CJ$301,MATCH(E58,환산공식!$A$16:$A$301,0)),1),"%"),"")</f>
        <v>100%</v>
      </c>
      <c r="M58" s="41">
        <f>IFERROR(INDEX(환산공식!CK$16:CK$301,MATCH(E58,환산공식!$A$16:$A$301,0)),"")</f>
        <v>10</v>
      </c>
      <c r="N58" s="113" t="str">
        <f t="shared" si="1"/>
        <v>1% 이하</v>
      </c>
      <c r="O58" s="119">
        <f>IFERROR(ROUND(INDEX(환산공식!$EF$16:$EF$301,MATCH(E58,환산공식!$A$16:$A$301,0)),3),"")</f>
        <v>0</v>
      </c>
      <c r="P58" s="119">
        <f>IFERROR(ROUND(INDEX('배치점수 계산기'!M$11:M$1000,MATCH($C58,'배치점수 계산기'!$U$11:$U$1000,0)),2),"")</f>
        <v>712.97</v>
      </c>
      <c r="Q58" s="41">
        <f>IFERROR(ROUND(INDEX('배치점수 계산기'!N$11:N$1000,MATCH($C58,'배치점수 계산기'!$U$11:$U$1000,0)),2),"")</f>
        <v>711.64</v>
      </c>
      <c r="R58" s="41">
        <f>IFERROR(ROUND(INDEX('배치점수 계산기'!O$11:O$1000,MATCH($C58,'배치점수 계산기'!$U$11:$U$1000,0)),2),"")</f>
        <v>710.17</v>
      </c>
      <c r="S58" s="41">
        <f>IFERROR(ROUND(INDEX('배치점수 계산기'!P$11:P$1000,MATCH($C58,'배치점수 계산기'!$U$11:$U$1000,0)),2),"")</f>
        <v>708.67</v>
      </c>
      <c r="T58" s="41">
        <f>IFERROR(ROUND(INDEX('배치점수 계산기'!Q$11:Q$1000,MATCH($C58,'배치점수 계산기'!$U$11:$U$1000,0)),2),"")</f>
        <v>706</v>
      </c>
      <c r="U58" s="41">
        <f>IFERROR(INDEX(환산공식!$DC$16:$DC$301,MATCH(E58,환산공식!$A$16:$A$301,0)),"")</f>
        <v>0</v>
      </c>
      <c r="V58" s="113">
        <f t="shared" si="2"/>
        <v>6</v>
      </c>
      <c r="W58" s="110" t="str">
        <f>INDEX('배치점수 계산기'!$AG$11:$AG$800,MATCH('       가 군       '!$C58,'배치점수 계산기'!$U$11:$U$800,0))</f>
        <v>표점</v>
      </c>
      <c r="X58" s="108" t="str">
        <f>INDEX('배치점수 계산기'!$AH$11:$AH$800,MATCH('       가 군       '!$C58,'배치점수 계산기'!$U$11:$U$800,0))</f>
        <v>표점</v>
      </c>
      <c r="Y58" s="113">
        <f>INDEX('배치점수 계산기'!$AB$11:$AB$800,MATCH('       가 군       '!$C58,'배치점수 계산기'!$U$11:$U$800,0))</f>
        <v>0.4</v>
      </c>
      <c r="Z58" s="73">
        <f>INDEX('배치점수 계산기'!$AC$11:$AC$800,MATCH('       가 군       '!$C58,'배치점수 계산기'!$U$11:$U$800,0))</f>
        <v>0.4</v>
      </c>
      <c r="AA58" s="63">
        <f>INDEX('배치점수 계산기'!$AD$11:$AD$800,MATCH('       가 군       '!$C58,'배치점수 계산기'!$U$11:$U$800,0))</f>
        <v>0.2</v>
      </c>
      <c r="AE58" s="7">
        <v>51</v>
      </c>
    </row>
    <row r="59" spans="3:31" x14ac:dyDescent="0.3">
      <c r="C59" s="7" t="s">
        <v>948</v>
      </c>
      <c r="D59" s="41" t="str">
        <f>IFERROR(INDEX('배치점수 계산기'!V$11:V$1000,MATCH($C59,'배치점수 계산기'!$U$11:$U$1000,0)),"")</f>
        <v>연세대 통합</v>
      </c>
      <c r="E59" s="41">
        <f>IFERROR(INDEX('배치점수 계산기'!W$11:W$1000,MATCH($C59,'배치점수 계산기'!$U$11:$U$1000,0)),"")</f>
        <v>20</v>
      </c>
      <c r="F59" s="113" t="s">
        <v>276</v>
      </c>
      <c r="G59" s="41" t="s">
        <v>277</v>
      </c>
      <c r="H59" s="41" t="s">
        <v>314</v>
      </c>
      <c r="I59" s="41" t="s">
        <v>275</v>
      </c>
      <c r="J59" s="41" t="str">
        <f t="shared" si="0"/>
        <v>X</v>
      </c>
      <c r="K59" s="113">
        <f>IFERROR(INDEX(환산공식!CI$16:CI$301,MATCH($E59,환산공식!$A$16:$A$301,0)),"")</f>
        <v>166.7</v>
      </c>
      <c r="L59" s="41" t="str">
        <f>IFERROR(CONCATENATE(ROUND(INDEX(환산공식!CJ$16:CJ$301,MATCH(E59,환산공식!$A$16:$A$301,0)),1),"%"),"")</f>
        <v>100%</v>
      </c>
      <c r="M59" s="41">
        <f>IFERROR(INDEX(환산공식!CK$16:CK$301,MATCH(E59,환산공식!$A$16:$A$301,0)),"")</f>
        <v>10</v>
      </c>
      <c r="N59" s="113" t="str">
        <f t="shared" si="1"/>
        <v>1% 이하</v>
      </c>
      <c r="O59" s="119">
        <f>IFERROR(ROUND(INDEX(환산공식!$EF$16:$EF$301,MATCH(E59,환산공식!$A$16:$A$301,0)),3),"")</f>
        <v>0</v>
      </c>
      <c r="P59" s="119">
        <f>IFERROR(ROUND(INDEX('배치점수 계산기'!M$11:M$1000,MATCH($C59,'배치점수 계산기'!$U$11:$U$1000,0)),2),"")</f>
        <v>709.69</v>
      </c>
      <c r="Q59" s="41">
        <f>IFERROR(ROUND(INDEX('배치점수 계산기'!N$11:N$1000,MATCH($C59,'배치점수 계산기'!$U$11:$U$1000,0)),2),"")</f>
        <v>708.67</v>
      </c>
      <c r="R59" s="41">
        <f>IFERROR(ROUND(INDEX('배치점수 계산기'!O$11:O$1000,MATCH($C59,'배치점수 계산기'!$U$11:$U$1000,0)),2),"")</f>
        <v>706</v>
      </c>
      <c r="S59" s="41">
        <f>IFERROR(ROUND(INDEX('배치점수 계산기'!P$11:P$1000,MATCH($C59,'배치점수 계산기'!$U$11:$U$1000,0)),2),"")</f>
        <v>703.86</v>
      </c>
      <c r="T59" s="41">
        <f>IFERROR(ROUND(INDEX('배치점수 계산기'!Q$11:Q$1000,MATCH($C59,'배치점수 계산기'!$U$11:$U$1000,0)),2),"")</f>
        <v>698</v>
      </c>
      <c r="U59" s="41">
        <f>IFERROR(INDEX(환산공식!$DC$16:$DC$301,MATCH(E59,환산공식!$A$16:$A$301,0)),"")</f>
        <v>0</v>
      </c>
      <c r="V59" s="113">
        <f t="shared" si="2"/>
        <v>6</v>
      </c>
      <c r="W59" s="110" t="str">
        <f>INDEX('배치점수 계산기'!$AG$11:$AG$800,MATCH('       가 군       '!$C59,'배치점수 계산기'!$U$11:$U$800,0))</f>
        <v>표점</v>
      </c>
      <c r="X59" s="108" t="str">
        <f>INDEX('배치점수 계산기'!$AH$11:$AH$800,MATCH('       가 군       '!$C59,'배치점수 계산기'!$U$11:$U$800,0))</f>
        <v>표점</v>
      </c>
      <c r="Y59" s="113">
        <f>INDEX('배치점수 계산기'!$AB$11:$AB$800,MATCH('       가 군       '!$C59,'배치점수 계산기'!$U$11:$U$800,0))</f>
        <v>0.4</v>
      </c>
      <c r="Z59" s="73">
        <f>INDEX('배치점수 계산기'!$AC$11:$AC$800,MATCH('       가 군       '!$C59,'배치점수 계산기'!$U$11:$U$800,0))</f>
        <v>0.4</v>
      </c>
      <c r="AA59" s="63">
        <f>INDEX('배치점수 계산기'!$AD$11:$AD$800,MATCH('       가 군       '!$C59,'배치점수 계산기'!$U$11:$U$800,0))</f>
        <v>0.2</v>
      </c>
      <c r="AE59" s="7">
        <v>52</v>
      </c>
    </row>
    <row r="60" spans="3:31" x14ac:dyDescent="0.3">
      <c r="C60" s="7" t="s">
        <v>949</v>
      </c>
      <c r="D60" s="41" t="str">
        <f>IFERROR(INDEX('배치점수 계산기'!V$11:V$1000,MATCH($C60,'배치점수 계산기'!$U$11:$U$1000,0)),"")</f>
        <v>고려대 자연</v>
      </c>
      <c r="E60" s="41">
        <f>IFERROR(INDEX('배치점수 계산기'!W$11:W$1000,MATCH($C60,'배치점수 계산기'!$U$11:$U$1000,0)),"")</f>
        <v>23</v>
      </c>
      <c r="F60" s="113" t="s">
        <v>276</v>
      </c>
      <c r="G60" s="41" t="s">
        <v>317</v>
      </c>
      <c r="H60" s="41" t="s">
        <v>318</v>
      </c>
      <c r="I60" s="41" t="s">
        <v>274</v>
      </c>
      <c r="J60" s="41" t="str">
        <f t="shared" si="0"/>
        <v>X</v>
      </c>
      <c r="K60" s="113">
        <f>IFERROR(INDEX(환산공식!CI$16:CI$301,MATCH($E60,환산공식!$A$16:$A$301,0)),"")</f>
        <v>0</v>
      </c>
      <c r="L60" s="41" t="str">
        <f>IFERROR(CONCATENATE(ROUND(INDEX(환산공식!CJ$16:CJ$301,MATCH(E60,환산공식!$A$16:$A$301,0)),1),"%"),"")</f>
        <v/>
      </c>
      <c r="M60" s="41">
        <f>IFERROR(INDEX(환산공식!CK$16:CK$301,MATCH(E60,환산공식!$A$16:$A$301,0)),"")</f>
        <v>10</v>
      </c>
      <c r="N60" s="113" t="str">
        <f t="shared" si="1"/>
        <v>1% 이하</v>
      </c>
      <c r="O60" s="119">
        <f>IFERROR(ROUND(INDEX(환산공식!$EF$16:$EF$301,MATCH(E60,환산공식!$A$16:$A$301,0)),3),"")</f>
        <v>0</v>
      </c>
      <c r="P60" s="119">
        <f>IFERROR(ROUND(INDEX('배치점수 계산기'!M$11:M$1000,MATCH($C60,'배치점수 계산기'!$U$11:$U$1000,0)),2),"")</f>
        <v>691.98</v>
      </c>
      <c r="Q60" s="41">
        <f>IFERROR(ROUND(INDEX('배치점수 계산기'!N$11:N$1000,MATCH($C60,'배치점수 계산기'!$U$11:$U$1000,0)),2),"")</f>
        <v>683.23</v>
      </c>
      <c r="R60" s="41">
        <f>IFERROR(ROUND(INDEX('배치점수 계산기'!O$11:O$1000,MATCH($C60,'배치점수 계산기'!$U$11:$U$1000,0)),2),"")</f>
        <v>678.02</v>
      </c>
      <c r="S60" s="41">
        <f>IFERROR(ROUND(INDEX('배치점수 계산기'!P$11:P$1000,MATCH($C60,'배치점수 계산기'!$U$11:$U$1000,0)),2),"")</f>
        <v>671.52</v>
      </c>
      <c r="T60" s="41">
        <f>IFERROR(ROUND(INDEX('배치점수 계산기'!Q$11:Q$1000,MATCH($C60,'배치점수 계산기'!$U$11:$U$1000,0)),2),"")</f>
        <v>660.16</v>
      </c>
      <c r="U60" s="41">
        <f>IFERROR(INDEX(환산공식!$DC$16:$DC$301,MATCH(E60,환산공식!$A$16:$A$301,0)),"")</f>
        <v>0</v>
      </c>
      <c r="V60" s="113">
        <f t="shared" si="2"/>
        <v>6</v>
      </c>
      <c r="W60" s="110" t="str">
        <f>INDEX('배치점수 계산기'!$AG$11:$AG$800,MATCH('       가 군       '!$C60,'배치점수 계산기'!$U$11:$U$800,0))</f>
        <v>표점</v>
      </c>
      <c r="X60" s="108" t="str">
        <f>INDEX('배치점수 계산기'!$AH$11:$AH$800,MATCH('       가 군       '!$C60,'배치점수 계산기'!$U$11:$U$800,0))</f>
        <v>변표</v>
      </c>
      <c r="Y60" s="113">
        <f>INDEX('배치점수 계산기'!$AB$11:$AB$800,MATCH('       가 군       '!$C60,'배치점수 계산기'!$U$11:$U$800,0))</f>
        <v>0.3125</v>
      </c>
      <c r="Z60" s="73">
        <f>INDEX('배치점수 계산기'!$AC$11:$AC$800,MATCH('       가 군       '!$C60,'배치점수 계산기'!$U$11:$U$800,0))</f>
        <v>0.375</v>
      </c>
      <c r="AA60" s="63">
        <f>INDEX('배치점수 계산기'!$AD$11:$AD$800,MATCH('       가 군       '!$C60,'배치점수 계산기'!$U$11:$U$800,0))</f>
        <v>0.3125</v>
      </c>
      <c r="AE60" s="7">
        <v>53</v>
      </c>
    </row>
    <row r="61" spans="3:31" x14ac:dyDescent="0.3">
      <c r="C61" s="7" t="s">
        <v>950</v>
      </c>
      <c r="D61" s="41" t="str">
        <f>IFERROR(INDEX('배치점수 계산기'!V$11:V$1000,MATCH($C61,'배치점수 계산기'!$U$11:$U$1000,0)),"")</f>
        <v>고려대 자연</v>
      </c>
      <c r="E61" s="41">
        <f>IFERROR(INDEX('배치점수 계산기'!W$11:W$1000,MATCH($C61,'배치점수 계산기'!$U$11:$U$1000,0)),"")</f>
        <v>23</v>
      </c>
      <c r="F61" s="113" t="s">
        <v>276</v>
      </c>
      <c r="G61" s="41" t="s">
        <v>317</v>
      </c>
      <c r="H61" s="41" t="s">
        <v>285</v>
      </c>
      <c r="I61" s="41" t="s">
        <v>274</v>
      </c>
      <c r="J61" s="41" t="str">
        <f t="shared" si="0"/>
        <v>X</v>
      </c>
      <c r="K61" s="113">
        <f>IFERROR(INDEX(환산공식!CI$16:CI$301,MATCH($E61,환산공식!$A$16:$A$301,0)),"")</f>
        <v>0</v>
      </c>
      <c r="L61" s="41" t="str">
        <f>IFERROR(CONCATENATE(ROUND(INDEX(환산공식!CJ$16:CJ$301,MATCH(E61,환산공식!$A$16:$A$301,0)),1),"%"),"")</f>
        <v/>
      </c>
      <c r="M61" s="41">
        <f>IFERROR(INDEX(환산공식!CK$16:CK$301,MATCH(E61,환산공식!$A$16:$A$301,0)),"")</f>
        <v>10</v>
      </c>
      <c r="N61" s="113" t="str">
        <f t="shared" si="1"/>
        <v>1% 이하</v>
      </c>
      <c r="O61" s="119">
        <f>IFERROR(ROUND(INDEX(환산공식!$EF$16:$EF$301,MATCH(E61,환산공식!$A$16:$A$301,0)),3),"")</f>
        <v>0</v>
      </c>
      <c r="P61" s="119">
        <f>IFERROR(ROUND(INDEX('배치점수 계산기'!M$11:M$1000,MATCH($C61,'배치점수 계산기'!$U$11:$U$1000,0)),2),"")</f>
        <v>680.49</v>
      </c>
      <c r="Q61" s="41">
        <f>IFERROR(ROUND(INDEX('배치점수 계산기'!N$11:N$1000,MATCH($C61,'배치점수 계산기'!$U$11:$U$1000,0)),2),"")</f>
        <v>678.02</v>
      </c>
      <c r="R61" s="41">
        <f>IFERROR(ROUND(INDEX('배치점수 계산기'!O$11:O$1000,MATCH($C61,'배치점수 계산기'!$U$11:$U$1000,0)),2),"")</f>
        <v>673.05</v>
      </c>
      <c r="S61" s="41">
        <f>IFERROR(ROUND(INDEX('배치점수 계산기'!P$11:P$1000,MATCH($C61,'배치점수 계산기'!$U$11:$U$1000,0)),2),"")</f>
        <v>669.6</v>
      </c>
      <c r="T61" s="41">
        <f>IFERROR(ROUND(INDEX('배치점수 계산기'!Q$11:Q$1000,MATCH($C61,'배치점수 계산기'!$U$11:$U$1000,0)),2),"")</f>
        <v>668.01</v>
      </c>
      <c r="U61" s="41">
        <f>IFERROR(INDEX(환산공식!$DC$16:$DC$301,MATCH(E61,환산공식!$A$16:$A$301,0)),"")</f>
        <v>0</v>
      </c>
      <c r="V61" s="113">
        <f t="shared" si="2"/>
        <v>6</v>
      </c>
      <c r="W61" s="110" t="str">
        <f>INDEX('배치점수 계산기'!$AG$11:$AG$800,MATCH('       가 군       '!$C61,'배치점수 계산기'!$U$11:$U$800,0))</f>
        <v>표점</v>
      </c>
      <c r="X61" s="108" t="str">
        <f>INDEX('배치점수 계산기'!$AH$11:$AH$800,MATCH('       가 군       '!$C61,'배치점수 계산기'!$U$11:$U$800,0))</f>
        <v>변표</v>
      </c>
      <c r="Y61" s="113">
        <f>INDEX('배치점수 계산기'!$AB$11:$AB$800,MATCH('       가 군       '!$C61,'배치점수 계산기'!$U$11:$U$800,0))</f>
        <v>0.3125</v>
      </c>
      <c r="Z61" s="73">
        <f>INDEX('배치점수 계산기'!$AC$11:$AC$800,MATCH('       가 군       '!$C61,'배치점수 계산기'!$U$11:$U$800,0))</f>
        <v>0.375</v>
      </c>
      <c r="AA61" s="63">
        <f>INDEX('배치점수 계산기'!$AD$11:$AD$800,MATCH('       가 군       '!$C61,'배치점수 계산기'!$U$11:$U$800,0))</f>
        <v>0.3125</v>
      </c>
      <c r="AE61" s="7">
        <v>54</v>
      </c>
    </row>
    <row r="62" spans="3:31" x14ac:dyDescent="0.3">
      <c r="C62" s="7" t="s">
        <v>951</v>
      </c>
      <c r="D62" s="41" t="str">
        <f>IFERROR(INDEX('배치점수 계산기'!V$11:V$1000,MATCH($C62,'배치점수 계산기'!$U$11:$U$1000,0)),"")</f>
        <v>고려대 자연</v>
      </c>
      <c r="E62" s="41">
        <f>IFERROR(INDEX('배치점수 계산기'!W$11:W$1000,MATCH($C62,'배치점수 계산기'!$U$11:$U$1000,0)),"")</f>
        <v>23</v>
      </c>
      <c r="F62" s="113" t="s">
        <v>276</v>
      </c>
      <c r="G62" s="41" t="s">
        <v>317</v>
      </c>
      <c r="H62" s="41" t="s">
        <v>746</v>
      </c>
      <c r="I62" s="41" t="s">
        <v>274</v>
      </c>
      <c r="J62" s="41" t="str">
        <f t="shared" si="0"/>
        <v>X</v>
      </c>
      <c r="K62" s="113">
        <f>IFERROR(INDEX(환산공식!CI$16:CI$301,MATCH($E62,환산공식!$A$16:$A$301,0)),"")</f>
        <v>0</v>
      </c>
      <c r="L62" s="41" t="str">
        <f>IFERROR(CONCATENATE(ROUND(INDEX(환산공식!CJ$16:CJ$301,MATCH(E62,환산공식!$A$16:$A$301,0)),1),"%"),"")</f>
        <v/>
      </c>
      <c r="M62" s="41">
        <f>IFERROR(INDEX(환산공식!CK$16:CK$301,MATCH(E62,환산공식!$A$16:$A$301,0)),"")</f>
        <v>10</v>
      </c>
      <c r="N62" s="113" t="str">
        <f t="shared" si="1"/>
        <v>1% 이하</v>
      </c>
      <c r="O62" s="119">
        <f>IFERROR(ROUND(INDEX(환산공식!$EF$16:$EF$301,MATCH(E62,환산공식!$A$16:$A$301,0)),3),"")</f>
        <v>0</v>
      </c>
      <c r="P62" s="119">
        <f>IFERROR(ROUND(INDEX('배치점수 계산기'!M$11:M$1000,MATCH($C62,'배치점수 계산기'!$U$11:$U$1000,0)),2),"")</f>
        <v>680.49</v>
      </c>
      <c r="Q62" s="41">
        <f>IFERROR(ROUND(INDEX('배치점수 계산기'!N$11:N$1000,MATCH($C62,'배치점수 계산기'!$U$11:$U$1000,0)),2),"")</f>
        <v>678.02</v>
      </c>
      <c r="R62" s="41">
        <f>IFERROR(ROUND(INDEX('배치점수 계산기'!O$11:O$1000,MATCH($C62,'배치점수 계산기'!$U$11:$U$1000,0)),2),"")</f>
        <v>671.8</v>
      </c>
      <c r="S62" s="41">
        <f>IFERROR(ROUND(INDEX('배치점수 계산기'!P$11:P$1000,MATCH($C62,'배치점수 계산기'!$U$11:$U$1000,0)),2),"")</f>
        <v>668.32</v>
      </c>
      <c r="T62" s="41">
        <f>IFERROR(ROUND(INDEX('배치점수 계산기'!Q$11:Q$1000,MATCH($C62,'배치점수 계산기'!$U$11:$U$1000,0)),2),"")</f>
        <v>666.36</v>
      </c>
      <c r="U62" s="41">
        <f>IFERROR(INDEX(환산공식!$DC$16:$DC$301,MATCH(E62,환산공식!$A$16:$A$301,0)),"")</f>
        <v>0</v>
      </c>
      <c r="V62" s="113">
        <f t="shared" si="2"/>
        <v>6</v>
      </c>
      <c r="W62" s="110" t="str">
        <f>INDEX('배치점수 계산기'!$AG$11:$AG$800,MATCH('       가 군       '!$C62,'배치점수 계산기'!$U$11:$U$800,0))</f>
        <v>표점</v>
      </c>
      <c r="X62" s="108" t="str">
        <f>INDEX('배치점수 계산기'!$AH$11:$AH$800,MATCH('       가 군       '!$C62,'배치점수 계산기'!$U$11:$U$800,0))</f>
        <v>변표</v>
      </c>
      <c r="Y62" s="113">
        <f>INDEX('배치점수 계산기'!$AB$11:$AB$800,MATCH('       가 군       '!$C62,'배치점수 계산기'!$U$11:$U$800,0))</f>
        <v>0.3125</v>
      </c>
      <c r="Z62" s="73">
        <f>INDEX('배치점수 계산기'!$AC$11:$AC$800,MATCH('       가 군       '!$C62,'배치점수 계산기'!$U$11:$U$800,0))</f>
        <v>0.375</v>
      </c>
      <c r="AA62" s="63">
        <f>INDEX('배치점수 계산기'!$AD$11:$AD$800,MATCH('       가 군       '!$C62,'배치점수 계산기'!$U$11:$U$800,0))</f>
        <v>0.3125</v>
      </c>
      <c r="AE62" s="7">
        <v>55</v>
      </c>
    </row>
    <row r="63" spans="3:31" x14ac:dyDescent="0.3">
      <c r="C63" s="7" t="s">
        <v>952</v>
      </c>
      <c r="D63" s="41" t="str">
        <f>IFERROR(INDEX('배치점수 계산기'!V$11:V$1000,MATCH($C63,'배치점수 계산기'!$U$11:$U$1000,0)),"")</f>
        <v>고려대 자연</v>
      </c>
      <c r="E63" s="41">
        <f>IFERROR(INDEX('배치점수 계산기'!W$11:W$1000,MATCH($C63,'배치점수 계산기'!$U$11:$U$1000,0)),"")</f>
        <v>23</v>
      </c>
      <c r="F63" s="113" t="s">
        <v>276</v>
      </c>
      <c r="G63" s="41" t="s">
        <v>317</v>
      </c>
      <c r="H63" s="41" t="s">
        <v>279</v>
      </c>
      <c r="I63" s="41" t="s">
        <v>274</v>
      </c>
      <c r="J63" s="41" t="str">
        <f t="shared" si="0"/>
        <v>X</v>
      </c>
      <c r="K63" s="113">
        <f>IFERROR(INDEX(환산공식!CI$16:CI$301,MATCH($E63,환산공식!$A$16:$A$301,0)),"")</f>
        <v>0</v>
      </c>
      <c r="L63" s="41" t="str">
        <f>IFERROR(CONCATENATE(ROUND(INDEX(환산공식!CJ$16:CJ$301,MATCH(E63,환산공식!$A$16:$A$301,0)),1),"%"),"")</f>
        <v/>
      </c>
      <c r="M63" s="41">
        <f>IFERROR(INDEX(환산공식!CK$16:CK$301,MATCH(E63,환산공식!$A$16:$A$301,0)),"")</f>
        <v>10</v>
      </c>
      <c r="N63" s="113" t="str">
        <f t="shared" si="1"/>
        <v>1% 이하</v>
      </c>
      <c r="O63" s="119">
        <f>IFERROR(ROUND(INDEX(환산공식!$EF$16:$EF$301,MATCH(E63,환산공식!$A$16:$A$301,0)),3),"")</f>
        <v>0</v>
      </c>
      <c r="P63" s="119">
        <f>IFERROR(ROUND(INDEX('배치점수 계산기'!M$11:M$1000,MATCH($C63,'배치점수 계산기'!$U$11:$U$1000,0)),2),"")</f>
        <v>678.02</v>
      </c>
      <c r="Q63" s="41">
        <f>IFERROR(ROUND(INDEX('배치점수 계산기'!N$11:N$1000,MATCH($C63,'배치점수 계산기'!$U$11:$U$1000,0)),2),"")</f>
        <v>674.14</v>
      </c>
      <c r="R63" s="41">
        <f>IFERROR(ROUND(INDEX('배치점수 계산기'!O$11:O$1000,MATCH($C63,'배치점수 계산기'!$U$11:$U$1000,0)),2),"")</f>
        <v>670.67</v>
      </c>
      <c r="S63" s="41">
        <f>IFERROR(ROUND(INDEX('배치점수 계산기'!P$11:P$1000,MATCH($C63,'배치점수 계산기'!$U$11:$U$1000,0)),2),"")</f>
        <v>667.45</v>
      </c>
      <c r="T63" s="41">
        <f>IFERROR(ROUND(INDEX('배치점수 계산기'!Q$11:Q$1000,MATCH($C63,'배치점수 계산기'!$U$11:$U$1000,0)),2),"")</f>
        <v>665.38</v>
      </c>
      <c r="U63" s="41">
        <f>IFERROR(INDEX(환산공식!$DC$16:$DC$301,MATCH(E63,환산공식!$A$16:$A$301,0)),"")</f>
        <v>0</v>
      </c>
      <c r="V63" s="113">
        <f t="shared" si="2"/>
        <v>6</v>
      </c>
      <c r="W63" s="110" t="str">
        <f>INDEX('배치점수 계산기'!$AG$11:$AG$800,MATCH('       가 군       '!$C63,'배치점수 계산기'!$U$11:$U$800,0))</f>
        <v>표점</v>
      </c>
      <c r="X63" s="108" t="str">
        <f>INDEX('배치점수 계산기'!$AH$11:$AH$800,MATCH('       가 군       '!$C63,'배치점수 계산기'!$U$11:$U$800,0))</f>
        <v>변표</v>
      </c>
      <c r="Y63" s="113">
        <f>INDEX('배치점수 계산기'!$AB$11:$AB$800,MATCH('       가 군       '!$C63,'배치점수 계산기'!$U$11:$U$800,0))</f>
        <v>0.3125</v>
      </c>
      <c r="Z63" s="73">
        <f>INDEX('배치점수 계산기'!$AC$11:$AC$800,MATCH('       가 군       '!$C63,'배치점수 계산기'!$U$11:$U$800,0))</f>
        <v>0.375</v>
      </c>
      <c r="AA63" s="63">
        <f>INDEX('배치점수 계산기'!$AD$11:$AD$800,MATCH('       가 군       '!$C63,'배치점수 계산기'!$U$11:$U$800,0))</f>
        <v>0.3125</v>
      </c>
      <c r="AE63" s="7">
        <v>56</v>
      </c>
    </row>
    <row r="64" spans="3:31" x14ac:dyDescent="0.3">
      <c r="C64" s="7" t="s">
        <v>953</v>
      </c>
      <c r="D64" s="41" t="str">
        <f>IFERROR(INDEX('배치점수 계산기'!V$11:V$1000,MATCH($C64,'배치점수 계산기'!$U$11:$U$1000,0)),"")</f>
        <v>고려대 자연</v>
      </c>
      <c r="E64" s="41">
        <f>IFERROR(INDEX('배치점수 계산기'!W$11:W$1000,MATCH($C64,'배치점수 계산기'!$U$11:$U$1000,0)),"")</f>
        <v>23</v>
      </c>
      <c r="F64" s="113" t="s">
        <v>276</v>
      </c>
      <c r="G64" s="41" t="s">
        <v>317</v>
      </c>
      <c r="H64" s="41" t="s">
        <v>281</v>
      </c>
      <c r="I64" s="41" t="s">
        <v>274</v>
      </c>
      <c r="J64" s="41" t="str">
        <f t="shared" si="0"/>
        <v>X</v>
      </c>
      <c r="K64" s="113">
        <f>IFERROR(INDEX(환산공식!CI$16:CI$301,MATCH($E64,환산공식!$A$16:$A$301,0)),"")</f>
        <v>0</v>
      </c>
      <c r="L64" s="41" t="str">
        <f>IFERROR(CONCATENATE(ROUND(INDEX(환산공식!CJ$16:CJ$301,MATCH(E64,환산공식!$A$16:$A$301,0)),1),"%"),"")</f>
        <v/>
      </c>
      <c r="M64" s="41">
        <f>IFERROR(INDEX(환산공식!CK$16:CK$301,MATCH(E64,환산공식!$A$16:$A$301,0)),"")</f>
        <v>10</v>
      </c>
      <c r="N64" s="113" t="str">
        <f t="shared" si="1"/>
        <v>1% 이하</v>
      </c>
      <c r="O64" s="119">
        <f>IFERROR(ROUND(INDEX(환산공식!$EF$16:$EF$301,MATCH(E64,환산공식!$A$16:$A$301,0)),3),"")</f>
        <v>0</v>
      </c>
      <c r="P64" s="119">
        <f>IFERROR(ROUND(INDEX('배치점수 계산기'!M$11:M$1000,MATCH($C64,'배치점수 계산기'!$U$11:$U$1000,0)),2),"")</f>
        <v>673.05</v>
      </c>
      <c r="Q64" s="41">
        <f>IFERROR(ROUND(INDEX('배치점수 계산기'!N$11:N$1000,MATCH($C64,'배치점수 계산기'!$U$11:$U$1000,0)),2),"")</f>
        <v>671.52</v>
      </c>
      <c r="R64" s="41">
        <f>IFERROR(ROUND(INDEX('배치점수 계산기'!O$11:O$1000,MATCH($C64,'배치점수 계산기'!$U$11:$U$1000,0)),2),"")</f>
        <v>668.92</v>
      </c>
      <c r="S64" s="41">
        <f>IFERROR(ROUND(INDEX('배치점수 계산기'!P$11:P$1000,MATCH($C64,'배치점수 계산기'!$U$11:$U$1000,0)),2),"")</f>
        <v>666.36</v>
      </c>
      <c r="T64" s="41">
        <f>IFERROR(ROUND(INDEX('배치점수 계산기'!Q$11:Q$1000,MATCH($C64,'배치점수 계산기'!$U$11:$U$1000,0)),2),"")</f>
        <v>664.33</v>
      </c>
      <c r="U64" s="41">
        <f>IFERROR(INDEX(환산공식!$DC$16:$DC$301,MATCH(E64,환산공식!$A$16:$A$301,0)),"")</f>
        <v>0</v>
      </c>
      <c r="V64" s="113">
        <f t="shared" si="2"/>
        <v>6</v>
      </c>
      <c r="W64" s="110" t="str">
        <f>INDEX('배치점수 계산기'!$AG$11:$AG$800,MATCH('       가 군       '!$C64,'배치점수 계산기'!$U$11:$U$800,0))</f>
        <v>표점</v>
      </c>
      <c r="X64" s="108" t="str">
        <f>INDEX('배치점수 계산기'!$AH$11:$AH$800,MATCH('       가 군       '!$C64,'배치점수 계산기'!$U$11:$U$800,0))</f>
        <v>변표</v>
      </c>
      <c r="Y64" s="113">
        <f>INDEX('배치점수 계산기'!$AB$11:$AB$800,MATCH('       가 군       '!$C64,'배치점수 계산기'!$U$11:$U$800,0))</f>
        <v>0.3125</v>
      </c>
      <c r="Z64" s="73">
        <f>INDEX('배치점수 계산기'!$AC$11:$AC$800,MATCH('       가 군       '!$C64,'배치점수 계산기'!$U$11:$U$800,0))</f>
        <v>0.375</v>
      </c>
      <c r="AA64" s="63">
        <f>INDEX('배치점수 계산기'!$AD$11:$AD$800,MATCH('       가 군       '!$C64,'배치점수 계산기'!$U$11:$U$800,0))</f>
        <v>0.3125</v>
      </c>
      <c r="AE64" s="7">
        <v>57</v>
      </c>
    </row>
    <row r="65" spans="3:31" x14ac:dyDescent="0.3">
      <c r="C65" s="7" t="s">
        <v>954</v>
      </c>
      <c r="D65" s="41" t="str">
        <f>IFERROR(INDEX('배치점수 계산기'!V$11:V$1000,MATCH($C65,'배치점수 계산기'!$U$11:$U$1000,0)),"")</f>
        <v>고려대 자연</v>
      </c>
      <c r="E65" s="41">
        <f>IFERROR(INDEX('배치점수 계산기'!W$11:W$1000,MATCH($C65,'배치점수 계산기'!$U$11:$U$1000,0)),"")</f>
        <v>23</v>
      </c>
      <c r="F65" s="113" t="s">
        <v>276</v>
      </c>
      <c r="G65" s="41" t="s">
        <v>317</v>
      </c>
      <c r="H65" s="41" t="s">
        <v>280</v>
      </c>
      <c r="I65" s="41" t="s">
        <v>274</v>
      </c>
      <c r="J65" s="41" t="str">
        <f t="shared" si="0"/>
        <v>X</v>
      </c>
      <c r="K65" s="113">
        <f>IFERROR(INDEX(환산공식!CI$16:CI$301,MATCH($E65,환산공식!$A$16:$A$301,0)),"")</f>
        <v>0</v>
      </c>
      <c r="L65" s="41" t="str">
        <f>IFERROR(CONCATENATE(ROUND(INDEX(환산공식!CJ$16:CJ$301,MATCH(E65,환산공식!$A$16:$A$301,0)),1),"%"),"")</f>
        <v/>
      </c>
      <c r="M65" s="41">
        <f>IFERROR(INDEX(환산공식!CK$16:CK$301,MATCH(E65,환산공식!$A$16:$A$301,0)),"")</f>
        <v>10</v>
      </c>
      <c r="N65" s="113" t="str">
        <f t="shared" si="1"/>
        <v>1% 이하</v>
      </c>
      <c r="O65" s="119">
        <f>IFERROR(ROUND(INDEX(환산공식!$EF$16:$EF$301,MATCH(E65,환산공식!$A$16:$A$301,0)),3),"")</f>
        <v>0</v>
      </c>
      <c r="P65" s="119">
        <f>IFERROR(ROUND(INDEX('배치점수 계산기'!M$11:M$1000,MATCH($C65,'배치점수 계산기'!$U$11:$U$1000,0)),2),"")</f>
        <v>670.99</v>
      </c>
      <c r="Q65" s="41">
        <f>IFERROR(ROUND(INDEX('배치점수 계산기'!N$11:N$1000,MATCH($C65,'배치점수 계산기'!$U$11:$U$1000,0)),2),"")</f>
        <v>669.6</v>
      </c>
      <c r="R65" s="41">
        <f>IFERROR(ROUND(INDEX('배치점수 계산기'!O$11:O$1000,MATCH($C65,'배치점수 계산기'!$U$11:$U$1000,0)),2),"")</f>
        <v>667.45</v>
      </c>
      <c r="S65" s="41">
        <f>IFERROR(ROUND(INDEX('배치점수 계산기'!P$11:P$1000,MATCH($C65,'배치점수 계산기'!$U$11:$U$1000,0)),2),"")</f>
        <v>665.53</v>
      </c>
      <c r="T65" s="41">
        <f>IFERROR(ROUND(INDEX('배치점수 계산기'!Q$11:Q$1000,MATCH($C65,'배치점수 계산기'!$U$11:$U$1000,0)),2),"")</f>
        <v>663.8</v>
      </c>
      <c r="U65" s="41">
        <f>IFERROR(INDEX(환산공식!$DC$16:$DC$301,MATCH(E65,환산공식!$A$16:$A$301,0)),"")</f>
        <v>0</v>
      </c>
      <c r="V65" s="113">
        <f t="shared" si="2"/>
        <v>6</v>
      </c>
      <c r="W65" s="110" t="str">
        <f>INDEX('배치점수 계산기'!$AG$11:$AG$800,MATCH('       가 군       '!$C65,'배치점수 계산기'!$U$11:$U$800,0))</f>
        <v>표점</v>
      </c>
      <c r="X65" s="108" t="str">
        <f>INDEX('배치점수 계산기'!$AH$11:$AH$800,MATCH('       가 군       '!$C65,'배치점수 계산기'!$U$11:$U$800,0))</f>
        <v>변표</v>
      </c>
      <c r="Y65" s="113">
        <f>INDEX('배치점수 계산기'!$AB$11:$AB$800,MATCH('       가 군       '!$C65,'배치점수 계산기'!$U$11:$U$800,0))</f>
        <v>0.3125</v>
      </c>
      <c r="Z65" s="73">
        <f>INDEX('배치점수 계산기'!$AC$11:$AC$800,MATCH('       가 군       '!$C65,'배치점수 계산기'!$U$11:$U$800,0))</f>
        <v>0.375</v>
      </c>
      <c r="AA65" s="63">
        <f>INDEX('배치점수 계산기'!$AD$11:$AD$800,MATCH('       가 군       '!$C65,'배치점수 계산기'!$U$11:$U$800,0))</f>
        <v>0.3125</v>
      </c>
      <c r="AE65" s="7">
        <v>58</v>
      </c>
    </row>
    <row r="66" spans="3:31" x14ac:dyDescent="0.3">
      <c r="C66" s="7" t="s">
        <v>955</v>
      </c>
      <c r="D66" s="41" t="str">
        <f>IFERROR(INDEX('배치점수 계산기'!V$11:V$1000,MATCH($C66,'배치점수 계산기'!$U$11:$U$1000,0)),"")</f>
        <v>고려대 자연</v>
      </c>
      <c r="E66" s="41">
        <f>IFERROR(INDEX('배치점수 계산기'!W$11:W$1000,MATCH($C66,'배치점수 계산기'!$U$11:$U$1000,0)),"")</f>
        <v>23</v>
      </c>
      <c r="F66" s="113" t="s">
        <v>276</v>
      </c>
      <c r="G66" s="41" t="s">
        <v>317</v>
      </c>
      <c r="H66" s="41" t="s">
        <v>282</v>
      </c>
      <c r="I66" s="41" t="s">
        <v>274</v>
      </c>
      <c r="J66" s="41" t="str">
        <f t="shared" si="0"/>
        <v>X</v>
      </c>
      <c r="K66" s="113">
        <f>IFERROR(INDEX(환산공식!CI$16:CI$301,MATCH($E66,환산공식!$A$16:$A$301,0)),"")</f>
        <v>0</v>
      </c>
      <c r="L66" s="41" t="str">
        <f>IFERROR(CONCATENATE(ROUND(INDEX(환산공식!CJ$16:CJ$301,MATCH(E66,환산공식!$A$16:$A$301,0)),1),"%"),"")</f>
        <v/>
      </c>
      <c r="M66" s="41">
        <f>IFERROR(INDEX(환산공식!CK$16:CK$301,MATCH(E66,환산공식!$A$16:$A$301,0)),"")</f>
        <v>10</v>
      </c>
      <c r="N66" s="113" t="str">
        <f t="shared" si="1"/>
        <v>1% 이하</v>
      </c>
      <c r="O66" s="119">
        <f>IFERROR(ROUND(INDEX(환산공식!$EF$16:$EF$301,MATCH(E66,환산공식!$A$16:$A$301,0)),3),"")</f>
        <v>0</v>
      </c>
      <c r="P66" s="119">
        <f>IFERROR(ROUND(INDEX('배치점수 계산기'!M$11:M$1000,MATCH($C66,'배치점수 계산기'!$U$11:$U$1000,0)),2),"")</f>
        <v>673.67</v>
      </c>
      <c r="Q66" s="41">
        <f>IFERROR(ROUND(INDEX('배치점수 계산기'!N$11:N$1000,MATCH($C66,'배치점수 계산기'!$U$11:$U$1000,0)),2),"")</f>
        <v>671.8</v>
      </c>
      <c r="R66" s="41">
        <f>IFERROR(ROUND(INDEX('배치점수 계산기'!O$11:O$1000,MATCH($C66,'배치점수 계산기'!$U$11:$U$1000,0)),2),"")</f>
        <v>668.32</v>
      </c>
      <c r="S66" s="41">
        <f>IFERROR(ROUND(INDEX('배치점수 계산기'!P$11:P$1000,MATCH($C66,'배치점수 계산기'!$U$11:$U$1000,0)),2),"")</f>
        <v>666.36</v>
      </c>
      <c r="T66" s="41">
        <f>IFERROR(ROUND(INDEX('배치점수 계산기'!Q$11:Q$1000,MATCH($C66,'배치점수 계산기'!$U$11:$U$1000,0)),2),"")</f>
        <v>665.24</v>
      </c>
      <c r="U66" s="41">
        <f>IFERROR(INDEX(환산공식!$DC$16:$DC$301,MATCH(E66,환산공식!$A$16:$A$301,0)),"")</f>
        <v>0</v>
      </c>
      <c r="V66" s="113">
        <f t="shared" si="2"/>
        <v>6</v>
      </c>
      <c r="W66" s="110" t="str">
        <f>INDEX('배치점수 계산기'!$AG$11:$AG$800,MATCH('       가 군       '!$C66,'배치점수 계산기'!$U$11:$U$800,0))</f>
        <v>표점</v>
      </c>
      <c r="X66" s="108" t="str">
        <f>INDEX('배치점수 계산기'!$AH$11:$AH$800,MATCH('       가 군       '!$C66,'배치점수 계산기'!$U$11:$U$800,0))</f>
        <v>변표</v>
      </c>
      <c r="Y66" s="113">
        <f>INDEX('배치점수 계산기'!$AB$11:$AB$800,MATCH('       가 군       '!$C66,'배치점수 계산기'!$U$11:$U$800,0))</f>
        <v>0.3125</v>
      </c>
      <c r="Z66" s="73">
        <f>INDEX('배치점수 계산기'!$AC$11:$AC$800,MATCH('       가 군       '!$C66,'배치점수 계산기'!$U$11:$U$800,0))</f>
        <v>0.375</v>
      </c>
      <c r="AA66" s="63">
        <f>INDEX('배치점수 계산기'!$AD$11:$AD$800,MATCH('       가 군       '!$C66,'배치점수 계산기'!$U$11:$U$800,0))</f>
        <v>0.3125</v>
      </c>
      <c r="AE66" s="7">
        <v>59</v>
      </c>
    </row>
    <row r="67" spans="3:31" x14ac:dyDescent="0.3">
      <c r="C67" s="7" t="s">
        <v>956</v>
      </c>
      <c r="D67" s="41" t="str">
        <f>IFERROR(INDEX('배치점수 계산기'!V$11:V$1000,MATCH($C67,'배치점수 계산기'!$U$11:$U$1000,0)),"")</f>
        <v>고려대 자연</v>
      </c>
      <c r="E67" s="41">
        <f>IFERROR(INDEX('배치점수 계산기'!W$11:W$1000,MATCH($C67,'배치점수 계산기'!$U$11:$U$1000,0)),"")</f>
        <v>23</v>
      </c>
      <c r="F67" s="113" t="s">
        <v>276</v>
      </c>
      <c r="G67" s="41" t="s">
        <v>317</v>
      </c>
      <c r="H67" s="41" t="s">
        <v>319</v>
      </c>
      <c r="I67" s="41" t="s">
        <v>274</v>
      </c>
      <c r="J67" s="41" t="str">
        <f t="shared" si="0"/>
        <v>X</v>
      </c>
      <c r="K67" s="113">
        <f>IFERROR(INDEX(환산공식!CI$16:CI$301,MATCH($E67,환산공식!$A$16:$A$301,0)),"")</f>
        <v>0</v>
      </c>
      <c r="L67" s="41" t="str">
        <f>IFERROR(CONCATENATE(ROUND(INDEX(환산공식!CJ$16:CJ$301,MATCH(E67,환산공식!$A$16:$A$301,0)),1),"%"),"")</f>
        <v/>
      </c>
      <c r="M67" s="41">
        <f>IFERROR(INDEX(환산공식!CK$16:CK$301,MATCH(E67,환산공식!$A$16:$A$301,0)),"")</f>
        <v>10</v>
      </c>
      <c r="N67" s="113" t="str">
        <f t="shared" si="1"/>
        <v>1% 이하</v>
      </c>
      <c r="O67" s="119">
        <f>IFERROR(ROUND(INDEX(환산공식!$EF$16:$EF$301,MATCH(E67,환산공식!$A$16:$A$301,0)),3),"")</f>
        <v>0</v>
      </c>
      <c r="P67" s="119">
        <f>IFERROR(ROUND(INDEX('배치점수 계산기'!M$11:M$1000,MATCH($C67,'배치점수 계산기'!$U$11:$U$1000,0)),2),"")</f>
        <v>674.14</v>
      </c>
      <c r="Q67" s="41">
        <f>IFERROR(ROUND(INDEX('배치점수 계산기'!N$11:N$1000,MATCH($C67,'배치점수 계산기'!$U$11:$U$1000,0)),2),"")</f>
        <v>671.52</v>
      </c>
      <c r="R67" s="41">
        <f>IFERROR(ROUND(INDEX('배치점수 계산기'!O$11:O$1000,MATCH($C67,'배치점수 계산기'!$U$11:$U$1000,0)),2),"")</f>
        <v>668.92</v>
      </c>
      <c r="S67" s="41">
        <f>IFERROR(ROUND(INDEX('배치점수 계산기'!P$11:P$1000,MATCH($C67,'배치점수 계산기'!$U$11:$U$1000,0)),2),"")</f>
        <v>666.36</v>
      </c>
      <c r="T67" s="41">
        <f>IFERROR(ROUND(INDEX('배치점수 계산기'!Q$11:Q$1000,MATCH($C67,'배치점수 계산기'!$U$11:$U$1000,0)),2),"")</f>
        <v>663.8</v>
      </c>
      <c r="U67" s="41">
        <f>IFERROR(INDEX(환산공식!$DC$16:$DC$301,MATCH(E67,환산공식!$A$16:$A$301,0)),"")</f>
        <v>0</v>
      </c>
      <c r="V67" s="113">
        <f t="shared" si="2"/>
        <v>6</v>
      </c>
      <c r="W67" s="110" t="str">
        <f>INDEX('배치점수 계산기'!$AG$11:$AG$800,MATCH('       가 군       '!$C67,'배치점수 계산기'!$U$11:$U$800,0))</f>
        <v>표점</v>
      </c>
      <c r="X67" s="108" t="str">
        <f>INDEX('배치점수 계산기'!$AH$11:$AH$800,MATCH('       가 군       '!$C67,'배치점수 계산기'!$U$11:$U$800,0))</f>
        <v>변표</v>
      </c>
      <c r="Y67" s="113">
        <f>INDEX('배치점수 계산기'!$AB$11:$AB$800,MATCH('       가 군       '!$C67,'배치점수 계산기'!$U$11:$U$800,0))</f>
        <v>0.3125</v>
      </c>
      <c r="Z67" s="73">
        <f>INDEX('배치점수 계산기'!$AC$11:$AC$800,MATCH('       가 군       '!$C67,'배치점수 계산기'!$U$11:$U$800,0))</f>
        <v>0.375</v>
      </c>
      <c r="AA67" s="63">
        <f>INDEX('배치점수 계산기'!$AD$11:$AD$800,MATCH('       가 군       '!$C67,'배치점수 계산기'!$U$11:$U$800,0))</f>
        <v>0.3125</v>
      </c>
      <c r="AE67" s="7">
        <v>60</v>
      </c>
    </row>
    <row r="68" spans="3:31" x14ac:dyDescent="0.3">
      <c r="C68" s="7" t="s">
        <v>957</v>
      </c>
      <c r="D68" s="41" t="str">
        <f>IFERROR(INDEX('배치점수 계산기'!V$11:V$1000,MATCH($C68,'배치점수 계산기'!$U$11:$U$1000,0)),"")</f>
        <v>고려대 자연</v>
      </c>
      <c r="E68" s="41">
        <f>IFERROR(INDEX('배치점수 계산기'!W$11:W$1000,MATCH($C68,'배치점수 계산기'!$U$11:$U$1000,0)),"")</f>
        <v>23</v>
      </c>
      <c r="F68" s="113" t="s">
        <v>276</v>
      </c>
      <c r="G68" s="41" t="s">
        <v>317</v>
      </c>
      <c r="H68" s="41" t="s">
        <v>320</v>
      </c>
      <c r="I68" s="41" t="s">
        <v>274</v>
      </c>
      <c r="J68" s="41" t="str">
        <f t="shared" si="0"/>
        <v>X</v>
      </c>
      <c r="K68" s="113">
        <f>IFERROR(INDEX(환산공식!CI$16:CI$301,MATCH($E68,환산공식!$A$16:$A$301,0)),"")</f>
        <v>0</v>
      </c>
      <c r="L68" s="41" t="str">
        <f>IFERROR(CONCATENATE(ROUND(INDEX(환산공식!CJ$16:CJ$301,MATCH(E68,환산공식!$A$16:$A$301,0)),1),"%"),"")</f>
        <v/>
      </c>
      <c r="M68" s="41">
        <f>IFERROR(INDEX(환산공식!CK$16:CK$301,MATCH(E68,환산공식!$A$16:$A$301,0)),"")</f>
        <v>10</v>
      </c>
      <c r="N68" s="113" t="str">
        <f t="shared" si="1"/>
        <v>1% 이하</v>
      </c>
      <c r="O68" s="119">
        <f>IFERROR(ROUND(INDEX(환산공식!$EF$16:$EF$301,MATCH(E68,환산공식!$A$16:$A$301,0)),3),"")</f>
        <v>0</v>
      </c>
      <c r="P68" s="119">
        <f>IFERROR(ROUND(INDEX('배치점수 계산기'!M$11:M$1000,MATCH($C68,'배치점수 계산기'!$U$11:$U$1000,0)),2),"")</f>
        <v>673.87</v>
      </c>
      <c r="Q68" s="41">
        <f>IFERROR(ROUND(INDEX('배치점수 계산기'!N$11:N$1000,MATCH($C68,'배치점수 계산기'!$U$11:$U$1000,0)),2),"")</f>
        <v>670.67</v>
      </c>
      <c r="R68" s="41">
        <f>IFERROR(ROUND(INDEX('배치점수 계산기'!O$11:O$1000,MATCH($C68,'배치점수 계산기'!$U$11:$U$1000,0)),2),"")</f>
        <v>668.01</v>
      </c>
      <c r="S68" s="41">
        <f>IFERROR(ROUND(INDEX('배치점수 계산기'!P$11:P$1000,MATCH($C68,'배치점수 계산기'!$U$11:$U$1000,0)),2),"")</f>
        <v>665.38</v>
      </c>
      <c r="T68" s="41">
        <f>IFERROR(ROUND(INDEX('배치점수 계산기'!Q$11:Q$1000,MATCH($C68,'배치점수 계산기'!$U$11:$U$1000,0)),2),"")</f>
        <v>663.8</v>
      </c>
      <c r="U68" s="41">
        <f>IFERROR(INDEX(환산공식!$DC$16:$DC$301,MATCH(E68,환산공식!$A$16:$A$301,0)),"")</f>
        <v>0</v>
      </c>
      <c r="V68" s="113">
        <f t="shared" si="2"/>
        <v>6</v>
      </c>
      <c r="W68" s="110" t="str">
        <f>INDEX('배치점수 계산기'!$AG$11:$AG$800,MATCH('       가 군       '!$C68,'배치점수 계산기'!$U$11:$U$800,0))</f>
        <v>표점</v>
      </c>
      <c r="X68" s="108" t="str">
        <f>INDEX('배치점수 계산기'!$AH$11:$AH$800,MATCH('       가 군       '!$C68,'배치점수 계산기'!$U$11:$U$800,0))</f>
        <v>변표</v>
      </c>
      <c r="Y68" s="113">
        <f>INDEX('배치점수 계산기'!$AB$11:$AB$800,MATCH('       가 군       '!$C68,'배치점수 계산기'!$U$11:$U$800,0))</f>
        <v>0.3125</v>
      </c>
      <c r="Z68" s="73">
        <f>INDEX('배치점수 계산기'!$AC$11:$AC$800,MATCH('       가 군       '!$C68,'배치점수 계산기'!$U$11:$U$800,0))</f>
        <v>0.375</v>
      </c>
      <c r="AA68" s="63">
        <f>INDEX('배치점수 계산기'!$AD$11:$AD$800,MATCH('       가 군       '!$C68,'배치점수 계산기'!$U$11:$U$800,0))</f>
        <v>0.3125</v>
      </c>
      <c r="AE68" s="7">
        <v>61</v>
      </c>
    </row>
    <row r="69" spans="3:31" x14ac:dyDescent="0.3">
      <c r="C69" s="7" t="s">
        <v>958</v>
      </c>
      <c r="D69" s="41" t="str">
        <f>IFERROR(INDEX('배치점수 계산기'!V$11:V$1000,MATCH($C69,'배치점수 계산기'!$U$11:$U$1000,0)),"")</f>
        <v>고려대 자연</v>
      </c>
      <c r="E69" s="41">
        <f>IFERROR(INDEX('배치점수 계산기'!W$11:W$1000,MATCH($C69,'배치점수 계산기'!$U$11:$U$1000,0)),"")</f>
        <v>23</v>
      </c>
      <c r="F69" s="113" t="s">
        <v>276</v>
      </c>
      <c r="G69" s="41" t="s">
        <v>317</v>
      </c>
      <c r="H69" s="41" t="s">
        <v>321</v>
      </c>
      <c r="I69" s="41" t="s">
        <v>274</v>
      </c>
      <c r="J69" s="41" t="str">
        <f t="shared" si="0"/>
        <v>X</v>
      </c>
      <c r="K69" s="113">
        <f>IFERROR(INDEX(환산공식!CI$16:CI$301,MATCH($E69,환산공식!$A$16:$A$301,0)),"")</f>
        <v>0</v>
      </c>
      <c r="L69" s="41" t="str">
        <f>IFERROR(CONCATENATE(ROUND(INDEX(환산공식!CJ$16:CJ$301,MATCH(E69,환산공식!$A$16:$A$301,0)),1),"%"),"")</f>
        <v/>
      </c>
      <c r="M69" s="41">
        <f>IFERROR(INDEX(환산공식!CK$16:CK$301,MATCH(E69,환산공식!$A$16:$A$301,0)),"")</f>
        <v>10</v>
      </c>
      <c r="N69" s="113" t="str">
        <f t="shared" si="1"/>
        <v>1% 이하</v>
      </c>
      <c r="O69" s="119">
        <f>IFERROR(ROUND(INDEX(환산공식!$EF$16:$EF$301,MATCH(E69,환산공식!$A$16:$A$301,0)),3),"")</f>
        <v>0</v>
      </c>
      <c r="P69" s="119">
        <f>IFERROR(ROUND(INDEX('배치점수 계산기'!M$11:M$1000,MATCH($C69,'배치점수 계산기'!$U$11:$U$1000,0)),2),"")</f>
        <v>669.6</v>
      </c>
      <c r="Q69" s="41">
        <f>IFERROR(ROUND(INDEX('배치점수 계산기'!N$11:N$1000,MATCH($C69,'배치점수 계산기'!$U$11:$U$1000,0)),2),"")</f>
        <v>668.32</v>
      </c>
      <c r="R69" s="41">
        <f>IFERROR(ROUND(INDEX('배치점수 계산기'!O$11:O$1000,MATCH($C69,'배치점수 계산기'!$U$11:$U$1000,0)),2),"")</f>
        <v>667.16</v>
      </c>
      <c r="S69" s="41">
        <f>IFERROR(ROUND(INDEX('배치점수 계산기'!P$11:P$1000,MATCH($C69,'배치점수 계산기'!$U$11:$U$1000,0)),2),"")</f>
        <v>665.38</v>
      </c>
      <c r="T69" s="41">
        <f>IFERROR(ROUND(INDEX('배치점수 계산기'!Q$11:Q$1000,MATCH($C69,'배치점수 계산기'!$U$11:$U$1000,0)),2),"")</f>
        <v>663.46</v>
      </c>
      <c r="U69" s="41">
        <f>IFERROR(INDEX(환산공식!$DC$16:$DC$301,MATCH(E69,환산공식!$A$16:$A$301,0)),"")</f>
        <v>0</v>
      </c>
      <c r="V69" s="113">
        <f t="shared" si="2"/>
        <v>6</v>
      </c>
      <c r="W69" s="110" t="str">
        <f>INDEX('배치점수 계산기'!$AG$11:$AG$800,MATCH('       가 군       '!$C69,'배치점수 계산기'!$U$11:$U$800,0))</f>
        <v>표점</v>
      </c>
      <c r="X69" s="108" t="str">
        <f>INDEX('배치점수 계산기'!$AH$11:$AH$800,MATCH('       가 군       '!$C69,'배치점수 계산기'!$U$11:$U$800,0))</f>
        <v>변표</v>
      </c>
      <c r="Y69" s="113">
        <f>INDEX('배치점수 계산기'!$AB$11:$AB$800,MATCH('       가 군       '!$C69,'배치점수 계산기'!$U$11:$U$800,0))</f>
        <v>0.3125</v>
      </c>
      <c r="Z69" s="73">
        <f>INDEX('배치점수 계산기'!$AC$11:$AC$800,MATCH('       가 군       '!$C69,'배치점수 계산기'!$U$11:$U$800,0))</f>
        <v>0.375</v>
      </c>
      <c r="AA69" s="63">
        <f>INDEX('배치점수 계산기'!$AD$11:$AD$800,MATCH('       가 군       '!$C69,'배치점수 계산기'!$U$11:$U$800,0))</f>
        <v>0.3125</v>
      </c>
      <c r="AE69" s="7">
        <v>62</v>
      </c>
    </row>
    <row r="70" spans="3:31" x14ac:dyDescent="0.3">
      <c r="C70" s="7" t="s">
        <v>959</v>
      </c>
      <c r="D70" s="41" t="str">
        <f>IFERROR(INDEX('배치점수 계산기'!V$11:V$1000,MATCH($C70,'배치점수 계산기'!$U$11:$U$1000,0)),"")</f>
        <v>고려대 자연</v>
      </c>
      <c r="E70" s="41">
        <f>IFERROR(INDEX('배치점수 계산기'!W$11:W$1000,MATCH($C70,'배치점수 계산기'!$U$11:$U$1000,0)),"")</f>
        <v>23</v>
      </c>
      <c r="F70" s="113" t="s">
        <v>276</v>
      </c>
      <c r="G70" s="41" t="s">
        <v>317</v>
      </c>
      <c r="H70" s="41" t="s">
        <v>322</v>
      </c>
      <c r="I70" s="41" t="s">
        <v>274</v>
      </c>
      <c r="J70" s="41" t="str">
        <f t="shared" si="0"/>
        <v>X</v>
      </c>
      <c r="K70" s="113">
        <f>IFERROR(INDEX(환산공식!CI$16:CI$301,MATCH($E70,환산공식!$A$16:$A$301,0)),"")</f>
        <v>0</v>
      </c>
      <c r="L70" s="41" t="str">
        <f>IFERROR(CONCATENATE(ROUND(INDEX(환산공식!CJ$16:CJ$301,MATCH(E70,환산공식!$A$16:$A$301,0)),1),"%"),"")</f>
        <v/>
      </c>
      <c r="M70" s="41">
        <f>IFERROR(INDEX(환산공식!CK$16:CK$301,MATCH(E70,환산공식!$A$16:$A$301,0)),"")</f>
        <v>10</v>
      </c>
      <c r="N70" s="113" t="str">
        <f t="shared" si="1"/>
        <v>1% 이하</v>
      </c>
      <c r="O70" s="119">
        <f>IFERROR(ROUND(INDEX(환산공식!$EF$16:$EF$301,MATCH(E70,환산공식!$A$16:$A$301,0)),3),"")</f>
        <v>0</v>
      </c>
      <c r="P70" s="119">
        <f>IFERROR(ROUND(INDEX('배치점수 계산기'!M$11:M$1000,MATCH($C70,'배치점수 계산기'!$U$11:$U$1000,0)),2),"")</f>
        <v>670.02</v>
      </c>
      <c r="Q70" s="41">
        <f>IFERROR(ROUND(INDEX('배치점수 계산기'!N$11:N$1000,MATCH($C70,'배치점수 계산기'!$U$11:$U$1000,0)),2),"")</f>
        <v>668.32</v>
      </c>
      <c r="R70" s="41">
        <f>IFERROR(ROUND(INDEX('배치점수 계산기'!O$11:O$1000,MATCH($C70,'배치점수 계산기'!$U$11:$U$1000,0)),2),"")</f>
        <v>666.81</v>
      </c>
      <c r="S70" s="41">
        <f>IFERROR(ROUND(INDEX('배치점수 계산기'!P$11:P$1000,MATCH($C70,'배치점수 계산기'!$U$11:$U$1000,0)),2),"")</f>
        <v>665.24</v>
      </c>
      <c r="T70" s="41">
        <f>IFERROR(ROUND(INDEX('배치점수 계산기'!Q$11:Q$1000,MATCH($C70,'배치점수 계산기'!$U$11:$U$1000,0)),2),"")</f>
        <v>661.18</v>
      </c>
      <c r="U70" s="41">
        <f>IFERROR(INDEX(환산공식!$DC$16:$DC$301,MATCH(E70,환산공식!$A$16:$A$301,0)),"")</f>
        <v>0</v>
      </c>
      <c r="V70" s="113">
        <f t="shared" si="2"/>
        <v>6</v>
      </c>
      <c r="W70" s="110" t="str">
        <f>INDEX('배치점수 계산기'!$AG$11:$AG$800,MATCH('       가 군       '!$C70,'배치점수 계산기'!$U$11:$U$800,0))</f>
        <v>표점</v>
      </c>
      <c r="X70" s="108" t="str">
        <f>INDEX('배치점수 계산기'!$AH$11:$AH$800,MATCH('       가 군       '!$C70,'배치점수 계산기'!$U$11:$U$800,0))</f>
        <v>변표</v>
      </c>
      <c r="Y70" s="113">
        <f>INDEX('배치점수 계산기'!$AB$11:$AB$800,MATCH('       가 군       '!$C70,'배치점수 계산기'!$U$11:$U$800,0))</f>
        <v>0.3125</v>
      </c>
      <c r="Z70" s="73">
        <f>INDEX('배치점수 계산기'!$AC$11:$AC$800,MATCH('       가 군       '!$C70,'배치점수 계산기'!$U$11:$U$800,0))</f>
        <v>0.375</v>
      </c>
      <c r="AA70" s="63">
        <f>INDEX('배치점수 계산기'!$AD$11:$AD$800,MATCH('       가 군       '!$C70,'배치점수 계산기'!$U$11:$U$800,0))</f>
        <v>0.3125</v>
      </c>
      <c r="AE70" s="7">
        <v>63</v>
      </c>
    </row>
    <row r="71" spans="3:31" x14ac:dyDescent="0.3">
      <c r="C71" s="7" t="s">
        <v>960</v>
      </c>
      <c r="D71" s="41" t="str">
        <f>IFERROR(INDEX('배치점수 계산기'!V$11:V$1000,MATCH($C71,'배치점수 계산기'!$U$11:$U$1000,0)),"")</f>
        <v>고려대 자연</v>
      </c>
      <c r="E71" s="41">
        <f>IFERROR(INDEX('배치점수 계산기'!W$11:W$1000,MATCH($C71,'배치점수 계산기'!$U$11:$U$1000,0)),"")</f>
        <v>23</v>
      </c>
      <c r="F71" s="113" t="s">
        <v>276</v>
      </c>
      <c r="G71" s="41" t="s">
        <v>317</v>
      </c>
      <c r="H71" s="41" t="s">
        <v>323</v>
      </c>
      <c r="I71" s="41" t="s">
        <v>274</v>
      </c>
      <c r="J71" s="41" t="str">
        <f t="shared" si="0"/>
        <v>X</v>
      </c>
      <c r="K71" s="113">
        <f>IFERROR(INDEX(환산공식!CI$16:CI$301,MATCH($E71,환산공식!$A$16:$A$301,0)),"")</f>
        <v>0</v>
      </c>
      <c r="L71" s="41" t="str">
        <f>IFERROR(CONCATENATE(ROUND(INDEX(환산공식!CJ$16:CJ$301,MATCH(E71,환산공식!$A$16:$A$301,0)),1),"%"),"")</f>
        <v/>
      </c>
      <c r="M71" s="41">
        <f>IFERROR(INDEX(환산공식!CK$16:CK$301,MATCH(E71,환산공식!$A$16:$A$301,0)),"")</f>
        <v>10</v>
      </c>
      <c r="N71" s="113" t="str">
        <f t="shared" si="1"/>
        <v>1% 이하</v>
      </c>
      <c r="O71" s="119">
        <f>IFERROR(ROUND(INDEX(환산공식!$EF$16:$EF$301,MATCH(E71,환산공식!$A$16:$A$301,0)),3),"")</f>
        <v>0</v>
      </c>
      <c r="P71" s="119">
        <f>IFERROR(ROUND(INDEX('배치점수 계산기'!M$11:M$1000,MATCH($C71,'배치점수 계산기'!$U$11:$U$1000,0)),2),"")</f>
        <v>669.26</v>
      </c>
      <c r="Q71" s="41">
        <f>IFERROR(ROUND(INDEX('배치점수 계산기'!N$11:N$1000,MATCH($C71,'배치점수 계산기'!$U$11:$U$1000,0)),2),"")</f>
        <v>667.45</v>
      </c>
      <c r="R71" s="41">
        <f>IFERROR(ROUND(INDEX('배치점수 계산기'!O$11:O$1000,MATCH($C71,'배치점수 계산기'!$U$11:$U$1000,0)),2),"")</f>
        <v>665.53</v>
      </c>
      <c r="S71" s="41">
        <f>IFERROR(ROUND(INDEX('배치점수 계산기'!P$11:P$1000,MATCH($C71,'배치점수 계산기'!$U$11:$U$1000,0)),2),"")</f>
        <v>664.33</v>
      </c>
      <c r="T71" s="41">
        <f>IFERROR(ROUND(INDEX('배치점수 계산기'!Q$11:Q$1000,MATCH($C71,'배치점수 계산기'!$U$11:$U$1000,0)),2),"")</f>
        <v>661.18</v>
      </c>
      <c r="U71" s="41">
        <f>IFERROR(INDEX(환산공식!$DC$16:$DC$301,MATCH(E71,환산공식!$A$16:$A$301,0)),"")</f>
        <v>0</v>
      </c>
      <c r="V71" s="113">
        <f t="shared" si="2"/>
        <v>6</v>
      </c>
      <c r="W71" s="110" t="str">
        <f>INDEX('배치점수 계산기'!$AG$11:$AG$800,MATCH('       가 군       '!$C71,'배치점수 계산기'!$U$11:$U$800,0))</f>
        <v>표점</v>
      </c>
      <c r="X71" s="108" t="str">
        <f>INDEX('배치점수 계산기'!$AH$11:$AH$800,MATCH('       가 군       '!$C71,'배치점수 계산기'!$U$11:$U$800,0))</f>
        <v>변표</v>
      </c>
      <c r="Y71" s="113">
        <f>INDEX('배치점수 계산기'!$AB$11:$AB$800,MATCH('       가 군       '!$C71,'배치점수 계산기'!$U$11:$U$800,0))</f>
        <v>0.3125</v>
      </c>
      <c r="Z71" s="73">
        <f>INDEX('배치점수 계산기'!$AC$11:$AC$800,MATCH('       가 군       '!$C71,'배치점수 계산기'!$U$11:$U$800,0))</f>
        <v>0.375</v>
      </c>
      <c r="AA71" s="63">
        <f>INDEX('배치점수 계산기'!$AD$11:$AD$800,MATCH('       가 군       '!$C71,'배치점수 계산기'!$U$11:$U$800,0))</f>
        <v>0.3125</v>
      </c>
      <c r="AE71" s="7">
        <v>64</v>
      </c>
    </row>
    <row r="72" spans="3:31" x14ac:dyDescent="0.3">
      <c r="C72" s="7" t="s">
        <v>961</v>
      </c>
      <c r="D72" s="41" t="str">
        <f>IFERROR(INDEX('배치점수 계산기'!V$11:V$1000,MATCH($C72,'배치점수 계산기'!$U$11:$U$1000,0)),"")</f>
        <v>고려대 자연</v>
      </c>
      <c r="E72" s="41">
        <f>IFERROR(INDEX('배치점수 계산기'!W$11:W$1000,MATCH($C72,'배치점수 계산기'!$U$11:$U$1000,0)),"")</f>
        <v>23</v>
      </c>
      <c r="F72" s="113" t="s">
        <v>276</v>
      </c>
      <c r="G72" s="41" t="s">
        <v>317</v>
      </c>
      <c r="H72" s="41" t="s">
        <v>286</v>
      </c>
      <c r="I72" s="41" t="s">
        <v>274</v>
      </c>
      <c r="J72" s="41" t="str">
        <f t="shared" ref="J72:J135" si="3">IFERROR(IF(U72=1,"O",IF(U72=0,"X","")),"")</f>
        <v>X</v>
      </c>
      <c r="K72" s="113">
        <f>IFERROR(INDEX(환산공식!CI$16:CI$301,MATCH($E72,환산공식!$A$16:$A$301,0)),"")</f>
        <v>0</v>
      </c>
      <c r="L72" s="41" t="str">
        <f>IFERROR(CONCATENATE(ROUND(INDEX(환산공식!CJ$16:CJ$301,MATCH(E72,환산공식!$A$16:$A$301,0)),1),"%"),"")</f>
        <v/>
      </c>
      <c r="M72" s="41">
        <f>IFERROR(INDEX(환산공식!CK$16:CK$301,MATCH(E72,환산공식!$A$16:$A$301,0)),"")</f>
        <v>10</v>
      </c>
      <c r="N72" s="113" t="str">
        <f t="shared" ref="N72:N135" si="4">IF(E72="","",IF(O72&gt;P72,"90% 이상",IF(O72&gt;Q72,CONCATENATE(ROUND(((O72-Q72)/(P72-Q72))*20+70,0),"%"),IF(O72&gt;R72,CONCATENATE(ROUND(((O72-R72)/(Q72-R72))*30+40,0),"%"),IF(O72&gt;S72,CONCATENATE(ROUND(((O72-S72)/(R72-S72))*30+10,0),"%"),IF(O72&gt;T72,CONCATENATE(ROUND(((O72-T72)/(S72-T72))*9+1,0),"%"),"1% 이하"))))))</f>
        <v>1% 이하</v>
      </c>
      <c r="O72" s="119">
        <f>IFERROR(ROUND(INDEX(환산공식!$EF$16:$EF$301,MATCH(E72,환산공식!$A$16:$A$301,0)),3),"")</f>
        <v>0</v>
      </c>
      <c r="P72" s="119">
        <f>IFERROR(ROUND(INDEX('배치점수 계산기'!M$11:M$1000,MATCH($C72,'배치점수 계산기'!$U$11:$U$1000,0)),2),"")</f>
        <v>671.52</v>
      </c>
      <c r="Q72" s="41">
        <f>IFERROR(ROUND(INDEX('배치점수 계산기'!N$11:N$1000,MATCH($C72,'배치점수 계산기'!$U$11:$U$1000,0)),2),"")</f>
        <v>669.6</v>
      </c>
      <c r="R72" s="41">
        <f>IFERROR(ROUND(INDEX('배치점수 계산기'!O$11:O$1000,MATCH($C72,'배치점수 계산기'!$U$11:$U$1000,0)),2),"")</f>
        <v>666.81</v>
      </c>
      <c r="S72" s="41">
        <f>IFERROR(ROUND(INDEX('배치점수 계산기'!P$11:P$1000,MATCH($C72,'배치점수 계산기'!$U$11:$U$1000,0)),2),"")</f>
        <v>665.24</v>
      </c>
      <c r="T72" s="41">
        <f>IFERROR(ROUND(INDEX('배치점수 계산기'!Q$11:Q$1000,MATCH($C72,'배치점수 계산기'!$U$11:$U$1000,0)),2),"")</f>
        <v>662.48</v>
      </c>
      <c r="U72" s="41">
        <f>IFERROR(INDEX(환산공식!$DC$16:$DC$301,MATCH(E72,환산공식!$A$16:$A$301,0)),"")</f>
        <v>0</v>
      </c>
      <c r="V72" s="113">
        <f t="shared" ref="V72:V135" si="5">IFERROR(IF(T72="","",IF(O72&gt;P72,1,IF(O72&gt;Q72,2,IF(O72&gt;R72,3,IF(O72&gt;S72,4,IF(O72&gt;=T72,5,IF(O72&lt;T72,6))))))),"")</f>
        <v>6</v>
      </c>
      <c r="W72" s="110" t="str">
        <f>INDEX('배치점수 계산기'!$AG$11:$AG$800,MATCH('       가 군       '!$C72,'배치점수 계산기'!$U$11:$U$800,0))</f>
        <v>표점</v>
      </c>
      <c r="X72" s="108" t="str">
        <f>INDEX('배치점수 계산기'!$AH$11:$AH$800,MATCH('       가 군       '!$C72,'배치점수 계산기'!$U$11:$U$800,0))</f>
        <v>변표</v>
      </c>
      <c r="Y72" s="113">
        <f>INDEX('배치점수 계산기'!$AB$11:$AB$800,MATCH('       가 군       '!$C72,'배치점수 계산기'!$U$11:$U$800,0))</f>
        <v>0.3125</v>
      </c>
      <c r="Z72" s="73">
        <f>INDEX('배치점수 계산기'!$AC$11:$AC$800,MATCH('       가 군       '!$C72,'배치점수 계산기'!$U$11:$U$800,0))</f>
        <v>0.375</v>
      </c>
      <c r="AA72" s="63">
        <f>INDEX('배치점수 계산기'!$AD$11:$AD$800,MATCH('       가 군       '!$C72,'배치점수 계산기'!$U$11:$U$800,0))</f>
        <v>0.3125</v>
      </c>
      <c r="AE72" s="7">
        <v>65</v>
      </c>
    </row>
    <row r="73" spans="3:31" x14ac:dyDescent="0.3">
      <c r="C73" s="7" t="s">
        <v>962</v>
      </c>
      <c r="D73" s="41" t="str">
        <f>IFERROR(INDEX('배치점수 계산기'!V$11:V$1000,MATCH($C73,'배치점수 계산기'!$U$11:$U$1000,0)),"")</f>
        <v>고려대 자연</v>
      </c>
      <c r="E73" s="41">
        <f>IFERROR(INDEX('배치점수 계산기'!W$11:W$1000,MATCH($C73,'배치점수 계산기'!$U$11:$U$1000,0)),"")</f>
        <v>23</v>
      </c>
      <c r="F73" s="113" t="s">
        <v>276</v>
      </c>
      <c r="G73" s="41" t="s">
        <v>317</v>
      </c>
      <c r="H73" s="41" t="s">
        <v>253</v>
      </c>
      <c r="I73" s="41" t="s">
        <v>274</v>
      </c>
      <c r="J73" s="41" t="str">
        <f t="shared" si="3"/>
        <v>X</v>
      </c>
      <c r="K73" s="113">
        <f>IFERROR(INDEX(환산공식!CI$16:CI$301,MATCH($E73,환산공식!$A$16:$A$301,0)),"")</f>
        <v>0</v>
      </c>
      <c r="L73" s="41" t="str">
        <f>IFERROR(CONCATENATE(ROUND(INDEX(환산공식!CJ$16:CJ$301,MATCH(E73,환산공식!$A$16:$A$301,0)),1),"%"),"")</f>
        <v/>
      </c>
      <c r="M73" s="41">
        <f>IFERROR(INDEX(환산공식!CK$16:CK$301,MATCH(E73,환산공식!$A$16:$A$301,0)),"")</f>
        <v>10</v>
      </c>
      <c r="N73" s="113" t="str">
        <f t="shared" si="4"/>
        <v>1% 이하</v>
      </c>
      <c r="O73" s="119">
        <f>IFERROR(ROUND(INDEX(환산공식!$EF$16:$EF$301,MATCH(E73,환산공식!$A$16:$A$301,0)),3),"")</f>
        <v>0</v>
      </c>
      <c r="P73" s="119">
        <f>IFERROR(ROUND(INDEX('배치점수 계산기'!M$11:M$1000,MATCH($C73,'배치점수 계산기'!$U$11:$U$1000,0)),2),"")</f>
        <v>668.01</v>
      </c>
      <c r="Q73" s="41">
        <f>IFERROR(ROUND(INDEX('배치점수 계산기'!N$11:N$1000,MATCH($C73,'배치점수 계산기'!$U$11:$U$1000,0)),2),"")</f>
        <v>666.2</v>
      </c>
      <c r="R73" s="41">
        <f>IFERROR(ROUND(INDEX('배치점수 계산기'!O$11:O$1000,MATCH($C73,'배치점수 계산기'!$U$11:$U$1000,0)),2),"")</f>
        <v>664.62</v>
      </c>
      <c r="S73" s="41">
        <f>IFERROR(ROUND(INDEX('배치점수 계산기'!P$11:P$1000,MATCH($C73,'배치점수 계산기'!$U$11:$U$1000,0)),2),"")</f>
        <v>662.93</v>
      </c>
      <c r="T73" s="41">
        <f>IFERROR(ROUND(INDEX('배치점수 계산기'!Q$11:Q$1000,MATCH($C73,'배치점수 계산기'!$U$11:$U$1000,0)),2),"")</f>
        <v>661.02</v>
      </c>
      <c r="U73" s="41">
        <f>IFERROR(INDEX(환산공식!$DC$16:$DC$301,MATCH(E73,환산공식!$A$16:$A$301,0)),"")</f>
        <v>0</v>
      </c>
      <c r="V73" s="113">
        <f t="shared" si="5"/>
        <v>6</v>
      </c>
      <c r="W73" s="110" t="str">
        <f>INDEX('배치점수 계산기'!$AG$11:$AG$800,MATCH('       가 군       '!$C73,'배치점수 계산기'!$U$11:$U$800,0))</f>
        <v>표점</v>
      </c>
      <c r="X73" s="108" t="str">
        <f>INDEX('배치점수 계산기'!$AH$11:$AH$800,MATCH('       가 군       '!$C73,'배치점수 계산기'!$U$11:$U$800,0))</f>
        <v>변표</v>
      </c>
      <c r="Y73" s="113">
        <f>INDEX('배치점수 계산기'!$AB$11:$AB$800,MATCH('       가 군       '!$C73,'배치점수 계산기'!$U$11:$U$800,0))</f>
        <v>0.3125</v>
      </c>
      <c r="Z73" s="73">
        <f>INDEX('배치점수 계산기'!$AC$11:$AC$800,MATCH('       가 군       '!$C73,'배치점수 계산기'!$U$11:$U$800,0))</f>
        <v>0.375</v>
      </c>
      <c r="AA73" s="63">
        <f>INDEX('배치점수 계산기'!$AD$11:$AD$800,MATCH('       가 군       '!$C73,'배치점수 계산기'!$U$11:$U$800,0))</f>
        <v>0.3125</v>
      </c>
      <c r="AE73" s="7">
        <v>66</v>
      </c>
    </row>
    <row r="74" spans="3:31" x14ac:dyDescent="0.3">
      <c r="C74" s="7" t="s">
        <v>963</v>
      </c>
      <c r="D74" s="41" t="str">
        <f>IFERROR(INDEX('배치점수 계산기'!V$11:V$1000,MATCH($C74,'배치점수 계산기'!$U$11:$U$1000,0)),"")</f>
        <v>고려대 자연</v>
      </c>
      <c r="E74" s="41">
        <f>IFERROR(INDEX('배치점수 계산기'!W$11:W$1000,MATCH($C74,'배치점수 계산기'!$U$11:$U$1000,0)),"")</f>
        <v>23</v>
      </c>
      <c r="F74" s="113" t="s">
        <v>276</v>
      </c>
      <c r="G74" s="41" t="s">
        <v>317</v>
      </c>
      <c r="H74" s="41" t="s">
        <v>292</v>
      </c>
      <c r="I74" s="41" t="s">
        <v>274</v>
      </c>
      <c r="J74" s="41" t="str">
        <f t="shared" si="3"/>
        <v>X</v>
      </c>
      <c r="K74" s="113">
        <f>IFERROR(INDEX(환산공식!CI$16:CI$301,MATCH($E74,환산공식!$A$16:$A$301,0)),"")</f>
        <v>0</v>
      </c>
      <c r="L74" s="41" t="str">
        <f>IFERROR(CONCATENATE(ROUND(INDEX(환산공식!CJ$16:CJ$301,MATCH(E74,환산공식!$A$16:$A$301,0)),1),"%"),"")</f>
        <v/>
      </c>
      <c r="M74" s="41">
        <f>IFERROR(INDEX(환산공식!CK$16:CK$301,MATCH(E74,환산공식!$A$16:$A$301,0)),"")</f>
        <v>10</v>
      </c>
      <c r="N74" s="113" t="str">
        <f t="shared" si="4"/>
        <v>1% 이하</v>
      </c>
      <c r="O74" s="119">
        <f>IFERROR(ROUND(INDEX(환산공식!$EF$16:$EF$301,MATCH(E74,환산공식!$A$16:$A$301,0)),3),"")</f>
        <v>0</v>
      </c>
      <c r="P74" s="119">
        <f>IFERROR(ROUND(INDEX('배치점수 계산기'!M$11:M$1000,MATCH($C74,'배치점수 계산기'!$U$11:$U$1000,0)),2),"")</f>
        <v>668.32</v>
      </c>
      <c r="Q74" s="41">
        <f>IFERROR(ROUND(INDEX('배치점수 계산기'!N$11:N$1000,MATCH($C74,'배치점수 계산기'!$U$11:$U$1000,0)),2),"")</f>
        <v>667.16</v>
      </c>
      <c r="R74" s="41">
        <f>IFERROR(ROUND(INDEX('배치점수 계산기'!O$11:O$1000,MATCH($C74,'배치점수 계산기'!$U$11:$U$1000,0)),2),"")</f>
        <v>665.53</v>
      </c>
      <c r="S74" s="41">
        <f>IFERROR(ROUND(INDEX('배치점수 계산기'!P$11:P$1000,MATCH($C74,'배치점수 계산기'!$U$11:$U$1000,0)),2),"")</f>
        <v>664.33</v>
      </c>
      <c r="T74" s="41">
        <f>IFERROR(ROUND(INDEX('배치점수 계산기'!Q$11:Q$1000,MATCH($C74,'배치점수 계산기'!$U$11:$U$1000,0)),2),"")</f>
        <v>661.88</v>
      </c>
      <c r="U74" s="41">
        <f>IFERROR(INDEX(환산공식!$DC$16:$DC$301,MATCH(E74,환산공식!$A$16:$A$301,0)),"")</f>
        <v>0</v>
      </c>
      <c r="V74" s="113">
        <f t="shared" si="5"/>
        <v>6</v>
      </c>
      <c r="W74" s="110" t="str">
        <f>INDEX('배치점수 계산기'!$AG$11:$AG$800,MATCH('       가 군       '!$C74,'배치점수 계산기'!$U$11:$U$800,0))</f>
        <v>표점</v>
      </c>
      <c r="X74" s="108" t="str">
        <f>INDEX('배치점수 계산기'!$AH$11:$AH$800,MATCH('       가 군       '!$C74,'배치점수 계산기'!$U$11:$U$800,0))</f>
        <v>변표</v>
      </c>
      <c r="Y74" s="113">
        <f>INDEX('배치점수 계산기'!$AB$11:$AB$800,MATCH('       가 군       '!$C74,'배치점수 계산기'!$U$11:$U$800,0))</f>
        <v>0.3125</v>
      </c>
      <c r="Z74" s="73">
        <f>INDEX('배치점수 계산기'!$AC$11:$AC$800,MATCH('       가 군       '!$C74,'배치점수 계산기'!$U$11:$U$800,0))</f>
        <v>0.375</v>
      </c>
      <c r="AA74" s="63">
        <f>INDEX('배치점수 계산기'!$AD$11:$AD$800,MATCH('       가 군       '!$C74,'배치점수 계산기'!$U$11:$U$800,0))</f>
        <v>0.3125</v>
      </c>
      <c r="AE74" s="7">
        <v>67</v>
      </c>
    </row>
    <row r="75" spans="3:31" x14ac:dyDescent="0.3">
      <c r="C75" s="7" t="s">
        <v>964</v>
      </c>
      <c r="D75" s="41" t="str">
        <f>IFERROR(INDEX('배치점수 계산기'!V$11:V$1000,MATCH($C75,'배치점수 계산기'!$U$11:$U$1000,0)),"")</f>
        <v>고려대 자연</v>
      </c>
      <c r="E75" s="41">
        <f>IFERROR(INDEX('배치점수 계산기'!W$11:W$1000,MATCH($C75,'배치점수 계산기'!$U$11:$U$1000,0)),"")</f>
        <v>23</v>
      </c>
      <c r="F75" s="113" t="s">
        <v>276</v>
      </c>
      <c r="G75" s="41" t="s">
        <v>317</v>
      </c>
      <c r="H75" s="41" t="s">
        <v>256</v>
      </c>
      <c r="I75" s="41" t="s">
        <v>274</v>
      </c>
      <c r="J75" s="41" t="str">
        <f t="shared" si="3"/>
        <v>X</v>
      </c>
      <c r="K75" s="113">
        <f>IFERROR(INDEX(환산공식!CI$16:CI$301,MATCH($E75,환산공식!$A$16:$A$301,0)),"")</f>
        <v>0</v>
      </c>
      <c r="L75" s="41" t="str">
        <f>IFERROR(CONCATENATE(ROUND(INDEX(환산공식!CJ$16:CJ$301,MATCH(E75,환산공식!$A$16:$A$301,0)),1),"%"),"")</f>
        <v/>
      </c>
      <c r="M75" s="41">
        <f>IFERROR(INDEX(환산공식!CK$16:CK$301,MATCH(E75,환산공식!$A$16:$A$301,0)),"")</f>
        <v>10</v>
      </c>
      <c r="N75" s="113" t="str">
        <f t="shared" si="4"/>
        <v>1% 이하</v>
      </c>
      <c r="O75" s="119">
        <f>IFERROR(ROUND(INDEX(환산공식!$EF$16:$EF$301,MATCH(E75,환산공식!$A$16:$A$301,0)),3),"")</f>
        <v>0</v>
      </c>
      <c r="P75" s="119">
        <f>IFERROR(ROUND(INDEX('배치점수 계산기'!M$11:M$1000,MATCH($C75,'배치점수 계산기'!$U$11:$U$1000,0)),2),"")</f>
        <v>667.45</v>
      </c>
      <c r="Q75" s="41">
        <f>IFERROR(ROUND(INDEX('배치점수 계산기'!N$11:N$1000,MATCH($C75,'배치점수 계산기'!$U$11:$U$1000,0)),2),"")</f>
        <v>666.36</v>
      </c>
      <c r="R75" s="41">
        <f>IFERROR(ROUND(INDEX('배치점수 계산기'!O$11:O$1000,MATCH($C75,'배치점수 계산기'!$U$11:$U$1000,0)),2),"")</f>
        <v>665.24</v>
      </c>
      <c r="S75" s="41">
        <f>IFERROR(ROUND(INDEX('배치점수 계산기'!P$11:P$1000,MATCH($C75,'배치점수 계산기'!$U$11:$U$1000,0)),2),"")</f>
        <v>663.46</v>
      </c>
      <c r="T75" s="41">
        <f>IFERROR(ROUND(INDEX('배치점수 계산기'!Q$11:Q$1000,MATCH($C75,'배치점수 계산기'!$U$11:$U$1000,0)),2),"")</f>
        <v>661.18</v>
      </c>
      <c r="U75" s="41">
        <f>IFERROR(INDEX(환산공식!$DC$16:$DC$301,MATCH(E75,환산공식!$A$16:$A$301,0)),"")</f>
        <v>0</v>
      </c>
      <c r="V75" s="113">
        <f t="shared" si="5"/>
        <v>6</v>
      </c>
      <c r="W75" s="110" t="str">
        <f>INDEX('배치점수 계산기'!$AG$11:$AG$800,MATCH('       가 군       '!$C75,'배치점수 계산기'!$U$11:$U$800,0))</f>
        <v>표점</v>
      </c>
      <c r="X75" s="108" t="str">
        <f>INDEX('배치점수 계산기'!$AH$11:$AH$800,MATCH('       가 군       '!$C75,'배치점수 계산기'!$U$11:$U$800,0))</f>
        <v>변표</v>
      </c>
      <c r="Y75" s="113">
        <f>INDEX('배치점수 계산기'!$AB$11:$AB$800,MATCH('       가 군       '!$C75,'배치점수 계산기'!$U$11:$U$800,0))</f>
        <v>0.3125</v>
      </c>
      <c r="Z75" s="73">
        <f>INDEX('배치점수 계산기'!$AC$11:$AC$800,MATCH('       가 군       '!$C75,'배치점수 계산기'!$U$11:$U$800,0))</f>
        <v>0.375</v>
      </c>
      <c r="AA75" s="63">
        <f>INDEX('배치점수 계산기'!$AD$11:$AD$800,MATCH('       가 군       '!$C75,'배치점수 계산기'!$U$11:$U$800,0))</f>
        <v>0.3125</v>
      </c>
      <c r="AE75" s="7">
        <v>68</v>
      </c>
    </row>
    <row r="76" spans="3:31" x14ac:dyDescent="0.3">
      <c r="C76" s="7" t="s">
        <v>965</v>
      </c>
      <c r="D76" s="41" t="str">
        <f>IFERROR(INDEX('배치점수 계산기'!V$11:V$1000,MATCH($C76,'배치점수 계산기'!$U$11:$U$1000,0)),"")</f>
        <v>고려대 자연</v>
      </c>
      <c r="E76" s="41">
        <f>IFERROR(INDEX('배치점수 계산기'!W$11:W$1000,MATCH($C76,'배치점수 계산기'!$U$11:$U$1000,0)),"")</f>
        <v>23</v>
      </c>
      <c r="F76" s="113" t="s">
        <v>276</v>
      </c>
      <c r="G76" s="41" t="s">
        <v>317</v>
      </c>
      <c r="H76" s="41" t="s">
        <v>324</v>
      </c>
      <c r="I76" s="41" t="s">
        <v>274</v>
      </c>
      <c r="J76" s="41" t="str">
        <f t="shared" si="3"/>
        <v>X</v>
      </c>
      <c r="K76" s="113">
        <f>IFERROR(INDEX(환산공식!CI$16:CI$301,MATCH($E76,환산공식!$A$16:$A$301,0)),"")</f>
        <v>0</v>
      </c>
      <c r="L76" s="41" t="str">
        <f>IFERROR(CONCATENATE(ROUND(INDEX(환산공식!CJ$16:CJ$301,MATCH(E76,환산공식!$A$16:$A$301,0)),1),"%"),"")</f>
        <v/>
      </c>
      <c r="M76" s="41">
        <f>IFERROR(INDEX(환산공식!CK$16:CK$301,MATCH(E76,환산공식!$A$16:$A$301,0)),"")</f>
        <v>10</v>
      </c>
      <c r="N76" s="113" t="str">
        <f t="shared" si="4"/>
        <v>1% 이하</v>
      </c>
      <c r="O76" s="119">
        <f>IFERROR(ROUND(INDEX(환산공식!$EF$16:$EF$301,MATCH(E76,환산공식!$A$16:$A$301,0)),3),"")</f>
        <v>0</v>
      </c>
      <c r="P76" s="119">
        <f>IFERROR(ROUND(INDEX('배치점수 계산기'!M$11:M$1000,MATCH($C76,'배치점수 계산기'!$U$11:$U$1000,0)),2),"")</f>
        <v>667.45</v>
      </c>
      <c r="Q76" s="41">
        <f>IFERROR(ROUND(INDEX('배치점수 계산기'!N$11:N$1000,MATCH($C76,'배치점수 계산기'!$U$11:$U$1000,0)),2),"")</f>
        <v>666.2</v>
      </c>
      <c r="R76" s="41">
        <f>IFERROR(ROUND(INDEX('배치점수 계산기'!O$11:O$1000,MATCH($C76,'배치점수 계산기'!$U$11:$U$1000,0)),2),"")</f>
        <v>664.62</v>
      </c>
      <c r="S76" s="41">
        <f>IFERROR(ROUND(INDEX('배치점수 계산기'!P$11:P$1000,MATCH($C76,'배치점수 계산기'!$U$11:$U$1000,0)),2),"")</f>
        <v>662.93</v>
      </c>
      <c r="T76" s="41">
        <f>IFERROR(ROUND(INDEX('배치점수 계산기'!Q$11:Q$1000,MATCH($C76,'배치점수 계산기'!$U$11:$U$1000,0)),2),"")</f>
        <v>661.18</v>
      </c>
      <c r="U76" s="41">
        <f>IFERROR(INDEX(환산공식!$DC$16:$DC$301,MATCH(E76,환산공식!$A$16:$A$301,0)),"")</f>
        <v>0</v>
      </c>
      <c r="V76" s="113">
        <f t="shared" si="5"/>
        <v>6</v>
      </c>
      <c r="W76" s="110" t="str">
        <f>INDEX('배치점수 계산기'!$AG$11:$AG$800,MATCH('       가 군       '!$C76,'배치점수 계산기'!$U$11:$U$800,0))</f>
        <v>표점</v>
      </c>
      <c r="X76" s="108" t="str">
        <f>INDEX('배치점수 계산기'!$AH$11:$AH$800,MATCH('       가 군       '!$C76,'배치점수 계산기'!$U$11:$U$800,0))</f>
        <v>변표</v>
      </c>
      <c r="Y76" s="113">
        <f>INDEX('배치점수 계산기'!$AB$11:$AB$800,MATCH('       가 군       '!$C76,'배치점수 계산기'!$U$11:$U$800,0))</f>
        <v>0.3125</v>
      </c>
      <c r="Z76" s="73">
        <f>INDEX('배치점수 계산기'!$AC$11:$AC$800,MATCH('       가 군       '!$C76,'배치점수 계산기'!$U$11:$U$800,0))</f>
        <v>0.375</v>
      </c>
      <c r="AA76" s="63">
        <f>INDEX('배치점수 계산기'!$AD$11:$AD$800,MATCH('       가 군       '!$C76,'배치점수 계산기'!$U$11:$U$800,0))</f>
        <v>0.3125</v>
      </c>
      <c r="AE76" s="7">
        <v>69</v>
      </c>
    </row>
    <row r="77" spans="3:31" x14ac:dyDescent="0.3">
      <c r="C77" s="7" t="s">
        <v>966</v>
      </c>
      <c r="D77" s="41" t="str">
        <f>IFERROR(INDEX('배치점수 계산기'!V$11:V$1000,MATCH($C77,'배치점수 계산기'!$U$11:$U$1000,0)),"")</f>
        <v>고려대 자연</v>
      </c>
      <c r="E77" s="41">
        <f>IFERROR(INDEX('배치점수 계산기'!W$11:W$1000,MATCH($C77,'배치점수 계산기'!$U$11:$U$1000,0)),"")</f>
        <v>23</v>
      </c>
      <c r="F77" s="113" t="s">
        <v>276</v>
      </c>
      <c r="G77" s="41" t="s">
        <v>317</v>
      </c>
      <c r="H77" s="41" t="s">
        <v>258</v>
      </c>
      <c r="I77" s="41" t="s">
        <v>274</v>
      </c>
      <c r="J77" s="41" t="str">
        <f t="shared" si="3"/>
        <v>X</v>
      </c>
      <c r="K77" s="113">
        <f>IFERROR(INDEX(환산공식!CI$16:CI$301,MATCH($E77,환산공식!$A$16:$A$301,0)),"")</f>
        <v>0</v>
      </c>
      <c r="L77" s="41" t="str">
        <f>IFERROR(CONCATENATE(ROUND(INDEX(환산공식!CJ$16:CJ$301,MATCH(E77,환산공식!$A$16:$A$301,0)),1),"%"),"")</f>
        <v/>
      </c>
      <c r="M77" s="41">
        <f>IFERROR(INDEX(환산공식!CK$16:CK$301,MATCH(E77,환산공식!$A$16:$A$301,0)),"")</f>
        <v>10</v>
      </c>
      <c r="N77" s="113" t="str">
        <f t="shared" si="4"/>
        <v>1% 이하</v>
      </c>
      <c r="O77" s="119">
        <f>IFERROR(ROUND(INDEX(환산공식!$EF$16:$EF$301,MATCH(E77,환산공식!$A$16:$A$301,0)),3),"")</f>
        <v>0</v>
      </c>
      <c r="P77" s="119">
        <f>IFERROR(ROUND(INDEX('배치점수 계산기'!M$11:M$1000,MATCH($C77,'배치점수 계산기'!$U$11:$U$1000,0)),2),"")</f>
        <v>668.32</v>
      </c>
      <c r="Q77" s="41">
        <f>IFERROR(ROUND(INDEX('배치점수 계산기'!N$11:N$1000,MATCH($C77,'배치점수 계산기'!$U$11:$U$1000,0)),2),"")</f>
        <v>667.16</v>
      </c>
      <c r="R77" s="41">
        <f>IFERROR(ROUND(INDEX('배치점수 계산기'!O$11:O$1000,MATCH($C77,'배치점수 계산기'!$U$11:$U$1000,0)),2),"")</f>
        <v>665.53</v>
      </c>
      <c r="S77" s="41">
        <f>IFERROR(ROUND(INDEX('배치점수 계산기'!P$11:P$1000,MATCH($C77,'배치점수 계산기'!$U$11:$U$1000,0)),2),"")</f>
        <v>664.33</v>
      </c>
      <c r="T77" s="41">
        <f>IFERROR(ROUND(INDEX('배치점수 계산기'!Q$11:Q$1000,MATCH($C77,'배치점수 계산기'!$U$11:$U$1000,0)),2),"")</f>
        <v>661.18</v>
      </c>
      <c r="U77" s="41">
        <f>IFERROR(INDEX(환산공식!$DC$16:$DC$301,MATCH(E77,환산공식!$A$16:$A$301,0)),"")</f>
        <v>0</v>
      </c>
      <c r="V77" s="113">
        <f t="shared" si="5"/>
        <v>6</v>
      </c>
      <c r="W77" s="110" t="str">
        <f>INDEX('배치점수 계산기'!$AG$11:$AG$800,MATCH('       가 군       '!$C77,'배치점수 계산기'!$U$11:$U$800,0))</f>
        <v>표점</v>
      </c>
      <c r="X77" s="108" t="str">
        <f>INDEX('배치점수 계산기'!$AH$11:$AH$800,MATCH('       가 군       '!$C77,'배치점수 계산기'!$U$11:$U$800,0))</f>
        <v>변표</v>
      </c>
      <c r="Y77" s="113">
        <f>INDEX('배치점수 계산기'!$AB$11:$AB$800,MATCH('       가 군       '!$C77,'배치점수 계산기'!$U$11:$U$800,0))</f>
        <v>0.3125</v>
      </c>
      <c r="Z77" s="73">
        <f>INDEX('배치점수 계산기'!$AC$11:$AC$800,MATCH('       가 군       '!$C77,'배치점수 계산기'!$U$11:$U$800,0))</f>
        <v>0.375</v>
      </c>
      <c r="AA77" s="63">
        <f>INDEX('배치점수 계산기'!$AD$11:$AD$800,MATCH('       가 군       '!$C77,'배치점수 계산기'!$U$11:$U$800,0))</f>
        <v>0.3125</v>
      </c>
      <c r="AE77" s="7">
        <v>70</v>
      </c>
    </row>
    <row r="78" spans="3:31" x14ac:dyDescent="0.3">
      <c r="C78" s="7" t="s">
        <v>967</v>
      </c>
      <c r="D78" s="41" t="str">
        <f>IFERROR(INDEX('배치점수 계산기'!V$11:V$1000,MATCH($C78,'배치점수 계산기'!$U$11:$U$1000,0)),"")</f>
        <v>고려대 자연</v>
      </c>
      <c r="E78" s="41">
        <f>IFERROR(INDEX('배치점수 계산기'!W$11:W$1000,MATCH($C78,'배치점수 계산기'!$U$11:$U$1000,0)),"")</f>
        <v>23</v>
      </c>
      <c r="F78" s="113" t="s">
        <v>276</v>
      </c>
      <c r="G78" s="41" t="s">
        <v>317</v>
      </c>
      <c r="H78" s="41" t="s">
        <v>325</v>
      </c>
      <c r="I78" s="41" t="s">
        <v>274</v>
      </c>
      <c r="J78" s="41" t="str">
        <f t="shared" si="3"/>
        <v>X</v>
      </c>
      <c r="K78" s="113">
        <f>IFERROR(INDEX(환산공식!CI$16:CI$301,MATCH($E78,환산공식!$A$16:$A$301,0)),"")</f>
        <v>0</v>
      </c>
      <c r="L78" s="41" t="str">
        <f>IFERROR(CONCATENATE(ROUND(INDEX(환산공식!CJ$16:CJ$301,MATCH(E78,환산공식!$A$16:$A$301,0)),1),"%"),"")</f>
        <v/>
      </c>
      <c r="M78" s="41">
        <f>IFERROR(INDEX(환산공식!CK$16:CK$301,MATCH(E78,환산공식!$A$16:$A$301,0)),"")</f>
        <v>10</v>
      </c>
      <c r="N78" s="113" t="str">
        <f t="shared" si="4"/>
        <v>1% 이하</v>
      </c>
      <c r="O78" s="119">
        <f>IFERROR(ROUND(INDEX(환산공식!$EF$16:$EF$301,MATCH(E78,환산공식!$A$16:$A$301,0)),3),"")</f>
        <v>0</v>
      </c>
      <c r="P78" s="119">
        <f>IFERROR(ROUND(INDEX('배치점수 계산기'!M$11:M$1000,MATCH($C78,'배치점수 계산기'!$U$11:$U$1000,0)),2),"")</f>
        <v>666.36</v>
      </c>
      <c r="Q78" s="41">
        <f>IFERROR(ROUND(INDEX('배치점수 계산기'!N$11:N$1000,MATCH($C78,'배치점수 계산기'!$U$11:$U$1000,0)),2),"")</f>
        <v>665.24</v>
      </c>
      <c r="R78" s="41">
        <f>IFERROR(ROUND(INDEX('배치점수 계산기'!O$11:O$1000,MATCH($C78,'배치점수 계산기'!$U$11:$U$1000,0)),2),"")</f>
        <v>663.46</v>
      </c>
      <c r="S78" s="41">
        <f>IFERROR(ROUND(INDEX('배치점수 계산기'!P$11:P$1000,MATCH($C78,'배치점수 계산기'!$U$11:$U$1000,0)),2),"")</f>
        <v>661.43</v>
      </c>
      <c r="T78" s="41">
        <f>IFERROR(ROUND(INDEX('배치점수 계산기'!Q$11:Q$1000,MATCH($C78,'배치점수 계산기'!$U$11:$U$1000,0)),2),"")</f>
        <v>660.16</v>
      </c>
      <c r="U78" s="41">
        <f>IFERROR(INDEX(환산공식!$DC$16:$DC$301,MATCH(E78,환산공식!$A$16:$A$301,0)),"")</f>
        <v>0</v>
      </c>
      <c r="V78" s="113">
        <f t="shared" si="5"/>
        <v>6</v>
      </c>
      <c r="W78" s="110" t="str">
        <f>INDEX('배치점수 계산기'!$AG$11:$AG$800,MATCH('       가 군       '!$C78,'배치점수 계산기'!$U$11:$U$800,0))</f>
        <v>표점</v>
      </c>
      <c r="X78" s="108" t="str">
        <f>INDEX('배치점수 계산기'!$AH$11:$AH$800,MATCH('       가 군       '!$C78,'배치점수 계산기'!$U$11:$U$800,0))</f>
        <v>변표</v>
      </c>
      <c r="Y78" s="113">
        <f>INDEX('배치점수 계산기'!$AB$11:$AB$800,MATCH('       가 군       '!$C78,'배치점수 계산기'!$U$11:$U$800,0))</f>
        <v>0.3125</v>
      </c>
      <c r="Z78" s="73">
        <f>INDEX('배치점수 계산기'!$AC$11:$AC$800,MATCH('       가 군       '!$C78,'배치점수 계산기'!$U$11:$U$800,0))</f>
        <v>0.375</v>
      </c>
      <c r="AA78" s="63">
        <f>INDEX('배치점수 계산기'!$AD$11:$AD$800,MATCH('       가 군       '!$C78,'배치점수 계산기'!$U$11:$U$800,0))</f>
        <v>0.3125</v>
      </c>
      <c r="AE78" s="7">
        <v>71</v>
      </c>
    </row>
    <row r="79" spans="3:31" x14ac:dyDescent="0.3">
      <c r="C79" s="7" t="s">
        <v>968</v>
      </c>
      <c r="D79" s="41" t="str">
        <f>IFERROR(INDEX('배치점수 계산기'!V$11:V$1000,MATCH($C79,'배치점수 계산기'!$U$11:$U$1000,0)),"")</f>
        <v>고려대 자연</v>
      </c>
      <c r="E79" s="41">
        <f>IFERROR(INDEX('배치점수 계산기'!W$11:W$1000,MATCH($C79,'배치점수 계산기'!$U$11:$U$1000,0)),"")</f>
        <v>23</v>
      </c>
      <c r="F79" s="113" t="s">
        <v>276</v>
      </c>
      <c r="G79" s="41" t="s">
        <v>317</v>
      </c>
      <c r="H79" s="41" t="s">
        <v>252</v>
      </c>
      <c r="I79" s="41" t="s">
        <v>274</v>
      </c>
      <c r="J79" s="41" t="str">
        <f t="shared" si="3"/>
        <v>X</v>
      </c>
      <c r="K79" s="113">
        <f>IFERROR(INDEX(환산공식!CI$16:CI$301,MATCH($E79,환산공식!$A$16:$A$301,0)),"")</f>
        <v>0</v>
      </c>
      <c r="L79" s="41" t="str">
        <f>IFERROR(CONCATENATE(ROUND(INDEX(환산공식!CJ$16:CJ$301,MATCH(E79,환산공식!$A$16:$A$301,0)),1),"%"),"")</f>
        <v/>
      </c>
      <c r="M79" s="41">
        <f>IFERROR(INDEX(환산공식!CK$16:CK$301,MATCH(E79,환산공식!$A$16:$A$301,0)),"")</f>
        <v>10</v>
      </c>
      <c r="N79" s="113" t="str">
        <f t="shared" si="4"/>
        <v>1% 이하</v>
      </c>
      <c r="O79" s="119">
        <f>IFERROR(ROUND(INDEX(환산공식!$EF$16:$EF$301,MATCH(E79,환산공식!$A$16:$A$301,0)),3),"")</f>
        <v>0</v>
      </c>
      <c r="P79" s="119">
        <f>IFERROR(ROUND(INDEX('배치점수 계산기'!M$11:M$1000,MATCH($C79,'배치점수 계산기'!$U$11:$U$1000,0)),2),"")</f>
        <v>667.45</v>
      </c>
      <c r="Q79" s="41">
        <f>IFERROR(ROUND(INDEX('배치점수 계산기'!N$11:N$1000,MATCH($C79,'배치점수 계산기'!$U$11:$U$1000,0)),2),"")</f>
        <v>666.2</v>
      </c>
      <c r="R79" s="41">
        <f>IFERROR(ROUND(INDEX('배치점수 계산기'!O$11:O$1000,MATCH($C79,'배치점수 계산기'!$U$11:$U$1000,0)),2),"")</f>
        <v>664.33</v>
      </c>
      <c r="S79" s="41">
        <f>IFERROR(ROUND(INDEX('배치점수 계산기'!P$11:P$1000,MATCH($C79,'배치점수 계산기'!$U$11:$U$1000,0)),2),"")</f>
        <v>662.64</v>
      </c>
      <c r="T79" s="41">
        <f>IFERROR(ROUND(INDEX('배치점수 계산기'!Q$11:Q$1000,MATCH($C79,'배치점수 계산기'!$U$11:$U$1000,0)),2),"")</f>
        <v>660.16</v>
      </c>
      <c r="U79" s="41">
        <f>IFERROR(INDEX(환산공식!$DC$16:$DC$301,MATCH(E79,환산공식!$A$16:$A$301,0)),"")</f>
        <v>0</v>
      </c>
      <c r="V79" s="113">
        <f t="shared" si="5"/>
        <v>6</v>
      </c>
      <c r="W79" s="110" t="str">
        <f>INDEX('배치점수 계산기'!$AG$11:$AG$800,MATCH('       가 군       '!$C79,'배치점수 계산기'!$U$11:$U$800,0))</f>
        <v>표점</v>
      </c>
      <c r="X79" s="108" t="str">
        <f>INDEX('배치점수 계산기'!$AH$11:$AH$800,MATCH('       가 군       '!$C79,'배치점수 계산기'!$U$11:$U$800,0))</f>
        <v>변표</v>
      </c>
      <c r="Y79" s="113">
        <f>INDEX('배치점수 계산기'!$AB$11:$AB$800,MATCH('       가 군       '!$C79,'배치점수 계산기'!$U$11:$U$800,0))</f>
        <v>0.3125</v>
      </c>
      <c r="Z79" s="73">
        <f>INDEX('배치점수 계산기'!$AC$11:$AC$800,MATCH('       가 군       '!$C79,'배치점수 계산기'!$U$11:$U$800,0))</f>
        <v>0.375</v>
      </c>
      <c r="AA79" s="63">
        <f>INDEX('배치점수 계산기'!$AD$11:$AD$800,MATCH('       가 군       '!$C79,'배치점수 계산기'!$U$11:$U$800,0))</f>
        <v>0.3125</v>
      </c>
      <c r="AE79" s="7">
        <v>72</v>
      </c>
    </row>
    <row r="80" spans="3:31" x14ac:dyDescent="0.3">
      <c r="C80" s="7" t="s">
        <v>969</v>
      </c>
      <c r="D80" s="41" t="str">
        <f>IFERROR(INDEX('배치점수 계산기'!V$11:V$1000,MATCH($C80,'배치점수 계산기'!$U$11:$U$1000,0)),"")</f>
        <v>고려대 자연</v>
      </c>
      <c r="E80" s="41">
        <f>IFERROR(INDEX('배치점수 계산기'!W$11:W$1000,MATCH($C80,'배치점수 계산기'!$U$11:$U$1000,0)),"")</f>
        <v>23</v>
      </c>
      <c r="F80" s="113" t="s">
        <v>276</v>
      </c>
      <c r="G80" s="41" t="s">
        <v>317</v>
      </c>
      <c r="H80" s="41" t="s">
        <v>254</v>
      </c>
      <c r="I80" s="41" t="s">
        <v>274</v>
      </c>
      <c r="J80" s="41" t="str">
        <f t="shared" si="3"/>
        <v>X</v>
      </c>
      <c r="K80" s="113">
        <f>IFERROR(INDEX(환산공식!CI$16:CI$301,MATCH($E80,환산공식!$A$16:$A$301,0)),"")</f>
        <v>0</v>
      </c>
      <c r="L80" s="41" t="str">
        <f>IFERROR(CONCATENATE(ROUND(INDEX(환산공식!CJ$16:CJ$301,MATCH(E80,환산공식!$A$16:$A$301,0)),1),"%"),"")</f>
        <v/>
      </c>
      <c r="M80" s="41">
        <f>IFERROR(INDEX(환산공식!CK$16:CK$301,MATCH(E80,환산공식!$A$16:$A$301,0)),"")</f>
        <v>10</v>
      </c>
      <c r="N80" s="113" t="str">
        <f t="shared" si="4"/>
        <v>1% 이하</v>
      </c>
      <c r="O80" s="119">
        <f>IFERROR(ROUND(INDEX(환산공식!$EF$16:$EF$301,MATCH(E80,환산공식!$A$16:$A$301,0)),3),"")</f>
        <v>0</v>
      </c>
      <c r="P80" s="119">
        <f>IFERROR(ROUND(INDEX('배치점수 계산기'!M$11:M$1000,MATCH($C80,'배치점수 계산기'!$U$11:$U$1000,0)),2),"")</f>
        <v>666.2</v>
      </c>
      <c r="Q80" s="41">
        <f>IFERROR(ROUND(INDEX('배치점수 계산기'!N$11:N$1000,MATCH($C80,'배치점수 계산기'!$U$11:$U$1000,0)),2),"")</f>
        <v>664.33</v>
      </c>
      <c r="R80" s="41">
        <f>IFERROR(ROUND(INDEX('배치점수 계산기'!O$11:O$1000,MATCH($C80,'배치점수 계산기'!$U$11:$U$1000,0)),2),"")</f>
        <v>662.93</v>
      </c>
      <c r="S80" s="41">
        <f>IFERROR(ROUND(INDEX('배치점수 계산기'!P$11:P$1000,MATCH($C80,'배치점수 계산기'!$U$11:$U$1000,0)),2),"")</f>
        <v>661.43</v>
      </c>
      <c r="T80" s="41">
        <f>IFERROR(ROUND(INDEX('배치점수 계산기'!Q$11:Q$1000,MATCH($C80,'배치점수 계산기'!$U$11:$U$1000,0)),2),"")</f>
        <v>660.16</v>
      </c>
      <c r="U80" s="41">
        <f>IFERROR(INDEX(환산공식!$DC$16:$DC$301,MATCH(E80,환산공식!$A$16:$A$301,0)),"")</f>
        <v>0</v>
      </c>
      <c r="V80" s="113">
        <f t="shared" si="5"/>
        <v>6</v>
      </c>
      <c r="W80" s="110" t="str">
        <f>INDEX('배치점수 계산기'!$AG$11:$AG$800,MATCH('       가 군       '!$C80,'배치점수 계산기'!$U$11:$U$800,0))</f>
        <v>표점</v>
      </c>
      <c r="X80" s="108" t="str">
        <f>INDEX('배치점수 계산기'!$AH$11:$AH$800,MATCH('       가 군       '!$C80,'배치점수 계산기'!$U$11:$U$800,0))</f>
        <v>변표</v>
      </c>
      <c r="Y80" s="113">
        <f>INDEX('배치점수 계산기'!$AB$11:$AB$800,MATCH('       가 군       '!$C80,'배치점수 계산기'!$U$11:$U$800,0))</f>
        <v>0.3125</v>
      </c>
      <c r="Z80" s="73">
        <f>INDEX('배치점수 계산기'!$AC$11:$AC$800,MATCH('       가 군       '!$C80,'배치점수 계산기'!$U$11:$U$800,0))</f>
        <v>0.375</v>
      </c>
      <c r="AA80" s="63">
        <f>INDEX('배치점수 계산기'!$AD$11:$AD$800,MATCH('       가 군       '!$C80,'배치점수 계산기'!$U$11:$U$800,0))</f>
        <v>0.3125</v>
      </c>
      <c r="AE80" s="7">
        <v>73</v>
      </c>
    </row>
    <row r="81" spans="3:31" x14ac:dyDescent="0.3">
      <c r="C81" s="7" t="s">
        <v>970</v>
      </c>
      <c r="D81" s="41" t="str">
        <f>IFERROR(INDEX('배치점수 계산기'!V$11:V$1000,MATCH($C81,'배치점수 계산기'!$U$11:$U$1000,0)),"")</f>
        <v>고려대 자연</v>
      </c>
      <c r="E81" s="41">
        <f>IFERROR(INDEX('배치점수 계산기'!W$11:W$1000,MATCH($C81,'배치점수 계산기'!$U$11:$U$1000,0)),"")</f>
        <v>23</v>
      </c>
      <c r="F81" s="113" t="s">
        <v>276</v>
      </c>
      <c r="G81" s="41" t="s">
        <v>317</v>
      </c>
      <c r="H81" s="41" t="s">
        <v>326</v>
      </c>
      <c r="I81" s="41" t="s">
        <v>274</v>
      </c>
      <c r="J81" s="41" t="str">
        <f t="shared" si="3"/>
        <v>X</v>
      </c>
      <c r="K81" s="113">
        <f>IFERROR(INDEX(환산공식!CI$16:CI$301,MATCH($E81,환산공식!$A$16:$A$301,0)),"")</f>
        <v>0</v>
      </c>
      <c r="L81" s="41" t="str">
        <f>IFERROR(CONCATENATE(ROUND(INDEX(환산공식!CJ$16:CJ$301,MATCH(E81,환산공식!$A$16:$A$301,0)),1),"%"),"")</f>
        <v/>
      </c>
      <c r="M81" s="41">
        <f>IFERROR(INDEX(환산공식!CK$16:CK$301,MATCH(E81,환산공식!$A$16:$A$301,0)),"")</f>
        <v>10</v>
      </c>
      <c r="N81" s="113" t="str">
        <f t="shared" si="4"/>
        <v>1% 이하</v>
      </c>
      <c r="O81" s="119">
        <f>IFERROR(ROUND(INDEX(환산공식!$EF$16:$EF$301,MATCH(E81,환산공식!$A$16:$A$301,0)),3),"")</f>
        <v>0</v>
      </c>
      <c r="P81" s="119">
        <f>IFERROR(ROUND(INDEX('배치점수 계산기'!M$11:M$1000,MATCH($C81,'배치점수 계산기'!$U$11:$U$1000,0)),2),"")</f>
        <v>666.36</v>
      </c>
      <c r="Q81" s="41">
        <f>IFERROR(ROUND(INDEX('배치점수 계산기'!N$11:N$1000,MATCH($C81,'배치점수 계산기'!$U$11:$U$1000,0)),2),"")</f>
        <v>663.8</v>
      </c>
      <c r="R81" s="41">
        <f>IFERROR(ROUND(INDEX('배치점수 계산기'!O$11:O$1000,MATCH($C81,'배치점수 계산기'!$U$11:$U$1000,0)),2),"")</f>
        <v>662.64</v>
      </c>
      <c r="S81" s="41">
        <f>IFERROR(ROUND(INDEX('배치점수 계산기'!P$11:P$1000,MATCH($C81,'배치점수 계산기'!$U$11:$U$1000,0)),2),"")</f>
        <v>661.43</v>
      </c>
      <c r="T81" s="41">
        <f>IFERROR(ROUND(INDEX('배치점수 계산기'!Q$11:Q$1000,MATCH($C81,'배치점수 계산기'!$U$11:$U$1000,0)),2),"")</f>
        <v>660.16</v>
      </c>
      <c r="U81" s="41">
        <f>IFERROR(INDEX(환산공식!$DC$16:$DC$301,MATCH(E81,환산공식!$A$16:$A$301,0)),"")</f>
        <v>0</v>
      </c>
      <c r="V81" s="113">
        <f t="shared" si="5"/>
        <v>6</v>
      </c>
      <c r="W81" s="110" t="str">
        <f>INDEX('배치점수 계산기'!$AG$11:$AG$800,MATCH('       가 군       '!$C81,'배치점수 계산기'!$U$11:$U$800,0))</f>
        <v>표점</v>
      </c>
      <c r="X81" s="108" t="str">
        <f>INDEX('배치점수 계산기'!$AH$11:$AH$800,MATCH('       가 군       '!$C81,'배치점수 계산기'!$U$11:$U$800,0))</f>
        <v>변표</v>
      </c>
      <c r="Y81" s="113">
        <f>INDEX('배치점수 계산기'!$AB$11:$AB$800,MATCH('       가 군       '!$C81,'배치점수 계산기'!$U$11:$U$800,0))</f>
        <v>0.3125</v>
      </c>
      <c r="Z81" s="73">
        <f>INDEX('배치점수 계산기'!$AC$11:$AC$800,MATCH('       가 군       '!$C81,'배치점수 계산기'!$U$11:$U$800,0))</f>
        <v>0.375</v>
      </c>
      <c r="AA81" s="63">
        <f>INDEX('배치점수 계산기'!$AD$11:$AD$800,MATCH('       가 군       '!$C81,'배치점수 계산기'!$U$11:$U$800,0))</f>
        <v>0.3125</v>
      </c>
      <c r="AE81" s="7">
        <v>74</v>
      </c>
    </row>
    <row r="82" spans="3:31" x14ac:dyDescent="0.3">
      <c r="C82" s="7" t="s">
        <v>971</v>
      </c>
      <c r="D82" s="41" t="str">
        <f>IFERROR(INDEX('배치점수 계산기'!V$11:V$1000,MATCH($C82,'배치점수 계산기'!$U$11:$U$1000,0)),"")</f>
        <v>고려대 자연</v>
      </c>
      <c r="E82" s="41">
        <f>IFERROR(INDEX('배치점수 계산기'!W$11:W$1000,MATCH($C82,'배치점수 계산기'!$U$11:$U$1000,0)),"")</f>
        <v>23</v>
      </c>
      <c r="F82" s="113" t="s">
        <v>276</v>
      </c>
      <c r="G82" s="41" t="s">
        <v>317</v>
      </c>
      <c r="H82" s="41" t="s">
        <v>327</v>
      </c>
      <c r="I82" s="41" t="s">
        <v>274</v>
      </c>
      <c r="J82" s="41" t="str">
        <f t="shared" si="3"/>
        <v>X</v>
      </c>
      <c r="K82" s="113">
        <f>IFERROR(INDEX(환산공식!CI$16:CI$301,MATCH($E82,환산공식!$A$16:$A$301,0)),"")</f>
        <v>0</v>
      </c>
      <c r="L82" s="41" t="str">
        <f>IFERROR(CONCATENATE(ROUND(INDEX(환산공식!CJ$16:CJ$301,MATCH(E82,환산공식!$A$16:$A$301,0)),1),"%"),"")</f>
        <v/>
      </c>
      <c r="M82" s="41">
        <f>IFERROR(INDEX(환산공식!CK$16:CK$301,MATCH(E82,환산공식!$A$16:$A$301,0)),"")</f>
        <v>10</v>
      </c>
      <c r="N82" s="113" t="str">
        <f t="shared" si="4"/>
        <v>1% 이하</v>
      </c>
      <c r="O82" s="119">
        <f>IFERROR(ROUND(INDEX(환산공식!$EF$16:$EF$301,MATCH(E82,환산공식!$A$16:$A$301,0)),3),"")</f>
        <v>0</v>
      </c>
      <c r="P82" s="119">
        <f>IFERROR(ROUND(INDEX('배치점수 계산기'!M$11:M$1000,MATCH($C82,'배치점수 계산기'!$U$11:$U$1000,0)),2),"")</f>
        <v>666.36</v>
      </c>
      <c r="Q82" s="41">
        <f>IFERROR(ROUND(INDEX('배치점수 계산기'!N$11:N$1000,MATCH($C82,'배치점수 계산기'!$U$11:$U$1000,0)),2),"")</f>
        <v>663.8</v>
      </c>
      <c r="R82" s="41">
        <f>IFERROR(ROUND(INDEX('배치점수 계산기'!O$11:O$1000,MATCH($C82,'배치점수 계산기'!$U$11:$U$1000,0)),2),"")</f>
        <v>662.64</v>
      </c>
      <c r="S82" s="41">
        <f>IFERROR(ROUND(INDEX('배치점수 계산기'!P$11:P$1000,MATCH($C82,'배치점수 계산기'!$U$11:$U$1000,0)),2),"")</f>
        <v>661.43</v>
      </c>
      <c r="T82" s="41">
        <f>IFERROR(ROUND(INDEX('배치점수 계산기'!Q$11:Q$1000,MATCH($C82,'배치점수 계산기'!$U$11:$U$1000,0)),2),"")</f>
        <v>660.16</v>
      </c>
      <c r="U82" s="41">
        <f>IFERROR(INDEX(환산공식!$DC$16:$DC$301,MATCH(E82,환산공식!$A$16:$A$301,0)),"")</f>
        <v>0</v>
      </c>
      <c r="V82" s="113">
        <f t="shared" si="5"/>
        <v>6</v>
      </c>
      <c r="W82" s="110" t="str">
        <f>INDEX('배치점수 계산기'!$AG$11:$AG$800,MATCH('       가 군       '!$C82,'배치점수 계산기'!$U$11:$U$800,0))</f>
        <v>표점</v>
      </c>
      <c r="X82" s="108" t="str">
        <f>INDEX('배치점수 계산기'!$AH$11:$AH$800,MATCH('       가 군       '!$C82,'배치점수 계산기'!$U$11:$U$800,0))</f>
        <v>변표</v>
      </c>
      <c r="Y82" s="113">
        <f>INDEX('배치점수 계산기'!$AB$11:$AB$800,MATCH('       가 군       '!$C82,'배치점수 계산기'!$U$11:$U$800,0))</f>
        <v>0.3125</v>
      </c>
      <c r="Z82" s="73">
        <f>INDEX('배치점수 계산기'!$AC$11:$AC$800,MATCH('       가 군       '!$C82,'배치점수 계산기'!$U$11:$U$800,0))</f>
        <v>0.375</v>
      </c>
      <c r="AA82" s="63">
        <f>INDEX('배치점수 계산기'!$AD$11:$AD$800,MATCH('       가 군       '!$C82,'배치점수 계산기'!$U$11:$U$800,0))</f>
        <v>0.3125</v>
      </c>
      <c r="AE82" s="7">
        <v>75</v>
      </c>
    </row>
    <row r="83" spans="3:31" x14ac:dyDescent="0.3">
      <c r="C83" s="7" t="s">
        <v>972</v>
      </c>
      <c r="D83" s="41" t="str">
        <f>IFERROR(INDEX('배치점수 계산기'!V$11:V$1000,MATCH($C83,'배치점수 계산기'!$U$11:$U$1000,0)),"")</f>
        <v>고려대 자연</v>
      </c>
      <c r="E83" s="41">
        <f>IFERROR(INDEX('배치점수 계산기'!W$11:W$1000,MATCH($C83,'배치점수 계산기'!$U$11:$U$1000,0)),"")</f>
        <v>23</v>
      </c>
      <c r="F83" s="113" t="s">
        <v>276</v>
      </c>
      <c r="G83" s="41" t="s">
        <v>317</v>
      </c>
      <c r="H83" s="41" t="s">
        <v>328</v>
      </c>
      <c r="I83" s="41" t="s">
        <v>274</v>
      </c>
      <c r="J83" s="41" t="str">
        <f t="shared" si="3"/>
        <v>X</v>
      </c>
      <c r="K83" s="113">
        <f>IFERROR(INDEX(환산공식!CI$16:CI$301,MATCH($E83,환산공식!$A$16:$A$301,0)),"")</f>
        <v>0</v>
      </c>
      <c r="L83" s="41" t="str">
        <f>IFERROR(CONCATENATE(ROUND(INDEX(환산공식!CJ$16:CJ$301,MATCH(E83,환산공식!$A$16:$A$301,0)),1),"%"),"")</f>
        <v/>
      </c>
      <c r="M83" s="41">
        <f>IFERROR(INDEX(환산공식!CK$16:CK$301,MATCH(E83,환산공식!$A$16:$A$301,0)),"")</f>
        <v>10</v>
      </c>
      <c r="N83" s="113" t="str">
        <f t="shared" si="4"/>
        <v>1% 이하</v>
      </c>
      <c r="O83" s="119">
        <f>IFERROR(ROUND(INDEX(환산공식!$EF$16:$EF$301,MATCH(E83,환산공식!$A$16:$A$301,0)),3),"")</f>
        <v>0</v>
      </c>
      <c r="P83" s="119">
        <f>IFERROR(ROUND(INDEX('배치점수 계산기'!M$11:M$1000,MATCH($C83,'배치점수 계산기'!$U$11:$U$1000,0)),2),"")</f>
        <v>666.81</v>
      </c>
      <c r="Q83" s="41">
        <f>IFERROR(ROUND(INDEX('배치점수 계산기'!N$11:N$1000,MATCH($C83,'배치점수 계산기'!$U$11:$U$1000,0)),2),"")</f>
        <v>665.53</v>
      </c>
      <c r="R83" s="41">
        <f>IFERROR(ROUND(INDEX('배치점수 계산기'!O$11:O$1000,MATCH($C83,'배치점수 계산기'!$U$11:$U$1000,0)),2),"")</f>
        <v>663.8</v>
      </c>
      <c r="S83" s="41">
        <f>IFERROR(ROUND(INDEX('배치점수 계산기'!P$11:P$1000,MATCH($C83,'배치점수 계산기'!$U$11:$U$1000,0)),2),"")</f>
        <v>662.64</v>
      </c>
      <c r="T83" s="41">
        <f>IFERROR(ROUND(INDEX('배치점수 계산기'!Q$11:Q$1000,MATCH($C83,'배치점수 계산기'!$U$11:$U$1000,0)),2),"")</f>
        <v>661.43</v>
      </c>
      <c r="U83" s="41">
        <f>IFERROR(INDEX(환산공식!$DC$16:$DC$301,MATCH(E83,환산공식!$A$16:$A$301,0)),"")</f>
        <v>0</v>
      </c>
      <c r="V83" s="113">
        <f t="shared" si="5"/>
        <v>6</v>
      </c>
      <c r="W83" s="110" t="str">
        <f>INDEX('배치점수 계산기'!$AG$11:$AG$800,MATCH('       가 군       '!$C83,'배치점수 계산기'!$U$11:$U$800,0))</f>
        <v>표점</v>
      </c>
      <c r="X83" s="108" t="str">
        <f>INDEX('배치점수 계산기'!$AH$11:$AH$800,MATCH('       가 군       '!$C83,'배치점수 계산기'!$U$11:$U$800,0))</f>
        <v>변표</v>
      </c>
      <c r="Y83" s="113">
        <f>INDEX('배치점수 계산기'!$AB$11:$AB$800,MATCH('       가 군       '!$C83,'배치점수 계산기'!$U$11:$U$800,0))</f>
        <v>0.3125</v>
      </c>
      <c r="Z83" s="73">
        <f>INDEX('배치점수 계산기'!$AC$11:$AC$800,MATCH('       가 군       '!$C83,'배치점수 계산기'!$U$11:$U$800,0))</f>
        <v>0.375</v>
      </c>
      <c r="AA83" s="63">
        <f>INDEX('배치점수 계산기'!$AD$11:$AD$800,MATCH('       가 군       '!$C83,'배치점수 계산기'!$U$11:$U$800,0))</f>
        <v>0.3125</v>
      </c>
      <c r="AE83" s="7">
        <v>76</v>
      </c>
    </row>
    <row r="84" spans="3:31" x14ac:dyDescent="0.3">
      <c r="C84" s="7" t="s">
        <v>973</v>
      </c>
      <c r="D84" s="41" t="str">
        <f>IFERROR(INDEX('배치점수 계산기'!V$11:V$1000,MATCH($C84,'배치점수 계산기'!$U$11:$U$1000,0)),"")</f>
        <v>고려대 자연</v>
      </c>
      <c r="E84" s="41">
        <f>IFERROR(INDEX('배치점수 계산기'!W$11:W$1000,MATCH($C84,'배치점수 계산기'!$U$11:$U$1000,0)),"")</f>
        <v>23</v>
      </c>
      <c r="F84" s="113" t="s">
        <v>276</v>
      </c>
      <c r="G84" s="41" t="s">
        <v>317</v>
      </c>
      <c r="H84" s="41" t="s">
        <v>329</v>
      </c>
      <c r="I84" s="41" t="s">
        <v>274</v>
      </c>
      <c r="J84" s="41" t="str">
        <f t="shared" si="3"/>
        <v>X</v>
      </c>
      <c r="K84" s="113">
        <f>IFERROR(INDEX(환산공식!CI$16:CI$301,MATCH($E84,환산공식!$A$16:$A$301,0)),"")</f>
        <v>0</v>
      </c>
      <c r="L84" s="41" t="str">
        <f>IFERROR(CONCATENATE(ROUND(INDEX(환산공식!CJ$16:CJ$301,MATCH(E84,환산공식!$A$16:$A$301,0)),1),"%"),"")</f>
        <v/>
      </c>
      <c r="M84" s="41">
        <f>IFERROR(INDEX(환산공식!CK$16:CK$301,MATCH(E84,환산공식!$A$16:$A$301,0)),"")</f>
        <v>10</v>
      </c>
      <c r="N84" s="113" t="str">
        <f t="shared" si="4"/>
        <v>1% 이하</v>
      </c>
      <c r="O84" s="119">
        <f>IFERROR(ROUND(INDEX(환산공식!$EF$16:$EF$301,MATCH(E84,환산공식!$A$16:$A$301,0)),3),"")</f>
        <v>0</v>
      </c>
      <c r="P84" s="119">
        <f>IFERROR(ROUND(INDEX('배치점수 계산기'!M$11:M$1000,MATCH($C84,'배치점수 계산기'!$U$11:$U$1000,0)),2),"")</f>
        <v>668.32</v>
      </c>
      <c r="Q84" s="41">
        <f>IFERROR(ROUND(INDEX('배치점수 계산기'!N$11:N$1000,MATCH($C84,'배치점수 계산기'!$U$11:$U$1000,0)),2),"")</f>
        <v>667.45</v>
      </c>
      <c r="R84" s="41">
        <f>IFERROR(ROUND(INDEX('배치점수 계산기'!O$11:O$1000,MATCH($C84,'배치점수 계산기'!$U$11:$U$1000,0)),2),"")</f>
        <v>665.53</v>
      </c>
      <c r="S84" s="41">
        <f>IFERROR(ROUND(INDEX('배치점수 계산기'!P$11:P$1000,MATCH($C84,'배치점수 계산기'!$U$11:$U$1000,0)),2),"")</f>
        <v>664.33</v>
      </c>
      <c r="T84" s="41">
        <f>IFERROR(ROUND(INDEX('배치점수 계산기'!Q$11:Q$1000,MATCH($C84,'배치점수 계산기'!$U$11:$U$1000,0)),2),"")</f>
        <v>661.18</v>
      </c>
      <c r="U84" s="41">
        <f>IFERROR(INDEX(환산공식!$DC$16:$DC$301,MATCH(E84,환산공식!$A$16:$A$301,0)),"")</f>
        <v>0</v>
      </c>
      <c r="V84" s="113">
        <f t="shared" si="5"/>
        <v>6</v>
      </c>
      <c r="W84" s="110" t="str">
        <f>INDEX('배치점수 계산기'!$AG$11:$AG$800,MATCH('       가 군       '!$C84,'배치점수 계산기'!$U$11:$U$800,0))</f>
        <v>표점</v>
      </c>
      <c r="X84" s="108" t="str">
        <f>INDEX('배치점수 계산기'!$AH$11:$AH$800,MATCH('       가 군       '!$C84,'배치점수 계산기'!$U$11:$U$800,0))</f>
        <v>변표</v>
      </c>
      <c r="Y84" s="113">
        <f>INDEX('배치점수 계산기'!$AB$11:$AB$800,MATCH('       가 군       '!$C84,'배치점수 계산기'!$U$11:$U$800,0))</f>
        <v>0.3125</v>
      </c>
      <c r="Z84" s="73">
        <f>INDEX('배치점수 계산기'!$AC$11:$AC$800,MATCH('       가 군       '!$C84,'배치점수 계산기'!$U$11:$U$800,0))</f>
        <v>0.375</v>
      </c>
      <c r="AA84" s="63">
        <f>INDEX('배치점수 계산기'!$AD$11:$AD$800,MATCH('       가 군       '!$C84,'배치점수 계산기'!$U$11:$U$800,0))</f>
        <v>0.3125</v>
      </c>
      <c r="AE84" s="7">
        <v>77</v>
      </c>
    </row>
    <row r="85" spans="3:31" x14ac:dyDescent="0.3">
      <c r="C85" s="7" t="s">
        <v>974</v>
      </c>
      <c r="D85" s="41" t="str">
        <f>IFERROR(INDEX('배치점수 계산기'!V$11:V$1000,MATCH($C85,'배치점수 계산기'!$U$11:$U$1000,0)),"")</f>
        <v>고려대 자연</v>
      </c>
      <c r="E85" s="41">
        <f>IFERROR(INDEX('배치점수 계산기'!W$11:W$1000,MATCH($C85,'배치점수 계산기'!$U$11:$U$1000,0)),"")</f>
        <v>23</v>
      </c>
      <c r="F85" s="113" t="s">
        <v>276</v>
      </c>
      <c r="G85" s="41" t="s">
        <v>317</v>
      </c>
      <c r="H85" s="41" t="s">
        <v>330</v>
      </c>
      <c r="I85" s="41" t="s">
        <v>274</v>
      </c>
      <c r="J85" s="41" t="str">
        <f t="shared" si="3"/>
        <v>X</v>
      </c>
      <c r="K85" s="113">
        <f>IFERROR(INDEX(환산공식!CI$16:CI$301,MATCH($E85,환산공식!$A$16:$A$301,0)),"")</f>
        <v>0</v>
      </c>
      <c r="L85" s="41" t="str">
        <f>IFERROR(CONCATENATE(ROUND(INDEX(환산공식!CJ$16:CJ$301,MATCH(E85,환산공식!$A$16:$A$301,0)),1),"%"),"")</f>
        <v/>
      </c>
      <c r="M85" s="41">
        <f>IFERROR(INDEX(환산공식!CK$16:CK$301,MATCH(E85,환산공식!$A$16:$A$301,0)),"")</f>
        <v>10</v>
      </c>
      <c r="N85" s="113" t="str">
        <f t="shared" si="4"/>
        <v>1% 이하</v>
      </c>
      <c r="O85" s="119">
        <f>IFERROR(ROUND(INDEX(환산공식!$EF$16:$EF$301,MATCH(E85,환산공식!$A$16:$A$301,0)),3),"")</f>
        <v>0</v>
      </c>
      <c r="P85" s="119">
        <f>IFERROR(ROUND(INDEX('배치점수 계산기'!M$11:M$1000,MATCH($C85,'배치점수 계산기'!$U$11:$U$1000,0)),2),"")</f>
        <v>664.62</v>
      </c>
      <c r="Q85" s="41">
        <f>IFERROR(ROUND(INDEX('배치점수 계산기'!N$11:N$1000,MATCH($C85,'배치점수 계산기'!$U$11:$U$1000,0)),2),"")</f>
        <v>663.46</v>
      </c>
      <c r="R85" s="41">
        <f>IFERROR(ROUND(INDEX('배치점수 계산기'!O$11:O$1000,MATCH($C85,'배치점수 계산기'!$U$11:$U$1000,0)),2),"")</f>
        <v>662.48</v>
      </c>
      <c r="S85" s="41">
        <f>IFERROR(ROUND(INDEX('배치점수 계산기'!P$11:P$1000,MATCH($C85,'배치점수 계산기'!$U$11:$U$1000,0)),2),"")</f>
        <v>661.02</v>
      </c>
      <c r="T85" s="41">
        <f>IFERROR(ROUND(INDEX('배치점수 계산기'!Q$11:Q$1000,MATCH($C85,'배치점수 계산기'!$U$11:$U$1000,0)),2),"")</f>
        <v>659.6</v>
      </c>
      <c r="U85" s="41">
        <f>IFERROR(INDEX(환산공식!$DC$16:$DC$301,MATCH(E85,환산공식!$A$16:$A$301,0)),"")</f>
        <v>0</v>
      </c>
      <c r="V85" s="113">
        <f t="shared" si="5"/>
        <v>6</v>
      </c>
      <c r="W85" s="110" t="str">
        <f>INDEX('배치점수 계산기'!$AG$11:$AG$800,MATCH('       가 군       '!$C85,'배치점수 계산기'!$U$11:$U$800,0))</f>
        <v>표점</v>
      </c>
      <c r="X85" s="108" t="str">
        <f>INDEX('배치점수 계산기'!$AH$11:$AH$800,MATCH('       가 군       '!$C85,'배치점수 계산기'!$U$11:$U$800,0))</f>
        <v>변표</v>
      </c>
      <c r="Y85" s="113">
        <f>INDEX('배치점수 계산기'!$AB$11:$AB$800,MATCH('       가 군       '!$C85,'배치점수 계산기'!$U$11:$U$800,0))</f>
        <v>0.3125</v>
      </c>
      <c r="Z85" s="73">
        <f>INDEX('배치점수 계산기'!$AC$11:$AC$800,MATCH('       가 군       '!$C85,'배치점수 계산기'!$U$11:$U$800,0))</f>
        <v>0.375</v>
      </c>
      <c r="AA85" s="63">
        <f>INDEX('배치점수 계산기'!$AD$11:$AD$800,MATCH('       가 군       '!$C85,'배치점수 계산기'!$U$11:$U$800,0))</f>
        <v>0.3125</v>
      </c>
      <c r="AE85" s="7">
        <v>78</v>
      </c>
    </row>
    <row r="86" spans="3:31" x14ac:dyDescent="0.3">
      <c r="C86" s="7" t="s">
        <v>975</v>
      </c>
      <c r="D86" s="41" t="str">
        <f>IFERROR(INDEX('배치점수 계산기'!V$11:V$1000,MATCH($C86,'배치점수 계산기'!$U$11:$U$1000,0)),"")</f>
        <v>고려대 자연</v>
      </c>
      <c r="E86" s="41">
        <f>IFERROR(INDEX('배치점수 계산기'!W$11:W$1000,MATCH($C86,'배치점수 계산기'!$U$11:$U$1000,0)),"")</f>
        <v>23</v>
      </c>
      <c r="F86" s="113" t="s">
        <v>276</v>
      </c>
      <c r="G86" s="41" t="s">
        <v>317</v>
      </c>
      <c r="H86" s="41" t="s">
        <v>260</v>
      </c>
      <c r="I86" s="41" t="s">
        <v>274</v>
      </c>
      <c r="J86" s="41" t="str">
        <f t="shared" si="3"/>
        <v>X</v>
      </c>
      <c r="K86" s="113">
        <f>IFERROR(INDEX(환산공식!CI$16:CI$301,MATCH($E86,환산공식!$A$16:$A$301,0)),"")</f>
        <v>0</v>
      </c>
      <c r="L86" s="41" t="str">
        <f>IFERROR(CONCATENATE(ROUND(INDEX(환산공식!CJ$16:CJ$301,MATCH(E86,환산공식!$A$16:$A$301,0)),1),"%"),"")</f>
        <v/>
      </c>
      <c r="M86" s="41">
        <f>IFERROR(INDEX(환산공식!CK$16:CK$301,MATCH(E86,환산공식!$A$16:$A$301,0)),"")</f>
        <v>10</v>
      </c>
      <c r="N86" s="113" t="str">
        <f t="shared" si="4"/>
        <v>1% 이하</v>
      </c>
      <c r="O86" s="119">
        <f>IFERROR(ROUND(INDEX(환산공식!$EF$16:$EF$301,MATCH(E86,환산공식!$A$16:$A$301,0)),3),"")</f>
        <v>0</v>
      </c>
      <c r="P86" s="119">
        <f>IFERROR(ROUND(INDEX('배치점수 계산기'!M$11:M$1000,MATCH($C86,'배치점수 계산기'!$U$11:$U$1000,0)),2),"")</f>
        <v>662.93</v>
      </c>
      <c r="Q86" s="41">
        <f>IFERROR(ROUND(INDEX('배치점수 계산기'!N$11:N$1000,MATCH($C86,'배치점수 계산기'!$U$11:$U$1000,0)),2),"")</f>
        <v>661.88</v>
      </c>
      <c r="R86" s="41">
        <f>IFERROR(ROUND(INDEX('배치점수 계산기'!O$11:O$1000,MATCH($C86,'배치점수 계산기'!$U$11:$U$1000,0)),2),"")</f>
        <v>661.02</v>
      </c>
      <c r="S86" s="41">
        <f>IFERROR(ROUND(INDEX('배치점수 계산기'!P$11:P$1000,MATCH($C86,'배치점수 계산기'!$U$11:$U$1000,0)),2),"")</f>
        <v>659.89</v>
      </c>
      <c r="T86" s="41">
        <f>IFERROR(ROUND(INDEX('배치점수 계산기'!Q$11:Q$1000,MATCH($C86,'배치점수 계산기'!$U$11:$U$1000,0)),2),"")</f>
        <v>658.51</v>
      </c>
      <c r="U86" s="41">
        <f>IFERROR(INDEX(환산공식!$DC$16:$DC$301,MATCH(E86,환산공식!$A$16:$A$301,0)),"")</f>
        <v>0</v>
      </c>
      <c r="V86" s="113">
        <f t="shared" si="5"/>
        <v>6</v>
      </c>
      <c r="W86" s="110" t="str">
        <f>INDEX('배치점수 계산기'!$AG$11:$AG$800,MATCH('       가 군       '!$C86,'배치점수 계산기'!$U$11:$U$800,0))</f>
        <v>표점</v>
      </c>
      <c r="X86" s="108" t="str">
        <f>INDEX('배치점수 계산기'!$AH$11:$AH$800,MATCH('       가 군       '!$C86,'배치점수 계산기'!$U$11:$U$800,0))</f>
        <v>변표</v>
      </c>
      <c r="Y86" s="113">
        <f>INDEX('배치점수 계산기'!$AB$11:$AB$800,MATCH('       가 군       '!$C86,'배치점수 계산기'!$U$11:$U$800,0))</f>
        <v>0.3125</v>
      </c>
      <c r="Z86" s="73">
        <f>INDEX('배치점수 계산기'!$AC$11:$AC$800,MATCH('       가 군       '!$C86,'배치점수 계산기'!$U$11:$U$800,0))</f>
        <v>0.375</v>
      </c>
      <c r="AA86" s="63">
        <f>INDEX('배치점수 계산기'!$AD$11:$AD$800,MATCH('       가 군       '!$C86,'배치점수 계산기'!$U$11:$U$800,0))</f>
        <v>0.3125</v>
      </c>
      <c r="AE86" s="7">
        <v>79</v>
      </c>
    </row>
    <row r="87" spans="3:31" x14ac:dyDescent="0.3">
      <c r="C87" s="7" t="s">
        <v>976</v>
      </c>
      <c r="D87" s="41" t="str">
        <f>IFERROR(INDEX('배치점수 계산기'!V$11:V$1000,MATCH($C87,'배치점수 계산기'!$U$11:$U$1000,0)),"")</f>
        <v>고려대 통합</v>
      </c>
      <c r="E87" s="41">
        <f>IFERROR(INDEX('배치점수 계산기'!W$11:W$1000,MATCH($C87,'배치점수 계산기'!$U$11:$U$1000,0)),"")</f>
        <v>24</v>
      </c>
      <c r="F87" s="113" t="s">
        <v>276</v>
      </c>
      <c r="G87" s="41" t="s">
        <v>317</v>
      </c>
      <c r="H87" s="41" t="s">
        <v>331</v>
      </c>
      <c r="I87" s="41" t="s">
        <v>275</v>
      </c>
      <c r="J87" s="41" t="str">
        <f t="shared" si="3"/>
        <v>X</v>
      </c>
      <c r="K87" s="113">
        <f>IFERROR(INDEX(환산공식!CI$16:CI$301,MATCH($E87,환산공식!$A$16:$A$301,0)),"")</f>
        <v>0</v>
      </c>
      <c r="L87" s="41" t="str">
        <f>IFERROR(CONCATENATE(ROUND(INDEX(환산공식!CJ$16:CJ$301,MATCH(E87,환산공식!$A$16:$A$301,0)),1),"%"),"")</f>
        <v/>
      </c>
      <c r="M87" s="41">
        <f>IFERROR(INDEX(환산공식!CK$16:CK$301,MATCH(E87,환산공식!$A$16:$A$301,0)),"")</f>
        <v>10</v>
      </c>
      <c r="N87" s="113" t="str">
        <f t="shared" si="4"/>
        <v>1% 이하</v>
      </c>
      <c r="O87" s="119">
        <f>IFERROR(ROUND(INDEX(환산공식!$EF$16:$EF$301,MATCH(E87,환산공식!$A$16:$A$301,0)),3),"")</f>
        <v>0</v>
      </c>
      <c r="P87" s="119">
        <f>IFERROR(ROUND(INDEX('배치점수 계산기'!M$11:M$1000,MATCH($C87,'배치점수 계산기'!$U$11:$U$1000,0)),2),"")</f>
        <v>667</v>
      </c>
      <c r="Q87" s="41">
        <f>IFERROR(ROUND(INDEX('배치점수 계산기'!N$11:N$1000,MATCH($C87,'배치점수 계산기'!$U$11:$U$1000,0)),2),"")</f>
        <v>666.05</v>
      </c>
      <c r="R87" s="41">
        <f>IFERROR(ROUND(INDEX('배치점수 계산기'!O$11:O$1000,MATCH($C87,'배치점수 계산기'!$U$11:$U$1000,0)),2),"")</f>
        <v>664.8</v>
      </c>
      <c r="S87" s="41">
        <f>IFERROR(ROUND(INDEX('배치점수 계산기'!P$11:P$1000,MATCH($C87,'배치점수 계산기'!$U$11:$U$1000,0)),2),"")</f>
        <v>661.49</v>
      </c>
      <c r="T87" s="41">
        <f>IFERROR(ROUND(INDEX('배치점수 계산기'!Q$11:Q$1000,MATCH($C87,'배치점수 계산기'!$U$11:$U$1000,0)),2),"")</f>
        <v>657.98</v>
      </c>
      <c r="U87" s="41">
        <f>IFERROR(INDEX(환산공식!$DC$16:$DC$301,MATCH(E87,환산공식!$A$16:$A$301,0)),"")</f>
        <v>0</v>
      </c>
      <c r="V87" s="113">
        <f t="shared" si="5"/>
        <v>6</v>
      </c>
      <c r="W87" s="110" t="str">
        <f>INDEX('배치점수 계산기'!$AG$11:$AG$800,MATCH('       가 군       '!$C87,'배치점수 계산기'!$U$11:$U$800,0))</f>
        <v>표점</v>
      </c>
      <c r="X87" s="108" t="str">
        <f>INDEX('배치점수 계산기'!$AH$11:$AH$800,MATCH('       가 군       '!$C87,'배치점수 계산기'!$U$11:$U$800,0))</f>
        <v>변표</v>
      </c>
      <c r="Y87" s="113">
        <f>INDEX('배치점수 계산기'!$AB$11:$AB$800,MATCH('       가 군       '!$C87,'배치점수 계산기'!$U$11:$U$800,0))</f>
        <v>0.35714285714285715</v>
      </c>
      <c r="Z87" s="73">
        <f>INDEX('배치점수 계산기'!$AC$11:$AC$800,MATCH('       가 군       '!$C87,'배치점수 계산기'!$U$11:$U$800,0))</f>
        <v>0.35714285714285715</v>
      </c>
      <c r="AA87" s="63">
        <f>INDEX('배치점수 계산기'!$AD$11:$AD$800,MATCH('       가 군       '!$C87,'배치점수 계산기'!$U$11:$U$800,0))</f>
        <v>0.2857142857142857</v>
      </c>
      <c r="AE87" s="7">
        <v>80</v>
      </c>
    </row>
    <row r="88" spans="3:31" x14ac:dyDescent="0.3">
      <c r="C88" s="7" t="s">
        <v>977</v>
      </c>
      <c r="D88" s="41" t="str">
        <f>IFERROR(INDEX('배치점수 계산기'!V$11:V$1000,MATCH($C88,'배치점수 계산기'!$U$11:$U$1000,0)),"")</f>
        <v>고려대 통합</v>
      </c>
      <c r="E88" s="41">
        <f>IFERROR(INDEX('배치점수 계산기'!W$11:W$1000,MATCH($C88,'배치점수 계산기'!$U$11:$U$1000,0)),"")</f>
        <v>24</v>
      </c>
      <c r="F88" s="113" t="s">
        <v>276</v>
      </c>
      <c r="G88" s="41" t="s">
        <v>317</v>
      </c>
      <c r="H88" s="41" t="s">
        <v>332</v>
      </c>
      <c r="I88" s="41" t="s">
        <v>275</v>
      </c>
      <c r="J88" s="41" t="str">
        <f t="shared" si="3"/>
        <v>X</v>
      </c>
      <c r="K88" s="113">
        <f>IFERROR(INDEX(환산공식!CI$16:CI$301,MATCH($E88,환산공식!$A$16:$A$301,0)),"")</f>
        <v>0</v>
      </c>
      <c r="L88" s="41" t="str">
        <f>IFERROR(CONCATENATE(ROUND(INDEX(환산공식!CJ$16:CJ$301,MATCH(E88,환산공식!$A$16:$A$301,0)),1),"%"),"")</f>
        <v/>
      </c>
      <c r="M88" s="41">
        <f>IFERROR(INDEX(환산공식!CK$16:CK$301,MATCH(E88,환산공식!$A$16:$A$301,0)),"")</f>
        <v>10</v>
      </c>
      <c r="N88" s="113" t="str">
        <f t="shared" si="4"/>
        <v>1% 이하</v>
      </c>
      <c r="O88" s="119">
        <f>IFERROR(ROUND(INDEX(환산공식!$EF$16:$EF$301,MATCH(E88,환산공식!$A$16:$A$301,0)),3),"")</f>
        <v>0</v>
      </c>
      <c r="P88" s="119">
        <f>IFERROR(ROUND(INDEX('배치점수 계산기'!M$11:M$1000,MATCH($C88,'배치점수 계산기'!$U$11:$U$1000,0)),2),"")</f>
        <v>662.86</v>
      </c>
      <c r="Q88" s="41">
        <f>IFERROR(ROUND(INDEX('배치점수 계산기'!N$11:N$1000,MATCH($C88,'배치점수 계산기'!$U$11:$U$1000,0)),2),"")</f>
        <v>662.02</v>
      </c>
      <c r="R88" s="41">
        <f>IFERROR(ROUND(INDEX('배치점수 계산기'!O$11:O$1000,MATCH($C88,'배치점수 계산기'!$U$11:$U$1000,0)),2),"")</f>
        <v>658.94</v>
      </c>
      <c r="S88" s="41">
        <f>IFERROR(ROUND(INDEX('배치점수 계산기'!P$11:P$1000,MATCH($C88,'배치점수 계산기'!$U$11:$U$1000,0)),2),"")</f>
        <v>657.15</v>
      </c>
      <c r="T88" s="41">
        <f>IFERROR(ROUND(INDEX('배치점수 계산기'!Q$11:Q$1000,MATCH($C88,'배치점수 계산기'!$U$11:$U$1000,0)),2),"")</f>
        <v>653.53</v>
      </c>
      <c r="U88" s="41">
        <f>IFERROR(INDEX(환산공식!$DC$16:$DC$301,MATCH(E88,환산공식!$A$16:$A$301,0)),"")</f>
        <v>0</v>
      </c>
      <c r="V88" s="113">
        <f t="shared" si="5"/>
        <v>6</v>
      </c>
      <c r="W88" s="110" t="str">
        <f>INDEX('배치점수 계산기'!$AG$11:$AG$800,MATCH('       가 군       '!$C88,'배치점수 계산기'!$U$11:$U$800,0))</f>
        <v>표점</v>
      </c>
      <c r="X88" s="108" t="str">
        <f>INDEX('배치점수 계산기'!$AH$11:$AH$800,MATCH('       가 군       '!$C88,'배치점수 계산기'!$U$11:$U$800,0))</f>
        <v>변표</v>
      </c>
      <c r="Y88" s="113">
        <f>INDEX('배치점수 계산기'!$AB$11:$AB$800,MATCH('       가 군       '!$C88,'배치점수 계산기'!$U$11:$U$800,0))</f>
        <v>0.35714285714285715</v>
      </c>
      <c r="Z88" s="73">
        <f>INDEX('배치점수 계산기'!$AC$11:$AC$800,MATCH('       가 군       '!$C88,'배치점수 계산기'!$U$11:$U$800,0))</f>
        <v>0.35714285714285715</v>
      </c>
      <c r="AA88" s="63">
        <f>INDEX('배치점수 계산기'!$AD$11:$AD$800,MATCH('       가 군       '!$C88,'배치점수 계산기'!$U$11:$U$800,0))</f>
        <v>0.2857142857142857</v>
      </c>
      <c r="AE88" s="7">
        <v>81</v>
      </c>
    </row>
    <row r="89" spans="3:31" x14ac:dyDescent="0.3">
      <c r="C89" s="7" t="s">
        <v>978</v>
      </c>
      <c r="D89" s="41" t="str">
        <f>IFERROR(INDEX('배치점수 계산기'!V$11:V$1000,MATCH($C89,'배치점수 계산기'!$U$11:$U$1000,0)),"")</f>
        <v>고려대 통합</v>
      </c>
      <c r="E89" s="41">
        <f>IFERROR(INDEX('배치점수 계산기'!W$11:W$1000,MATCH($C89,'배치점수 계산기'!$U$11:$U$1000,0)),"")</f>
        <v>24</v>
      </c>
      <c r="F89" s="113" t="s">
        <v>276</v>
      </c>
      <c r="G89" s="41" t="s">
        <v>317</v>
      </c>
      <c r="H89" s="41" t="s">
        <v>261</v>
      </c>
      <c r="I89" s="41" t="s">
        <v>275</v>
      </c>
      <c r="J89" s="41" t="str">
        <f t="shared" si="3"/>
        <v>X</v>
      </c>
      <c r="K89" s="113">
        <f>IFERROR(INDEX(환산공식!CI$16:CI$301,MATCH($E89,환산공식!$A$16:$A$301,0)),"")</f>
        <v>0</v>
      </c>
      <c r="L89" s="41" t="str">
        <f>IFERROR(CONCATENATE(ROUND(INDEX(환산공식!CJ$16:CJ$301,MATCH(E89,환산공식!$A$16:$A$301,0)),1),"%"),"")</f>
        <v/>
      </c>
      <c r="M89" s="41">
        <f>IFERROR(INDEX(환산공식!CK$16:CK$301,MATCH(E89,환산공식!$A$16:$A$301,0)),"")</f>
        <v>10</v>
      </c>
      <c r="N89" s="113" t="str">
        <f t="shared" si="4"/>
        <v>1% 이하</v>
      </c>
      <c r="O89" s="119">
        <f>IFERROR(ROUND(INDEX(환산공식!$EF$16:$EF$301,MATCH(E89,환산공식!$A$16:$A$301,0)),3),"")</f>
        <v>0</v>
      </c>
      <c r="P89" s="119">
        <f>IFERROR(ROUND(INDEX('배치점수 계산기'!M$11:M$1000,MATCH($C89,'배치점수 계산기'!$U$11:$U$1000,0)),2),"")</f>
        <v>666.05</v>
      </c>
      <c r="Q89" s="41">
        <f>IFERROR(ROUND(INDEX('배치점수 계산기'!N$11:N$1000,MATCH($C89,'배치점수 계산기'!$U$11:$U$1000,0)),2),"")</f>
        <v>664.8</v>
      </c>
      <c r="R89" s="41">
        <f>IFERROR(ROUND(INDEX('배치점수 계산기'!O$11:O$1000,MATCH($C89,'배치점수 계산기'!$U$11:$U$1000,0)),2),"")</f>
        <v>663.57</v>
      </c>
      <c r="S89" s="41">
        <f>IFERROR(ROUND(INDEX('배치점수 계산기'!P$11:P$1000,MATCH($C89,'배치점수 계산기'!$U$11:$U$1000,0)),2),"")</f>
        <v>659.89</v>
      </c>
      <c r="T89" s="41">
        <f>IFERROR(ROUND(INDEX('배치점수 계산기'!Q$11:Q$1000,MATCH($C89,'배치점수 계산기'!$U$11:$U$1000,0)),2),"")</f>
        <v>656.32</v>
      </c>
      <c r="U89" s="41">
        <f>IFERROR(INDEX(환산공식!$DC$16:$DC$301,MATCH(E89,환산공식!$A$16:$A$301,0)),"")</f>
        <v>0</v>
      </c>
      <c r="V89" s="113">
        <f t="shared" si="5"/>
        <v>6</v>
      </c>
      <c r="W89" s="110" t="str">
        <f>INDEX('배치점수 계산기'!$AG$11:$AG$800,MATCH('       가 군       '!$C89,'배치점수 계산기'!$U$11:$U$800,0))</f>
        <v>표점</v>
      </c>
      <c r="X89" s="108" t="str">
        <f>INDEX('배치점수 계산기'!$AH$11:$AH$800,MATCH('       가 군       '!$C89,'배치점수 계산기'!$U$11:$U$800,0))</f>
        <v>변표</v>
      </c>
      <c r="Y89" s="113">
        <f>INDEX('배치점수 계산기'!$AB$11:$AB$800,MATCH('       가 군       '!$C89,'배치점수 계산기'!$U$11:$U$800,0))</f>
        <v>0.35714285714285715</v>
      </c>
      <c r="Z89" s="73">
        <f>INDEX('배치점수 계산기'!$AC$11:$AC$800,MATCH('       가 군       '!$C89,'배치점수 계산기'!$U$11:$U$800,0))</f>
        <v>0.35714285714285715</v>
      </c>
      <c r="AA89" s="63">
        <f>INDEX('배치점수 계산기'!$AD$11:$AD$800,MATCH('       가 군       '!$C89,'배치점수 계산기'!$U$11:$U$800,0))</f>
        <v>0.2857142857142857</v>
      </c>
      <c r="AE89" s="7">
        <v>82</v>
      </c>
    </row>
    <row r="90" spans="3:31" x14ac:dyDescent="0.3">
      <c r="C90" s="7" t="s">
        <v>979</v>
      </c>
      <c r="D90" s="41" t="str">
        <f>IFERROR(INDEX('배치점수 계산기'!V$11:V$1000,MATCH($C90,'배치점수 계산기'!$U$11:$U$1000,0)),"")</f>
        <v>고려대 통합</v>
      </c>
      <c r="E90" s="41">
        <f>IFERROR(INDEX('배치점수 계산기'!W$11:W$1000,MATCH($C90,'배치점수 계산기'!$U$11:$U$1000,0)),"")</f>
        <v>24</v>
      </c>
      <c r="F90" s="113" t="s">
        <v>276</v>
      </c>
      <c r="G90" s="41" t="s">
        <v>317</v>
      </c>
      <c r="H90" s="41" t="s">
        <v>262</v>
      </c>
      <c r="I90" s="41" t="s">
        <v>275</v>
      </c>
      <c r="J90" s="41" t="str">
        <f t="shared" si="3"/>
        <v>X</v>
      </c>
      <c r="K90" s="113">
        <f>IFERROR(INDEX(환산공식!CI$16:CI$301,MATCH($E90,환산공식!$A$16:$A$301,0)),"")</f>
        <v>0</v>
      </c>
      <c r="L90" s="41" t="str">
        <f>IFERROR(CONCATENATE(ROUND(INDEX(환산공식!CJ$16:CJ$301,MATCH(E90,환산공식!$A$16:$A$301,0)),1),"%"),"")</f>
        <v/>
      </c>
      <c r="M90" s="41">
        <f>IFERROR(INDEX(환산공식!CK$16:CK$301,MATCH(E90,환산공식!$A$16:$A$301,0)),"")</f>
        <v>10</v>
      </c>
      <c r="N90" s="113" t="str">
        <f t="shared" si="4"/>
        <v>1% 이하</v>
      </c>
      <c r="O90" s="119">
        <f>IFERROR(ROUND(INDEX(환산공식!$EF$16:$EF$301,MATCH(E90,환산공식!$A$16:$A$301,0)),3),"")</f>
        <v>0</v>
      </c>
      <c r="P90" s="119">
        <f>IFERROR(ROUND(INDEX('배치점수 계산기'!M$11:M$1000,MATCH($C90,'배치점수 계산기'!$U$11:$U$1000,0)),2),"")</f>
        <v>667</v>
      </c>
      <c r="Q90" s="41">
        <f>IFERROR(ROUND(INDEX('배치점수 계산기'!N$11:N$1000,MATCH($C90,'배치점수 계산기'!$U$11:$U$1000,0)),2),"")</f>
        <v>665.21</v>
      </c>
      <c r="R90" s="41">
        <f>IFERROR(ROUND(INDEX('배치점수 계산기'!O$11:O$1000,MATCH($C90,'배치점수 계산기'!$U$11:$U$1000,0)),2),"")</f>
        <v>663.81</v>
      </c>
      <c r="S90" s="41">
        <f>IFERROR(ROUND(INDEX('배치점수 계산기'!P$11:P$1000,MATCH($C90,'배치점수 계산기'!$U$11:$U$1000,0)),2),"")</f>
        <v>659.89</v>
      </c>
      <c r="T90" s="41">
        <f>IFERROR(ROUND(INDEX('배치점수 계산기'!Q$11:Q$1000,MATCH($C90,'배치점수 계산기'!$U$11:$U$1000,0)),2),"")</f>
        <v>656.32</v>
      </c>
      <c r="U90" s="41">
        <f>IFERROR(INDEX(환산공식!$DC$16:$DC$301,MATCH(E90,환산공식!$A$16:$A$301,0)),"")</f>
        <v>0</v>
      </c>
      <c r="V90" s="113">
        <f t="shared" si="5"/>
        <v>6</v>
      </c>
      <c r="W90" s="110" t="str">
        <f>INDEX('배치점수 계산기'!$AG$11:$AG$800,MATCH('       가 군       '!$C90,'배치점수 계산기'!$U$11:$U$800,0))</f>
        <v>표점</v>
      </c>
      <c r="X90" s="108" t="str">
        <f>INDEX('배치점수 계산기'!$AH$11:$AH$800,MATCH('       가 군       '!$C90,'배치점수 계산기'!$U$11:$U$800,0))</f>
        <v>변표</v>
      </c>
      <c r="Y90" s="113">
        <f>INDEX('배치점수 계산기'!$AB$11:$AB$800,MATCH('       가 군       '!$C90,'배치점수 계산기'!$U$11:$U$800,0))</f>
        <v>0.35714285714285715</v>
      </c>
      <c r="Z90" s="73">
        <f>INDEX('배치점수 계산기'!$AC$11:$AC$800,MATCH('       가 군       '!$C90,'배치점수 계산기'!$U$11:$U$800,0))</f>
        <v>0.35714285714285715</v>
      </c>
      <c r="AA90" s="63">
        <f>INDEX('배치점수 계산기'!$AD$11:$AD$800,MATCH('       가 군       '!$C90,'배치점수 계산기'!$U$11:$U$800,0))</f>
        <v>0.2857142857142857</v>
      </c>
      <c r="AE90" s="7">
        <v>83</v>
      </c>
    </row>
    <row r="91" spans="3:31" x14ac:dyDescent="0.3">
      <c r="C91" s="7" t="s">
        <v>980</v>
      </c>
      <c r="D91" s="41" t="str">
        <f>IFERROR(INDEX('배치점수 계산기'!V$11:V$1000,MATCH($C91,'배치점수 계산기'!$U$11:$U$1000,0)),"")</f>
        <v>고려대 통합</v>
      </c>
      <c r="E91" s="41">
        <f>IFERROR(INDEX('배치점수 계산기'!W$11:W$1000,MATCH($C91,'배치점수 계산기'!$U$11:$U$1000,0)),"")</f>
        <v>24</v>
      </c>
      <c r="F91" s="113" t="s">
        <v>276</v>
      </c>
      <c r="G91" s="41" t="s">
        <v>317</v>
      </c>
      <c r="H91" s="41" t="s">
        <v>333</v>
      </c>
      <c r="I91" s="41" t="s">
        <v>275</v>
      </c>
      <c r="J91" s="41" t="str">
        <f t="shared" si="3"/>
        <v>X</v>
      </c>
      <c r="K91" s="113">
        <f>IFERROR(INDEX(환산공식!CI$16:CI$301,MATCH($E91,환산공식!$A$16:$A$301,0)),"")</f>
        <v>0</v>
      </c>
      <c r="L91" s="41" t="str">
        <f>IFERROR(CONCATENATE(ROUND(INDEX(환산공식!CJ$16:CJ$301,MATCH(E91,환산공식!$A$16:$A$301,0)),1),"%"),"")</f>
        <v/>
      </c>
      <c r="M91" s="41">
        <f>IFERROR(INDEX(환산공식!CK$16:CK$301,MATCH(E91,환산공식!$A$16:$A$301,0)),"")</f>
        <v>10</v>
      </c>
      <c r="N91" s="113" t="str">
        <f t="shared" si="4"/>
        <v>1% 이하</v>
      </c>
      <c r="O91" s="119">
        <f>IFERROR(ROUND(INDEX(환산공식!$EF$16:$EF$301,MATCH(E91,환산공식!$A$16:$A$301,0)),3),"")</f>
        <v>0</v>
      </c>
      <c r="P91" s="119">
        <f>IFERROR(ROUND(INDEX('배치점수 계산기'!M$11:M$1000,MATCH($C91,'배치점수 계산기'!$U$11:$U$1000,0)),2),"")</f>
        <v>663.81</v>
      </c>
      <c r="Q91" s="41">
        <f>IFERROR(ROUND(INDEX('배치점수 계산기'!N$11:N$1000,MATCH($C91,'배치점수 계산기'!$U$11:$U$1000,0)),2),"")</f>
        <v>662.2</v>
      </c>
      <c r="R91" s="41">
        <f>IFERROR(ROUND(INDEX('배치점수 계산기'!O$11:O$1000,MATCH($C91,'배치점수 계산기'!$U$11:$U$1000,0)),2),"")</f>
        <v>658.94</v>
      </c>
      <c r="S91" s="41">
        <f>IFERROR(ROUND(INDEX('배치점수 계산기'!P$11:P$1000,MATCH($C91,'배치점수 계산기'!$U$11:$U$1000,0)),2),"")</f>
        <v>657.15</v>
      </c>
      <c r="T91" s="41">
        <f>IFERROR(ROUND(INDEX('배치점수 계산기'!Q$11:Q$1000,MATCH($C91,'배치점수 계산기'!$U$11:$U$1000,0)),2),"")</f>
        <v>654.24</v>
      </c>
      <c r="U91" s="41">
        <f>IFERROR(INDEX(환산공식!$DC$16:$DC$301,MATCH(E91,환산공식!$A$16:$A$301,0)),"")</f>
        <v>0</v>
      </c>
      <c r="V91" s="113">
        <f t="shared" si="5"/>
        <v>6</v>
      </c>
      <c r="W91" s="110" t="str">
        <f>INDEX('배치점수 계산기'!$AG$11:$AG$800,MATCH('       가 군       '!$C91,'배치점수 계산기'!$U$11:$U$800,0))</f>
        <v>표점</v>
      </c>
      <c r="X91" s="108" t="str">
        <f>INDEX('배치점수 계산기'!$AH$11:$AH$800,MATCH('       가 군       '!$C91,'배치점수 계산기'!$U$11:$U$800,0))</f>
        <v>변표</v>
      </c>
      <c r="Y91" s="113">
        <f>INDEX('배치점수 계산기'!$AB$11:$AB$800,MATCH('       가 군       '!$C91,'배치점수 계산기'!$U$11:$U$800,0))</f>
        <v>0.35714285714285715</v>
      </c>
      <c r="Z91" s="73">
        <f>INDEX('배치점수 계산기'!$AC$11:$AC$800,MATCH('       가 군       '!$C91,'배치점수 계산기'!$U$11:$U$800,0))</f>
        <v>0.35714285714285715</v>
      </c>
      <c r="AA91" s="63">
        <f>INDEX('배치점수 계산기'!$AD$11:$AD$800,MATCH('       가 군       '!$C91,'배치점수 계산기'!$U$11:$U$800,0))</f>
        <v>0.2857142857142857</v>
      </c>
      <c r="AE91" s="7">
        <v>84</v>
      </c>
    </row>
    <row r="92" spans="3:31" x14ac:dyDescent="0.3">
      <c r="C92" s="7" t="s">
        <v>981</v>
      </c>
      <c r="D92" s="41" t="str">
        <f>IFERROR(INDEX('배치점수 계산기'!V$11:V$1000,MATCH($C92,'배치점수 계산기'!$U$11:$U$1000,0)),"")</f>
        <v>고려대 통합</v>
      </c>
      <c r="E92" s="41">
        <f>IFERROR(INDEX('배치점수 계산기'!W$11:W$1000,MATCH($C92,'배치점수 계산기'!$U$11:$U$1000,0)),"")</f>
        <v>24</v>
      </c>
      <c r="F92" s="113" t="s">
        <v>276</v>
      </c>
      <c r="G92" s="41" t="s">
        <v>317</v>
      </c>
      <c r="H92" s="41" t="s">
        <v>255</v>
      </c>
      <c r="I92" s="41" t="s">
        <v>275</v>
      </c>
      <c r="J92" s="41" t="str">
        <f t="shared" si="3"/>
        <v>X</v>
      </c>
      <c r="K92" s="113">
        <f>IFERROR(INDEX(환산공식!CI$16:CI$301,MATCH($E92,환산공식!$A$16:$A$301,0)),"")</f>
        <v>0</v>
      </c>
      <c r="L92" s="41" t="str">
        <f>IFERROR(CONCATENATE(ROUND(INDEX(환산공식!CJ$16:CJ$301,MATCH(E92,환산공식!$A$16:$A$301,0)),1),"%"),"")</f>
        <v/>
      </c>
      <c r="M92" s="41">
        <f>IFERROR(INDEX(환산공식!CK$16:CK$301,MATCH(E92,환산공식!$A$16:$A$301,0)),"")</f>
        <v>10</v>
      </c>
      <c r="N92" s="113" t="str">
        <f t="shared" si="4"/>
        <v>1% 이하</v>
      </c>
      <c r="O92" s="119">
        <f>IFERROR(ROUND(INDEX(환산공식!$EF$16:$EF$301,MATCH(E92,환산공식!$A$16:$A$301,0)),3),"")</f>
        <v>0</v>
      </c>
      <c r="P92" s="119">
        <f>IFERROR(ROUND(INDEX('배치점수 계산기'!M$11:M$1000,MATCH($C92,'배치점수 계산기'!$U$11:$U$1000,0)),2),"")</f>
        <v>663.57</v>
      </c>
      <c r="Q92" s="41">
        <f>IFERROR(ROUND(INDEX('배치점수 계산기'!N$11:N$1000,MATCH($C92,'배치점수 계산기'!$U$11:$U$1000,0)),2),"")</f>
        <v>659.71</v>
      </c>
      <c r="R92" s="41">
        <f>IFERROR(ROUND(INDEX('배치점수 계산기'!O$11:O$1000,MATCH($C92,'배치점수 계산기'!$U$11:$U$1000,0)),2),"")</f>
        <v>657.81</v>
      </c>
      <c r="S92" s="41">
        <f>IFERROR(ROUND(INDEX('배치점수 계산기'!P$11:P$1000,MATCH($C92,'배치점수 계산기'!$U$11:$U$1000,0)),2),"")</f>
        <v>655.43</v>
      </c>
      <c r="T92" s="41">
        <f>IFERROR(ROUND(INDEX('배치점수 계산기'!Q$11:Q$1000,MATCH($C92,'배치점수 계산기'!$U$11:$U$1000,0)),2),"")</f>
        <v>652.88</v>
      </c>
      <c r="U92" s="41">
        <f>IFERROR(INDEX(환산공식!$DC$16:$DC$301,MATCH(E92,환산공식!$A$16:$A$301,0)),"")</f>
        <v>0</v>
      </c>
      <c r="V92" s="113">
        <f t="shared" si="5"/>
        <v>6</v>
      </c>
      <c r="W92" s="110" t="str">
        <f>INDEX('배치점수 계산기'!$AG$11:$AG$800,MATCH('       가 군       '!$C92,'배치점수 계산기'!$U$11:$U$800,0))</f>
        <v>표점</v>
      </c>
      <c r="X92" s="108" t="str">
        <f>INDEX('배치점수 계산기'!$AH$11:$AH$800,MATCH('       가 군       '!$C92,'배치점수 계산기'!$U$11:$U$800,0))</f>
        <v>변표</v>
      </c>
      <c r="Y92" s="113">
        <f>INDEX('배치점수 계산기'!$AB$11:$AB$800,MATCH('       가 군       '!$C92,'배치점수 계산기'!$U$11:$U$800,0))</f>
        <v>0.35714285714285715</v>
      </c>
      <c r="Z92" s="73">
        <f>INDEX('배치점수 계산기'!$AC$11:$AC$800,MATCH('       가 군       '!$C92,'배치점수 계산기'!$U$11:$U$800,0))</f>
        <v>0.35714285714285715</v>
      </c>
      <c r="AA92" s="63">
        <f>INDEX('배치점수 계산기'!$AD$11:$AD$800,MATCH('       가 군       '!$C92,'배치점수 계산기'!$U$11:$U$800,0))</f>
        <v>0.2857142857142857</v>
      </c>
      <c r="AE92" s="7">
        <v>85</v>
      </c>
    </row>
    <row r="93" spans="3:31" x14ac:dyDescent="0.3">
      <c r="C93" s="7" t="s">
        <v>982</v>
      </c>
      <c r="D93" s="41" t="str">
        <f>IFERROR(INDEX('배치점수 계산기'!V$11:V$1000,MATCH($C93,'배치점수 계산기'!$U$11:$U$1000,0)),"")</f>
        <v>고려대 통합</v>
      </c>
      <c r="E93" s="41">
        <f>IFERROR(INDEX('배치점수 계산기'!W$11:W$1000,MATCH($C93,'배치점수 계산기'!$U$11:$U$1000,0)),"")</f>
        <v>24</v>
      </c>
      <c r="F93" s="113" t="s">
        <v>276</v>
      </c>
      <c r="G93" s="41" t="s">
        <v>317</v>
      </c>
      <c r="H93" s="41" t="s">
        <v>266</v>
      </c>
      <c r="I93" s="41" t="s">
        <v>275</v>
      </c>
      <c r="J93" s="41" t="str">
        <f t="shared" si="3"/>
        <v>X</v>
      </c>
      <c r="K93" s="113">
        <f>IFERROR(INDEX(환산공식!CI$16:CI$301,MATCH($E93,환산공식!$A$16:$A$301,0)),"")</f>
        <v>0</v>
      </c>
      <c r="L93" s="41" t="str">
        <f>IFERROR(CONCATENATE(ROUND(INDEX(환산공식!CJ$16:CJ$301,MATCH(E93,환산공식!$A$16:$A$301,0)),1),"%"),"")</f>
        <v/>
      </c>
      <c r="M93" s="41">
        <f>IFERROR(INDEX(환산공식!CK$16:CK$301,MATCH(E93,환산공식!$A$16:$A$301,0)),"")</f>
        <v>10</v>
      </c>
      <c r="N93" s="113" t="str">
        <f t="shared" si="4"/>
        <v>1% 이하</v>
      </c>
      <c r="O93" s="119">
        <f>IFERROR(ROUND(INDEX(환산공식!$EF$16:$EF$301,MATCH(E93,환산공식!$A$16:$A$301,0)),3),"")</f>
        <v>0</v>
      </c>
      <c r="P93" s="119">
        <f>IFERROR(ROUND(INDEX('배치점수 계산기'!M$11:M$1000,MATCH($C93,'배치점수 계산기'!$U$11:$U$1000,0)),2),"")</f>
        <v>663.57</v>
      </c>
      <c r="Q93" s="41">
        <f>IFERROR(ROUND(INDEX('배치점수 계산기'!N$11:N$1000,MATCH($C93,'배치점수 계산기'!$U$11:$U$1000,0)),2),"")</f>
        <v>659.71</v>
      </c>
      <c r="R93" s="41">
        <f>IFERROR(ROUND(INDEX('배치점수 계산기'!O$11:O$1000,MATCH($C93,'배치점수 계산기'!$U$11:$U$1000,0)),2),"")</f>
        <v>657.81</v>
      </c>
      <c r="S93" s="41">
        <f>IFERROR(ROUND(INDEX('배치점수 계산기'!P$11:P$1000,MATCH($C93,'배치점수 계산기'!$U$11:$U$1000,0)),2),"")</f>
        <v>655.43</v>
      </c>
      <c r="T93" s="41">
        <f>IFERROR(ROUND(INDEX('배치점수 계산기'!Q$11:Q$1000,MATCH($C93,'배치점수 계산기'!$U$11:$U$1000,0)),2),"")</f>
        <v>652.88</v>
      </c>
      <c r="U93" s="41">
        <f>IFERROR(INDEX(환산공식!$DC$16:$DC$301,MATCH(E93,환산공식!$A$16:$A$301,0)),"")</f>
        <v>0</v>
      </c>
      <c r="V93" s="113">
        <f t="shared" si="5"/>
        <v>6</v>
      </c>
      <c r="W93" s="110" t="str">
        <f>INDEX('배치점수 계산기'!$AG$11:$AG$800,MATCH('       가 군       '!$C93,'배치점수 계산기'!$U$11:$U$800,0))</f>
        <v>표점</v>
      </c>
      <c r="X93" s="108" t="str">
        <f>INDEX('배치점수 계산기'!$AH$11:$AH$800,MATCH('       가 군       '!$C93,'배치점수 계산기'!$U$11:$U$800,0))</f>
        <v>변표</v>
      </c>
      <c r="Y93" s="113">
        <f>INDEX('배치점수 계산기'!$AB$11:$AB$800,MATCH('       가 군       '!$C93,'배치점수 계산기'!$U$11:$U$800,0))</f>
        <v>0.35714285714285715</v>
      </c>
      <c r="Z93" s="73">
        <f>INDEX('배치점수 계산기'!$AC$11:$AC$800,MATCH('       가 군       '!$C93,'배치점수 계산기'!$U$11:$U$800,0))</f>
        <v>0.35714285714285715</v>
      </c>
      <c r="AA93" s="63">
        <f>INDEX('배치점수 계산기'!$AD$11:$AD$800,MATCH('       가 군       '!$C93,'배치점수 계산기'!$U$11:$U$800,0))</f>
        <v>0.2857142857142857</v>
      </c>
      <c r="AE93" s="7">
        <v>86</v>
      </c>
    </row>
    <row r="94" spans="3:31" x14ac:dyDescent="0.3">
      <c r="C94" s="7" t="s">
        <v>983</v>
      </c>
      <c r="D94" s="41" t="str">
        <f>IFERROR(INDEX('배치점수 계산기'!V$11:V$1000,MATCH($C94,'배치점수 계산기'!$U$11:$U$1000,0)),"")</f>
        <v>고려대 통합</v>
      </c>
      <c r="E94" s="41">
        <f>IFERROR(INDEX('배치점수 계산기'!W$11:W$1000,MATCH($C94,'배치점수 계산기'!$U$11:$U$1000,0)),"")</f>
        <v>24</v>
      </c>
      <c r="F94" s="113" t="s">
        <v>276</v>
      </c>
      <c r="G94" s="41" t="s">
        <v>317</v>
      </c>
      <c r="H94" s="41" t="s">
        <v>334</v>
      </c>
      <c r="I94" s="41" t="s">
        <v>275</v>
      </c>
      <c r="J94" s="41" t="str">
        <f t="shared" si="3"/>
        <v>X</v>
      </c>
      <c r="K94" s="113">
        <f>IFERROR(INDEX(환산공식!CI$16:CI$301,MATCH($E94,환산공식!$A$16:$A$301,0)),"")</f>
        <v>0</v>
      </c>
      <c r="L94" s="41" t="str">
        <f>IFERROR(CONCATENATE(ROUND(INDEX(환산공식!CJ$16:CJ$301,MATCH(E94,환산공식!$A$16:$A$301,0)),1),"%"),"")</f>
        <v/>
      </c>
      <c r="M94" s="41">
        <f>IFERROR(INDEX(환산공식!CK$16:CK$301,MATCH(E94,환산공식!$A$16:$A$301,0)),"")</f>
        <v>10</v>
      </c>
      <c r="N94" s="113" t="str">
        <f t="shared" si="4"/>
        <v>1% 이하</v>
      </c>
      <c r="O94" s="119">
        <f>IFERROR(ROUND(INDEX(환산공식!$EF$16:$EF$301,MATCH(E94,환산공식!$A$16:$A$301,0)),3),"")</f>
        <v>0</v>
      </c>
      <c r="P94" s="119">
        <f>IFERROR(ROUND(INDEX('배치점수 계산기'!M$11:M$1000,MATCH($C94,'배치점수 계산기'!$U$11:$U$1000,0)),2),"")</f>
        <v>662.02</v>
      </c>
      <c r="Q94" s="41">
        <f>IFERROR(ROUND(INDEX('배치점수 계산기'!N$11:N$1000,MATCH($C94,'배치점수 계산기'!$U$11:$U$1000,0)),2),"")</f>
        <v>659.23</v>
      </c>
      <c r="R94" s="41">
        <f>IFERROR(ROUND(INDEX('배치점수 계산기'!O$11:O$1000,MATCH($C94,'배치점수 계산기'!$U$11:$U$1000,0)),2),"")</f>
        <v>656.32</v>
      </c>
      <c r="S94" s="41">
        <f>IFERROR(ROUND(INDEX('배치점수 계산기'!P$11:P$1000,MATCH($C94,'배치점수 계산기'!$U$11:$U$1000,0)),2),"")</f>
        <v>655.02</v>
      </c>
      <c r="T94" s="41">
        <f>IFERROR(ROUND(INDEX('배치점수 계산기'!Q$11:Q$1000,MATCH($C94,'배치점수 계산기'!$U$11:$U$1000,0)),2),"")</f>
        <v>652.16</v>
      </c>
      <c r="U94" s="41">
        <f>IFERROR(INDEX(환산공식!$DC$16:$DC$301,MATCH(E94,환산공식!$A$16:$A$301,0)),"")</f>
        <v>0</v>
      </c>
      <c r="V94" s="113">
        <f t="shared" si="5"/>
        <v>6</v>
      </c>
      <c r="W94" s="110" t="str">
        <f>INDEX('배치점수 계산기'!$AG$11:$AG$800,MATCH('       가 군       '!$C94,'배치점수 계산기'!$U$11:$U$800,0))</f>
        <v>표점</v>
      </c>
      <c r="X94" s="108" t="str">
        <f>INDEX('배치점수 계산기'!$AH$11:$AH$800,MATCH('       가 군       '!$C94,'배치점수 계산기'!$U$11:$U$800,0))</f>
        <v>변표</v>
      </c>
      <c r="Y94" s="113">
        <f>INDEX('배치점수 계산기'!$AB$11:$AB$800,MATCH('       가 군       '!$C94,'배치점수 계산기'!$U$11:$U$800,0))</f>
        <v>0.35714285714285715</v>
      </c>
      <c r="Z94" s="73">
        <f>INDEX('배치점수 계산기'!$AC$11:$AC$800,MATCH('       가 군       '!$C94,'배치점수 계산기'!$U$11:$U$800,0))</f>
        <v>0.35714285714285715</v>
      </c>
      <c r="AA94" s="63">
        <f>INDEX('배치점수 계산기'!$AD$11:$AD$800,MATCH('       가 군       '!$C94,'배치점수 계산기'!$U$11:$U$800,0))</f>
        <v>0.2857142857142857</v>
      </c>
      <c r="AE94" s="7">
        <v>87</v>
      </c>
    </row>
    <row r="95" spans="3:31" x14ac:dyDescent="0.3">
      <c r="C95" s="7" t="s">
        <v>984</v>
      </c>
      <c r="D95" s="41" t="str">
        <f>IFERROR(INDEX('배치점수 계산기'!V$11:V$1000,MATCH($C95,'배치점수 계산기'!$U$11:$U$1000,0)),"")</f>
        <v>고려대 통합</v>
      </c>
      <c r="E95" s="41">
        <f>IFERROR(INDEX('배치점수 계산기'!W$11:W$1000,MATCH($C95,'배치점수 계산기'!$U$11:$U$1000,0)),"")</f>
        <v>24</v>
      </c>
      <c r="F95" s="113" t="s">
        <v>276</v>
      </c>
      <c r="G95" s="41" t="s">
        <v>317</v>
      </c>
      <c r="H95" s="41" t="s">
        <v>335</v>
      </c>
      <c r="I95" s="41" t="s">
        <v>275</v>
      </c>
      <c r="J95" s="41" t="str">
        <f t="shared" si="3"/>
        <v>X</v>
      </c>
      <c r="K95" s="113">
        <f>IFERROR(INDEX(환산공식!CI$16:CI$301,MATCH($E95,환산공식!$A$16:$A$301,0)),"")</f>
        <v>0</v>
      </c>
      <c r="L95" s="41" t="str">
        <f>IFERROR(CONCATENATE(ROUND(INDEX(환산공식!CJ$16:CJ$301,MATCH(E95,환산공식!$A$16:$A$301,0)),1),"%"),"")</f>
        <v/>
      </c>
      <c r="M95" s="41">
        <f>IFERROR(INDEX(환산공식!CK$16:CK$301,MATCH(E95,환산공식!$A$16:$A$301,0)),"")</f>
        <v>10</v>
      </c>
      <c r="N95" s="113" t="str">
        <f t="shared" si="4"/>
        <v>1% 이하</v>
      </c>
      <c r="O95" s="119">
        <f>IFERROR(ROUND(INDEX(환산공식!$EF$16:$EF$301,MATCH(E95,환산공식!$A$16:$A$301,0)),3),"")</f>
        <v>0</v>
      </c>
      <c r="P95" s="119">
        <f>IFERROR(ROUND(INDEX('배치점수 계산기'!M$11:M$1000,MATCH($C95,'배치점수 계산기'!$U$11:$U$1000,0)),2),"")</f>
        <v>659.89</v>
      </c>
      <c r="Q95" s="41">
        <f>IFERROR(ROUND(INDEX('배치점수 계산기'!N$11:N$1000,MATCH($C95,'배치점수 계산기'!$U$11:$U$1000,0)),2),"")</f>
        <v>657.98</v>
      </c>
      <c r="R95" s="41">
        <f>IFERROR(ROUND(INDEX('배치점수 계산기'!O$11:O$1000,MATCH($C95,'배치점수 계산기'!$U$11:$U$1000,0)),2),"")</f>
        <v>655.79</v>
      </c>
      <c r="S95" s="41">
        <f>IFERROR(ROUND(INDEX('배치점수 계산기'!P$11:P$1000,MATCH($C95,'배치점수 계산기'!$U$11:$U$1000,0)),2),"")</f>
        <v>653.53</v>
      </c>
      <c r="T95" s="41">
        <f>IFERROR(ROUND(INDEX('배치점수 계산기'!Q$11:Q$1000,MATCH($C95,'배치점수 계산기'!$U$11:$U$1000,0)),2),"")</f>
        <v>652.16</v>
      </c>
      <c r="U95" s="41">
        <f>IFERROR(INDEX(환산공식!$DC$16:$DC$301,MATCH(E95,환산공식!$A$16:$A$301,0)),"")</f>
        <v>0</v>
      </c>
      <c r="V95" s="113">
        <f t="shared" si="5"/>
        <v>6</v>
      </c>
      <c r="W95" s="110" t="str">
        <f>INDEX('배치점수 계산기'!$AG$11:$AG$800,MATCH('       가 군       '!$C95,'배치점수 계산기'!$U$11:$U$800,0))</f>
        <v>표점</v>
      </c>
      <c r="X95" s="108" t="str">
        <f>INDEX('배치점수 계산기'!$AH$11:$AH$800,MATCH('       가 군       '!$C95,'배치점수 계산기'!$U$11:$U$800,0))</f>
        <v>변표</v>
      </c>
      <c r="Y95" s="113">
        <f>INDEX('배치점수 계산기'!$AB$11:$AB$800,MATCH('       가 군       '!$C95,'배치점수 계산기'!$U$11:$U$800,0))</f>
        <v>0.35714285714285715</v>
      </c>
      <c r="Z95" s="73">
        <f>INDEX('배치점수 계산기'!$AC$11:$AC$800,MATCH('       가 군       '!$C95,'배치점수 계산기'!$U$11:$U$800,0))</f>
        <v>0.35714285714285715</v>
      </c>
      <c r="AA95" s="63">
        <f>INDEX('배치점수 계산기'!$AD$11:$AD$800,MATCH('       가 군       '!$C95,'배치점수 계산기'!$U$11:$U$800,0))</f>
        <v>0.2857142857142857</v>
      </c>
      <c r="AE95" s="7">
        <v>88</v>
      </c>
    </row>
    <row r="96" spans="3:31" x14ac:dyDescent="0.3">
      <c r="C96" s="7" t="s">
        <v>985</v>
      </c>
      <c r="D96" s="41" t="str">
        <f>IFERROR(INDEX('배치점수 계산기'!V$11:V$1000,MATCH($C96,'배치점수 계산기'!$U$11:$U$1000,0)),"")</f>
        <v>고려대 통합</v>
      </c>
      <c r="E96" s="41">
        <f>IFERROR(INDEX('배치점수 계산기'!W$11:W$1000,MATCH($C96,'배치점수 계산기'!$U$11:$U$1000,0)),"")</f>
        <v>24</v>
      </c>
      <c r="F96" s="113" t="s">
        <v>276</v>
      </c>
      <c r="G96" s="41" t="s">
        <v>317</v>
      </c>
      <c r="H96" s="41" t="s">
        <v>336</v>
      </c>
      <c r="I96" s="41" t="s">
        <v>275</v>
      </c>
      <c r="J96" s="41" t="str">
        <f t="shared" si="3"/>
        <v>X</v>
      </c>
      <c r="K96" s="113">
        <f>IFERROR(INDEX(환산공식!CI$16:CI$301,MATCH($E96,환산공식!$A$16:$A$301,0)),"")</f>
        <v>0</v>
      </c>
      <c r="L96" s="41" t="str">
        <f>IFERROR(CONCATENATE(ROUND(INDEX(환산공식!CJ$16:CJ$301,MATCH(E96,환산공식!$A$16:$A$301,0)),1),"%"),"")</f>
        <v/>
      </c>
      <c r="M96" s="41">
        <f>IFERROR(INDEX(환산공식!CK$16:CK$301,MATCH(E96,환산공식!$A$16:$A$301,0)),"")</f>
        <v>10</v>
      </c>
      <c r="N96" s="113" t="str">
        <f t="shared" si="4"/>
        <v>1% 이하</v>
      </c>
      <c r="O96" s="119">
        <f>IFERROR(ROUND(INDEX(환산공식!$EF$16:$EF$301,MATCH(E96,환산공식!$A$16:$A$301,0)),3),"")</f>
        <v>0</v>
      </c>
      <c r="P96" s="119">
        <f>IFERROR(ROUND(INDEX('배치점수 계산기'!M$11:M$1000,MATCH($C96,'배치점수 계산기'!$U$11:$U$1000,0)),2),"")</f>
        <v>659.89</v>
      </c>
      <c r="Q96" s="41">
        <f>IFERROR(ROUND(INDEX('배치점수 계산기'!N$11:N$1000,MATCH($C96,'배치점수 계산기'!$U$11:$U$1000,0)),2),"")</f>
        <v>657.98</v>
      </c>
      <c r="R96" s="41">
        <f>IFERROR(ROUND(INDEX('배치점수 계산기'!O$11:O$1000,MATCH($C96,'배치점수 계산기'!$U$11:$U$1000,0)),2),"")</f>
        <v>655.43</v>
      </c>
      <c r="S96" s="41">
        <f>IFERROR(ROUND(INDEX('배치점수 계산기'!P$11:P$1000,MATCH($C96,'배치점수 계산기'!$U$11:$U$1000,0)),2),"")</f>
        <v>653.53</v>
      </c>
      <c r="T96" s="41">
        <f>IFERROR(ROUND(INDEX('배치점수 계산기'!Q$11:Q$1000,MATCH($C96,'배치점수 계산기'!$U$11:$U$1000,0)),2),"")</f>
        <v>652.16</v>
      </c>
      <c r="U96" s="41">
        <f>IFERROR(INDEX(환산공식!$DC$16:$DC$301,MATCH(E96,환산공식!$A$16:$A$301,0)),"")</f>
        <v>0</v>
      </c>
      <c r="V96" s="113">
        <f t="shared" si="5"/>
        <v>6</v>
      </c>
      <c r="W96" s="110" t="str">
        <f>INDEX('배치점수 계산기'!$AG$11:$AG$800,MATCH('       가 군       '!$C96,'배치점수 계산기'!$U$11:$U$800,0))</f>
        <v>표점</v>
      </c>
      <c r="X96" s="108" t="str">
        <f>INDEX('배치점수 계산기'!$AH$11:$AH$800,MATCH('       가 군       '!$C96,'배치점수 계산기'!$U$11:$U$800,0))</f>
        <v>변표</v>
      </c>
      <c r="Y96" s="113">
        <f>INDEX('배치점수 계산기'!$AB$11:$AB$800,MATCH('       가 군       '!$C96,'배치점수 계산기'!$U$11:$U$800,0))</f>
        <v>0.35714285714285715</v>
      </c>
      <c r="Z96" s="73">
        <f>INDEX('배치점수 계산기'!$AC$11:$AC$800,MATCH('       가 군       '!$C96,'배치점수 계산기'!$U$11:$U$800,0))</f>
        <v>0.35714285714285715</v>
      </c>
      <c r="AA96" s="63">
        <f>INDEX('배치점수 계산기'!$AD$11:$AD$800,MATCH('       가 군       '!$C96,'배치점수 계산기'!$U$11:$U$800,0))</f>
        <v>0.2857142857142857</v>
      </c>
      <c r="AE96" s="7">
        <v>89</v>
      </c>
    </row>
    <row r="97" spans="3:31" x14ac:dyDescent="0.3">
      <c r="C97" s="7" t="s">
        <v>986</v>
      </c>
      <c r="D97" s="41" t="str">
        <f>IFERROR(INDEX('배치점수 계산기'!V$11:V$1000,MATCH($C97,'배치점수 계산기'!$U$11:$U$1000,0)),"")</f>
        <v>고려대 통합</v>
      </c>
      <c r="E97" s="41">
        <f>IFERROR(INDEX('배치점수 계산기'!W$11:W$1000,MATCH($C97,'배치점수 계산기'!$U$11:$U$1000,0)),"")</f>
        <v>24</v>
      </c>
      <c r="F97" s="113" t="s">
        <v>276</v>
      </c>
      <c r="G97" s="41" t="s">
        <v>317</v>
      </c>
      <c r="H97" s="41" t="s">
        <v>299</v>
      </c>
      <c r="I97" s="41" t="s">
        <v>275</v>
      </c>
      <c r="J97" s="41" t="str">
        <f t="shared" si="3"/>
        <v>X</v>
      </c>
      <c r="K97" s="113">
        <f>IFERROR(INDEX(환산공식!CI$16:CI$301,MATCH($E97,환산공식!$A$16:$A$301,0)),"")</f>
        <v>0</v>
      </c>
      <c r="L97" s="41" t="str">
        <f>IFERROR(CONCATENATE(ROUND(INDEX(환산공식!CJ$16:CJ$301,MATCH(E97,환산공식!$A$16:$A$301,0)),1),"%"),"")</f>
        <v/>
      </c>
      <c r="M97" s="41">
        <f>IFERROR(INDEX(환산공식!CK$16:CK$301,MATCH(E97,환산공식!$A$16:$A$301,0)),"")</f>
        <v>10</v>
      </c>
      <c r="N97" s="113" t="str">
        <f t="shared" si="4"/>
        <v>1% 이하</v>
      </c>
      <c r="O97" s="119">
        <f>IFERROR(ROUND(INDEX(환산공식!$EF$16:$EF$301,MATCH(E97,환산공식!$A$16:$A$301,0)),3),"")</f>
        <v>0</v>
      </c>
      <c r="P97" s="119">
        <f>IFERROR(ROUND(INDEX('배치점수 계산기'!M$11:M$1000,MATCH($C97,'배치점수 계산기'!$U$11:$U$1000,0)),2),"")</f>
        <v>659.23</v>
      </c>
      <c r="Q97" s="41">
        <f>IFERROR(ROUND(INDEX('배치점수 계산기'!N$11:N$1000,MATCH($C97,'배치점수 계산기'!$U$11:$U$1000,0)),2),"")</f>
        <v>657.98</v>
      </c>
      <c r="R97" s="41">
        <f>IFERROR(ROUND(INDEX('배치점수 계산기'!O$11:O$1000,MATCH($C97,'배치점수 계산기'!$U$11:$U$1000,0)),2),"")</f>
        <v>655.02</v>
      </c>
      <c r="S97" s="41">
        <f>IFERROR(ROUND(INDEX('배치점수 계산기'!P$11:P$1000,MATCH($C97,'배치점수 계산기'!$U$11:$U$1000,0)),2),"")</f>
        <v>653.53</v>
      </c>
      <c r="T97" s="41">
        <f>IFERROR(ROUND(INDEX('배치점수 계산기'!Q$11:Q$1000,MATCH($C97,'배치점수 계산기'!$U$11:$U$1000,0)),2),"")</f>
        <v>652.16</v>
      </c>
      <c r="U97" s="41">
        <f>IFERROR(INDEX(환산공식!$DC$16:$DC$301,MATCH(E97,환산공식!$A$16:$A$301,0)),"")</f>
        <v>0</v>
      </c>
      <c r="V97" s="113">
        <f t="shared" si="5"/>
        <v>6</v>
      </c>
      <c r="W97" s="110" t="str">
        <f>INDEX('배치점수 계산기'!$AG$11:$AG$800,MATCH('       가 군       '!$C97,'배치점수 계산기'!$U$11:$U$800,0))</f>
        <v>표점</v>
      </c>
      <c r="X97" s="108" t="str">
        <f>INDEX('배치점수 계산기'!$AH$11:$AH$800,MATCH('       가 군       '!$C97,'배치점수 계산기'!$U$11:$U$800,0))</f>
        <v>변표</v>
      </c>
      <c r="Y97" s="113">
        <f>INDEX('배치점수 계산기'!$AB$11:$AB$800,MATCH('       가 군       '!$C97,'배치점수 계산기'!$U$11:$U$800,0))</f>
        <v>0.35714285714285715</v>
      </c>
      <c r="Z97" s="73">
        <f>INDEX('배치점수 계산기'!$AC$11:$AC$800,MATCH('       가 군       '!$C97,'배치점수 계산기'!$U$11:$U$800,0))</f>
        <v>0.35714285714285715</v>
      </c>
      <c r="AA97" s="63">
        <f>INDEX('배치점수 계산기'!$AD$11:$AD$800,MATCH('       가 군       '!$C97,'배치점수 계산기'!$U$11:$U$800,0))</f>
        <v>0.2857142857142857</v>
      </c>
      <c r="AE97" s="7">
        <v>90</v>
      </c>
    </row>
    <row r="98" spans="3:31" x14ac:dyDescent="0.3">
      <c r="C98" s="7" t="s">
        <v>987</v>
      </c>
      <c r="D98" s="41" t="str">
        <f>IFERROR(INDEX('배치점수 계산기'!V$11:V$1000,MATCH($C98,'배치점수 계산기'!$U$11:$U$1000,0)),"")</f>
        <v>고려대 통합</v>
      </c>
      <c r="E98" s="41">
        <f>IFERROR(INDEX('배치점수 계산기'!W$11:W$1000,MATCH($C98,'배치점수 계산기'!$U$11:$U$1000,0)),"")</f>
        <v>24</v>
      </c>
      <c r="F98" s="113" t="s">
        <v>276</v>
      </c>
      <c r="G98" s="41" t="s">
        <v>317</v>
      </c>
      <c r="H98" s="41" t="s">
        <v>337</v>
      </c>
      <c r="I98" s="41" t="s">
        <v>275</v>
      </c>
      <c r="J98" s="41" t="str">
        <f t="shared" si="3"/>
        <v>X</v>
      </c>
      <c r="K98" s="113">
        <f>IFERROR(INDEX(환산공식!CI$16:CI$301,MATCH($E98,환산공식!$A$16:$A$301,0)),"")</f>
        <v>0</v>
      </c>
      <c r="L98" s="41" t="str">
        <f>IFERROR(CONCATENATE(ROUND(INDEX(환산공식!CJ$16:CJ$301,MATCH(E98,환산공식!$A$16:$A$301,0)),1),"%"),"")</f>
        <v/>
      </c>
      <c r="M98" s="41">
        <f>IFERROR(INDEX(환산공식!CK$16:CK$301,MATCH(E98,환산공식!$A$16:$A$301,0)),"")</f>
        <v>10</v>
      </c>
      <c r="N98" s="113" t="str">
        <f t="shared" si="4"/>
        <v>1% 이하</v>
      </c>
      <c r="O98" s="119">
        <f>IFERROR(ROUND(INDEX(환산공식!$EF$16:$EF$301,MATCH(E98,환산공식!$A$16:$A$301,0)),3),"")</f>
        <v>0</v>
      </c>
      <c r="P98" s="119">
        <f>IFERROR(ROUND(INDEX('배치점수 계산기'!M$11:M$1000,MATCH($C98,'배치점수 계산기'!$U$11:$U$1000,0)),2),"")</f>
        <v>658.94</v>
      </c>
      <c r="Q98" s="41">
        <f>IFERROR(ROUND(INDEX('배치점수 계산기'!N$11:N$1000,MATCH($C98,'배치점수 계산기'!$U$11:$U$1000,0)),2),"")</f>
        <v>657.81</v>
      </c>
      <c r="R98" s="41">
        <f>IFERROR(ROUND(INDEX('배치점수 계산기'!O$11:O$1000,MATCH($C98,'배치점수 계산기'!$U$11:$U$1000,0)),2),"")</f>
        <v>654.9</v>
      </c>
      <c r="S98" s="41">
        <f>IFERROR(ROUND(INDEX('배치점수 계산기'!P$11:P$1000,MATCH($C98,'배치점수 계산기'!$U$11:$U$1000,0)),2),"")</f>
        <v>653.35</v>
      </c>
      <c r="T98" s="41">
        <f>IFERROR(ROUND(INDEX('배치점수 계산기'!Q$11:Q$1000,MATCH($C98,'배치점수 계산기'!$U$11:$U$1000,0)),2),"")</f>
        <v>652.16</v>
      </c>
      <c r="U98" s="41">
        <f>IFERROR(INDEX(환산공식!$DC$16:$DC$301,MATCH(E98,환산공식!$A$16:$A$301,0)),"")</f>
        <v>0</v>
      </c>
      <c r="V98" s="113">
        <f t="shared" si="5"/>
        <v>6</v>
      </c>
      <c r="W98" s="110" t="str">
        <f>INDEX('배치점수 계산기'!$AG$11:$AG$800,MATCH('       가 군       '!$C98,'배치점수 계산기'!$U$11:$U$800,0))</f>
        <v>표점</v>
      </c>
      <c r="X98" s="108" t="str">
        <f>INDEX('배치점수 계산기'!$AH$11:$AH$800,MATCH('       가 군       '!$C98,'배치점수 계산기'!$U$11:$U$800,0))</f>
        <v>변표</v>
      </c>
      <c r="Y98" s="113">
        <f>INDEX('배치점수 계산기'!$AB$11:$AB$800,MATCH('       가 군       '!$C98,'배치점수 계산기'!$U$11:$U$800,0))</f>
        <v>0.35714285714285715</v>
      </c>
      <c r="Z98" s="73">
        <f>INDEX('배치점수 계산기'!$AC$11:$AC$800,MATCH('       가 군       '!$C98,'배치점수 계산기'!$U$11:$U$800,0))</f>
        <v>0.35714285714285715</v>
      </c>
      <c r="AA98" s="63">
        <f>INDEX('배치점수 계산기'!$AD$11:$AD$800,MATCH('       가 군       '!$C98,'배치점수 계산기'!$U$11:$U$800,0))</f>
        <v>0.2857142857142857</v>
      </c>
      <c r="AE98" s="7">
        <v>91</v>
      </c>
    </row>
    <row r="99" spans="3:31" x14ac:dyDescent="0.3">
      <c r="C99" s="7" t="s">
        <v>988</v>
      </c>
      <c r="D99" s="41" t="str">
        <f>IFERROR(INDEX('배치점수 계산기'!V$11:V$1000,MATCH($C99,'배치점수 계산기'!$U$11:$U$1000,0)),"")</f>
        <v>고려대 통합</v>
      </c>
      <c r="E99" s="41">
        <f>IFERROR(INDEX('배치점수 계산기'!W$11:W$1000,MATCH($C99,'배치점수 계산기'!$U$11:$U$1000,0)),"")</f>
        <v>24</v>
      </c>
      <c r="F99" s="113" t="s">
        <v>276</v>
      </c>
      <c r="G99" s="41" t="s">
        <v>317</v>
      </c>
      <c r="H99" s="41" t="s">
        <v>269</v>
      </c>
      <c r="I99" s="41" t="s">
        <v>275</v>
      </c>
      <c r="J99" s="41" t="str">
        <f t="shared" si="3"/>
        <v>X</v>
      </c>
      <c r="K99" s="113">
        <f>IFERROR(INDEX(환산공식!CI$16:CI$301,MATCH($E99,환산공식!$A$16:$A$301,0)),"")</f>
        <v>0</v>
      </c>
      <c r="L99" s="41" t="str">
        <f>IFERROR(CONCATENATE(ROUND(INDEX(환산공식!CJ$16:CJ$301,MATCH(E99,환산공식!$A$16:$A$301,0)),1),"%"),"")</f>
        <v/>
      </c>
      <c r="M99" s="41">
        <f>IFERROR(INDEX(환산공식!CK$16:CK$301,MATCH(E99,환산공식!$A$16:$A$301,0)),"")</f>
        <v>10</v>
      </c>
      <c r="N99" s="113" t="str">
        <f t="shared" si="4"/>
        <v>1% 이하</v>
      </c>
      <c r="O99" s="119">
        <f>IFERROR(ROUND(INDEX(환산공식!$EF$16:$EF$301,MATCH(E99,환산공식!$A$16:$A$301,0)),3),"")</f>
        <v>0</v>
      </c>
      <c r="P99" s="119">
        <f>IFERROR(ROUND(INDEX('배치점수 계산기'!M$11:M$1000,MATCH($C99,'배치점수 계산기'!$U$11:$U$1000,0)),2),"")</f>
        <v>658.28</v>
      </c>
      <c r="Q99" s="41">
        <f>IFERROR(ROUND(INDEX('배치점수 계산기'!N$11:N$1000,MATCH($C99,'배치점수 계산기'!$U$11:$U$1000,0)),2),"")</f>
        <v>657.15</v>
      </c>
      <c r="R99" s="41">
        <f>IFERROR(ROUND(INDEX('배치점수 계산기'!O$11:O$1000,MATCH($C99,'배치점수 계산기'!$U$11:$U$1000,0)),2),"")</f>
        <v>655.02</v>
      </c>
      <c r="S99" s="41">
        <f>IFERROR(ROUND(INDEX('배치점수 계산기'!P$11:P$1000,MATCH($C99,'배치점수 계산기'!$U$11:$U$1000,0)),2),"")</f>
        <v>654.05999999999995</v>
      </c>
      <c r="T99" s="41">
        <f>IFERROR(ROUND(INDEX('배치점수 계산기'!Q$11:Q$1000,MATCH($C99,'배치점수 계산기'!$U$11:$U$1000,0)),2),"")</f>
        <v>652.16</v>
      </c>
      <c r="U99" s="41">
        <f>IFERROR(INDEX(환산공식!$DC$16:$DC$301,MATCH(E99,환산공식!$A$16:$A$301,0)),"")</f>
        <v>0</v>
      </c>
      <c r="V99" s="113">
        <f t="shared" si="5"/>
        <v>6</v>
      </c>
      <c r="W99" s="110" t="str">
        <f>INDEX('배치점수 계산기'!$AG$11:$AG$800,MATCH('       가 군       '!$C99,'배치점수 계산기'!$U$11:$U$800,0))</f>
        <v>표점</v>
      </c>
      <c r="X99" s="108" t="str">
        <f>INDEX('배치점수 계산기'!$AH$11:$AH$800,MATCH('       가 군       '!$C99,'배치점수 계산기'!$U$11:$U$800,0))</f>
        <v>변표</v>
      </c>
      <c r="Y99" s="113">
        <f>INDEX('배치점수 계산기'!$AB$11:$AB$800,MATCH('       가 군       '!$C99,'배치점수 계산기'!$U$11:$U$800,0))</f>
        <v>0.35714285714285715</v>
      </c>
      <c r="Z99" s="73">
        <f>INDEX('배치점수 계산기'!$AC$11:$AC$800,MATCH('       가 군       '!$C99,'배치점수 계산기'!$U$11:$U$800,0))</f>
        <v>0.35714285714285715</v>
      </c>
      <c r="AA99" s="63">
        <f>INDEX('배치점수 계산기'!$AD$11:$AD$800,MATCH('       가 군       '!$C99,'배치점수 계산기'!$U$11:$U$800,0))</f>
        <v>0.2857142857142857</v>
      </c>
      <c r="AE99" s="7">
        <v>92</v>
      </c>
    </row>
    <row r="100" spans="3:31" x14ac:dyDescent="0.3">
      <c r="C100" s="7" t="s">
        <v>989</v>
      </c>
      <c r="D100" s="41" t="str">
        <f>IFERROR(INDEX('배치점수 계산기'!V$11:V$1000,MATCH($C100,'배치점수 계산기'!$U$11:$U$1000,0)),"")</f>
        <v>고려대 통합</v>
      </c>
      <c r="E100" s="41">
        <f>IFERROR(INDEX('배치점수 계산기'!W$11:W$1000,MATCH($C100,'배치점수 계산기'!$U$11:$U$1000,0)),"")</f>
        <v>24</v>
      </c>
      <c r="F100" s="113" t="s">
        <v>276</v>
      </c>
      <c r="G100" s="41" t="s">
        <v>317</v>
      </c>
      <c r="H100" s="41" t="s">
        <v>302</v>
      </c>
      <c r="I100" s="41" t="s">
        <v>275</v>
      </c>
      <c r="J100" s="41" t="str">
        <f t="shared" si="3"/>
        <v>X</v>
      </c>
      <c r="K100" s="113">
        <f>IFERROR(INDEX(환산공식!CI$16:CI$301,MATCH($E100,환산공식!$A$16:$A$301,0)),"")</f>
        <v>0</v>
      </c>
      <c r="L100" s="41" t="str">
        <f>IFERROR(CONCATENATE(ROUND(INDEX(환산공식!CJ$16:CJ$301,MATCH(E100,환산공식!$A$16:$A$301,0)),1),"%"),"")</f>
        <v/>
      </c>
      <c r="M100" s="41">
        <f>IFERROR(INDEX(환산공식!CK$16:CK$301,MATCH(E100,환산공식!$A$16:$A$301,0)),"")</f>
        <v>10</v>
      </c>
      <c r="N100" s="113" t="str">
        <f t="shared" si="4"/>
        <v>1% 이하</v>
      </c>
      <c r="O100" s="119">
        <f>IFERROR(ROUND(INDEX(환산공식!$EF$16:$EF$301,MATCH(E100,환산공식!$A$16:$A$301,0)),3),"")</f>
        <v>0</v>
      </c>
      <c r="P100" s="119">
        <f>IFERROR(ROUND(INDEX('배치점수 계산기'!M$11:M$1000,MATCH($C100,'배치점수 계산기'!$U$11:$U$1000,0)),2),"")</f>
        <v>658.28</v>
      </c>
      <c r="Q100" s="41">
        <f>IFERROR(ROUND(INDEX('배치점수 계산기'!N$11:N$1000,MATCH($C100,'배치점수 계산기'!$U$11:$U$1000,0)),2),"")</f>
        <v>657.15</v>
      </c>
      <c r="R100" s="41">
        <f>IFERROR(ROUND(INDEX('배치점수 계산기'!O$11:O$1000,MATCH($C100,'배치점수 계산기'!$U$11:$U$1000,0)),2),"")</f>
        <v>655.02</v>
      </c>
      <c r="S100" s="41">
        <f>IFERROR(ROUND(INDEX('배치점수 계산기'!P$11:P$1000,MATCH($C100,'배치점수 계산기'!$U$11:$U$1000,0)),2),"")</f>
        <v>654.05999999999995</v>
      </c>
      <c r="T100" s="41">
        <f>IFERROR(ROUND(INDEX('배치점수 계산기'!Q$11:Q$1000,MATCH($C100,'배치점수 계산기'!$U$11:$U$1000,0)),2),"")</f>
        <v>652.16</v>
      </c>
      <c r="U100" s="41">
        <f>IFERROR(INDEX(환산공식!$DC$16:$DC$301,MATCH(E100,환산공식!$A$16:$A$301,0)),"")</f>
        <v>0</v>
      </c>
      <c r="V100" s="113">
        <f t="shared" si="5"/>
        <v>6</v>
      </c>
      <c r="W100" s="110" t="str">
        <f>INDEX('배치점수 계산기'!$AG$11:$AG$800,MATCH('       가 군       '!$C100,'배치점수 계산기'!$U$11:$U$800,0))</f>
        <v>표점</v>
      </c>
      <c r="X100" s="108" t="str">
        <f>INDEX('배치점수 계산기'!$AH$11:$AH$800,MATCH('       가 군       '!$C100,'배치점수 계산기'!$U$11:$U$800,0))</f>
        <v>변표</v>
      </c>
      <c r="Y100" s="113">
        <f>INDEX('배치점수 계산기'!$AB$11:$AB$800,MATCH('       가 군       '!$C100,'배치점수 계산기'!$U$11:$U$800,0))</f>
        <v>0.35714285714285715</v>
      </c>
      <c r="Z100" s="73">
        <f>INDEX('배치점수 계산기'!$AC$11:$AC$800,MATCH('       가 군       '!$C100,'배치점수 계산기'!$U$11:$U$800,0))</f>
        <v>0.35714285714285715</v>
      </c>
      <c r="AA100" s="63">
        <f>INDEX('배치점수 계산기'!$AD$11:$AD$800,MATCH('       가 군       '!$C100,'배치점수 계산기'!$U$11:$U$800,0))</f>
        <v>0.2857142857142857</v>
      </c>
      <c r="AE100" s="7">
        <v>93</v>
      </c>
    </row>
    <row r="101" spans="3:31" x14ac:dyDescent="0.3">
      <c r="C101" s="7" t="s">
        <v>990</v>
      </c>
      <c r="D101" s="41" t="str">
        <f>IFERROR(INDEX('배치점수 계산기'!V$11:V$1000,MATCH($C101,'배치점수 계산기'!$U$11:$U$1000,0)),"")</f>
        <v>고려대 통합</v>
      </c>
      <c r="E101" s="41">
        <f>IFERROR(INDEX('배치점수 계산기'!W$11:W$1000,MATCH($C101,'배치점수 계산기'!$U$11:$U$1000,0)),"")</f>
        <v>24</v>
      </c>
      <c r="F101" s="113" t="s">
        <v>276</v>
      </c>
      <c r="G101" s="41" t="s">
        <v>317</v>
      </c>
      <c r="H101" s="41" t="s">
        <v>301</v>
      </c>
      <c r="I101" s="41" t="s">
        <v>275</v>
      </c>
      <c r="J101" s="41" t="str">
        <f t="shared" si="3"/>
        <v>X</v>
      </c>
      <c r="K101" s="113">
        <f>IFERROR(INDEX(환산공식!CI$16:CI$301,MATCH($E101,환산공식!$A$16:$A$301,0)),"")</f>
        <v>0</v>
      </c>
      <c r="L101" s="41" t="str">
        <f>IFERROR(CONCATENATE(ROUND(INDEX(환산공식!CJ$16:CJ$301,MATCH(E101,환산공식!$A$16:$A$301,0)),1),"%"),"")</f>
        <v/>
      </c>
      <c r="M101" s="41">
        <f>IFERROR(INDEX(환산공식!CK$16:CK$301,MATCH(E101,환산공식!$A$16:$A$301,0)),"")</f>
        <v>10</v>
      </c>
      <c r="N101" s="113" t="str">
        <f t="shared" si="4"/>
        <v>1% 이하</v>
      </c>
      <c r="O101" s="119">
        <f>IFERROR(ROUND(INDEX(환산공식!$EF$16:$EF$301,MATCH(E101,환산공식!$A$16:$A$301,0)),3),"")</f>
        <v>0</v>
      </c>
      <c r="P101" s="119">
        <f>IFERROR(ROUND(INDEX('배치점수 계산기'!M$11:M$1000,MATCH($C101,'배치점수 계산기'!$U$11:$U$1000,0)),2),"")</f>
        <v>659.23</v>
      </c>
      <c r="Q101" s="41">
        <f>IFERROR(ROUND(INDEX('배치점수 계산기'!N$11:N$1000,MATCH($C101,'배치점수 계산기'!$U$11:$U$1000,0)),2),"")</f>
        <v>657.98</v>
      </c>
      <c r="R101" s="41">
        <f>IFERROR(ROUND(INDEX('배치점수 계산기'!O$11:O$1000,MATCH($C101,'배치점수 계산기'!$U$11:$U$1000,0)),2),"")</f>
        <v>655.02</v>
      </c>
      <c r="S101" s="41">
        <f>IFERROR(ROUND(INDEX('배치점수 계산기'!P$11:P$1000,MATCH($C101,'배치점수 계산기'!$U$11:$U$1000,0)),2),"")</f>
        <v>653.53</v>
      </c>
      <c r="T101" s="41">
        <f>IFERROR(ROUND(INDEX('배치점수 계산기'!Q$11:Q$1000,MATCH($C101,'배치점수 계산기'!$U$11:$U$1000,0)),2),"")</f>
        <v>652.16</v>
      </c>
      <c r="U101" s="41">
        <f>IFERROR(INDEX(환산공식!$DC$16:$DC$301,MATCH(E101,환산공식!$A$16:$A$301,0)),"")</f>
        <v>0</v>
      </c>
      <c r="V101" s="113">
        <f t="shared" si="5"/>
        <v>6</v>
      </c>
      <c r="W101" s="110" t="str">
        <f>INDEX('배치점수 계산기'!$AG$11:$AG$800,MATCH('       가 군       '!$C101,'배치점수 계산기'!$U$11:$U$800,0))</f>
        <v>표점</v>
      </c>
      <c r="X101" s="108" t="str">
        <f>INDEX('배치점수 계산기'!$AH$11:$AH$800,MATCH('       가 군       '!$C101,'배치점수 계산기'!$U$11:$U$800,0))</f>
        <v>변표</v>
      </c>
      <c r="Y101" s="113">
        <f>INDEX('배치점수 계산기'!$AB$11:$AB$800,MATCH('       가 군       '!$C101,'배치점수 계산기'!$U$11:$U$800,0))</f>
        <v>0.35714285714285715</v>
      </c>
      <c r="Z101" s="73">
        <f>INDEX('배치점수 계산기'!$AC$11:$AC$800,MATCH('       가 군       '!$C101,'배치점수 계산기'!$U$11:$U$800,0))</f>
        <v>0.35714285714285715</v>
      </c>
      <c r="AA101" s="63">
        <f>INDEX('배치점수 계산기'!$AD$11:$AD$800,MATCH('       가 군       '!$C101,'배치점수 계산기'!$U$11:$U$800,0))</f>
        <v>0.2857142857142857</v>
      </c>
      <c r="AE101" s="7">
        <v>94</v>
      </c>
    </row>
    <row r="102" spans="3:31" x14ac:dyDescent="0.3">
      <c r="C102" s="7" t="s">
        <v>991</v>
      </c>
      <c r="D102" s="41" t="str">
        <f>IFERROR(INDEX('배치점수 계산기'!V$11:V$1000,MATCH($C102,'배치점수 계산기'!$U$11:$U$1000,0)),"")</f>
        <v>고려대 통합</v>
      </c>
      <c r="E102" s="41">
        <f>IFERROR(INDEX('배치점수 계산기'!W$11:W$1000,MATCH($C102,'배치점수 계산기'!$U$11:$U$1000,0)),"")</f>
        <v>24</v>
      </c>
      <c r="F102" s="113" t="s">
        <v>276</v>
      </c>
      <c r="G102" s="41" t="s">
        <v>317</v>
      </c>
      <c r="H102" s="41" t="s">
        <v>268</v>
      </c>
      <c r="I102" s="41" t="s">
        <v>275</v>
      </c>
      <c r="J102" s="41" t="str">
        <f t="shared" si="3"/>
        <v>X</v>
      </c>
      <c r="K102" s="113">
        <f>IFERROR(INDEX(환산공식!CI$16:CI$301,MATCH($E102,환산공식!$A$16:$A$301,0)),"")</f>
        <v>0</v>
      </c>
      <c r="L102" s="41" t="str">
        <f>IFERROR(CONCATENATE(ROUND(INDEX(환산공식!CJ$16:CJ$301,MATCH(E102,환산공식!$A$16:$A$301,0)),1),"%"),"")</f>
        <v/>
      </c>
      <c r="M102" s="41">
        <f>IFERROR(INDEX(환산공식!CK$16:CK$301,MATCH(E102,환산공식!$A$16:$A$301,0)),"")</f>
        <v>10</v>
      </c>
      <c r="N102" s="113" t="str">
        <f t="shared" si="4"/>
        <v>1% 이하</v>
      </c>
      <c r="O102" s="119">
        <f>IFERROR(ROUND(INDEX(환산공식!$EF$16:$EF$301,MATCH(E102,환산공식!$A$16:$A$301,0)),3),"")</f>
        <v>0</v>
      </c>
      <c r="P102" s="119">
        <f>IFERROR(ROUND(INDEX('배치점수 계산기'!M$11:M$1000,MATCH($C102,'배치점수 계산기'!$U$11:$U$1000,0)),2),"")</f>
        <v>658.28</v>
      </c>
      <c r="Q102" s="41">
        <f>IFERROR(ROUND(INDEX('배치점수 계산기'!N$11:N$1000,MATCH($C102,'배치점수 계산기'!$U$11:$U$1000,0)),2),"")</f>
        <v>657.15</v>
      </c>
      <c r="R102" s="41">
        <f>IFERROR(ROUND(INDEX('배치점수 계산기'!O$11:O$1000,MATCH($C102,'배치점수 계산기'!$U$11:$U$1000,0)),2),"")</f>
        <v>655.02</v>
      </c>
      <c r="S102" s="41">
        <f>IFERROR(ROUND(INDEX('배치점수 계산기'!P$11:P$1000,MATCH($C102,'배치점수 계산기'!$U$11:$U$1000,0)),2),"")</f>
        <v>654.05999999999995</v>
      </c>
      <c r="T102" s="41">
        <f>IFERROR(ROUND(INDEX('배치점수 계산기'!Q$11:Q$1000,MATCH($C102,'배치점수 계산기'!$U$11:$U$1000,0)),2),"")</f>
        <v>652.16</v>
      </c>
      <c r="U102" s="41">
        <f>IFERROR(INDEX(환산공식!$DC$16:$DC$301,MATCH(E102,환산공식!$A$16:$A$301,0)),"")</f>
        <v>0</v>
      </c>
      <c r="V102" s="113">
        <f t="shared" si="5"/>
        <v>6</v>
      </c>
      <c r="W102" s="110" t="str">
        <f>INDEX('배치점수 계산기'!$AG$11:$AG$800,MATCH('       가 군       '!$C102,'배치점수 계산기'!$U$11:$U$800,0))</f>
        <v>표점</v>
      </c>
      <c r="X102" s="108" t="str">
        <f>INDEX('배치점수 계산기'!$AH$11:$AH$800,MATCH('       가 군       '!$C102,'배치점수 계산기'!$U$11:$U$800,0))</f>
        <v>변표</v>
      </c>
      <c r="Y102" s="113">
        <f>INDEX('배치점수 계산기'!$AB$11:$AB$800,MATCH('       가 군       '!$C102,'배치점수 계산기'!$U$11:$U$800,0))</f>
        <v>0.35714285714285715</v>
      </c>
      <c r="Z102" s="73">
        <f>INDEX('배치점수 계산기'!$AC$11:$AC$800,MATCH('       가 군       '!$C102,'배치점수 계산기'!$U$11:$U$800,0))</f>
        <v>0.35714285714285715</v>
      </c>
      <c r="AA102" s="63">
        <f>INDEX('배치점수 계산기'!$AD$11:$AD$800,MATCH('       가 군       '!$C102,'배치점수 계산기'!$U$11:$U$800,0))</f>
        <v>0.2857142857142857</v>
      </c>
      <c r="AE102" s="7">
        <v>95</v>
      </c>
    </row>
    <row r="103" spans="3:31" x14ac:dyDescent="0.3">
      <c r="C103" s="7" t="s">
        <v>992</v>
      </c>
      <c r="D103" s="41" t="str">
        <f>IFERROR(INDEX('배치점수 계산기'!V$11:V$1000,MATCH($C103,'배치점수 계산기'!$U$11:$U$1000,0)),"")</f>
        <v>고려대 통합</v>
      </c>
      <c r="E103" s="41">
        <f>IFERROR(INDEX('배치점수 계산기'!W$11:W$1000,MATCH($C103,'배치점수 계산기'!$U$11:$U$1000,0)),"")</f>
        <v>24</v>
      </c>
      <c r="F103" s="113" t="s">
        <v>276</v>
      </c>
      <c r="G103" s="41" t="s">
        <v>317</v>
      </c>
      <c r="H103" s="41" t="s">
        <v>338</v>
      </c>
      <c r="I103" s="41" t="s">
        <v>275</v>
      </c>
      <c r="J103" s="41" t="str">
        <f t="shared" si="3"/>
        <v>X</v>
      </c>
      <c r="K103" s="113">
        <f>IFERROR(INDEX(환산공식!CI$16:CI$301,MATCH($E103,환산공식!$A$16:$A$301,0)),"")</f>
        <v>0</v>
      </c>
      <c r="L103" s="41" t="str">
        <f>IFERROR(CONCATENATE(ROUND(INDEX(환산공식!CJ$16:CJ$301,MATCH(E103,환산공식!$A$16:$A$301,0)),1),"%"),"")</f>
        <v/>
      </c>
      <c r="M103" s="41">
        <f>IFERROR(INDEX(환산공식!CK$16:CK$301,MATCH(E103,환산공식!$A$16:$A$301,0)),"")</f>
        <v>10</v>
      </c>
      <c r="N103" s="113" t="str">
        <f t="shared" si="4"/>
        <v>1% 이하</v>
      </c>
      <c r="O103" s="119">
        <f>IFERROR(ROUND(INDEX(환산공식!$EF$16:$EF$301,MATCH(E103,환산공식!$A$16:$A$301,0)),3),"")</f>
        <v>0</v>
      </c>
      <c r="P103" s="119">
        <f>IFERROR(ROUND(INDEX('배치점수 계산기'!M$11:M$1000,MATCH($C103,'배치점수 계산기'!$U$11:$U$1000,0)),2),"")</f>
        <v>657.15</v>
      </c>
      <c r="Q103" s="41">
        <f>IFERROR(ROUND(INDEX('배치점수 계산기'!N$11:N$1000,MATCH($C103,'배치점수 계산기'!$U$11:$U$1000,0)),2),"")</f>
        <v>656.15</v>
      </c>
      <c r="R103" s="41">
        <f>IFERROR(ROUND(INDEX('배치점수 계산기'!O$11:O$1000,MATCH($C103,'배치점수 계산기'!$U$11:$U$1000,0)),2),"")</f>
        <v>653.53</v>
      </c>
      <c r="S103" s="41">
        <f>IFERROR(ROUND(INDEX('배치점수 계산기'!P$11:P$1000,MATCH($C103,'배치점수 계산기'!$U$11:$U$1000,0)),2),"")</f>
        <v>652.70000000000005</v>
      </c>
      <c r="T103" s="41">
        <f>IFERROR(ROUND(INDEX('배치점수 계산기'!Q$11:Q$1000,MATCH($C103,'배치점수 계산기'!$U$11:$U$1000,0)),2),"")</f>
        <v>651.51</v>
      </c>
      <c r="U103" s="41">
        <f>IFERROR(INDEX(환산공식!$DC$16:$DC$301,MATCH(E103,환산공식!$A$16:$A$301,0)),"")</f>
        <v>0</v>
      </c>
      <c r="V103" s="113">
        <f t="shared" si="5"/>
        <v>6</v>
      </c>
      <c r="W103" s="110" t="str">
        <f>INDEX('배치점수 계산기'!$AG$11:$AG$800,MATCH('       가 군       '!$C103,'배치점수 계산기'!$U$11:$U$800,0))</f>
        <v>표점</v>
      </c>
      <c r="X103" s="108" t="str">
        <f>INDEX('배치점수 계산기'!$AH$11:$AH$800,MATCH('       가 군       '!$C103,'배치점수 계산기'!$U$11:$U$800,0))</f>
        <v>변표</v>
      </c>
      <c r="Y103" s="113">
        <f>INDEX('배치점수 계산기'!$AB$11:$AB$800,MATCH('       가 군       '!$C103,'배치점수 계산기'!$U$11:$U$800,0))</f>
        <v>0.35714285714285715</v>
      </c>
      <c r="Z103" s="73">
        <f>INDEX('배치점수 계산기'!$AC$11:$AC$800,MATCH('       가 군       '!$C103,'배치점수 계산기'!$U$11:$U$800,0))</f>
        <v>0.35714285714285715</v>
      </c>
      <c r="AA103" s="63">
        <f>INDEX('배치점수 계산기'!$AD$11:$AD$800,MATCH('       가 군       '!$C103,'배치점수 계산기'!$U$11:$U$800,0))</f>
        <v>0.2857142857142857</v>
      </c>
      <c r="AE103" s="7">
        <v>96</v>
      </c>
    </row>
    <row r="104" spans="3:31" x14ac:dyDescent="0.3">
      <c r="C104" s="7" t="s">
        <v>993</v>
      </c>
      <c r="D104" s="41" t="str">
        <f>IFERROR(INDEX('배치점수 계산기'!V$11:V$1000,MATCH($C104,'배치점수 계산기'!$U$11:$U$1000,0)),"")</f>
        <v>고려대 통합</v>
      </c>
      <c r="E104" s="41">
        <f>IFERROR(INDEX('배치점수 계산기'!W$11:W$1000,MATCH($C104,'배치점수 계산기'!$U$11:$U$1000,0)),"")</f>
        <v>24</v>
      </c>
      <c r="F104" s="113" t="s">
        <v>276</v>
      </c>
      <c r="G104" s="41" t="s">
        <v>317</v>
      </c>
      <c r="H104" s="41" t="s">
        <v>303</v>
      </c>
      <c r="I104" s="41" t="s">
        <v>275</v>
      </c>
      <c r="J104" s="41" t="str">
        <f t="shared" si="3"/>
        <v>X</v>
      </c>
      <c r="K104" s="113">
        <f>IFERROR(INDEX(환산공식!CI$16:CI$301,MATCH($E104,환산공식!$A$16:$A$301,0)),"")</f>
        <v>0</v>
      </c>
      <c r="L104" s="41" t="str">
        <f>IFERROR(CONCATENATE(ROUND(INDEX(환산공식!CJ$16:CJ$301,MATCH(E104,환산공식!$A$16:$A$301,0)),1),"%"),"")</f>
        <v/>
      </c>
      <c r="M104" s="41">
        <f>IFERROR(INDEX(환산공식!CK$16:CK$301,MATCH(E104,환산공식!$A$16:$A$301,0)),"")</f>
        <v>10</v>
      </c>
      <c r="N104" s="113" t="str">
        <f t="shared" si="4"/>
        <v>1% 이하</v>
      </c>
      <c r="O104" s="119">
        <f>IFERROR(ROUND(INDEX(환산공식!$EF$16:$EF$301,MATCH(E104,환산공식!$A$16:$A$301,0)),3),"")</f>
        <v>0</v>
      </c>
      <c r="P104" s="119">
        <f>IFERROR(ROUND(INDEX('배치점수 계산기'!M$11:M$1000,MATCH($C104,'배치점수 계산기'!$U$11:$U$1000,0)),2),"")</f>
        <v>659.23</v>
      </c>
      <c r="Q104" s="41">
        <f>IFERROR(ROUND(INDEX('배치점수 계산기'!N$11:N$1000,MATCH($C104,'배치점수 계산기'!$U$11:$U$1000,0)),2),"")</f>
        <v>657.98</v>
      </c>
      <c r="R104" s="41">
        <f>IFERROR(ROUND(INDEX('배치점수 계산기'!O$11:O$1000,MATCH($C104,'배치점수 계산기'!$U$11:$U$1000,0)),2),"")</f>
        <v>655.02</v>
      </c>
      <c r="S104" s="41">
        <f>IFERROR(ROUND(INDEX('배치점수 계산기'!P$11:P$1000,MATCH($C104,'배치점수 계산기'!$U$11:$U$1000,0)),2),"")</f>
        <v>653.53</v>
      </c>
      <c r="T104" s="41">
        <f>IFERROR(ROUND(INDEX('배치점수 계산기'!Q$11:Q$1000,MATCH($C104,'배치점수 계산기'!$U$11:$U$1000,0)),2),"")</f>
        <v>652.16</v>
      </c>
      <c r="U104" s="41">
        <f>IFERROR(INDEX(환산공식!$DC$16:$DC$301,MATCH(E104,환산공식!$A$16:$A$301,0)),"")</f>
        <v>0</v>
      </c>
      <c r="V104" s="113">
        <f t="shared" si="5"/>
        <v>6</v>
      </c>
      <c r="W104" s="110" t="str">
        <f>INDEX('배치점수 계산기'!$AG$11:$AG$800,MATCH('       가 군       '!$C104,'배치점수 계산기'!$U$11:$U$800,0))</f>
        <v>표점</v>
      </c>
      <c r="X104" s="108" t="str">
        <f>INDEX('배치점수 계산기'!$AH$11:$AH$800,MATCH('       가 군       '!$C104,'배치점수 계산기'!$U$11:$U$800,0))</f>
        <v>변표</v>
      </c>
      <c r="Y104" s="113">
        <f>INDEX('배치점수 계산기'!$AB$11:$AB$800,MATCH('       가 군       '!$C104,'배치점수 계산기'!$U$11:$U$800,0))</f>
        <v>0.35714285714285715</v>
      </c>
      <c r="Z104" s="73">
        <f>INDEX('배치점수 계산기'!$AC$11:$AC$800,MATCH('       가 군       '!$C104,'배치점수 계산기'!$U$11:$U$800,0))</f>
        <v>0.35714285714285715</v>
      </c>
      <c r="AA104" s="63">
        <f>INDEX('배치점수 계산기'!$AD$11:$AD$800,MATCH('       가 군       '!$C104,'배치점수 계산기'!$U$11:$U$800,0))</f>
        <v>0.2857142857142857</v>
      </c>
      <c r="AE104" s="7">
        <v>97</v>
      </c>
    </row>
    <row r="105" spans="3:31" x14ac:dyDescent="0.3">
      <c r="C105" s="7" t="s">
        <v>994</v>
      </c>
      <c r="D105" s="41" t="str">
        <f>IFERROR(INDEX('배치점수 계산기'!V$11:V$1000,MATCH($C105,'배치점수 계산기'!$U$11:$U$1000,0)),"")</f>
        <v>고려대 통합</v>
      </c>
      <c r="E105" s="41">
        <f>IFERROR(INDEX('배치점수 계산기'!W$11:W$1000,MATCH($C105,'배치점수 계산기'!$U$11:$U$1000,0)),"")</f>
        <v>24</v>
      </c>
      <c r="F105" s="113" t="s">
        <v>276</v>
      </c>
      <c r="G105" s="41" t="s">
        <v>317</v>
      </c>
      <c r="H105" s="41" t="s">
        <v>264</v>
      </c>
      <c r="I105" s="41" t="s">
        <v>275</v>
      </c>
      <c r="J105" s="41" t="str">
        <f t="shared" si="3"/>
        <v>X</v>
      </c>
      <c r="K105" s="113">
        <f>IFERROR(INDEX(환산공식!CI$16:CI$301,MATCH($E105,환산공식!$A$16:$A$301,0)),"")</f>
        <v>0</v>
      </c>
      <c r="L105" s="41" t="str">
        <f>IFERROR(CONCATENATE(ROUND(INDEX(환산공식!CJ$16:CJ$301,MATCH(E105,환산공식!$A$16:$A$301,0)),1),"%"),"")</f>
        <v/>
      </c>
      <c r="M105" s="41">
        <f>IFERROR(INDEX(환산공식!CK$16:CK$301,MATCH(E105,환산공식!$A$16:$A$301,0)),"")</f>
        <v>10</v>
      </c>
      <c r="N105" s="113" t="str">
        <f t="shared" si="4"/>
        <v>1% 이하</v>
      </c>
      <c r="O105" s="119">
        <f>IFERROR(ROUND(INDEX(환산공식!$EF$16:$EF$301,MATCH(E105,환산공식!$A$16:$A$301,0)),3),"")</f>
        <v>0</v>
      </c>
      <c r="P105" s="119">
        <f>IFERROR(ROUND(INDEX('배치점수 계산기'!M$11:M$1000,MATCH($C105,'배치점수 계산기'!$U$11:$U$1000,0)),2),"")</f>
        <v>661.49</v>
      </c>
      <c r="Q105" s="41">
        <f>IFERROR(ROUND(INDEX('배치점수 계산기'!N$11:N$1000,MATCH($C105,'배치점수 계산기'!$U$11:$U$1000,0)),2),"")</f>
        <v>659.23</v>
      </c>
      <c r="R105" s="41">
        <f>IFERROR(ROUND(INDEX('배치점수 계산기'!O$11:O$1000,MATCH($C105,'배치점수 계산기'!$U$11:$U$1000,0)),2),"")</f>
        <v>657.15</v>
      </c>
      <c r="S105" s="41">
        <f>IFERROR(ROUND(INDEX('배치점수 계산기'!P$11:P$1000,MATCH($C105,'배치점수 계산기'!$U$11:$U$1000,0)),2),"")</f>
        <v>654.24</v>
      </c>
      <c r="T105" s="41">
        <f>IFERROR(ROUND(INDEX('배치점수 계산기'!Q$11:Q$1000,MATCH($C105,'배치점수 계산기'!$U$11:$U$1000,0)),2),"")</f>
        <v>652.16</v>
      </c>
      <c r="U105" s="41">
        <f>IFERROR(INDEX(환산공식!$DC$16:$DC$301,MATCH(E105,환산공식!$A$16:$A$301,0)),"")</f>
        <v>0</v>
      </c>
      <c r="V105" s="113">
        <f t="shared" si="5"/>
        <v>6</v>
      </c>
      <c r="W105" s="110" t="str">
        <f>INDEX('배치점수 계산기'!$AG$11:$AG$800,MATCH('       가 군       '!$C105,'배치점수 계산기'!$U$11:$U$800,0))</f>
        <v>표점</v>
      </c>
      <c r="X105" s="108" t="str">
        <f>INDEX('배치점수 계산기'!$AH$11:$AH$800,MATCH('       가 군       '!$C105,'배치점수 계산기'!$U$11:$U$800,0))</f>
        <v>변표</v>
      </c>
      <c r="Y105" s="113">
        <f>INDEX('배치점수 계산기'!$AB$11:$AB$800,MATCH('       가 군       '!$C105,'배치점수 계산기'!$U$11:$U$800,0))</f>
        <v>0.35714285714285715</v>
      </c>
      <c r="Z105" s="73">
        <f>INDEX('배치점수 계산기'!$AC$11:$AC$800,MATCH('       가 군       '!$C105,'배치점수 계산기'!$U$11:$U$800,0))</f>
        <v>0.35714285714285715</v>
      </c>
      <c r="AA105" s="63">
        <f>INDEX('배치점수 계산기'!$AD$11:$AD$800,MATCH('       가 군       '!$C105,'배치점수 계산기'!$U$11:$U$800,0))</f>
        <v>0.2857142857142857</v>
      </c>
      <c r="AE105" s="7">
        <v>98</v>
      </c>
    </row>
    <row r="106" spans="3:31" x14ac:dyDescent="0.3">
      <c r="C106" s="7" t="s">
        <v>995</v>
      </c>
      <c r="D106" s="41" t="str">
        <f>IFERROR(INDEX('배치점수 계산기'!V$11:V$1000,MATCH($C106,'배치점수 계산기'!$U$11:$U$1000,0)),"")</f>
        <v>고려대 통합</v>
      </c>
      <c r="E106" s="41">
        <f>IFERROR(INDEX('배치점수 계산기'!W$11:W$1000,MATCH($C106,'배치점수 계산기'!$U$11:$U$1000,0)),"")</f>
        <v>24</v>
      </c>
      <c r="F106" s="113" t="s">
        <v>276</v>
      </c>
      <c r="G106" s="41" t="s">
        <v>317</v>
      </c>
      <c r="H106" s="41" t="s">
        <v>263</v>
      </c>
      <c r="I106" s="41" t="s">
        <v>275</v>
      </c>
      <c r="J106" s="41" t="str">
        <f t="shared" si="3"/>
        <v>X</v>
      </c>
      <c r="K106" s="113">
        <f>IFERROR(INDEX(환산공식!CI$16:CI$301,MATCH($E106,환산공식!$A$16:$A$301,0)),"")</f>
        <v>0</v>
      </c>
      <c r="L106" s="41" t="str">
        <f>IFERROR(CONCATENATE(ROUND(INDEX(환산공식!CJ$16:CJ$301,MATCH(E106,환산공식!$A$16:$A$301,0)),1),"%"),"")</f>
        <v/>
      </c>
      <c r="M106" s="41">
        <f>IFERROR(INDEX(환산공식!CK$16:CK$301,MATCH(E106,환산공식!$A$16:$A$301,0)),"")</f>
        <v>10</v>
      </c>
      <c r="N106" s="113" t="str">
        <f t="shared" si="4"/>
        <v>1% 이하</v>
      </c>
      <c r="O106" s="119">
        <f>IFERROR(ROUND(INDEX(환산공식!$EF$16:$EF$301,MATCH(E106,환산공식!$A$16:$A$301,0)),3),"")</f>
        <v>0</v>
      </c>
      <c r="P106" s="119">
        <f>IFERROR(ROUND(INDEX('배치점수 계산기'!M$11:M$1000,MATCH($C106,'배치점수 계산기'!$U$11:$U$1000,0)),2),"")</f>
        <v>661.49</v>
      </c>
      <c r="Q106" s="41">
        <f>IFERROR(ROUND(INDEX('배치점수 계산기'!N$11:N$1000,MATCH($C106,'배치점수 계산기'!$U$11:$U$1000,0)),2),"")</f>
        <v>659.23</v>
      </c>
      <c r="R106" s="41">
        <f>IFERROR(ROUND(INDEX('배치점수 계산기'!O$11:O$1000,MATCH($C106,'배치점수 계산기'!$U$11:$U$1000,0)),2),"")</f>
        <v>657.15</v>
      </c>
      <c r="S106" s="41">
        <f>IFERROR(ROUND(INDEX('배치점수 계산기'!P$11:P$1000,MATCH($C106,'배치점수 계산기'!$U$11:$U$1000,0)),2),"")</f>
        <v>655.43</v>
      </c>
      <c r="T106" s="41">
        <f>IFERROR(ROUND(INDEX('배치점수 계산기'!Q$11:Q$1000,MATCH($C106,'배치점수 계산기'!$U$11:$U$1000,0)),2),"")</f>
        <v>653.53</v>
      </c>
      <c r="U106" s="41">
        <f>IFERROR(INDEX(환산공식!$DC$16:$DC$301,MATCH(E106,환산공식!$A$16:$A$301,0)),"")</f>
        <v>0</v>
      </c>
      <c r="V106" s="113">
        <f t="shared" si="5"/>
        <v>6</v>
      </c>
      <c r="W106" s="110" t="str">
        <f>INDEX('배치점수 계산기'!$AG$11:$AG$800,MATCH('       가 군       '!$C106,'배치점수 계산기'!$U$11:$U$800,0))</f>
        <v>표점</v>
      </c>
      <c r="X106" s="108" t="str">
        <f>INDEX('배치점수 계산기'!$AH$11:$AH$800,MATCH('       가 군       '!$C106,'배치점수 계산기'!$U$11:$U$800,0))</f>
        <v>변표</v>
      </c>
      <c r="Y106" s="113">
        <f>INDEX('배치점수 계산기'!$AB$11:$AB$800,MATCH('       가 군       '!$C106,'배치점수 계산기'!$U$11:$U$800,0))</f>
        <v>0.35714285714285715</v>
      </c>
      <c r="Z106" s="73">
        <f>INDEX('배치점수 계산기'!$AC$11:$AC$800,MATCH('       가 군       '!$C106,'배치점수 계산기'!$U$11:$U$800,0))</f>
        <v>0.35714285714285715</v>
      </c>
      <c r="AA106" s="63">
        <f>INDEX('배치점수 계산기'!$AD$11:$AD$800,MATCH('       가 군       '!$C106,'배치점수 계산기'!$U$11:$U$800,0))</f>
        <v>0.2857142857142857</v>
      </c>
      <c r="AE106" s="7">
        <v>99</v>
      </c>
    </row>
    <row r="107" spans="3:31" x14ac:dyDescent="0.3">
      <c r="C107" s="7" t="s">
        <v>996</v>
      </c>
      <c r="D107" s="41" t="str">
        <f>IFERROR(INDEX('배치점수 계산기'!V$11:V$1000,MATCH($C107,'배치점수 계산기'!$U$11:$U$1000,0)),"")</f>
        <v>고려대 통합</v>
      </c>
      <c r="E107" s="41">
        <f>IFERROR(INDEX('배치점수 계산기'!W$11:W$1000,MATCH($C107,'배치점수 계산기'!$U$11:$U$1000,0)),"")</f>
        <v>24</v>
      </c>
      <c r="F107" s="113" t="s">
        <v>276</v>
      </c>
      <c r="G107" s="41" t="s">
        <v>317</v>
      </c>
      <c r="H107" s="41" t="s">
        <v>270</v>
      </c>
      <c r="I107" s="41" t="s">
        <v>275</v>
      </c>
      <c r="J107" s="41" t="str">
        <f t="shared" si="3"/>
        <v>X</v>
      </c>
      <c r="K107" s="113">
        <f>IFERROR(INDEX(환산공식!CI$16:CI$301,MATCH($E107,환산공식!$A$16:$A$301,0)),"")</f>
        <v>0</v>
      </c>
      <c r="L107" s="41" t="str">
        <f>IFERROR(CONCATENATE(ROUND(INDEX(환산공식!CJ$16:CJ$301,MATCH(E107,환산공식!$A$16:$A$301,0)),1),"%"),"")</f>
        <v/>
      </c>
      <c r="M107" s="41">
        <f>IFERROR(INDEX(환산공식!CK$16:CK$301,MATCH(E107,환산공식!$A$16:$A$301,0)),"")</f>
        <v>10</v>
      </c>
      <c r="N107" s="113" t="str">
        <f t="shared" si="4"/>
        <v>1% 이하</v>
      </c>
      <c r="O107" s="119">
        <f>IFERROR(ROUND(INDEX(환산공식!$EF$16:$EF$301,MATCH(E107,환산공식!$A$16:$A$301,0)),3),"")</f>
        <v>0</v>
      </c>
      <c r="P107" s="119">
        <f>IFERROR(ROUND(INDEX('배치점수 계산기'!M$11:M$1000,MATCH($C107,'배치점수 계산기'!$U$11:$U$1000,0)),2),"")</f>
        <v>656.44</v>
      </c>
      <c r="Q107" s="41">
        <f>IFERROR(ROUND(INDEX('배치점수 계산기'!N$11:N$1000,MATCH($C107,'배치점수 계산기'!$U$11:$U$1000,0)),2),"")</f>
        <v>655.79</v>
      </c>
      <c r="R107" s="41">
        <f>IFERROR(ROUND(INDEX('배치점수 계산기'!O$11:O$1000,MATCH($C107,'배치점수 계산기'!$U$11:$U$1000,0)),2),"")</f>
        <v>653.53</v>
      </c>
      <c r="S107" s="41">
        <f>IFERROR(ROUND(INDEX('배치점수 계산기'!P$11:P$1000,MATCH($C107,'배치점수 계산기'!$U$11:$U$1000,0)),2),"")</f>
        <v>652.16</v>
      </c>
      <c r="T107" s="41">
        <f>IFERROR(ROUND(INDEX('배치점수 계산기'!Q$11:Q$1000,MATCH($C107,'배치점수 계산기'!$U$11:$U$1000,0)),2),"")</f>
        <v>650.98</v>
      </c>
      <c r="U107" s="41">
        <f>IFERROR(INDEX(환산공식!$DC$16:$DC$301,MATCH(E107,환산공식!$A$16:$A$301,0)),"")</f>
        <v>0</v>
      </c>
      <c r="V107" s="113">
        <f t="shared" si="5"/>
        <v>6</v>
      </c>
      <c r="W107" s="110" t="str">
        <f>INDEX('배치점수 계산기'!$AG$11:$AG$800,MATCH('       가 군       '!$C107,'배치점수 계산기'!$U$11:$U$800,0))</f>
        <v>표점</v>
      </c>
      <c r="X107" s="108" t="str">
        <f>INDEX('배치점수 계산기'!$AH$11:$AH$800,MATCH('       가 군       '!$C107,'배치점수 계산기'!$U$11:$U$800,0))</f>
        <v>변표</v>
      </c>
      <c r="Y107" s="113">
        <f>INDEX('배치점수 계산기'!$AB$11:$AB$800,MATCH('       가 군       '!$C107,'배치점수 계산기'!$U$11:$U$800,0))</f>
        <v>0.35714285714285715</v>
      </c>
      <c r="Z107" s="73">
        <f>INDEX('배치점수 계산기'!$AC$11:$AC$800,MATCH('       가 군       '!$C107,'배치점수 계산기'!$U$11:$U$800,0))</f>
        <v>0.35714285714285715</v>
      </c>
      <c r="AA107" s="63">
        <f>INDEX('배치점수 계산기'!$AD$11:$AD$800,MATCH('       가 군       '!$C107,'배치점수 계산기'!$U$11:$U$800,0))</f>
        <v>0.2857142857142857</v>
      </c>
      <c r="AE107" s="7">
        <v>100</v>
      </c>
    </row>
    <row r="108" spans="3:31" x14ac:dyDescent="0.3">
      <c r="C108" s="7" t="s">
        <v>997</v>
      </c>
      <c r="D108" s="41" t="str">
        <f>IFERROR(INDEX('배치점수 계산기'!V$11:V$1000,MATCH($C108,'배치점수 계산기'!$U$11:$U$1000,0)),"")</f>
        <v>고려대 통합</v>
      </c>
      <c r="E108" s="41">
        <f>IFERROR(INDEX('배치점수 계산기'!W$11:W$1000,MATCH($C108,'배치점수 계산기'!$U$11:$U$1000,0)),"")</f>
        <v>24</v>
      </c>
      <c r="F108" s="113" t="s">
        <v>276</v>
      </c>
      <c r="G108" s="41" t="s">
        <v>317</v>
      </c>
      <c r="H108" s="41" t="s">
        <v>308</v>
      </c>
      <c r="I108" s="41" t="s">
        <v>275</v>
      </c>
      <c r="J108" s="41" t="str">
        <f t="shared" si="3"/>
        <v>X</v>
      </c>
      <c r="K108" s="113">
        <f>IFERROR(INDEX(환산공식!CI$16:CI$301,MATCH($E108,환산공식!$A$16:$A$301,0)),"")</f>
        <v>0</v>
      </c>
      <c r="L108" s="41" t="str">
        <f>IFERROR(CONCATENATE(ROUND(INDEX(환산공식!CJ$16:CJ$301,MATCH(E108,환산공식!$A$16:$A$301,0)),1),"%"),"")</f>
        <v/>
      </c>
      <c r="M108" s="41">
        <f>IFERROR(INDEX(환산공식!CK$16:CK$301,MATCH(E108,환산공식!$A$16:$A$301,0)),"")</f>
        <v>10</v>
      </c>
      <c r="N108" s="113" t="str">
        <f t="shared" si="4"/>
        <v>1% 이하</v>
      </c>
      <c r="O108" s="119">
        <f>IFERROR(ROUND(INDEX(환산공식!$EF$16:$EF$301,MATCH(E108,환산공식!$A$16:$A$301,0)),3),"")</f>
        <v>0</v>
      </c>
      <c r="P108" s="119">
        <f>IFERROR(ROUND(INDEX('배치점수 계산기'!M$11:M$1000,MATCH($C108,'배치점수 계산기'!$U$11:$U$1000,0)),2),"")</f>
        <v>656.15</v>
      </c>
      <c r="Q108" s="41">
        <f>IFERROR(ROUND(INDEX('배치점수 계산기'!N$11:N$1000,MATCH($C108,'배치점수 계산기'!$U$11:$U$1000,0)),2),"")</f>
        <v>655.02</v>
      </c>
      <c r="R108" s="41">
        <f>IFERROR(ROUND(INDEX('배치점수 계산기'!O$11:O$1000,MATCH($C108,'배치점수 계산기'!$U$11:$U$1000,0)),2),"")</f>
        <v>653.53</v>
      </c>
      <c r="S108" s="41">
        <f>IFERROR(ROUND(INDEX('배치점수 계산기'!P$11:P$1000,MATCH($C108,'배치점수 계산기'!$U$11:$U$1000,0)),2),"")</f>
        <v>652.16</v>
      </c>
      <c r="T108" s="41">
        <f>IFERROR(ROUND(INDEX('배치점수 계산기'!Q$11:Q$1000,MATCH($C108,'배치점수 계산기'!$U$11:$U$1000,0)),2),"")</f>
        <v>650.98</v>
      </c>
      <c r="U108" s="41">
        <f>IFERROR(INDEX(환산공식!$DC$16:$DC$301,MATCH(E108,환산공식!$A$16:$A$301,0)),"")</f>
        <v>0</v>
      </c>
      <c r="V108" s="113">
        <f t="shared" si="5"/>
        <v>6</v>
      </c>
      <c r="W108" s="110" t="str">
        <f>INDEX('배치점수 계산기'!$AG$11:$AG$800,MATCH('       가 군       '!$C108,'배치점수 계산기'!$U$11:$U$800,0))</f>
        <v>표점</v>
      </c>
      <c r="X108" s="108" t="str">
        <f>INDEX('배치점수 계산기'!$AH$11:$AH$800,MATCH('       가 군       '!$C108,'배치점수 계산기'!$U$11:$U$800,0))</f>
        <v>변표</v>
      </c>
      <c r="Y108" s="113">
        <f>INDEX('배치점수 계산기'!$AB$11:$AB$800,MATCH('       가 군       '!$C108,'배치점수 계산기'!$U$11:$U$800,0))</f>
        <v>0.35714285714285715</v>
      </c>
      <c r="Z108" s="73">
        <f>INDEX('배치점수 계산기'!$AC$11:$AC$800,MATCH('       가 군       '!$C108,'배치점수 계산기'!$U$11:$U$800,0))</f>
        <v>0.35714285714285715</v>
      </c>
      <c r="AA108" s="63">
        <f>INDEX('배치점수 계산기'!$AD$11:$AD$800,MATCH('       가 군       '!$C108,'배치점수 계산기'!$U$11:$U$800,0))</f>
        <v>0.2857142857142857</v>
      </c>
      <c r="AE108" s="7">
        <v>101</v>
      </c>
    </row>
    <row r="109" spans="3:31" x14ac:dyDescent="0.3">
      <c r="C109" s="7" t="s">
        <v>998</v>
      </c>
      <c r="D109" s="41" t="str">
        <f>IFERROR(INDEX('배치점수 계산기'!V$11:V$1000,MATCH($C109,'배치점수 계산기'!$U$11:$U$1000,0)),"")</f>
        <v>고려대 통합</v>
      </c>
      <c r="E109" s="41">
        <f>IFERROR(INDEX('배치점수 계산기'!W$11:W$1000,MATCH($C109,'배치점수 계산기'!$U$11:$U$1000,0)),"")</f>
        <v>24</v>
      </c>
      <c r="F109" s="113" t="s">
        <v>276</v>
      </c>
      <c r="G109" s="41" t="s">
        <v>317</v>
      </c>
      <c r="H109" s="41" t="s">
        <v>271</v>
      </c>
      <c r="I109" s="41" t="s">
        <v>275</v>
      </c>
      <c r="J109" s="41" t="str">
        <f t="shared" si="3"/>
        <v>X</v>
      </c>
      <c r="K109" s="113">
        <f>IFERROR(INDEX(환산공식!CI$16:CI$301,MATCH($E109,환산공식!$A$16:$A$301,0)),"")</f>
        <v>0</v>
      </c>
      <c r="L109" s="41" t="str">
        <f>IFERROR(CONCATENATE(ROUND(INDEX(환산공식!CJ$16:CJ$301,MATCH(E109,환산공식!$A$16:$A$301,0)),1),"%"),"")</f>
        <v/>
      </c>
      <c r="M109" s="41">
        <f>IFERROR(INDEX(환산공식!CK$16:CK$301,MATCH(E109,환산공식!$A$16:$A$301,0)),"")</f>
        <v>10</v>
      </c>
      <c r="N109" s="113" t="str">
        <f t="shared" si="4"/>
        <v>1% 이하</v>
      </c>
      <c r="O109" s="119">
        <f>IFERROR(ROUND(INDEX(환산공식!$EF$16:$EF$301,MATCH(E109,환산공식!$A$16:$A$301,0)),3),"")</f>
        <v>0</v>
      </c>
      <c r="P109" s="119">
        <f>IFERROR(ROUND(INDEX('배치점수 계산기'!M$11:M$1000,MATCH($C109,'배치점수 계산기'!$U$11:$U$1000,0)),2),"")</f>
        <v>656.15</v>
      </c>
      <c r="Q109" s="41">
        <f>IFERROR(ROUND(INDEX('배치점수 계산기'!N$11:N$1000,MATCH($C109,'배치점수 계산기'!$U$11:$U$1000,0)),2),"")</f>
        <v>655.02</v>
      </c>
      <c r="R109" s="41">
        <f>IFERROR(ROUND(INDEX('배치점수 계산기'!O$11:O$1000,MATCH($C109,'배치점수 계산기'!$U$11:$U$1000,0)),2),"")</f>
        <v>653.53</v>
      </c>
      <c r="S109" s="41">
        <f>IFERROR(ROUND(INDEX('배치점수 계산기'!P$11:P$1000,MATCH($C109,'배치점수 계산기'!$U$11:$U$1000,0)),2),"")</f>
        <v>652.16</v>
      </c>
      <c r="T109" s="41">
        <f>IFERROR(ROUND(INDEX('배치점수 계산기'!Q$11:Q$1000,MATCH($C109,'배치점수 계산기'!$U$11:$U$1000,0)),2),"")</f>
        <v>650.98</v>
      </c>
      <c r="U109" s="41">
        <f>IFERROR(INDEX(환산공식!$DC$16:$DC$301,MATCH(E109,환산공식!$A$16:$A$301,0)),"")</f>
        <v>0</v>
      </c>
      <c r="V109" s="113">
        <f t="shared" si="5"/>
        <v>6</v>
      </c>
      <c r="W109" s="110" t="str">
        <f>INDEX('배치점수 계산기'!$AG$11:$AG$800,MATCH('       가 군       '!$C109,'배치점수 계산기'!$U$11:$U$800,0))</f>
        <v>표점</v>
      </c>
      <c r="X109" s="108" t="str">
        <f>INDEX('배치점수 계산기'!$AH$11:$AH$800,MATCH('       가 군       '!$C109,'배치점수 계산기'!$U$11:$U$800,0))</f>
        <v>변표</v>
      </c>
      <c r="Y109" s="113">
        <f>INDEX('배치점수 계산기'!$AB$11:$AB$800,MATCH('       가 군       '!$C109,'배치점수 계산기'!$U$11:$U$800,0))</f>
        <v>0.35714285714285715</v>
      </c>
      <c r="Z109" s="73">
        <f>INDEX('배치점수 계산기'!$AC$11:$AC$800,MATCH('       가 군       '!$C109,'배치점수 계산기'!$U$11:$U$800,0))</f>
        <v>0.35714285714285715</v>
      </c>
      <c r="AA109" s="63">
        <f>INDEX('배치점수 계산기'!$AD$11:$AD$800,MATCH('       가 군       '!$C109,'배치점수 계산기'!$U$11:$U$800,0))</f>
        <v>0.2857142857142857</v>
      </c>
      <c r="AE109" s="7">
        <v>102</v>
      </c>
    </row>
    <row r="110" spans="3:31" x14ac:dyDescent="0.3">
      <c r="C110" s="7" t="s">
        <v>999</v>
      </c>
      <c r="D110" s="41" t="str">
        <f>IFERROR(INDEX('배치점수 계산기'!V$11:V$1000,MATCH($C110,'배치점수 계산기'!$U$11:$U$1000,0)),"")</f>
        <v>고려대 통합</v>
      </c>
      <c r="E110" s="41">
        <f>IFERROR(INDEX('배치점수 계산기'!W$11:W$1000,MATCH($C110,'배치점수 계산기'!$U$11:$U$1000,0)),"")</f>
        <v>24</v>
      </c>
      <c r="F110" s="113" t="s">
        <v>276</v>
      </c>
      <c r="G110" s="41" t="s">
        <v>317</v>
      </c>
      <c r="H110" s="41" t="s">
        <v>272</v>
      </c>
      <c r="I110" s="41" t="s">
        <v>275</v>
      </c>
      <c r="J110" s="41" t="str">
        <f t="shared" si="3"/>
        <v>X</v>
      </c>
      <c r="K110" s="113">
        <f>IFERROR(INDEX(환산공식!CI$16:CI$301,MATCH($E110,환산공식!$A$16:$A$301,0)),"")</f>
        <v>0</v>
      </c>
      <c r="L110" s="41" t="str">
        <f>IFERROR(CONCATENATE(ROUND(INDEX(환산공식!CJ$16:CJ$301,MATCH(E110,환산공식!$A$16:$A$301,0)),1),"%"),"")</f>
        <v/>
      </c>
      <c r="M110" s="41">
        <f>IFERROR(INDEX(환산공식!CK$16:CK$301,MATCH(E110,환산공식!$A$16:$A$301,0)),"")</f>
        <v>10</v>
      </c>
      <c r="N110" s="113" t="str">
        <f t="shared" si="4"/>
        <v>1% 이하</v>
      </c>
      <c r="O110" s="119">
        <f>IFERROR(ROUND(INDEX(환산공식!$EF$16:$EF$301,MATCH(E110,환산공식!$A$16:$A$301,0)),3),"")</f>
        <v>0</v>
      </c>
      <c r="P110" s="119">
        <f>IFERROR(ROUND(INDEX('배치점수 계산기'!M$11:M$1000,MATCH($C110,'배치점수 계산기'!$U$11:$U$1000,0)),2),"")</f>
        <v>655.02</v>
      </c>
      <c r="Q110" s="41">
        <f>IFERROR(ROUND(INDEX('배치점수 계산기'!N$11:N$1000,MATCH($C110,'배치점수 계산기'!$U$11:$U$1000,0)),2),"")</f>
        <v>654.24</v>
      </c>
      <c r="R110" s="41">
        <f>IFERROR(ROUND(INDEX('배치점수 계산기'!O$11:O$1000,MATCH($C110,'배치점수 계산기'!$U$11:$U$1000,0)),2),"")</f>
        <v>653.53</v>
      </c>
      <c r="S110" s="41">
        <f>IFERROR(ROUND(INDEX('배치점수 계산기'!P$11:P$1000,MATCH($C110,'배치점수 계산기'!$U$11:$U$1000,0)),2),"")</f>
        <v>652.70000000000005</v>
      </c>
      <c r="T110" s="41">
        <f>IFERROR(ROUND(INDEX('배치점수 계산기'!Q$11:Q$1000,MATCH($C110,'배치점수 계산기'!$U$11:$U$1000,0)),2),"")</f>
        <v>651.51</v>
      </c>
      <c r="U110" s="41">
        <f>IFERROR(INDEX(환산공식!$DC$16:$DC$301,MATCH(E110,환산공식!$A$16:$A$301,0)),"")</f>
        <v>0</v>
      </c>
      <c r="V110" s="113">
        <f t="shared" si="5"/>
        <v>6</v>
      </c>
      <c r="W110" s="110" t="str">
        <f>INDEX('배치점수 계산기'!$AG$11:$AG$800,MATCH('       가 군       '!$C110,'배치점수 계산기'!$U$11:$U$800,0))</f>
        <v>표점</v>
      </c>
      <c r="X110" s="108" t="str">
        <f>INDEX('배치점수 계산기'!$AH$11:$AH$800,MATCH('       가 군       '!$C110,'배치점수 계산기'!$U$11:$U$800,0))</f>
        <v>변표</v>
      </c>
      <c r="Y110" s="113">
        <f>INDEX('배치점수 계산기'!$AB$11:$AB$800,MATCH('       가 군       '!$C110,'배치점수 계산기'!$U$11:$U$800,0))</f>
        <v>0.35714285714285715</v>
      </c>
      <c r="Z110" s="73">
        <f>INDEX('배치점수 계산기'!$AC$11:$AC$800,MATCH('       가 군       '!$C110,'배치점수 계산기'!$U$11:$U$800,0))</f>
        <v>0.35714285714285715</v>
      </c>
      <c r="AA110" s="63">
        <f>INDEX('배치점수 계산기'!$AD$11:$AD$800,MATCH('       가 군       '!$C110,'배치점수 계산기'!$U$11:$U$800,0))</f>
        <v>0.2857142857142857</v>
      </c>
      <c r="AE110" s="7">
        <v>103</v>
      </c>
    </row>
    <row r="111" spans="3:31" x14ac:dyDescent="0.3">
      <c r="C111" s="7" t="s">
        <v>1000</v>
      </c>
      <c r="D111" s="41" t="str">
        <f>IFERROR(INDEX('배치점수 계산기'!V$11:V$1000,MATCH($C111,'배치점수 계산기'!$U$11:$U$1000,0)),"")</f>
        <v>고려대 통합</v>
      </c>
      <c r="E111" s="41">
        <f>IFERROR(INDEX('배치점수 계산기'!W$11:W$1000,MATCH($C111,'배치점수 계산기'!$U$11:$U$1000,0)),"")</f>
        <v>24</v>
      </c>
      <c r="F111" s="113" t="s">
        <v>276</v>
      </c>
      <c r="G111" s="41" t="s">
        <v>317</v>
      </c>
      <c r="H111" s="41" t="s">
        <v>307</v>
      </c>
      <c r="I111" s="41" t="s">
        <v>275</v>
      </c>
      <c r="J111" s="41" t="str">
        <f t="shared" si="3"/>
        <v>X</v>
      </c>
      <c r="K111" s="113">
        <f>IFERROR(INDEX(환산공식!CI$16:CI$301,MATCH($E111,환산공식!$A$16:$A$301,0)),"")</f>
        <v>0</v>
      </c>
      <c r="L111" s="41" t="str">
        <f>IFERROR(CONCATENATE(ROUND(INDEX(환산공식!CJ$16:CJ$301,MATCH(E111,환산공식!$A$16:$A$301,0)),1),"%"),"")</f>
        <v/>
      </c>
      <c r="M111" s="41">
        <f>IFERROR(INDEX(환산공식!CK$16:CK$301,MATCH(E111,환산공식!$A$16:$A$301,0)),"")</f>
        <v>10</v>
      </c>
      <c r="N111" s="113" t="str">
        <f t="shared" si="4"/>
        <v>1% 이하</v>
      </c>
      <c r="O111" s="119">
        <f>IFERROR(ROUND(INDEX(환산공식!$EF$16:$EF$301,MATCH(E111,환산공식!$A$16:$A$301,0)),3),"")</f>
        <v>0</v>
      </c>
      <c r="P111" s="119">
        <f>IFERROR(ROUND(INDEX('배치점수 계산기'!M$11:M$1000,MATCH($C111,'배치점수 계산기'!$U$11:$U$1000,0)),2),"")</f>
        <v>656.15</v>
      </c>
      <c r="Q111" s="41">
        <f>IFERROR(ROUND(INDEX('배치점수 계산기'!N$11:N$1000,MATCH($C111,'배치점수 계산기'!$U$11:$U$1000,0)),2),"")</f>
        <v>654.9</v>
      </c>
      <c r="R111" s="41">
        <f>IFERROR(ROUND(INDEX('배치점수 계산기'!O$11:O$1000,MATCH($C111,'배치점수 계산기'!$U$11:$U$1000,0)),2),"")</f>
        <v>652.88</v>
      </c>
      <c r="S111" s="41">
        <f>IFERROR(ROUND(INDEX('배치점수 계산기'!P$11:P$1000,MATCH($C111,'배치점수 계산기'!$U$11:$U$1000,0)),2),"")</f>
        <v>651.51</v>
      </c>
      <c r="T111" s="41">
        <f>IFERROR(ROUND(INDEX('배치점수 계산기'!Q$11:Q$1000,MATCH($C111,'배치점수 계산기'!$U$11:$U$1000,0)),2),"")</f>
        <v>650.33000000000004</v>
      </c>
      <c r="U111" s="41">
        <f>IFERROR(INDEX(환산공식!$DC$16:$DC$301,MATCH(E111,환산공식!$A$16:$A$301,0)),"")</f>
        <v>0</v>
      </c>
      <c r="V111" s="113">
        <f t="shared" si="5"/>
        <v>6</v>
      </c>
      <c r="W111" s="110" t="str">
        <f>INDEX('배치점수 계산기'!$AG$11:$AG$800,MATCH('       가 군       '!$C111,'배치점수 계산기'!$U$11:$U$800,0))</f>
        <v>표점</v>
      </c>
      <c r="X111" s="108" t="str">
        <f>INDEX('배치점수 계산기'!$AH$11:$AH$800,MATCH('       가 군       '!$C111,'배치점수 계산기'!$U$11:$U$800,0))</f>
        <v>변표</v>
      </c>
      <c r="Y111" s="113">
        <f>INDEX('배치점수 계산기'!$AB$11:$AB$800,MATCH('       가 군       '!$C111,'배치점수 계산기'!$U$11:$U$800,0))</f>
        <v>0.35714285714285715</v>
      </c>
      <c r="Z111" s="73">
        <f>INDEX('배치점수 계산기'!$AC$11:$AC$800,MATCH('       가 군       '!$C111,'배치점수 계산기'!$U$11:$U$800,0))</f>
        <v>0.35714285714285715</v>
      </c>
      <c r="AA111" s="63">
        <f>INDEX('배치점수 계산기'!$AD$11:$AD$800,MATCH('       가 군       '!$C111,'배치점수 계산기'!$U$11:$U$800,0))</f>
        <v>0.2857142857142857</v>
      </c>
      <c r="AE111" s="7">
        <v>104</v>
      </c>
    </row>
    <row r="112" spans="3:31" x14ac:dyDescent="0.3">
      <c r="C112" s="7" t="s">
        <v>1001</v>
      </c>
      <c r="D112" s="41" t="str">
        <f>IFERROR(INDEX('배치점수 계산기'!V$11:V$1000,MATCH($C112,'배치점수 계산기'!$U$11:$U$1000,0)),"")</f>
        <v>고려대 통합</v>
      </c>
      <c r="E112" s="41">
        <f>IFERROR(INDEX('배치점수 계산기'!W$11:W$1000,MATCH($C112,'배치점수 계산기'!$U$11:$U$1000,0)),"")</f>
        <v>24</v>
      </c>
      <c r="F112" s="113" t="s">
        <v>276</v>
      </c>
      <c r="G112" s="41" t="s">
        <v>317</v>
      </c>
      <c r="H112" s="41" t="s">
        <v>339</v>
      </c>
      <c r="I112" s="41" t="s">
        <v>275</v>
      </c>
      <c r="J112" s="41" t="str">
        <f t="shared" si="3"/>
        <v>X</v>
      </c>
      <c r="K112" s="113">
        <f>IFERROR(INDEX(환산공식!CI$16:CI$301,MATCH($E112,환산공식!$A$16:$A$301,0)),"")</f>
        <v>0</v>
      </c>
      <c r="L112" s="41" t="str">
        <f>IFERROR(CONCATENATE(ROUND(INDEX(환산공식!CJ$16:CJ$301,MATCH(E112,환산공식!$A$16:$A$301,0)),1),"%"),"")</f>
        <v/>
      </c>
      <c r="M112" s="41">
        <f>IFERROR(INDEX(환산공식!CK$16:CK$301,MATCH(E112,환산공식!$A$16:$A$301,0)),"")</f>
        <v>10</v>
      </c>
      <c r="N112" s="113" t="str">
        <f t="shared" si="4"/>
        <v>1% 이하</v>
      </c>
      <c r="O112" s="119">
        <f>IFERROR(ROUND(INDEX(환산공식!$EF$16:$EF$301,MATCH(E112,환산공식!$A$16:$A$301,0)),3),"")</f>
        <v>0</v>
      </c>
      <c r="P112" s="119">
        <f>IFERROR(ROUND(INDEX('배치점수 계산기'!M$11:M$1000,MATCH($C112,'배치점수 계산기'!$U$11:$U$1000,0)),2),"")</f>
        <v>656.15</v>
      </c>
      <c r="Q112" s="41">
        <f>IFERROR(ROUND(INDEX('배치점수 계산기'!N$11:N$1000,MATCH($C112,'배치점수 계산기'!$U$11:$U$1000,0)),2),"")</f>
        <v>654.9</v>
      </c>
      <c r="R112" s="41">
        <f>IFERROR(ROUND(INDEX('배치점수 계산기'!O$11:O$1000,MATCH($C112,'배치점수 계산기'!$U$11:$U$1000,0)),2),"")</f>
        <v>653.35</v>
      </c>
      <c r="S112" s="41">
        <f>IFERROR(ROUND(INDEX('배치점수 계산기'!P$11:P$1000,MATCH($C112,'배치점수 계산기'!$U$11:$U$1000,0)),2),"")</f>
        <v>652.16</v>
      </c>
      <c r="T112" s="41">
        <f>IFERROR(ROUND(INDEX('배치점수 계산기'!Q$11:Q$1000,MATCH($C112,'배치점수 계산기'!$U$11:$U$1000,0)),2),"")</f>
        <v>651.22</v>
      </c>
      <c r="U112" s="41">
        <f>IFERROR(INDEX(환산공식!$DC$16:$DC$301,MATCH(E112,환산공식!$A$16:$A$301,0)),"")</f>
        <v>0</v>
      </c>
      <c r="V112" s="113">
        <f t="shared" si="5"/>
        <v>6</v>
      </c>
      <c r="W112" s="110" t="str">
        <f>INDEX('배치점수 계산기'!$AG$11:$AG$800,MATCH('       가 군       '!$C112,'배치점수 계산기'!$U$11:$U$800,0))</f>
        <v>표점</v>
      </c>
      <c r="X112" s="108" t="str">
        <f>INDEX('배치점수 계산기'!$AH$11:$AH$800,MATCH('       가 군       '!$C112,'배치점수 계산기'!$U$11:$U$800,0))</f>
        <v>변표</v>
      </c>
      <c r="Y112" s="113">
        <f>INDEX('배치점수 계산기'!$AB$11:$AB$800,MATCH('       가 군       '!$C112,'배치점수 계산기'!$U$11:$U$800,0))</f>
        <v>0.35714285714285715</v>
      </c>
      <c r="Z112" s="73">
        <f>INDEX('배치점수 계산기'!$AC$11:$AC$800,MATCH('       가 군       '!$C112,'배치점수 계산기'!$U$11:$U$800,0))</f>
        <v>0.35714285714285715</v>
      </c>
      <c r="AA112" s="63">
        <f>INDEX('배치점수 계산기'!$AD$11:$AD$800,MATCH('       가 군       '!$C112,'배치점수 계산기'!$U$11:$U$800,0))</f>
        <v>0.2857142857142857</v>
      </c>
      <c r="AE112" s="7">
        <v>105</v>
      </c>
    </row>
    <row r="113" spans="3:31" x14ac:dyDescent="0.3">
      <c r="C113" s="7" t="s">
        <v>1002</v>
      </c>
      <c r="D113" s="41" t="str">
        <f>IFERROR(INDEX('배치점수 계산기'!V$11:V$1000,MATCH($C113,'배치점수 계산기'!$U$11:$U$1000,0)),"")</f>
        <v>고려대 통합</v>
      </c>
      <c r="E113" s="41">
        <f>IFERROR(INDEX('배치점수 계산기'!W$11:W$1000,MATCH($C113,'배치점수 계산기'!$U$11:$U$1000,0)),"")</f>
        <v>24</v>
      </c>
      <c r="F113" s="113" t="s">
        <v>276</v>
      </c>
      <c r="G113" s="41" t="s">
        <v>317</v>
      </c>
      <c r="H113" s="41" t="s">
        <v>310</v>
      </c>
      <c r="I113" s="41" t="s">
        <v>275</v>
      </c>
      <c r="J113" s="41" t="str">
        <f t="shared" si="3"/>
        <v>X</v>
      </c>
      <c r="K113" s="113">
        <f>IFERROR(INDEX(환산공식!CI$16:CI$301,MATCH($E113,환산공식!$A$16:$A$301,0)),"")</f>
        <v>0</v>
      </c>
      <c r="L113" s="41" t="str">
        <f>IFERROR(CONCATENATE(ROUND(INDEX(환산공식!CJ$16:CJ$301,MATCH(E113,환산공식!$A$16:$A$301,0)),1),"%"),"")</f>
        <v/>
      </c>
      <c r="M113" s="41">
        <f>IFERROR(INDEX(환산공식!CK$16:CK$301,MATCH(E113,환산공식!$A$16:$A$301,0)),"")</f>
        <v>10</v>
      </c>
      <c r="N113" s="113" t="str">
        <f t="shared" si="4"/>
        <v>1% 이하</v>
      </c>
      <c r="O113" s="119">
        <f>IFERROR(ROUND(INDEX(환산공식!$EF$16:$EF$301,MATCH(E113,환산공식!$A$16:$A$301,0)),3),"")</f>
        <v>0</v>
      </c>
      <c r="P113" s="119">
        <f>IFERROR(ROUND(INDEX('배치점수 계산기'!M$11:M$1000,MATCH($C113,'배치점수 계산기'!$U$11:$U$1000,0)),2),"")</f>
        <v>655.79</v>
      </c>
      <c r="Q113" s="41">
        <f>IFERROR(ROUND(INDEX('배치점수 계산기'!N$11:N$1000,MATCH($C113,'배치점수 계산기'!$U$11:$U$1000,0)),2),"")</f>
        <v>654.24</v>
      </c>
      <c r="R113" s="41">
        <f>IFERROR(ROUND(INDEX('배치점수 계산기'!O$11:O$1000,MATCH($C113,'배치점수 계산기'!$U$11:$U$1000,0)),2),"")</f>
        <v>652.88</v>
      </c>
      <c r="S113" s="41">
        <f>IFERROR(ROUND(INDEX('배치점수 계산기'!P$11:P$1000,MATCH($C113,'배치점수 계산기'!$U$11:$U$1000,0)),2),"")</f>
        <v>651.99</v>
      </c>
      <c r="T113" s="41">
        <f>IFERROR(ROUND(INDEX('배치점수 계산기'!Q$11:Q$1000,MATCH($C113,'배치점수 계산기'!$U$11:$U$1000,0)),2),"")</f>
        <v>650.98</v>
      </c>
      <c r="U113" s="41">
        <f>IFERROR(INDEX(환산공식!$DC$16:$DC$301,MATCH(E113,환산공식!$A$16:$A$301,0)),"")</f>
        <v>0</v>
      </c>
      <c r="V113" s="113">
        <f t="shared" si="5"/>
        <v>6</v>
      </c>
      <c r="W113" s="110" t="str">
        <f>INDEX('배치점수 계산기'!$AG$11:$AG$800,MATCH('       가 군       '!$C113,'배치점수 계산기'!$U$11:$U$800,0))</f>
        <v>표점</v>
      </c>
      <c r="X113" s="108" t="str">
        <f>INDEX('배치점수 계산기'!$AH$11:$AH$800,MATCH('       가 군       '!$C113,'배치점수 계산기'!$U$11:$U$800,0))</f>
        <v>변표</v>
      </c>
      <c r="Y113" s="113">
        <f>INDEX('배치점수 계산기'!$AB$11:$AB$800,MATCH('       가 군       '!$C113,'배치점수 계산기'!$U$11:$U$800,0))</f>
        <v>0.35714285714285715</v>
      </c>
      <c r="Z113" s="73">
        <f>INDEX('배치점수 계산기'!$AC$11:$AC$800,MATCH('       가 군       '!$C113,'배치점수 계산기'!$U$11:$U$800,0))</f>
        <v>0.35714285714285715</v>
      </c>
      <c r="AA113" s="63">
        <f>INDEX('배치점수 계산기'!$AD$11:$AD$800,MATCH('       가 군       '!$C113,'배치점수 계산기'!$U$11:$U$800,0))</f>
        <v>0.2857142857142857</v>
      </c>
      <c r="AE113" s="7">
        <v>106</v>
      </c>
    </row>
    <row r="114" spans="3:31" x14ac:dyDescent="0.3">
      <c r="C114" s="7" t="s">
        <v>1003</v>
      </c>
      <c r="D114" s="41" t="str">
        <f>IFERROR(INDEX('배치점수 계산기'!V$11:V$1000,MATCH($C114,'배치점수 계산기'!$U$11:$U$1000,0)),"")</f>
        <v>고려대 통합</v>
      </c>
      <c r="E114" s="41">
        <f>IFERROR(INDEX('배치점수 계산기'!W$11:W$1000,MATCH($C114,'배치점수 계산기'!$U$11:$U$1000,0)),"")</f>
        <v>24</v>
      </c>
      <c r="F114" s="113" t="s">
        <v>276</v>
      </c>
      <c r="G114" s="41" t="s">
        <v>317</v>
      </c>
      <c r="H114" s="41" t="s">
        <v>309</v>
      </c>
      <c r="I114" s="41" t="s">
        <v>275</v>
      </c>
      <c r="J114" s="41" t="str">
        <f t="shared" si="3"/>
        <v>X</v>
      </c>
      <c r="K114" s="113">
        <f>IFERROR(INDEX(환산공식!CI$16:CI$301,MATCH($E114,환산공식!$A$16:$A$301,0)),"")</f>
        <v>0</v>
      </c>
      <c r="L114" s="41" t="str">
        <f>IFERROR(CONCATENATE(ROUND(INDEX(환산공식!CJ$16:CJ$301,MATCH(E114,환산공식!$A$16:$A$301,0)),1),"%"),"")</f>
        <v/>
      </c>
      <c r="M114" s="41">
        <f>IFERROR(INDEX(환산공식!CK$16:CK$301,MATCH(E114,환산공식!$A$16:$A$301,0)),"")</f>
        <v>10</v>
      </c>
      <c r="N114" s="113" t="str">
        <f t="shared" si="4"/>
        <v>1% 이하</v>
      </c>
      <c r="O114" s="119">
        <f>IFERROR(ROUND(INDEX(환산공식!$EF$16:$EF$301,MATCH(E114,환산공식!$A$16:$A$301,0)),3),"")</f>
        <v>0</v>
      </c>
      <c r="P114" s="119">
        <f>IFERROR(ROUND(INDEX('배치점수 계산기'!M$11:M$1000,MATCH($C114,'배치점수 계산기'!$U$11:$U$1000,0)),2),"")</f>
        <v>656.15</v>
      </c>
      <c r="Q114" s="41">
        <f>IFERROR(ROUND(INDEX('배치점수 계산기'!N$11:N$1000,MATCH($C114,'배치점수 계산기'!$U$11:$U$1000,0)),2),"")</f>
        <v>654.9</v>
      </c>
      <c r="R114" s="41">
        <f>IFERROR(ROUND(INDEX('배치점수 계산기'!O$11:O$1000,MATCH($C114,'배치점수 계산기'!$U$11:$U$1000,0)),2),"")</f>
        <v>652.88</v>
      </c>
      <c r="S114" s="41">
        <f>IFERROR(ROUND(INDEX('배치점수 계산기'!P$11:P$1000,MATCH($C114,'배치점수 계산기'!$U$11:$U$1000,0)),2),"")</f>
        <v>651.99</v>
      </c>
      <c r="T114" s="41">
        <f>IFERROR(ROUND(INDEX('배치점수 계산기'!Q$11:Q$1000,MATCH($C114,'배치점수 계산기'!$U$11:$U$1000,0)),2),"")</f>
        <v>650.98</v>
      </c>
      <c r="U114" s="41">
        <f>IFERROR(INDEX(환산공식!$DC$16:$DC$301,MATCH(E114,환산공식!$A$16:$A$301,0)),"")</f>
        <v>0</v>
      </c>
      <c r="V114" s="113">
        <f t="shared" si="5"/>
        <v>6</v>
      </c>
      <c r="W114" s="110" t="str">
        <f>INDEX('배치점수 계산기'!$AG$11:$AG$800,MATCH('       가 군       '!$C114,'배치점수 계산기'!$U$11:$U$800,0))</f>
        <v>표점</v>
      </c>
      <c r="X114" s="108" t="str">
        <f>INDEX('배치점수 계산기'!$AH$11:$AH$800,MATCH('       가 군       '!$C114,'배치점수 계산기'!$U$11:$U$800,0))</f>
        <v>변표</v>
      </c>
      <c r="Y114" s="113">
        <f>INDEX('배치점수 계산기'!$AB$11:$AB$800,MATCH('       가 군       '!$C114,'배치점수 계산기'!$U$11:$U$800,0))</f>
        <v>0.35714285714285715</v>
      </c>
      <c r="Z114" s="73">
        <f>INDEX('배치점수 계산기'!$AC$11:$AC$800,MATCH('       가 군       '!$C114,'배치점수 계산기'!$U$11:$U$800,0))</f>
        <v>0.35714285714285715</v>
      </c>
      <c r="AA114" s="63">
        <f>INDEX('배치점수 계산기'!$AD$11:$AD$800,MATCH('       가 군       '!$C114,'배치점수 계산기'!$U$11:$U$800,0))</f>
        <v>0.2857142857142857</v>
      </c>
      <c r="AE114" s="7">
        <v>107</v>
      </c>
    </row>
    <row r="115" spans="3:31" x14ac:dyDescent="0.3">
      <c r="C115" s="7" t="s">
        <v>1004</v>
      </c>
      <c r="D115" s="41" t="str">
        <f>IFERROR(INDEX('배치점수 계산기'!V$11:V$1000,MATCH($C115,'배치점수 계산기'!$U$11:$U$1000,0)),"")</f>
        <v>고려대 통합</v>
      </c>
      <c r="E115" s="41">
        <f>IFERROR(INDEX('배치점수 계산기'!W$11:W$1000,MATCH($C115,'배치점수 계산기'!$U$11:$U$1000,0)),"")</f>
        <v>24</v>
      </c>
      <c r="F115" s="113" t="s">
        <v>276</v>
      </c>
      <c r="G115" s="41" t="s">
        <v>317</v>
      </c>
      <c r="H115" s="41" t="s">
        <v>313</v>
      </c>
      <c r="I115" s="41" t="s">
        <v>275</v>
      </c>
      <c r="J115" s="41" t="str">
        <f t="shared" si="3"/>
        <v>X</v>
      </c>
      <c r="K115" s="113">
        <f>IFERROR(INDEX(환산공식!CI$16:CI$301,MATCH($E115,환산공식!$A$16:$A$301,0)),"")</f>
        <v>0</v>
      </c>
      <c r="L115" s="41" t="str">
        <f>IFERROR(CONCATENATE(ROUND(INDEX(환산공식!CJ$16:CJ$301,MATCH(E115,환산공식!$A$16:$A$301,0)),1),"%"),"")</f>
        <v/>
      </c>
      <c r="M115" s="41">
        <f>IFERROR(INDEX(환산공식!CK$16:CK$301,MATCH(E115,환산공식!$A$16:$A$301,0)),"")</f>
        <v>10</v>
      </c>
      <c r="N115" s="113" t="str">
        <f t="shared" si="4"/>
        <v>1% 이하</v>
      </c>
      <c r="O115" s="119">
        <f>IFERROR(ROUND(INDEX(환산공식!$EF$16:$EF$301,MATCH(E115,환산공식!$A$16:$A$301,0)),3),"")</f>
        <v>0</v>
      </c>
      <c r="P115" s="119">
        <f>IFERROR(ROUND(INDEX('배치점수 계산기'!M$11:M$1000,MATCH($C115,'배치점수 계산기'!$U$11:$U$1000,0)),2),"")</f>
        <v>655.79</v>
      </c>
      <c r="Q115" s="41">
        <f>IFERROR(ROUND(INDEX('배치점수 계산기'!N$11:N$1000,MATCH($C115,'배치점수 계산기'!$U$11:$U$1000,0)),2),"")</f>
        <v>654.24</v>
      </c>
      <c r="R115" s="41">
        <f>IFERROR(ROUND(INDEX('배치점수 계산기'!O$11:O$1000,MATCH($C115,'배치점수 계산기'!$U$11:$U$1000,0)),2),"")</f>
        <v>652.88</v>
      </c>
      <c r="S115" s="41">
        <f>IFERROR(ROUND(INDEX('배치점수 계산기'!P$11:P$1000,MATCH($C115,'배치점수 계산기'!$U$11:$U$1000,0)),2),"")</f>
        <v>651.99</v>
      </c>
      <c r="T115" s="41">
        <f>IFERROR(ROUND(INDEX('배치점수 계산기'!Q$11:Q$1000,MATCH($C115,'배치점수 계산기'!$U$11:$U$1000,0)),2),"")</f>
        <v>650.98</v>
      </c>
      <c r="U115" s="41">
        <f>IFERROR(INDEX(환산공식!$DC$16:$DC$301,MATCH(E115,환산공식!$A$16:$A$301,0)),"")</f>
        <v>0</v>
      </c>
      <c r="V115" s="113">
        <f t="shared" si="5"/>
        <v>6</v>
      </c>
      <c r="W115" s="110" t="str">
        <f>INDEX('배치점수 계산기'!$AG$11:$AG$800,MATCH('       가 군       '!$C115,'배치점수 계산기'!$U$11:$U$800,0))</f>
        <v>표점</v>
      </c>
      <c r="X115" s="108" t="str">
        <f>INDEX('배치점수 계산기'!$AH$11:$AH$800,MATCH('       가 군       '!$C115,'배치점수 계산기'!$U$11:$U$800,0))</f>
        <v>변표</v>
      </c>
      <c r="Y115" s="113">
        <f>INDEX('배치점수 계산기'!$AB$11:$AB$800,MATCH('       가 군       '!$C115,'배치점수 계산기'!$U$11:$U$800,0))</f>
        <v>0.35714285714285715</v>
      </c>
      <c r="Z115" s="73">
        <f>INDEX('배치점수 계산기'!$AC$11:$AC$800,MATCH('       가 군       '!$C115,'배치점수 계산기'!$U$11:$U$800,0))</f>
        <v>0.35714285714285715</v>
      </c>
      <c r="AA115" s="63">
        <f>INDEX('배치점수 계산기'!$AD$11:$AD$800,MATCH('       가 군       '!$C115,'배치점수 계산기'!$U$11:$U$800,0))</f>
        <v>0.2857142857142857</v>
      </c>
      <c r="AE115" s="7">
        <v>108</v>
      </c>
    </row>
    <row r="116" spans="3:31" x14ac:dyDescent="0.3">
      <c r="C116" s="7" t="s">
        <v>1005</v>
      </c>
      <c r="D116" s="41" t="str">
        <f>IFERROR(INDEX('배치점수 계산기'!V$11:V$1000,MATCH($C116,'배치점수 계산기'!$U$11:$U$1000,0)),"")</f>
        <v>고려대 통합</v>
      </c>
      <c r="E116" s="41">
        <f>IFERROR(INDEX('배치점수 계산기'!W$11:W$1000,MATCH($C116,'배치점수 계산기'!$U$11:$U$1000,0)),"")</f>
        <v>24</v>
      </c>
      <c r="F116" s="113" t="s">
        <v>276</v>
      </c>
      <c r="G116" s="41" t="s">
        <v>317</v>
      </c>
      <c r="H116" s="41" t="s">
        <v>340</v>
      </c>
      <c r="I116" s="41" t="s">
        <v>275</v>
      </c>
      <c r="J116" s="41" t="str">
        <f t="shared" si="3"/>
        <v>X</v>
      </c>
      <c r="K116" s="113">
        <f>IFERROR(INDEX(환산공식!CI$16:CI$301,MATCH($E116,환산공식!$A$16:$A$301,0)),"")</f>
        <v>0</v>
      </c>
      <c r="L116" s="41" t="str">
        <f>IFERROR(CONCATENATE(ROUND(INDEX(환산공식!CJ$16:CJ$301,MATCH(E116,환산공식!$A$16:$A$301,0)),1),"%"),"")</f>
        <v/>
      </c>
      <c r="M116" s="41">
        <f>IFERROR(INDEX(환산공식!CK$16:CK$301,MATCH(E116,환산공식!$A$16:$A$301,0)),"")</f>
        <v>10</v>
      </c>
      <c r="N116" s="113" t="str">
        <f t="shared" si="4"/>
        <v>1% 이하</v>
      </c>
      <c r="O116" s="119">
        <f>IFERROR(ROUND(INDEX(환산공식!$EF$16:$EF$301,MATCH(E116,환산공식!$A$16:$A$301,0)),3),"")</f>
        <v>0</v>
      </c>
      <c r="P116" s="119">
        <f>IFERROR(ROUND(INDEX('배치점수 계산기'!M$11:M$1000,MATCH($C116,'배치점수 계산기'!$U$11:$U$1000,0)),2),"")</f>
        <v>655.79</v>
      </c>
      <c r="Q116" s="41">
        <f>IFERROR(ROUND(INDEX('배치점수 계산기'!N$11:N$1000,MATCH($C116,'배치점수 계산기'!$U$11:$U$1000,0)),2),"")</f>
        <v>653.53</v>
      </c>
      <c r="R116" s="41">
        <f>IFERROR(ROUND(INDEX('배치점수 계산기'!O$11:O$1000,MATCH($C116,'배치점수 계산기'!$U$11:$U$1000,0)),2),"")</f>
        <v>652.70000000000005</v>
      </c>
      <c r="S116" s="41">
        <f>IFERROR(ROUND(INDEX('배치점수 계산기'!P$11:P$1000,MATCH($C116,'배치점수 계산기'!$U$11:$U$1000,0)),2),"")</f>
        <v>651.51</v>
      </c>
      <c r="T116" s="41">
        <f>IFERROR(ROUND(INDEX('배치점수 계산기'!Q$11:Q$1000,MATCH($C116,'배치점수 계산기'!$U$11:$U$1000,0)),2),"")</f>
        <v>650.33000000000004</v>
      </c>
      <c r="U116" s="41">
        <f>IFERROR(INDEX(환산공식!$DC$16:$DC$301,MATCH(E116,환산공식!$A$16:$A$301,0)),"")</f>
        <v>0</v>
      </c>
      <c r="V116" s="113">
        <f t="shared" si="5"/>
        <v>6</v>
      </c>
      <c r="W116" s="110" t="str">
        <f>INDEX('배치점수 계산기'!$AG$11:$AG$800,MATCH('       가 군       '!$C116,'배치점수 계산기'!$U$11:$U$800,0))</f>
        <v>표점</v>
      </c>
      <c r="X116" s="108" t="str">
        <f>INDEX('배치점수 계산기'!$AH$11:$AH$800,MATCH('       가 군       '!$C116,'배치점수 계산기'!$U$11:$U$800,0))</f>
        <v>변표</v>
      </c>
      <c r="Y116" s="113">
        <f>INDEX('배치점수 계산기'!$AB$11:$AB$800,MATCH('       가 군       '!$C116,'배치점수 계산기'!$U$11:$U$800,0))</f>
        <v>0.35714285714285715</v>
      </c>
      <c r="Z116" s="73">
        <f>INDEX('배치점수 계산기'!$AC$11:$AC$800,MATCH('       가 군       '!$C116,'배치점수 계산기'!$U$11:$U$800,0))</f>
        <v>0.35714285714285715</v>
      </c>
      <c r="AA116" s="63">
        <f>INDEX('배치점수 계산기'!$AD$11:$AD$800,MATCH('       가 군       '!$C116,'배치점수 계산기'!$U$11:$U$800,0))</f>
        <v>0.2857142857142857</v>
      </c>
      <c r="AE116" s="7">
        <v>109</v>
      </c>
    </row>
    <row r="117" spans="3:31" x14ac:dyDescent="0.3">
      <c r="C117" s="7" t="s">
        <v>1006</v>
      </c>
      <c r="D117" s="41" t="str">
        <f>IFERROR(INDEX('배치점수 계산기'!V$11:V$1000,MATCH($C117,'배치점수 계산기'!$U$11:$U$1000,0)),"")</f>
        <v>고려대 통합</v>
      </c>
      <c r="E117" s="41">
        <f>IFERROR(INDEX('배치점수 계산기'!W$11:W$1000,MATCH($C117,'배치점수 계산기'!$U$11:$U$1000,0)),"")</f>
        <v>24</v>
      </c>
      <c r="F117" s="113" t="s">
        <v>276</v>
      </c>
      <c r="G117" s="41" t="s">
        <v>317</v>
      </c>
      <c r="H117" s="41" t="s">
        <v>341</v>
      </c>
      <c r="I117" s="41" t="s">
        <v>275</v>
      </c>
      <c r="J117" s="41" t="str">
        <f t="shared" si="3"/>
        <v>X</v>
      </c>
      <c r="K117" s="113">
        <f>IFERROR(INDEX(환산공식!CI$16:CI$301,MATCH($E117,환산공식!$A$16:$A$301,0)),"")</f>
        <v>0</v>
      </c>
      <c r="L117" s="41" t="str">
        <f>IFERROR(CONCATENATE(ROUND(INDEX(환산공식!CJ$16:CJ$301,MATCH(E117,환산공식!$A$16:$A$301,0)),1),"%"),"")</f>
        <v/>
      </c>
      <c r="M117" s="41">
        <f>IFERROR(INDEX(환산공식!CK$16:CK$301,MATCH(E117,환산공식!$A$16:$A$301,0)),"")</f>
        <v>10</v>
      </c>
      <c r="N117" s="113" t="str">
        <f t="shared" si="4"/>
        <v>1% 이하</v>
      </c>
      <c r="O117" s="119">
        <f>IFERROR(ROUND(INDEX(환산공식!$EF$16:$EF$301,MATCH(E117,환산공식!$A$16:$A$301,0)),3),"")</f>
        <v>0</v>
      </c>
      <c r="P117" s="119">
        <f>IFERROR(ROUND(INDEX('배치점수 계산기'!M$11:M$1000,MATCH($C117,'배치점수 계산기'!$U$11:$U$1000,0)),2),"")</f>
        <v>656.32</v>
      </c>
      <c r="Q117" s="41">
        <f>IFERROR(ROUND(INDEX('배치점수 계산기'!N$11:N$1000,MATCH($C117,'배치점수 계산기'!$U$11:$U$1000,0)),2),"")</f>
        <v>655.02</v>
      </c>
      <c r="R117" s="41">
        <f>IFERROR(ROUND(INDEX('배치점수 계산기'!O$11:O$1000,MATCH($C117,'배치점수 계산기'!$U$11:$U$1000,0)),2),"")</f>
        <v>652.88</v>
      </c>
      <c r="S117" s="41">
        <f>IFERROR(ROUND(INDEX('배치점수 계산기'!P$11:P$1000,MATCH($C117,'배치점수 계산기'!$U$11:$U$1000,0)),2),"")</f>
        <v>651.99</v>
      </c>
      <c r="T117" s="41">
        <f>IFERROR(ROUND(INDEX('배치점수 계산기'!Q$11:Q$1000,MATCH($C117,'배치점수 계산기'!$U$11:$U$1000,0)),2),"")</f>
        <v>650.98</v>
      </c>
      <c r="U117" s="41">
        <f>IFERROR(INDEX(환산공식!$DC$16:$DC$301,MATCH(E117,환산공식!$A$16:$A$301,0)),"")</f>
        <v>0</v>
      </c>
      <c r="V117" s="113">
        <f t="shared" si="5"/>
        <v>6</v>
      </c>
      <c r="W117" s="110" t="str">
        <f>INDEX('배치점수 계산기'!$AG$11:$AG$800,MATCH('       가 군       '!$C117,'배치점수 계산기'!$U$11:$U$800,0))</f>
        <v>표점</v>
      </c>
      <c r="X117" s="108" t="str">
        <f>INDEX('배치점수 계산기'!$AH$11:$AH$800,MATCH('       가 군       '!$C117,'배치점수 계산기'!$U$11:$U$800,0))</f>
        <v>변표</v>
      </c>
      <c r="Y117" s="113">
        <f>INDEX('배치점수 계산기'!$AB$11:$AB$800,MATCH('       가 군       '!$C117,'배치점수 계산기'!$U$11:$U$800,0))</f>
        <v>0.35714285714285715</v>
      </c>
      <c r="Z117" s="73">
        <f>INDEX('배치점수 계산기'!$AC$11:$AC$800,MATCH('       가 군       '!$C117,'배치점수 계산기'!$U$11:$U$800,0))</f>
        <v>0.35714285714285715</v>
      </c>
      <c r="AA117" s="63">
        <f>INDEX('배치점수 계산기'!$AD$11:$AD$800,MATCH('       가 군       '!$C117,'배치점수 계산기'!$U$11:$U$800,0))</f>
        <v>0.2857142857142857</v>
      </c>
      <c r="AE117" s="7">
        <v>110</v>
      </c>
    </row>
    <row r="118" spans="3:31" x14ac:dyDescent="0.3">
      <c r="C118" s="7" t="s">
        <v>1007</v>
      </c>
      <c r="D118" s="41" t="str">
        <f>IFERROR(INDEX('배치점수 계산기'!V$11:V$1000,MATCH($C118,'배치점수 계산기'!$U$11:$U$1000,0)),"")</f>
        <v>고려대 통합</v>
      </c>
      <c r="E118" s="41">
        <f>IFERROR(INDEX('배치점수 계산기'!W$11:W$1000,MATCH($C118,'배치점수 계산기'!$U$11:$U$1000,0)),"")</f>
        <v>24</v>
      </c>
      <c r="F118" s="113" t="s">
        <v>276</v>
      </c>
      <c r="G118" s="41" t="s">
        <v>317</v>
      </c>
      <c r="H118" s="41" t="s">
        <v>312</v>
      </c>
      <c r="I118" s="41" t="s">
        <v>275</v>
      </c>
      <c r="J118" s="41" t="str">
        <f t="shared" si="3"/>
        <v>X</v>
      </c>
      <c r="K118" s="113">
        <f>IFERROR(INDEX(환산공식!CI$16:CI$301,MATCH($E118,환산공식!$A$16:$A$301,0)),"")</f>
        <v>0</v>
      </c>
      <c r="L118" s="41" t="str">
        <f>IFERROR(CONCATENATE(ROUND(INDEX(환산공식!CJ$16:CJ$301,MATCH(E118,환산공식!$A$16:$A$301,0)),1),"%"),"")</f>
        <v/>
      </c>
      <c r="M118" s="41">
        <f>IFERROR(INDEX(환산공식!CK$16:CK$301,MATCH(E118,환산공식!$A$16:$A$301,0)),"")</f>
        <v>10</v>
      </c>
      <c r="N118" s="113" t="str">
        <f t="shared" si="4"/>
        <v>1% 이하</v>
      </c>
      <c r="O118" s="119">
        <f>IFERROR(ROUND(INDEX(환산공식!$EF$16:$EF$301,MATCH(E118,환산공식!$A$16:$A$301,0)),3),"")</f>
        <v>0</v>
      </c>
      <c r="P118" s="119">
        <f>IFERROR(ROUND(INDEX('배치점수 계산기'!M$11:M$1000,MATCH($C118,'배치점수 계산기'!$U$11:$U$1000,0)),2),"")</f>
        <v>655.79</v>
      </c>
      <c r="Q118" s="41">
        <f>IFERROR(ROUND(INDEX('배치점수 계산기'!N$11:N$1000,MATCH($C118,'배치점수 계산기'!$U$11:$U$1000,0)),2),"")</f>
        <v>653.53</v>
      </c>
      <c r="R118" s="41">
        <f>IFERROR(ROUND(INDEX('배치점수 계산기'!O$11:O$1000,MATCH($C118,'배치점수 계산기'!$U$11:$U$1000,0)),2),"")</f>
        <v>652.70000000000005</v>
      </c>
      <c r="S118" s="41">
        <f>IFERROR(ROUND(INDEX('배치점수 계산기'!P$11:P$1000,MATCH($C118,'배치점수 계산기'!$U$11:$U$1000,0)),2),"")</f>
        <v>651.51</v>
      </c>
      <c r="T118" s="41">
        <f>IFERROR(ROUND(INDEX('배치점수 계산기'!Q$11:Q$1000,MATCH($C118,'배치점수 계산기'!$U$11:$U$1000,0)),2),"")</f>
        <v>650.33000000000004</v>
      </c>
      <c r="U118" s="41">
        <f>IFERROR(INDEX(환산공식!$DC$16:$DC$301,MATCH(E118,환산공식!$A$16:$A$301,0)),"")</f>
        <v>0</v>
      </c>
      <c r="V118" s="113">
        <f t="shared" si="5"/>
        <v>6</v>
      </c>
      <c r="W118" s="110" t="str">
        <f>INDEX('배치점수 계산기'!$AG$11:$AG$800,MATCH('       가 군       '!$C118,'배치점수 계산기'!$U$11:$U$800,0))</f>
        <v>표점</v>
      </c>
      <c r="X118" s="108" t="str">
        <f>INDEX('배치점수 계산기'!$AH$11:$AH$800,MATCH('       가 군       '!$C118,'배치점수 계산기'!$U$11:$U$800,0))</f>
        <v>변표</v>
      </c>
      <c r="Y118" s="113">
        <f>INDEX('배치점수 계산기'!$AB$11:$AB$800,MATCH('       가 군       '!$C118,'배치점수 계산기'!$U$11:$U$800,0))</f>
        <v>0.35714285714285715</v>
      </c>
      <c r="Z118" s="73">
        <f>INDEX('배치점수 계산기'!$AC$11:$AC$800,MATCH('       가 군       '!$C118,'배치점수 계산기'!$U$11:$U$800,0))</f>
        <v>0.35714285714285715</v>
      </c>
      <c r="AA118" s="63">
        <f>INDEX('배치점수 계산기'!$AD$11:$AD$800,MATCH('       가 군       '!$C118,'배치점수 계산기'!$U$11:$U$800,0))</f>
        <v>0.2857142857142857</v>
      </c>
      <c r="AE118" s="7">
        <v>111</v>
      </c>
    </row>
    <row r="119" spans="3:31" x14ac:dyDescent="0.3">
      <c r="C119" s="7" t="s">
        <v>1008</v>
      </c>
      <c r="D119" s="41" t="str">
        <f>IFERROR(INDEX('배치점수 계산기'!V$11:V$1000,MATCH($C119,'배치점수 계산기'!$U$11:$U$1000,0)),"")</f>
        <v>성균 통합</v>
      </c>
      <c r="E119" s="41">
        <f>IFERROR(INDEX('배치점수 계산기'!W$11:W$1000,MATCH($C119,'배치점수 계산기'!$U$11:$U$1000,0)),"")</f>
        <v>26</v>
      </c>
      <c r="F119" s="113" t="s">
        <v>276</v>
      </c>
      <c r="G119" s="41" t="s">
        <v>342</v>
      </c>
      <c r="H119" s="41" t="s">
        <v>343</v>
      </c>
      <c r="I119" s="41" t="s">
        <v>275</v>
      </c>
      <c r="J119" s="41" t="str">
        <f t="shared" si="3"/>
        <v>X</v>
      </c>
      <c r="K119" s="113">
        <f>IFERROR(INDEX(환산공식!CI$16:CI$301,MATCH($E119,환산공식!$A$16:$A$301,0)),"")</f>
        <v>100</v>
      </c>
      <c r="L119" s="41" t="str">
        <f>IFERROR(CONCATENATE(ROUND(INDEX(환산공식!CJ$16:CJ$301,MATCH(E119,환산공식!$A$16:$A$301,0)),1),"%"),"")</f>
        <v>100%</v>
      </c>
      <c r="M119" s="41">
        <f>IFERROR(INDEX(환산공식!CK$16:CK$301,MATCH(E119,환산공식!$A$16:$A$301,0)),"")</f>
        <v>10</v>
      </c>
      <c r="N119" s="113" t="str">
        <f t="shared" si="4"/>
        <v>1% 이하</v>
      </c>
      <c r="O119" s="119">
        <f>IFERROR(ROUND(INDEX(환산공식!$EF$16:$EF$301,MATCH(E119,환산공식!$A$16:$A$301,0)),3),"")</f>
        <v>0</v>
      </c>
      <c r="P119" s="119">
        <f>IFERROR(ROUND(INDEX('배치점수 계산기'!M$11:M$1000,MATCH($C119,'배치점수 계산기'!$U$11:$U$1000,0)),2),"")</f>
        <v>743.39</v>
      </c>
      <c r="Q119" s="41">
        <f>IFERROR(ROUND(INDEX('배치점수 계산기'!N$11:N$1000,MATCH($C119,'배치점수 계산기'!$U$11:$U$1000,0)),2),"")</f>
        <v>741.29</v>
      </c>
      <c r="R119" s="41">
        <f>IFERROR(ROUND(INDEX('배치점수 계산기'!O$11:O$1000,MATCH($C119,'배치점수 계산기'!$U$11:$U$1000,0)),2),"")</f>
        <v>739.06</v>
      </c>
      <c r="S119" s="41">
        <f>IFERROR(ROUND(INDEX('배치점수 계산기'!P$11:P$1000,MATCH($C119,'배치점수 계산기'!$U$11:$U$1000,0)),2),"")</f>
        <v>736.5</v>
      </c>
      <c r="T119" s="41">
        <f>IFERROR(ROUND(INDEX('배치점수 계산기'!Q$11:Q$1000,MATCH($C119,'배치점수 계산기'!$U$11:$U$1000,0)),2),"")</f>
        <v>733.94</v>
      </c>
      <c r="U119" s="41">
        <f>IFERROR(INDEX(환산공식!$DC$16:$DC$301,MATCH(E119,환산공식!$A$16:$A$301,0)),"")</f>
        <v>0</v>
      </c>
      <c r="V119" s="113">
        <f t="shared" si="5"/>
        <v>6</v>
      </c>
      <c r="W119" s="110" t="str">
        <f>INDEX('배치점수 계산기'!$AG$11:$AG$800,MATCH('       가 군       '!$C119,'배치점수 계산기'!$U$11:$U$800,0))</f>
        <v>표점</v>
      </c>
      <c r="X119" s="108" t="str">
        <f>INDEX('배치점수 계산기'!$AH$11:$AH$800,MATCH('       가 군       '!$C119,'배치점수 계산기'!$U$11:$U$800,0))</f>
        <v>변표</v>
      </c>
      <c r="Y119" s="113">
        <f>INDEX('배치점수 계산기'!$AB$11:$AB$800,MATCH('       가 군       '!$C119,'배치점수 계산기'!$U$11:$U$800,0))</f>
        <v>0.4</v>
      </c>
      <c r="Z119" s="73">
        <f>INDEX('배치점수 계산기'!$AC$11:$AC$800,MATCH('       가 군       '!$C119,'배치점수 계산기'!$U$11:$U$800,0))</f>
        <v>0.4</v>
      </c>
      <c r="AA119" s="63">
        <f>INDEX('배치점수 계산기'!$AD$11:$AD$800,MATCH('       가 군       '!$C119,'배치점수 계산기'!$U$11:$U$800,0))</f>
        <v>0.2</v>
      </c>
      <c r="AE119" s="7">
        <v>112</v>
      </c>
    </row>
    <row r="120" spans="3:31" x14ac:dyDescent="0.3">
      <c r="C120" s="7" t="s">
        <v>1010</v>
      </c>
      <c r="D120" s="41" t="str">
        <f>IFERROR(INDEX('배치점수 계산기'!V$11:V$1000,MATCH($C120,'배치점수 계산기'!$U$11:$U$1000,0)),"")</f>
        <v>성균 통합</v>
      </c>
      <c r="E120" s="41">
        <f>IFERROR(INDEX('배치점수 계산기'!W$11:W$1000,MATCH($C120,'배치점수 계산기'!$U$11:$U$1000,0)),"")</f>
        <v>26</v>
      </c>
      <c r="F120" s="113" t="s">
        <v>276</v>
      </c>
      <c r="G120" s="41" t="s">
        <v>342</v>
      </c>
      <c r="H120" s="41" t="s">
        <v>262</v>
      </c>
      <c r="I120" s="41" t="s">
        <v>275</v>
      </c>
      <c r="J120" s="41" t="str">
        <f t="shared" si="3"/>
        <v>X</v>
      </c>
      <c r="K120" s="113">
        <f>IFERROR(INDEX(환산공식!CI$16:CI$301,MATCH($E120,환산공식!$A$16:$A$301,0)),"")</f>
        <v>100</v>
      </c>
      <c r="L120" s="41" t="str">
        <f>IFERROR(CONCATENATE(ROUND(INDEX(환산공식!CJ$16:CJ$301,MATCH(E120,환산공식!$A$16:$A$301,0)),1),"%"),"")</f>
        <v>100%</v>
      </c>
      <c r="M120" s="41">
        <f>IFERROR(INDEX(환산공식!CK$16:CK$301,MATCH(E120,환산공식!$A$16:$A$301,0)),"")</f>
        <v>10</v>
      </c>
      <c r="N120" s="113" t="str">
        <f t="shared" si="4"/>
        <v>1% 이하</v>
      </c>
      <c r="O120" s="119">
        <f>IFERROR(ROUND(INDEX(환산공식!$EF$16:$EF$301,MATCH(E120,환산공식!$A$16:$A$301,0)),3),"")</f>
        <v>0</v>
      </c>
      <c r="P120" s="119">
        <f>IFERROR(ROUND(INDEX('배치점수 계산기'!M$11:M$1000,MATCH($C120,'배치점수 계산기'!$U$11:$U$1000,0)),2),"")</f>
        <v>745.22</v>
      </c>
      <c r="Q120" s="41">
        <f>IFERROR(ROUND(INDEX('배치점수 계산기'!N$11:N$1000,MATCH($C120,'배치점수 계산기'!$U$11:$U$1000,0)),2),"")</f>
        <v>743.39</v>
      </c>
      <c r="R120" s="41">
        <f>IFERROR(ROUND(INDEX('배치점수 계산기'!O$11:O$1000,MATCH($C120,'배치점수 계산기'!$U$11:$U$1000,0)),2),"")</f>
        <v>740.49</v>
      </c>
      <c r="S120" s="41">
        <f>IFERROR(ROUND(INDEX('배치점수 계산기'!P$11:P$1000,MATCH($C120,'배치점수 계산기'!$U$11:$U$1000,0)),2),"")</f>
        <v>738.13</v>
      </c>
      <c r="T120" s="41">
        <f>IFERROR(ROUND(INDEX('배치점수 계산기'!Q$11:Q$1000,MATCH($C120,'배치점수 계산기'!$U$11:$U$1000,0)),2),"")</f>
        <v>735.37</v>
      </c>
      <c r="U120" s="41">
        <f>IFERROR(INDEX(환산공식!$DC$16:$DC$301,MATCH(E120,환산공식!$A$16:$A$301,0)),"")</f>
        <v>0</v>
      </c>
      <c r="V120" s="113">
        <f t="shared" si="5"/>
        <v>6</v>
      </c>
      <c r="W120" s="110" t="str">
        <f>INDEX('배치점수 계산기'!$AG$11:$AG$800,MATCH('       가 군       '!$C120,'배치점수 계산기'!$U$11:$U$800,0))</f>
        <v>표점</v>
      </c>
      <c r="X120" s="108" t="str">
        <f>INDEX('배치점수 계산기'!$AH$11:$AH$800,MATCH('       가 군       '!$C120,'배치점수 계산기'!$U$11:$U$800,0))</f>
        <v>변표</v>
      </c>
      <c r="Y120" s="113">
        <f>INDEX('배치점수 계산기'!$AB$11:$AB$800,MATCH('       가 군       '!$C120,'배치점수 계산기'!$U$11:$U$800,0))</f>
        <v>0.4</v>
      </c>
      <c r="Z120" s="73">
        <f>INDEX('배치점수 계산기'!$AC$11:$AC$800,MATCH('       가 군       '!$C120,'배치점수 계산기'!$U$11:$U$800,0))</f>
        <v>0.4</v>
      </c>
      <c r="AA120" s="63">
        <f>INDEX('배치점수 계산기'!$AD$11:$AD$800,MATCH('       가 군       '!$C120,'배치점수 계산기'!$U$11:$U$800,0))</f>
        <v>0.2</v>
      </c>
      <c r="AE120" s="7">
        <v>113</v>
      </c>
    </row>
    <row r="121" spans="3:31" x14ac:dyDescent="0.3">
      <c r="C121" s="7" t="s">
        <v>1011</v>
      </c>
      <c r="D121" s="41" t="str">
        <f>IFERROR(INDEX('배치점수 계산기'!V$11:V$1000,MATCH($C121,'배치점수 계산기'!$U$11:$U$1000,0)),"")</f>
        <v>성균 통합</v>
      </c>
      <c r="E121" s="41">
        <f>IFERROR(INDEX('배치점수 계산기'!W$11:W$1000,MATCH($C121,'배치점수 계산기'!$U$11:$U$1000,0)),"")</f>
        <v>26</v>
      </c>
      <c r="F121" s="113" t="s">
        <v>276</v>
      </c>
      <c r="G121" s="41" t="s">
        <v>342</v>
      </c>
      <c r="H121" s="41" t="s">
        <v>344</v>
      </c>
      <c r="I121" s="41" t="s">
        <v>275</v>
      </c>
      <c r="J121" s="41" t="str">
        <f t="shared" si="3"/>
        <v>X</v>
      </c>
      <c r="K121" s="113">
        <f>IFERROR(INDEX(환산공식!CI$16:CI$301,MATCH($E121,환산공식!$A$16:$A$301,0)),"")</f>
        <v>100</v>
      </c>
      <c r="L121" s="41" t="str">
        <f>IFERROR(CONCATENATE(ROUND(INDEX(환산공식!CJ$16:CJ$301,MATCH(E121,환산공식!$A$16:$A$301,0)),1),"%"),"")</f>
        <v>100%</v>
      </c>
      <c r="M121" s="41">
        <f>IFERROR(INDEX(환산공식!CK$16:CK$301,MATCH(E121,환산공식!$A$16:$A$301,0)),"")</f>
        <v>10</v>
      </c>
      <c r="N121" s="113" t="str">
        <f t="shared" si="4"/>
        <v>1% 이하</v>
      </c>
      <c r="O121" s="119">
        <f>IFERROR(ROUND(INDEX(환산공식!$EF$16:$EF$301,MATCH(E121,환산공식!$A$16:$A$301,0)),3),"")</f>
        <v>0</v>
      </c>
      <c r="P121" s="119">
        <f>IFERROR(ROUND(INDEX('배치점수 계산기'!M$11:M$1000,MATCH($C121,'배치점수 계산기'!$U$11:$U$1000,0)),2),"")</f>
        <v>750.84</v>
      </c>
      <c r="Q121" s="41">
        <f>IFERROR(ROUND(INDEX('배치점수 계산기'!N$11:N$1000,MATCH($C121,'배치점수 계산기'!$U$11:$U$1000,0)),2),"")</f>
        <v>748.08</v>
      </c>
      <c r="R121" s="41">
        <f>IFERROR(ROUND(INDEX('배치점수 계산기'!O$11:O$1000,MATCH($C121,'배치점수 계산기'!$U$11:$U$1000,0)),2),"")</f>
        <v>743.69</v>
      </c>
      <c r="S121" s="41">
        <f>IFERROR(ROUND(INDEX('배치점수 계산기'!P$11:P$1000,MATCH($C121,'배치점수 계산기'!$U$11:$U$1000,0)),2),"")</f>
        <v>739.36</v>
      </c>
      <c r="T121" s="41">
        <f>IFERROR(ROUND(INDEX('배치점수 계산기'!Q$11:Q$1000,MATCH($C121,'배치점수 계산기'!$U$11:$U$1000,0)),2),"")</f>
        <v>735.67</v>
      </c>
      <c r="U121" s="41">
        <f>IFERROR(INDEX(환산공식!$DC$16:$DC$301,MATCH(E121,환산공식!$A$16:$A$301,0)),"")</f>
        <v>0</v>
      </c>
      <c r="V121" s="113">
        <f t="shared" si="5"/>
        <v>6</v>
      </c>
      <c r="W121" s="110" t="str">
        <f>INDEX('배치점수 계산기'!$AG$11:$AG$800,MATCH('       가 군       '!$C121,'배치점수 계산기'!$U$11:$U$800,0))</f>
        <v>표점</v>
      </c>
      <c r="X121" s="108" t="str">
        <f>INDEX('배치점수 계산기'!$AH$11:$AH$800,MATCH('       가 군       '!$C121,'배치점수 계산기'!$U$11:$U$800,0))</f>
        <v>변표</v>
      </c>
      <c r="Y121" s="113">
        <f>INDEX('배치점수 계산기'!$AB$11:$AB$800,MATCH('       가 군       '!$C121,'배치점수 계산기'!$U$11:$U$800,0))</f>
        <v>0.4</v>
      </c>
      <c r="Z121" s="73">
        <f>INDEX('배치점수 계산기'!$AC$11:$AC$800,MATCH('       가 군       '!$C121,'배치점수 계산기'!$U$11:$U$800,0))</f>
        <v>0.4</v>
      </c>
      <c r="AA121" s="63">
        <f>INDEX('배치점수 계산기'!$AD$11:$AD$800,MATCH('       가 군       '!$C121,'배치점수 계산기'!$U$11:$U$800,0))</f>
        <v>0.2</v>
      </c>
      <c r="AE121" s="7">
        <v>114</v>
      </c>
    </row>
    <row r="122" spans="3:31" x14ac:dyDescent="0.3">
      <c r="C122" s="7" t="s">
        <v>1012</v>
      </c>
      <c r="D122" s="41" t="str">
        <f>IFERROR(INDEX('배치점수 계산기'!V$11:V$1000,MATCH($C122,'배치점수 계산기'!$U$11:$U$1000,0)),"")</f>
        <v>성균 통합</v>
      </c>
      <c r="E122" s="41">
        <f>IFERROR(INDEX('배치점수 계산기'!W$11:W$1000,MATCH($C122,'배치점수 계산기'!$U$11:$U$1000,0)),"")</f>
        <v>26</v>
      </c>
      <c r="F122" s="113" t="s">
        <v>276</v>
      </c>
      <c r="G122" s="41" t="s">
        <v>342</v>
      </c>
      <c r="H122" s="41" t="s">
        <v>302</v>
      </c>
      <c r="I122" s="41" t="s">
        <v>275</v>
      </c>
      <c r="J122" s="41" t="str">
        <f t="shared" si="3"/>
        <v>X</v>
      </c>
      <c r="K122" s="113">
        <f>IFERROR(INDEX(환산공식!CI$16:CI$301,MATCH($E122,환산공식!$A$16:$A$301,0)),"")</f>
        <v>100</v>
      </c>
      <c r="L122" s="41" t="str">
        <f>IFERROR(CONCATENATE(ROUND(INDEX(환산공식!CJ$16:CJ$301,MATCH(E122,환산공식!$A$16:$A$301,0)),1),"%"),"")</f>
        <v>100%</v>
      </c>
      <c r="M122" s="41">
        <f>IFERROR(INDEX(환산공식!CK$16:CK$301,MATCH(E122,환산공식!$A$16:$A$301,0)),"")</f>
        <v>10</v>
      </c>
      <c r="N122" s="113" t="str">
        <f t="shared" si="4"/>
        <v>1% 이하</v>
      </c>
      <c r="O122" s="119">
        <f>IFERROR(ROUND(INDEX(환산공식!$EF$16:$EF$301,MATCH(E122,환산공식!$A$16:$A$301,0)),3),"")</f>
        <v>0</v>
      </c>
      <c r="P122" s="119">
        <f>IFERROR(ROUND(INDEX('배치점수 계산기'!M$11:M$1000,MATCH($C122,'배치점수 계산기'!$U$11:$U$1000,0)),2),"")</f>
        <v>739.96</v>
      </c>
      <c r="Q122" s="41">
        <f>IFERROR(ROUND(INDEX('배치점수 계산기'!N$11:N$1000,MATCH($C122,'배치점수 계산기'!$U$11:$U$1000,0)),2),"")</f>
        <v>737.06</v>
      </c>
      <c r="R122" s="41">
        <f>IFERROR(ROUND(INDEX('배치점수 계산기'!O$11:O$1000,MATCH($C122,'배치점수 계산기'!$U$11:$U$1000,0)),2),"")</f>
        <v>735.37</v>
      </c>
      <c r="S122" s="41">
        <f>IFERROR(ROUND(INDEX('배치점수 계산기'!P$11:P$1000,MATCH($C122,'배치점수 계산기'!$U$11:$U$1000,0)),2),"")</f>
        <v>733.81</v>
      </c>
      <c r="T122" s="41">
        <f>IFERROR(ROUND(INDEX('배치점수 계산기'!Q$11:Q$1000,MATCH($C122,'배치점수 계산기'!$U$11:$U$1000,0)),2),"")</f>
        <v>732.18</v>
      </c>
      <c r="U122" s="41">
        <f>IFERROR(INDEX(환산공식!$DC$16:$DC$301,MATCH(E122,환산공식!$A$16:$A$301,0)),"")</f>
        <v>0</v>
      </c>
      <c r="V122" s="113">
        <f t="shared" si="5"/>
        <v>6</v>
      </c>
      <c r="W122" s="110" t="str">
        <f>INDEX('배치점수 계산기'!$AG$11:$AG$800,MATCH('       가 군       '!$C122,'배치점수 계산기'!$U$11:$U$800,0))</f>
        <v>표점</v>
      </c>
      <c r="X122" s="108" t="str">
        <f>INDEX('배치점수 계산기'!$AH$11:$AH$800,MATCH('       가 군       '!$C122,'배치점수 계산기'!$U$11:$U$800,0))</f>
        <v>변표</v>
      </c>
      <c r="Y122" s="113">
        <f>INDEX('배치점수 계산기'!$AB$11:$AB$800,MATCH('       가 군       '!$C122,'배치점수 계산기'!$U$11:$U$800,0))</f>
        <v>0.4</v>
      </c>
      <c r="Z122" s="73">
        <f>INDEX('배치점수 계산기'!$AC$11:$AC$800,MATCH('       가 군       '!$C122,'배치점수 계산기'!$U$11:$U$800,0))</f>
        <v>0.4</v>
      </c>
      <c r="AA122" s="63">
        <f>INDEX('배치점수 계산기'!$AD$11:$AD$800,MATCH('       가 군       '!$C122,'배치점수 계산기'!$U$11:$U$800,0))</f>
        <v>0.2</v>
      </c>
      <c r="AE122" s="7">
        <v>115</v>
      </c>
    </row>
    <row r="123" spans="3:31" x14ac:dyDescent="0.3">
      <c r="C123" s="7" t="s">
        <v>1013</v>
      </c>
      <c r="D123" s="41" t="str">
        <f>IFERROR(INDEX('배치점수 계산기'!V$11:V$1000,MATCH($C123,'배치점수 계산기'!$U$11:$U$1000,0)),"")</f>
        <v>성균 통합</v>
      </c>
      <c r="E123" s="41">
        <f>IFERROR(INDEX('배치점수 계산기'!W$11:W$1000,MATCH($C123,'배치점수 계산기'!$U$11:$U$1000,0)),"")</f>
        <v>26</v>
      </c>
      <c r="F123" s="113" t="s">
        <v>276</v>
      </c>
      <c r="G123" s="41" t="s">
        <v>342</v>
      </c>
      <c r="H123" s="41" t="s">
        <v>349</v>
      </c>
      <c r="I123" s="41" t="s">
        <v>275</v>
      </c>
      <c r="J123" s="41" t="str">
        <f t="shared" si="3"/>
        <v>X</v>
      </c>
      <c r="K123" s="113">
        <f>IFERROR(INDEX(환산공식!CI$16:CI$301,MATCH($E123,환산공식!$A$16:$A$301,0)),"")</f>
        <v>100</v>
      </c>
      <c r="L123" s="41" t="str">
        <f>IFERROR(CONCATENATE(ROUND(INDEX(환산공식!CJ$16:CJ$301,MATCH(E123,환산공식!$A$16:$A$301,0)),1),"%"),"")</f>
        <v>100%</v>
      </c>
      <c r="M123" s="41">
        <f>IFERROR(INDEX(환산공식!CK$16:CK$301,MATCH(E123,환산공식!$A$16:$A$301,0)),"")</f>
        <v>10</v>
      </c>
      <c r="N123" s="113" t="str">
        <f t="shared" si="4"/>
        <v>1% 이하</v>
      </c>
      <c r="O123" s="119">
        <f>IFERROR(ROUND(INDEX(환산공식!$EF$16:$EF$301,MATCH(E123,환산공식!$A$16:$A$301,0)),3),"")</f>
        <v>0</v>
      </c>
      <c r="P123" s="119">
        <f>IFERROR(ROUND(INDEX('배치점수 계산기'!M$11:M$1000,MATCH($C123,'배치점수 계산기'!$U$11:$U$1000,0)),2),"")</f>
        <v>739.96</v>
      </c>
      <c r="Q123" s="41">
        <f>IFERROR(ROUND(INDEX('배치점수 계산기'!N$11:N$1000,MATCH($C123,'배치점수 계산기'!$U$11:$U$1000,0)),2),"")</f>
        <v>737.06</v>
      </c>
      <c r="R123" s="41">
        <f>IFERROR(ROUND(INDEX('배치점수 계산기'!O$11:O$1000,MATCH($C123,'배치점수 계산기'!$U$11:$U$1000,0)),2),"")</f>
        <v>735.37</v>
      </c>
      <c r="S123" s="41">
        <f>IFERROR(ROUND(INDEX('배치점수 계산기'!P$11:P$1000,MATCH($C123,'배치점수 계산기'!$U$11:$U$1000,0)),2),"")</f>
        <v>733.81</v>
      </c>
      <c r="T123" s="41">
        <f>IFERROR(ROUND(INDEX('배치점수 계산기'!Q$11:Q$1000,MATCH($C123,'배치점수 계산기'!$U$11:$U$1000,0)),2),"")</f>
        <v>732.18</v>
      </c>
      <c r="U123" s="41">
        <f>IFERROR(INDEX(환산공식!$DC$16:$DC$301,MATCH(E123,환산공식!$A$16:$A$301,0)),"")</f>
        <v>0</v>
      </c>
      <c r="V123" s="113">
        <f t="shared" si="5"/>
        <v>6</v>
      </c>
      <c r="W123" s="110" t="str">
        <f>INDEX('배치점수 계산기'!$AG$11:$AG$800,MATCH('       가 군       '!$C123,'배치점수 계산기'!$U$11:$U$800,0))</f>
        <v>표점</v>
      </c>
      <c r="X123" s="108" t="str">
        <f>INDEX('배치점수 계산기'!$AH$11:$AH$800,MATCH('       가 군       '!$C123,'배치점수 계산기'!$U$11:$U$800,0))</f>
        <v>변표</v>
      </c>
      <c r="Y123" s="113">
        <f>INDEX('배치점수 계산기'!$AB$11:$AB$800,MATCH('       가 군       '!$C123,'배치점수 계산기'!$U$11:$U$800,0))</f>
        <v>0.4</v>
      </c>
      <c r="Z123" s="73">
        <f>INDEX('배치점수 계산기'!$AC$11:$AC$800,MATCH('       가 군       '!$C123,'배치점수 계산기'!$U$11:$U$800,0))</f>
        <v>0.4</v>
      </c>
      <c r="AA123" s="63">
        <f>INDEX('배치점수 계산기'!$AD$11:$AD$800,MATCH('       가 군       '!$C123,'배치점수 계산기'!$U$11:$U$800,0))</f>
        <v>0.2</v>
      </c>
      <c r="AE123" s="7">
        <v>116</v>
      </c>
    </row>
    <row r="124" spans="3:31" x14ac:dyDescent="0.3">
      <c r="C124" s="7" t="s">
        <v>1014</v>
      </c>
      <c r="D124" s="41" t="str">
        <f>IFERROR(INDEX('배치점수 계산기'!V$11:V$1000,MATCH($C124,'배치점수 계산기'!$U$11:$U$1000,0)),"")</f>
        <v>성균 통합</v>
      </c>
      <c r="E124" s="41">
        <f>IFERROR(INDEX('배치점수 계산기'!W$11:W$1000,MATCH($C124,'배치점수 계산기'!$U$11:$U$1000,0)),"")</f>
        <v>26</v>
      </c>
      <c r="F124" s="113" t="s">
        <v>276</v>
      </c>
      <c r="G124" s="41" t="s">
        <v>342</v>
      </c>
      <c r="H124" s="41" t="s">
        <v>350</v>
      </c>
      <c r="I124" s="41" t="s">
        <v>275</v>
      </c>
      <c r="J124" s="41" t="str">
        <f t="shared" si="3"/>
        <v>X</v>
      </c>
      <c r="K124" s="113">
        <f>IFERROR(INDEX(환산공식!CI$16:CI$301,MATCH($E124,환산공식!$A$16:$A$301,0)),"")</f>
        <v>100</v>
      </c>
      <c r="L124" s="41" t="str">
        <f>IFERROR(CONCATENATE(ROUND(INDEX(환산공식!CJ$16:CJ$301,MATCH(E124,환산공식!$A$16:$A$301,0)),1),"%"),"")</f>
        <v>100%</v>
      </c>
      <c r="M124" s="41">
        <f>IFERROR(INDEX(환산공식!CK$16:CK$301,MATCH(E124,환산공식!$A$16:$A$301,0)),"")</f>
        <v>10</v>
      </c>
      <c r="N124" s="113" t="str">
        <f t="shared" si="4"/>
        <v>1% 이하</v>
      </c>
      <c r="O124" s="119">
        <f>IFERROR(ROUND(INDEX(환산공식!$EF$16:$EF$301,MATCH(E124,환산공식!$A$16:$A$301,0)),3),"")</f>
        <v>0</v>
      </c>
      <c r="P124" s="119">
        <f>IFERROR(ROUND(INDEX('배치점수 계산기'!M$11:M$1000,MATCH($C124,'배치점수 계산기'!$U$11:$U$1000,0)),2),"")</f>
        <v>739.96</v>
      </c>
      <c r="Q124" s="41">
        <f>IFERROR(ROUND(INDEX('배치점수 계산기'!N$11:N$1000,MATCH($C124,'배치점수 계산기'!$U$11:$U$1000,0)),2),"")</f>
        <v>737.06</v>
      </c>
      <c r="R124" s="41">
        <f>IFERROR(ROUND(INDEX('배치점수 계산기'!O$11:O$1000,MATCH($C124,'배치점수 계산기'!$U$11:$U$1000,0)),2),"")</f>
        <v>735.37</v>
      </c>
      <c r="S124" s="41">
        <f>IFERROR(ROUND(INDEX('배치점수 계산기'!P$11:P$1000,MATCH($C124,'배치점수 계산기'!$U$11:$U$1000,0)),2),"")</f>
        <v>733.81</v>
      </c>
      <c r="T124" s="41">
        <f>IFERROR(ROUND(INDEX('배치점수 계산기'!Q$11:Q$1000,MATCH($C124,'배치점수 계산기'!$U$11:$U$1000,0)),2),"")</f>
        <v>732.18</v>
      </c>
      <c r="U124" s="41">
        <f>IFERROR(INDEX(환산공식!$DC$16:$DC$301,MATCH(E124,환산공식!$A$16:$A$301,0)),"")</f>
        <v>0</v>
      </c>
      <c r="V124" s="113">
        <f t="shared" si="5"/>
        <v>6</v>
      </c>
      <c r="W124" s="110" t="str">
        <f>INDEX('배치점수 계산기'!$AG$11:$AG$800,MATCH('       가 군       '!$C124,'배치점수 계산기'!$U$11:$U$800,0))</f>
        <v>표점</v>
      </c>
      <c r="X124" s="108" t="str">
        <f>INDEX('배치점수 계산기'!$AH$11:$AH$800,MATCH('       가 군       '!$C124,'배치점수 계산기'!$U$11:$U$800,0))</f>
        <v>변표</v>
      </c>
      <c r="Y124" s="113">
        <f>INDEX('배치점수 계산기'!$AB$11:$AB$800,MATCH('       가 군       '!$C124,'배치점수 계산기'!$U$11:$U$800,0))</f>
        <v>0.4</v>
      </c>
      <c r="Z124" s="73">
        <f>INDEX('배치점수 계산기'!$AC$11:$AC$800,MATCH('       가 군       '!$C124,'배치점수 계산기'!$U$11:$U$800,0))</f>
        <v>0.4</v>
      </c>
      <c r="AA124" s="63">
        <f>INDEX('배치점수 계산기'!$AD$11:$AD$800,MATCH('       가 군       '!$C124,'배치점수 계산기'!$U$11:$U$800,0))</f>
        <v>0.2</v>
      </c>
      <c r="AE124" s="7">
        <v>117</v>
      </c>
    </row>
    <row r="125" spans="3:31" x14ac:dyDescent="0.3">
      <c r="C125" s="7" t="s">
        <v>1015</v>
      </c>
      <c r="D125" s="41" t="str">
        <f>IFERROR(INDEX('배치점수 계산기'!V$11:V$1000,MATCH($C125,'배치점수 계산기'!$U$11:$U$1000,0)),"")</f>
        <v>성균 통합</v>
      </c>
      <c r="E125" s="41">
        <f>IFERROR(INDEX('배치점수 계산기'!W$11:W$1000,MATCH($C125,'배치점수 계산기'!$U$11:$U$1000,0)),"")</f>
        <v>26</v>
      </c>
      <c r="F125" s="113" t="s">
        <v>276</v>
      </c>
      <c r="G125" s="41" t="s">
        <v>342</v>
      </c>
      <c r="H125" s="41" t="s">
        <v>351</v>
      </c>
      <c r="I125" s="41" t="s">
        <v>275</v>
      </c>
      <c r="J125" s="41" t="str">
        <f t="shared" si="3"/>
        <v>X</v>
      </c>
      <c r="K125" s="113">
        <f>IFERROR(INDEX(환산공식!CI$16:CI$301,MATCH($E125,환산공식!$A$16:$A$301,0)),"")</f>
        <v>100</v>
      </c>
      <c r="L125" s="41" t="str">
        <f>IFERROR(CONCATENATE(ROUND(INDEX(환산공식!CJ$16:CJ$301,MATCH(E125,환산공식!$A$16:$A$301,0)),1),"%"),"")</f>
        <v>100%</v>
      </c>
      <c r="M125" s="41">
        <f>IFERROR(INDEX(환산공식!CK$16:CK$301,MATCH(E125,환산공식!$A$16:$A$301,0)),"")</f>
        <v>10</v>
      </c>
      <c r="N125" s="113" t="str">
        <f t="shared" si="4"/>
        <v>1% 이하</v>
      </c>
      <c r="O125" s="119">
        <f>IFERROR(ROUND(INDEX(환산공식!$EF$16:$EF$301,MATCH(E125,환산공식!$A$16:$A$301,0)),3),"")</f>
        <v>0</v>
      </c>
      <c r="P125" s="119">
        <f>IFERROR(ROUND(INDEX('배치점수 계산기'!M$11:M$1000,MATCH($C125,'배치점수 계산기'!$U$11:$U$1000,0)),2),"")</f>
        <v>739.96</v>
      </c>
      <c r="Q125" s="41">
        <f>IFERROR(ROUND(INDEX('배치점수 계산기'!N$11:N$1000,MATCH($C125,'배치점수 계산기'!$U$11:$U$1000,0)),2),"")</f>
        <v>737.06</v>
      </c>
      <c r="R125" s="41">
        <f>IFERROR(ROUND(INDEX('배치점수 계산기'!O$11:O$1000,MATCH($C125,'배치점수 계산기'!$U$11:$U$1000,0)),2),"")</f>
        <v>735.37</v>
      </c>
      <c r="S125" s="41">
        <f>IFERROR(ROUND(INDEX('배치점수 계산기'!P$11:P$1000,MATCH($C125,'배치점수 계산기'!$U$11:$U$1000,0)),2),"")</f>
        <v>733.81</v>
      </c>
      <c r="T125" s="41">
        <f>IFERROR(ROUND(INDEX('배치점수 계산기'!Q$11:Q$1000,MATCH($C125,'배치점수 계산기'!$U$11:$U$1000,0)),2),"")</f>
        <v>732.18</v>
      </c>
      <c r="U125" s="41">
        <f>IFERROR(INDEX(환산공식!$DC$16:$DC$301,MATCH(E125,환산공식!$A$16:$A$301,0)),"")</f>
        <v>0</v>
      </c>
      <c r="V125" s="113">
        <f t="shared" si="5"/>
        <v>6</v>
      </c>
      <c r="W125" s="110" t="str">
        <f>INDEX('배치점수 계산기'!$AG$11:$AG$800,MATCH('       가 군       '!$C125,'배치점수 계산기'!$U$11:$U$800,0))</f>
        <v>표점</v>
      </c>
      <c r="X125" s="108" t="str">
        <f>INDEX('배치점수 계산기'!$AH$11:$AH$800,MATCH('       가 군       '!$C125,'배치점수 계산기'!$U$11:$U$800,0))</f>
        <v>변표</v>
      </c>
      <c r="Y125" s="113">
        <f>INDEX('배치점수 계산기'!$AB$11:$AB$800,MATCH('       가 군       '!$C125,'배치점수 계산기'!$U$11:$U$800,0))</f>
        <v>0.4</v>
      </c>
      <c r="Z125" s="73">
        <f>INDEX('배치점수 계산기'!$AC$11:$AC$800,MATCH('       가 군       '!$C125,'배치점수 계산기'!$U$11:$U$800,0))</f>
        <v>0.4</v>
      </c>
      <c r="AA125" s="63">
        <f>INDEX('배치점수 계산기'!$AD$11:$AD$800,MATCH('       가 군       '!$C125,'배치점수 계산기'!$U$11:$U$800,0))</f>
        <v>0.2</v>
      </c>
      <c r="AE125" s="7">
        <v>118</v>
      </c>
    </row>
    <row r="126" spans="3:31" x14ac:dyDescent="0.3">
      <c r="C126" s="7" t="s">
        <v>1016</v>
      </c>
      <c r="D126" s="41" t="str">
        <f>IFERROR(INDEX('배치점수 계산기'!V$11:V$1000,MATCH($C126,'배치점수 계산기'!$U$11:$U$1000,0)),"")</f>
        <v>성균 자연</v>
      </c>
      <c r="E126" s="41">
        <f>IFERROR(INDEX('배치점수 계산기'!W$11:W$1000,MATCH($C126,'배치점수 계산기'!$U$11:$U$1000,0)),"")</f>
        <v>25</v>
      </c>
      <c r="F126" s="113" t="s">
        <v>276</v>
      </c>
      <c r="G126" s="41" t="s">
        <v>342</v>
      </c>
      <c r="H126" s="41" t="s">
        <v>353</v>
      </c>
      <c r="I126" s="41" t="s">
        <v>274</v>
      </c>
      <c r="J126" s="41" t="str">
        <f t="shared" si="3"/>
        <v>X</v>
      </c>
      <c r="K126" s="113">
        <f>IFERROR(INDEX(환산공식!CI$16:CI$301,MATCH($E126,환산공식!$A$16:$A$301,0)),"")</f>
        <v>100</v>
      </c>
      <c r="L126" s="41" t="str">
        <f>IFERROR(CONCATENATE(ROUND(INDEX(환산공식!CJ$16:CJ$301,MATCH(E126,환산공식!$A$16:$A$301,0)),1),"%"),"")</f>
        <v>100%</v>
      </c>
      <c r="M126" s="41">
        <f>IFERROR(INDEX(환산공식!CK$16:CK$301,MATCH(E126,환산공식!$A$16:$A$301,0)),"")</f>
        <v>10</v>
      </c>
      <c r="N126" s="113" t="str">
        <f t="shared" si="4"/>
        <v>1% 이하</v>
      </c>
      <c r="O126" s="119">
        <f>IFERROR(ROUND(INDEX(환산공식!$EF$16:$EF$301,MATCH(E126,환산공식!$A$16:$A$301,0)),3),"")</f>
        <v>0</v>
      </c>
      <c r="P126" s="119">
        <f>IFERROR(ROUND(INDEX('배치점수 계산기'!M$11:M$1000,MATCH($C126,'배치점수 계산기'!$U$11:$U$1000,0)),2),"")</f>
        <v>763.85</v>
      </c>
      <c r="Q126" s="41">
        <f>IFERROR(ROUND(INDEX('배치점수 계산기'!N$11:N$1000,MATCH($C126,'배치점수 계산기'!$U$11:$U$1000,0)),2),"")</f>
        <v>762.1</v>
      </c>
      <c r="R126" s="41">
        <f>IFERROR(ROUND(INDEX('배치점수 계산기'!O$11:O$1000,MATCH($C126,'배치점수 계산기'!$U$11:$U$1000,0)),2),"")</f>
        <v>759.81</v>
      </c>
      <c r="S126" s="41">
        <f>IFERROR(ROUND(INDEX('배치점수 계산기'!P$11:P$1000,MATCH($C126,'배치점수 계산기'!$U$11:$U$1000,0)),2),"")</f>
        <v>757.37</v>
      </c>
      <c r="T126" s="41">
        <f>IFERROR(ROUND(INDEX('배치점수 계산기'!Q$11:Q$1000,MATCH($C126,'배치점수 계산기'!$U$11:$U$1000,0)),2),"")</f>
        <v>756.12</v>
      </c>
      <c r="U126" s="41">
        <f>IFERROR(INDEX(환산공식!$DC$16:$DC$301,MATCH(E126,환산공식!$A$16:$A$301,0)),"")</f>
        <v>0</v>
      </c>
      <c r="V126" s="113">
        <f t="shared" si="5"/>
        <v>6</v>
      </c>
      <c r="W126" s="110" t="str">
        <f>INDEX('배치점수 계산기'!$AG$11:$AG$800,MATCH('       가 군       '!$C126,'배치점수 계산기'!$U$11:$U$800,0))</f>
        <v>표점</v>
      </c>
      <c r="X126" s="108" t="str">
        <f>INDEX('배치점수 계산기'!$AH$11:$AH$800,MATCH('       가 군       '!$C126,'배치점수 계산기'!$U$11:$U$800,0))</f>
        <v>변표</v>
      </c>
      <c r="Y126" s="113">
        <f>INDEX('배치점수 계산기'!$AB$11:$AB$800,MATCH('       가 군       '!$C126,'배치점수 계산기'!$U$11:$U$800,0))</f>
        <v>0.25</v>
      </c>
      <c r="Z126" s="73">
        <f>INDEX('배치점수 계산기'!$AC$11:$AC$800,MATCH('       가 군       '!$C126,'배치점수 계산기'!$U$11:$U$800,0))</f>
        <v>0.4</v>
      </c>
      <c r="AA126" s="63">
        <f>INDEX('배치점수 계산기'!$AD$11:$AD$800,MATCH('       가 군       '!$C126,'배치점수 계산기'!$U$11:$U$800,0))</f>
        <v>0.35</v>
      </c>
      <c r="AE126" s="7">
        <v>119</v>
      </c>
    </row>
    <row r="127" spans="3:31" x14ac:dyDescent="0.3">
      <c r="C127" s="7" t="s">
        <v>1018</v>
      </c>
      <c r="D127" s="41" t="str">
        <f>IFERROR(INDEX('배치점수 계산기'!V$11:V$1000,MATCH($C127,'배치점수 계산기'!$U$11:$U$1000,0)),"")</f>
        <v>성균 자연</v>
      </c>
      <c r="E127" s="41">
        <f>IFERROR(INDEX('배치점수 계산기'!W$11:W$1000,MATCH($C127,'배치점수 계산기'!$U$11:$U$1000,0)),"")</f>
        <v>25</v>
      </c>
      <c r="F127" s="113" t="s">
        <v>276</v>
      </c>
      <c r="G127" s="41" t="s">
        <v>342</v>
      </c>
      <c r="H127" s="41" t="s">
        <v>355</v>
      </c>
      <c r="I127" s="41" t="s">
        <v>274</v>
      </c>
      <c r="J127" s="41" t="str">
        <f t="shared" si="3"/>
        <v>X</v>
      </c>
      <c r="K127" s="113">
        <f>IFERROR(INDEX(환산공식!CI$16:CI$301,MATCH($E127,환산공식!$A$16:$A$301,0)),"")</f>
        <v>100</v>
      </c>
      <c r="L127" s="41" t="str">
        <f>IFERROR(CONCATENATE(ROUND(INDEX(환산공식!CJ$16:CJ$301,MATCH(E127,환산공식!$A$16:$A$301,0)),1),"%"),"")</f>
        <v>100%</v>
      </c>
      <c r="M127" s="41">
        <f>IFERROR(INDEX(환산공식!CK$16:CK$301,MATCH(E127,환산공식!$A$16:$A$301,0)),"")</f>
        <v>10</v>
      </c>
      <c r="N127" s="113" t="str">
        <f t="shared" si="4"/>
        <v>1% 이하</v>
      </c>
      <c r="O127" s="119">
        <f>IFERROR(ROUND(INDEX(환산공식!$EF$16:$EF$301,MATCH(E127,환산공식!$A$16:$A$301,0)),3),"")</f>
        <v>0</v>
      </c>
      <c r="P127" s="119">
        <f>IFERROR(ROUND(INDEX('배치점수 계산기'!M$11:M$1000,MATCH($C127,'배치점수 계산기'!$U$11:$U$1000,0)),2),"")</f>
        <v>766.18</v>
      </c>
      <c r="Q127" s="41">
        <f>IFERROR(ROUND(INDEX('배치점수 계산기'!N$11:N$1000,MATCH($C127,'배치점수 계산기'!$U$11:$U$1000,0)),2),"")</f>
        <v>764.84</v>
      </c>
      <c r="R127" s="41">
        <f>IFERROR(ROUND(INDEX('배치점수 계산기'!O$11:O$1000,MATCH($C127,'배치점수 계산기'!$U$11:$U$1000,0)),2),"")</f>
        <v>762.1</v>
      </c>
      <c r="S127" s="41">
        <f>IFERROR(ROUND(INDEX('배치점수 계산기'!P$11:P$1000,MATCH($C127,'배치점수 계산기'!$U$11:$U$1000,0)),2),"")</f>
        <v>760.69</v>
      </c>
      <c r="T127" s="41">
        <f>IFERROR(ROUND(INDEX('배치점수 계산기'!Q$11:Q$1000,MATCH($C127,'배치점수 계산기'!$U$11:$U$1000,0)),2),"")</f>
        <v>758.2</v>
      </c>
      <c r="U127" s="41">
        <f>IFERROR(INDEX(환산공식!$DC$16:$DC$301,MATCH(E127,환산공식!$A$16:$A$301,0)),"")</f>
        <v>0</v>
      </c>
      <c r="V127" s="113">
        <f t="shared" si="5"/>
        <v>6</v>
      </c>
      <c r="W127" s="110" t="str">
        <f>INDEX('배치점수 계산기'!$AG$11:$AG$800,MATCH('       가 군       '!$C127,'배치점수 계산기'!$U$11:$U$800,0))</f>
        <v>표점</v>
      </c>
      <c r="X127" s="108" t="str">
        <f>INDEX('배치점수 계산기'!$AH$11:$AH$800,MATCH('       가 군       '!$C127,'배치점수 계산기'!$U$11:$U$800,0))</f>
        <v>변표</v>
      </c>
      <c r="Y127" s="113">
        <f>INDEX('배치점수 계산기'!$AB$11:$AB$800,MATCH('       가 군       '!$C127,'배치점수 계산기'!$U$11:$U$800,0))</f>
        <v>0.25</v>
      </c>
      <c r="Z127" s="73">
        <f>INDEX('배치점수 계산기'!$AC$11:$AC$800,MATCH('       가 군       '!$C127,'배치점수 계산기'!$U$11:$U$800,0))</f>
        <v>0.4</v>
      </c>
      <c r="AA127" s="63">
        <f>INDEX('배치점수 계산기'!$AD$11:$AD$800,MATCH('       가 군       '!$C127,'배치점수 계산기'!$U$11:$U$800,0))</f>
        <v>0.35</v>
      </c>
      <c r="AE127" s="7">
        <v>120</v>
      </c>
    </row>
    <row r="128" spans="3:31" x14ac:dyDescent="0.3">
      <c r="C128" s="7" t="s">
        <v>1019</v>
      </c>
      <c r="D128" s="41" t="str">
        <f>IFERROR(INDEX('배치점수 계산기'!V$11:V$1000,MATCH($C128,'배치점수 계산기'!$U$11:$U$1000,0)),"")</f>
        <v>성균 자연</v>
      </c>
      <c r="E128" s="41">
        <f>IFERROR(INDEX('배치점수 계산기'!W$11:W$1000,MATCH($C128,'배치점수 계산기'!$U$11:$U$1000,0)),"")</f>
        <v>25</v>
      </c>
      <c r="F128" s="113" t="s">
        <v>276</v>
      </c>
      <c r="G128" s="41" t="s">
        <v>342</v>
      </c>
      <c r="H128" s="41" t="s">
        <v>285</v>
      </c>
      <c r="I128" s="41" t="s">
        <v>274</v>
      </c>
      <c r="J128" s="41" t="str">
        <f t="shared" si="3"/>
        <v>X</v>
      </c>
      <c r="K128" s="113">
        <f>IFERROR(INDEX(환산공식!CI$16:CI$301,MATCH($E128,환산공식!$A$16:$A$301,0)),"")</f>
        <v>100</v>
      </c>
      <c r="L128" s="41" t="str">
        <f>IFERROR(CONCATENATE(ROUND(INDEX(환산공식!CJ$16:CJ$301,MATCH(E128,환산공식!$A$16:$A$301,0)),1),"%"),"")</f>
        <v>100%</v>
      </c>
      <c r="M128" s="41">
        <f>IFERROR(INDEX(환산공식!CK$16:CK$301,MATCH(E128,환산공식!$A$16:$A$301,0)),"")</f>
        <v>10</v>
      </c>
      <c r="N128" s="113" t="str">
        <f t="shared" si="4"/>
        <v>1% 이하</v>
      </c>
      <c r="O128" s="119">
        <f>IFERROR(ROUND(INDEX(환산공식!$EF$16:$EF$301,MATCH(E128,환산공식!$A$16:$A$301,0)),3),"")</f>
        <v>0</v>
      </c>
      <c r="P128" s="119">
        <f>IFERROR(ROUND(INDEX('배치점수 계산기'!M$11:M$1000,MATCH($C128,'배치점수 계산기'!$U$11:$U$1000,0)),2),"")</f>
        <v>772.62</v>
      </c>
      <c r="Q128" s="41">
        <f>IFERROR(ROUND(INDEX('배치점수 계산기'!N$11:N$1000,MATCH($C128,'배치점수 계산기'!$U$11:$U$1000,0)),2),"")</f>
        <v>771.25</v>
      </c>
      <c r="R128" s="41">
        <f>IFERROR(ROUND(INDEX('배치점수 계산기'!O$11:O$1000,MATCH($C128,'배치점수 계산기'!$U$11:$U$1000,0)),2),"")</f>
        <v>769.42</v>
      </c>
      <c r="S128" s="41">
        <f>IFERROR(ROUND(INDEX('배치점수 계산기'!P$11:P$1000,MATCH($C128,'배치점수 계산기'!$U$11:$U$1000,0)),2),"")</f>
        <v>766.78</v>
      </c>
      <c r="T128" s="41">
        <f>IFERROR(ROUND(INDEX('배치점수 계산기'!Q$11:Q$1000,MATCH($C128,'배치점수 계산기'!$U$11:$U$1000,0)),2),"")</f>
        <v>762.7</v>
      </c>
      <c r="U128" s="41">
        <f>IFERROR(INDEX(환산공식!$DC$16:$DC$301,MATCH(E128,환산공식!$A$16:$A$301,0)),"")</f>
        <v>0</v>
      </c>
      <c r="V128" s="113">
        <f t="shared" si="5"/>
        <v>6</v>
      </c>
      <c r="W128" s="110" t="str">
        <f>INDEX('배치점수 계산기'!$AG$11:$AG$800,MATCH('       가 군       '!$C128,'배치점수 계산기'!$U$11:$U$800,0))</f>
        <v>표점</v>
      </c>
      <c r="X128" s="108" t="str">
        <f>INDEX('배치점수 계산기'!$AH$11:$AH$800,MATCH('       가 군       '!$C128,'배치점수 계산기'!$U$11:$U$800,0))</f>
        <v>변표</v>
      </c>
      <c r="Y128" s="113">
        <f>INDEX('배치점수 계산기'!$AB$11:$AB$800,MATCH('       가 군       '!$C128,'배치점수 계산기'!$U$11:$U$800,0))</f>
        <v>0.25</v>
      </c>
      <c r="Z128" s="73">
        <f>INDEX('배치점수 계산기'!$AC$11:$AC$800,MATCH('       가 군       '!$C128,'배치점수 계산기'!$U$11:$U$800,0))</f>
        <v>0.4</v>
      </c>
      <c r="AA128" s="63">
        <f>INDEX('배치점수 계산기'!$AD$11:$AD$800,MATCH('       가 군       '!$C128,'배치점수 계산기'!$U$11:$U$800,0))</f>
        <v>0.35</v>
      </c>
      <c r="AE128" s="7">
        <v>121</v>
      </c>
    </row>
    <row r="129" spans="3:31" x14ac:dyDescent="0.3">
      <c r="C129" s="7" t="s">
        <v>1020</v>
      </c>
      <c r="D129" s="41" t="str">
        <f>IFERROR(INDEX('배치점수 계산기'!V$11:V$1000,MATCH($C129,'배치점수 계산기'!$U$11:$U$1000,0)),"")</f>
        <v>성균 자연</v>
      </c>
      <c r="E129" s="41">
        <f>IFERROR(INDEX('배치점수 계산기'!W$11:W$1000,MATCH($C129,'배치점수 계산기'!$U$11:$U$1000,0)),"")</f>
        <v>25</v>
      </c>
      <c r="F129" s="113" t="s">
        <v>276</v>
      </c>
      <c r="G129" s="41" t="s">
        <v>342</v>
      </c>
      <c r="H129" s="41" t="s">
        <v>356</v>
      </c>
      <c r="I129" s="41" t="s">
        <v>274</v>
      </c>
      <c r="J129" s="41" t="str">
        <f t="shared" si="3"/>
        <v>X</v>
      </c>
      <c r="K129" s="113">
        <f>IFERROR(INDEX(환산공식!CI$16:CI$301,MATCH($E129,환산공식!$A$16:$A$301,0)),"")</f>
        <v>100</v>
      </c>
      <c r="L129" s="41" t="str">
        <f>IFERROR(CONCATENATE(ROUND(INDEX(환산공식!CJ$16:CJ$301,MATCH(E129,환산공식!$A$16:$A$301,0)),1),"%"),"")</f>
        <v>100%</v>
      </c>
      <c r="M129" s="41">
        <f>IFERROR(INDEX(환산공식!CK$16:CK$301,MATCH(E129,환산공식!$A$16:$A$301,0)),"")</f>
        <v>10</v>
      </c>
      <c r="N129" s="113" t="str">
        <f t="shared" si="4"/>
        <v>1% 이하</v>
      </c>
      <c r="O129" s="119">
        <f>IFERROR(ROUND(INDEX(환산공식!$EF$16:$EF$301,MATCH(E129,환산공식!$A$16:$A$301,0)),3),"")</f>
        <v>0</v>
      </c>
      <c r="P129" s="119">
        <f>IFERROR(ROUND(INDEX('배치점수 계산기'!M$11:M$1000,MATCH($C129,'배치점수 계산기'!$U$11:$U$1000,0)),2),"")</f>
        <v>767.09</v>
      </c>
      <c r="Q129" s="41">
        <f>IFERROR(ROUND(INDEX('배치점수 계산기'!N$11:N$1000,MATCH($C129,'배치점수 계산기'!$U$11:$U$1000,0)),2),"")</f>
        <v>765.27</v>
      </c>
      <c r="R129" s="41">
        <f>IFERROR(ROUND(INDEX('배치점수 계산기'!O$11:O$1000,MATCH($C129,'배치점수 계산기'!$U$11:$U$1000,0)),2),"")</f>
        <v>763.33</v>
      </c>
      <c r="S129" s="41">
        <f>IFERROR(ROUND(INDEX('배치점수 계산기'!P$11:P$1000,MATCH($C129,'배치점수 계산기'!$U$11:$U$1000,0)),2),"")</f>
        <v>761.12</v>
      </c>
      <c r="T129" s="41">
        <f>IFERROR(ROUND(INDEX('배치점수 계산기'!Q$11:Q$1000,MATCH($C129,'배치점수 계산기'!$U$11:$U$1000,0)),2),"")</f>
        <v>758.78</v>
      </c>
      <c r="U129" s="41">
        <f>IFERROR(INDEX(환산공식!$DC$16:$DC$301,MATCH(E129,환산공식!$A$16:$A$301,0)),"")</f>
        <v>0</v>
      </c>
      <c r="V129" s="113">
        <f t="shared" si="5"/>
        <v>6</v>
      </c>
      <c r="W129" s="110" t="str">
        <f>INDEX('배치점수 계산기'!$AG$11:$AG$800,MATCH('       가 군       '!$C129,'배치점수 계산기'!$U$11:$U$800,0))</f>
        <v>표점</v>
      </c>
      <c r="X129" s="108" t="str">
        <f>INDEX('배치점수 계산기'!$AH$11:$AH$800,MATCH('       가 군       '!$C129,'배치점수 계산기'!$U$11:$U$800,0))</f>
        <v>변표</v>
      </c>
      <c r="Y129" s="113">
        <f>INDEX('배치점수 계산기'!$AB$11:$AB$800,MATCH('       가 군       '!$C129,'배치점수 계산기'!$U$11:$U$800,0))</f>
        <v>0.25</v>
      </c>
      <c r="Z129" s="73">
        <f>INDEX('배치점수 계산기'!$AC$11:$AC$800,MATCH('       가 군       '!$C129,'배치점수 계산기'!$U$11:$U$800,0))</f>
        <v>0.4</v>
      </c>
      <c r="AA129" s="63">
        <f>INDEX('배치점수 계산기'!$AD$11:$AD$800,MATCH('       가 군       '!$C129,'배치점수 계산기'!$U$11:$U$800,0))</f>
        <v>0.35</v>
      </c>
      <c r="AE129" s="7">
        <v>122</v>
      </c>
    </row>
    <row r="130" spans="3:31" x14ac:dyDescent="0.3">
      <c r="C130" s="7" t="s">
        <v>1021</v>
      </c>
      <c r="D130" s="41" t="str">
        <f>IFERROR(INDEX('배치점수 계산기'!V$11:V$1000,MATCH($C130,'배치점수 계산기'!$U$11:$U$1000,0)),"")</f>
        <v>성균 자연</v>
      </c>
      <c r="E130" s="41">
        <f>IFERROR(INDEX('배치점수 계산기'!W$11:W$1000,MATCH($C130,'배치점수 계산기'!$U$11:$U$1000,0)),"")</f>
        <v>25</v>
      </c>
      <c r="F130" s="113" t="s">
        <v>276</v>
      </c>
      <c r="G130" s="41" t="s">
        <v>342</v>
      </c>
      <c r="H130" s="41" t="s">
        <v>258</v>
      </c>
      <c r="I130" s="41" t="s">
        <v>274</v>
      </c>
      <c r="J130" s="41" t="str">
        <f t="shared" si="3"/>
        <v>X</v>
      </c>
      <c r="K130" s="113">
        <f>IFERROR(INDEX(환산공식!CI$16:CI$301,MATCH($E130,환산공식!$A$16:$A$301,0)),"")</f>
        <v>100</v>
      </c>
      <c r="L130" s="41" t="str">
        <f>IFERROR(CONCATENATE(ROUND(INDEX(환산공식!CJ$16:CJ$301,MATCH(E130,환산공식!$A$16:$A$301,0)),1),"%"),"")</f>
        <v>100%</v>
      </c>
      <c r="M130" s="41">
        <f>IFERROR(INDEX(환산공식!CK$16:CK$301,MATCH(E130,환산공식!$A$16:$A$301,0)),"")</f>
        <v>10</v>
      </c>
      <c r="N130" s="113" t="str">
        <f t="shared" si="4"/>
        <v>1% 이하</v>
      </c>
      <c r="O130" s="119">
        <f>IFERROR(ROUND(INDEX(환산공식!$EF$16:$EF$301,MATCH(E130,환산공식!$A$16:$A$301,0)),3),"")</f>
        <v>0</v>
      </c>
      <c r="P130" s="119">
        <f>IFERROR(ROUND(INDEX('배치점수 계산기'!M$11:M$1000,MATCH($C130,'배치점수 계산기'!$U$11:$U$1000,0)),2),"")</f>
        <v>761.51</v>
      </c>
      <c r="Q130" s="41">
        <f>IFERROR(ROUND(INDEX('배치점수 계산기'!N$11:N$1000,MATCH($C130,'배치점수 계산기'!$U$11:$U$1000,0)),2),"")</f>
        <v>759.81</v>
      </c>
      <c r="R130" s="41">
        <f>IFERROR(ROUND(INDEX('배치점수 계산기'!O$11:O$1000,MATCH($C130,'배치점수 계산기'!$U$11:$U$1000,0)),2),"")</f>
        <v>757.37</v>
      </c>
      <c r="S130" s="41">
        <f>IFERROR(ROUND(INDEX('배치점수 계산기'!P$11:P$1000,MATCH($C130,'배치점수 계산기'!$U$11:$U$1000,0)),2),"")</f>
        <v>756.59</v>
      </c>
      <c r="T130" s="41">
        <f>IFERROR(ROUND(INDEX('배치점수 계산기'!Q$11:Q$1000,MATCH($C130,'배치점수 계산기'!$U$11:$U$1000,0)),2),"")</f>
        <v>755.38</v>
      </c>
      <c r="U130" s="41">
        <f>IFERROR(INDEX(환산공식!$DC$16:$DC$301,MATCH(E130,환산공식!$A$16:$A$301,0)),"")</f>
        <v>0</v>
      </c>
      <c r="V130" s="113">
        <f t="shared" si="5"/>
        <v>6</v>
      </c>
      <c r="W130" s="110" t="str">
        <f>INDEX('배치점수 계산기'!$AG$11:$AG$800,MATCH('       가 군       '!$C130,'배치점수 계산기'!$U$11:$U$800,0))</f>
        <v>표점</v>
      </c>
      <c r="X130" s="108" t="str">
        <f>INDEX('배치점수 계산기'!$AH$11:$AH$800,MATCH('       가 군       '!$C130,'배치점수 계산기'!$U$11:$U$800,0))</f>
        <v>변표</v>
      </c>
      <c r="Y130" s="113">
        <f>INDEX('배치점수 계산기'!$AB$11:$AB$800,MATCH('       가 군       '!$C130,'배치점수 계산기'!$U$11:$U$800,0))</f>
        <v>0.25</v>
      </c>
      <c r="Z130" s="73">
        <f>INDEX('배치점수 계산기'!$AC$11:$AC$800,MATCH('       가 군       '!$C130,'배치점수 계산기'!$U$11:$U$800,0))</f>
        <v>0.4</v>
      </c>
      <c r="AA130" s="63">
        <f>INDEX('배치점수 계산기'!$AD$11:$AD$800,MATCH('       가 군       '!$C130,'배치점수 계산기'!$U$11:$U$800,0))</f>
        <v>0.35</v>
      </c>
      <c r="AE130" s="7">
        <v>123</v>
      </c>
    </row>
    <row r="131" spans="3:31" x14ac:dyDescent="0.3">
      <c r="C131" s="7" t="s">
        <v>1022</v>
      </c>
      <c r="D131" s="41" t="str">
        <f>IFERROR(INDEX('배치점수 계산기'!V$11:V$1000,MATCH($C131,'배치점수 계산기'!$U$11:$U$1000,0)),"")</f>
        <v>성균 자연</v>
      </c>
      <c r="E131" s="41">
        <f>IFERROR(INDEX('배치점수 계산기'!W$11:W$1000,MATCH($C131,'배치점수 계산기'!$U$11:$U$1000,0)),"")</f>
        <v>25</v>
      </c>
      <c r="F131" s="113" t="s">
        <v>276</v>
      </c>
      <c r="G131" s="41" t="s">
        <v>342</v>
      </c>
      <c r="H131" s="41" t="s">
        <v>357</v>
      </c>
      <c r="I131" s="41" t="s">
        <v>274</v>
      </c>
      <c r="J131" s="41" t="str">
        <f t="shared" si="3"/>
        <v>X</v>
      </c>
      <c r="K131" s="113">
        <f>IFERROR(INDEX(환산공식!CI$16:CI$301,MATCH($E131,환산공식!$A$16:$A$301,0)),"")</f>
        <v>100</v>
      </c>
      <c r="L131" s="41" t="str">
        <f>IFERROR(CONCATENATE(ROUND(INDEX(환산공식!CJ$16:CJ$301,MATCH(E131,환산공식!$A$16:$A$301,0)),1),"%"),"")</f>
        <v>100%</v>
      </c>
      <c r="M131" s="41">
        <f>IFERROR(INDEX(환산공식!CK$16:CK$301,MATCH(E131,환산공식!$A$16:$A$301,0)),"")</f>
        <v>10</v>
      </c>
      <c r="N131" s="113" t="str">
        <f t="shared" si="4"/>
        <v>1% 이하</v>
      </c>
      <c r="O131" s="119">
        <f>IFERROR(ROUND(INDEX(환산공식!$EF$16:$EF$301,MATCH(E131,환산공식!$A$16:$A$301,0)),3),"")</f>
        <v>0</v>
      </c>
      <c r="P131" s="119">
        <f>IFERROR(ROUND(INDEX('배치점수 계산기'!M$11:M$1000,MATCH($C131,'배치점수 계산기'!$U$11:$U$1000,0)),2),"")</f>
        <v>761.51</v>
      </c>
      <c r="Q131" s="41">
        <f>IFERROR(ROUND(INDEX('배치점수 계산기'!N$11:N$1000,MATCH($C131,'배치점수 계산기'!$U$11:$U$1000,0)),2),"")</f>
        <v>759.81</v>
      </c>
      <c r="R131" s="41">
        <f>IFERROR(ROUND(INDEX('배치점수 계산기'!O$11:O$1000,MATCH($C131,'배치점수 계산기'!$U$11:$U$1000,0)),2),"")</f>
        <v>758.2</v>
      </c>
      <c r="S131" s="41">
        <f>IFERROR(ROUND(INDEX('배치점수 계산기'!P$11:P$1000,MATCH($C131,'배치점수 계산기'!$U$11:$U$1000,0)),2),"")</f>
        <v>756.72</v>
      </c>
      <c r="T131" s="41">
        <f>IFERROR(ROUND(INDEX('배치점수 계산기'!Q$11:Q$1000,MATCH($C131,'배치점수 계산기'!$U$11:$U$1000,0)),2),"")</f>
        <v>756</v>
      </c>
      <c r="U131" s="41">
        <f>IFERROR(INDEX(환산공식!$DC$16:$DC$301,MATCH(E131,환산공식!$A$16:$A$301,0)),"")</f>
        <v>0</v>
      </c>
      <c r="V131" s="113">
        <f t="shared" si="5"/>
        <v>6</v>
      </c>
      <c r="W131" s="110" t="str">
        <f>INDEX('배치점수 계산기'!$AG$11:$AG$800,MATCH('       가 군       '!$C131,'배치점수 계산기'!$U$11:$U$800,0))</f>
        <v>표점</v>
      </c>
      <c r="X131" s="108" t="str">
        <f>INDEX('배치점수 계산기'!$AH$11:$AH$800,MATCH('       가 군       '!$C131,'배치점수 계산기'!$U$11:$U$800,0))</f>
        <v>변표</v>
      </c>
      <c r="Y131" s="113">
        <f>INDEX('배치점수 계산기'!$AB$11:$AB$800,MATCH('       가 군       '!$C131,'배치점수 계산기'!$U$11:$U$800,0))</f>
        <v>0.25</v>
      </c>
      <c r="Z131" s="73">
        <f>INDEX('배치점수 계산기'!$AC$11:$AC$800,MATCH('       가 군       '!$C131,'배치점수 계산기'!$U$11:$U$800,0))</f>
        <v>0.4</v>
      </c>
      <c r="AA131" s="63">
        <f>INDEX('배치점수 계산기'!$AD$11:$AD$800,MATCH('       가 군       '!$C131,'배치점수 계산기'!$U$11:$U$800,0))</f>
        <v>0.35</v>
      </c>
      <c r="AE131" s="7">
        <v>124</v>
      </c>
    </row>
    <row r="132" spans="3:31" x14ac:dyDescent="0.3">
      <c r="C132" s="7" t="s">
        <v>1023</v>
      </c>
      <c r="D132" s="41" t="str">
        <f>IFERROR(INDEX('배치점수 계산기'!V$11:V$1000,MATCH($C132,'배치점수 계산기'!$U$11:$U$1000,0)),"")</f>
        <v>성균 자연</v>
      </c>
      <c r="E132" s="41">
        <f>IFERROR(INDEX('배치점수 계산기'!W$11:W$1000,MATCH($C132,'배치점수 계산기'!$U$11:$U$1000,0)),"")</f>
        <v>25</v>
      </c>
      <c r="F132" s="113" t="s">
        <v>276</v>
      </c>
      <c r="G132" s="41" t="s">
        <v>342</v>
      </c>
      <c r="H132" s="41" t="s">
        <v>358</v>
      </c>
      <c r="I132" s="41" t="s">
        <v>274</v>
      </c>
      <c r="J132" s="41" t="str">
        <f t="shared" si="3"/>
        <v>X</v>
      </c>
      <c r="K132" s="113">
        <f>IFERROR(INDEX(환산공식!CI$16:CI$301,MATCH($E132,환산공식!$A$16:$A$301,0)),"")</f>
        <v>100</v>
      </c>
      <c r="L132" s="41" t="str">
        <f>IFERROR(CONCATENATE(ROUND(INDEX(환산공식!CJ$16:CJ$301,MATCH(E132,환산공식!$A$16:$A$301,0)),1),"%"),"")</f>
        <v>100%</v>
      </c>
      <c r="M132" s="41">
        <f>IFERROR(INDEX(환산공식!CK$16:CK$301,MATCH(E132,환산공식!$A$16:$A$301,0)),"")</f>
        <v>10</v>
      </c>
      <c r="N132" s="113" t="str">
        <f t="shared" si="4"/>
        <v>1% 이하</v>
      </c>
      <c r="O132" s="119">
        <f>IFERROR(ROUND(INDEX(환산공식!$EF$16:$EF$301,MATCH(E132,환산공식!$A$16:$A$301,0)),3),"")</f>
        <v>0</v>
      </c>
      <c r="P132" s="119">
        <f>IFERROR(ROUND(INDEX('배치점수 계산기'!M$11:M$1000,MATCH($C132,'배치점수 계산기'!$U$11:$U$1000,0)),2),"")</f>
        <v>759.81</v>
      </c>
      <c r="Q132" s="41">
        <f>IFERROR(ROUND(INDEX('배치점수 계산기'!N$11:N$1000,MATCH($C132,'배치점수 계산기'!$U$11:$U$1000,0)),2),"")</f>
        <v>758.48</v>
      </c>
      <c r="R132" s="41">
        <f>IFERROR(ROUND(INDEX('배치점수 계산기'!O$11:O$1000,MATCH($C132,'배치점수 계산기'!$U$11:$U$1000,0)),2),"")</f>
        <v>756.72</v>
      </c>
      <c r="S132" s="41">
        <f>IFERROR(ROUND(INDEX('배치점수 계산기'!P$11:P$1000,MATCH($C132,'배치점수 계산기'!$U$11:$U$1000,0)),2),"")</f>
        <v>755.5</v>
      </c>
      <c r="T132" s="41">
        <f>IFERROR(ROUND(INDEX('배치점수 계산기'!Q$11:Q$1000,MATCH($C132,'배치점수 계산기'!$U$11:$U$1000,0)),2),"")</f>
        <v>754.78</v>
      </c>
      <c r="U132" s="41">
        <f>IFERROR(INDEX(환산공식!$DC$16:$DC$301,MATCH(E132,환산공식!$A$16:$A$301,0)),"")</f>
        <v>0</v>
      </c>
      <c r="V132" s="113">
        <f t="shared" si="5"/>
        <v>6</v>
      </c>
      <c r="W132" s="110" t="str">
        <f>INDEX('배치점수 계산기'!$AG$11:$AG$800,MATCH('       가 군       '!$C132,'배치점수 계산기'!$U$11:$U$800,0))</f>
        <v>표점</v>
      </c>
      <c r="X132" s="108" t="str">
        <f>INDEX('배치점수 계산기'!$AH$11:$AH$800,MATCH('       가 군       '!$C132,'배치점수 계산기'!$U$11:$U$800,0))</f>
        <v>변표</v>
      </c>
      <c r="Y132" s="113">
        <f>INDEX('배치점수 계산기'!$AB$11:$AB$800,MATCH('       가 군       '!$C132,'배치점수 계산기'!$U$11:$U$800,0))</f>
        <v>0.25</v>
      </c>
      <c r="Z132" s="73">
        <f>INDEX('배치점수 계산기'!$AC$11:$AC$800,MATCH('       가 군       '!$C132,'배치점수 계산기'!$U$11:$U$800,0))</f>
        <v>0.4</v>
      </c>
      <c r="AA132" s="63">
        <f>INDEX('배치점수 계산기'!$AD$11:$AD$800,MATCH('       가 군       '!$C132,'배치점수 계산기'!$U$11:$U$800,0))</f>
        <v>0.35</v>
      </c>
      <c r="AE132" s="7">
        <v>125</v>
      </c>
    </row>
    <row r="133" spans="3:31" x14ac:dyDescent="0.3">
      <c r="C133" s="7" t="s">
        <v>1024</v>
      </c>
      <c r="D133" s="41" t="str">
        <f>IFERROR(INDEX('배치점수 계산기'!V$11:V$1000,MATCH($C133,'배치점수 계산기'!$U$11:$U$1000,0)),"")</f>
        <v>한양 자연</v>
      </c>
      <c r="E133" s="41">
        <f>IFERROR(INDEX('배치점수 계산기'!W$11:W$1000,MATCH($C133,'배치점수 계산기'!$U$11:$U$1000,0)),"")</f>
        <v>27</v>
      </c>
      <c r="F133" s="113" t="s">
        <v>276</v>
      </c>
      <c r="G133" s="41" t="s">
        <v>359</v>
      </c>
      <c r="H133" s="41" t="s">
        <v>253</v>
      </c>
      <c r="I133" s="41" t="s">
        <v>274</v>
      </c>
      <c r="J133" s="41" t="str">
        <f t="shared" si="3"/>
        <v>X</v>
      </c>
      <c r="K133" s="113">
        <f>IFERROR(INDEX(환산공식!CI$16:CI$301,MATCH($E133,환산공식!$A$16:$A$301,0)),"")</f>
        <v>100</v>
      </c>
      <c r="L133" s="41" t="str">
        <f>IFERROR(CONCATENATE(ROUND(INDEX(환산공식!CJ$16:CJ$301,MATCH(E133,환산공식!$A$16:$A$301,0)),1),"%"),"")</f>
        <v>100%</v>
      </c>
      <c r="M133" s="41">
        <f>IFERROR(INDEX(환산공식!CK$16:CK$301,MATCH(E133,환산공식!$A$16:$A$301,0)),"")</f>
        <v>0</v>
      </c>
      <c r="N133" s="113" t="str">
        <f t="shared" si="4"/>
        <v>1% 이하</v>
      </c>
      <c r="O133" s="119">
        <f>IFERROR(ROUND(INDEX(환산공식!$EF$16:$EF$301,MATCH(E133,환산공식!$A$16:$A$301,0)),3),"")</f>
        <v>0</v>
      </c>
      <c r="P133" s="119">
        <f>IFERROR(ROUND(INDEX('배치점수 계산기'!M$11:M$1000,MATCH($C133,'배치점수 계산기'!$U$11:$U$1000,0)),2),"")</f>
        <v>897.66</v>
      </c>
      <c r="Q133" s="41">
        <f>IFERROR(ROUND(INDEX('배치점수 계산기'!N$11:N$1000,MATCH($C133,'배치점수 계산기'!$U$11:$U$1000,0)),2),"")</f>
        <v>894.94</v>
      </c>
      <c r="R133" s="41">
        <f>IFERROR(ROUND(INDEX('배치점수 계산기'!O$11:O$1000,MATCH($C133,'배치점수 계산기'!$U$11:$U$1000,0)),2),"")</f>
        <v>892.09</v>
      </c>
      <c r="S133" s="41">
        <f>IFERROR(ROUND(INDEX('배치점수 계산기'!P$11:P$1000,MATCH($C133,'배치점수 계산기'!$U$11:$U$1000,0)),2),"")</f>
        <v>889.84</v>
      </c>
      <c r="T133" s="41">
        <f>IFERROR(ROUND(INDEX('배치점수 계산기'!Q$11:Q$1000,MATCH($C133,'배치점수 계산기'!$U$11:$U$1000,0)),2),"")</f>
        <v>885.9</v>
      </c>
      <c r="U133" s="41">
        <f>IFERROR(INDEX(환산공식!$DC$16:$DC$301,MATCH(E133,환산공식!$A$16:$A$301,0)),"")</f>
        <v>0</v>
      </c>
      <c r="V133" s="113">
        <f t="shared" si="5"/>
        <v>6</v>
      </c>
      <c r="W133" s="110" t="str">
        <f>INDEX('배치점수 계산기'!$AG$11:$AG$800,MATCH('       가 군       '!$C133,'배치점수 계산기'!$U$11:$U$800,0))</f>
        <v>표점/만점</v>
      </c>
      <c r="X133" s="108" t="str">
        <f>INDEX('배치점수 계산기'!$AH$11:$AH$800,MATCH('       가 군       '!$C133,'배치점수 계산기'!$U$11:$U$800,0))</f>
        <v>변표/만점</v>
      </c>
      <c r="Y133" s="113">
        <f>INDEX('배치점수 계산기'!$AB$11:$AB$800,MATCH('       가 군       '!$C133,'배치점수 계산기'!$U$11:$U$800,0))</f>
        <v>0.21707413571547685</v>
      </c>
      <c r="Z133" s="73">
        <f>INDEX('배치점수 계산기'!$AC$11:$AC$800,MATCH('       가 군       '!$C133,'배치점수 계산기'!$U$11:$U$800,0))</f>
        <v>0.38504816930483388</v>
      </c>
      <c r="AA133" s="63">
        <f>INDEX('배치점수 계산기'!$AD$11:$AD$800,MATCH('       가 군       '!$C133,'배치점수 계산기'!$U$11:$U$800,0))</f>
        <v>0.39787769497968917</v>
      </c>
      <c r="AE133" s="7">
        <v>126</v>
      </c>
    </row>
    <row r="134" spans="3:31" x14ac:dyDescent="0.3">
      <c r="C134" s="7" t="s">
        <v>1026</v>
      </c>
      <c r="D134" s="41" t="str">
        <f>IFERROR(INDEX('배치점수 계산기'!V$11:V$1000,MATCH($C134,'배치점수 계산기'!$U$11:$U$1000,0)),"")</f>
        <v>한양 자연</v>
      </c>
      <c r="E134" s="41">
        <f>IFERROR(INDEX('배치점수 계산기'!W$11:W$1000,MATCH($C134,'배치점수 계산기'!$U$11:$U$1000,0)),"")</f>
        <v>27</v>
      </c>
      <c r="F134" s="113" t="s">
        <v>276</v>
      </c>
      <c r="G134" s="41" t="s">
        <v>359</v>
      </c>
      <c r="H134" s="41" t="s">
        <v>291</v>
      </c>
      <c r="I134" s="41" t="s">
        <v>274</v>
      </c>
      <c r="J134" s="41" t="str">
        <f t="shared" si="3"/>
        <v>X</v>
      </c>
      <c r="K134" s="113">
        <f>IFERROR(INDEX(환산공식!CI$16:CI$301,MATCH($E134,환산공식!$A$16:$A$301,0)),"")</f>
        <v>100</v>
      </c>
      <c r="L134" s="41" t="str">
        <f>IFERROR(CONCATENATE(ROUND(INDEX(환산공식!CJ$16:CJ$301,MATCH(E134,환산공식!$A$16:$A$301,0)),1),"%"),"")</f>
        <v>100%</v>
      </c>
      <c r="M134" s="41">
        <f>IFERROR(INDEX(환산공식!CK$16:CK$301,MATCH(E134,환산공식!$A$16:$A$301,0)),"")</f>
        <v>0</v>
      </c>
      <c r="N134" s="113" t="str">
        <f t="shared" si="4"/>
        <v>1% 이하</v>
      </c>
      <c r="O134" s="119">
        <f>IFERROR(ROUND(INDEX(환산공식!$EF$16:$EF$301,MATCH(E134,환산공식!$A$16:$A$301,0)),3),"")</f>
        <v>0</v>
      </c>
      <c r="P134" s="119">
        <f>IFERROR(ROUND(INDEX('배치점수 계산기'!M$11:M$1000,MATCH($C134,'배치점수 계산기'!$U$11:$U$1000,0)),2),"")</f>
        <v>896.47</v>
      </c>
      <c r="Q134" s="41">
        <f>IFERROR(ROUND(INDEX('배치점수 계산기'!N$11:N$1000,MATCH($C134,'배치점수 계산기'!$U$11:$U$1000,0)),2),"")</f>
        <v>894.34</v>
      </c>
      <c r="R134" s="41">
        <f>IFERROR(ROUND(INDEX('배치점수 계산기'!O$11:O$1000,MATCH($C134,'배치점수 계산기'!$U$11:$U$1000,0)),2),"")</f>
        <v>891.4</v>
      </c>
      <c r="S134" s="41">
        <f>IFERROR(ROUND(INDEX('배치점수 계산기'!P$11:P$1000,MATCH($C134,'배치점수 계산기'!$U$11:$U$1000,0)),2),"")</f>
        <v>889.84</v>
      </c>
      <c r="T134" s="41">
        <f>IFERROR(ROUND(INDEX('배치점수 계산기'!Q$11:Q$1000,MATCH($C134,'배치점수 계산기'!$U$11:$U$1000,0)),2),"")</f>
        <v>885.9</v>
      </c>
      <c r="U134" s="41">
        <f>IFERROR(INDEX(환산공식!$DC$16:$DC$301,MATCH(E134,환산공식!$A$16:$A$301,0)),"")</f>
        <v>0</v>
      </c>
      <c r="V134" s="113">
        <f t="shared" si="5"/>
        <v>6</v>
      </c>
      <c r="W134" s="110" t="str">
        <f>INDEX('배치점수 계산기'!$AG$11:$AG$800,MATCH('       가 군       '!$C134,'배치점수 계산기'!$U$11:$U$800,0))</f>
        <v>표점/만점</v>
      </c>
      <c r="X134" s="108" t="str">
        <f>INDEX('배치점수 계산기'!$AH$11:$AH$800,MATCH('       가 군       '!$C134,'배치점수 계산기'!$U$11:$U$800,0))</f>
        <v>변표/만점</v>
      </c>
      <c r="Y134" s="113">
        <f>INDEX('배치점수 계산기'!$AB$11:$AB$800,MATCH('       가 군       '!$C134,'배치점수 계산기'!$U$11:$U$800,0))</f>
        <v>0.21707413571547685</v>
      </c>
      <c r="Z134" s="73">
        <f>INDEX('배치점수 계산기'!$AC$11:$AC$800,MATCH('       가 군       '!$C134,'배치점수 계산기'!$U$11:$U$800,0))</f>
        <v>0.38504816930483388</v>
      </c>
      <c r="AA134" s="63">
        <f>INDEX('배치점수 계산기'!$AD$11:$AD$800,MATCH('       가 군       '!$C134,'배치점수 계산기'!$U$11:$U$800,0))</f>
        <v>0.39787769497968917</v>
      </c>
      <c r="AE134" s="7">
        <v>127</v>
      </c>
    </row>
    <row r="135" spans="3:31" x14ac:dyDescent="0.3">
      <c r="C135" s="7" t="s">
        <v>1027</v>
      </c>
      <c r="D135" s="41" t="str">
        <f>IFERROR(INDEX('배치점수 계산기'!V$11:V$1000,MATCH($C135,'배치점수 계산기'!$U$11:$U$1000,0)),"")</f>
        <v>한양 자연</v>
      </c>
      <c r="E135" s="41">
        <f>IFERROR(INDEX('배치점수 계산기'!W$11:W$1000,MATCH($C135,'배치점수 계산기'!$U$11:$U$1000,0)),"")</f>
        <v>27</v>
      </c>
      <c r="F135" s="113" t="s">
        <v>276</v>
      </c>
      <c r="G135" s="41" t="s">
        <v>359</v>
      </c>
      <c r="H135" s="41" t="s">
        <v>358</v>
      </c>
      <c r="I135" s="41" t="s">
        <v>274</v>
      </c>
      <c r="J135" s="41" t="str">
        <f t="shared" si="3"/>
        <v>X</v>
      </c>
      <c r="K135" s="113">
        <f>IFERROR(INDEX(환산공식!CI$16:CI$301,MATCH($E135,환산공식!$A$16:$A$301,0)),"")</f>
        <v>100</v>
      </c>
      <c r="L135" s="41" t="str">
        <f>IFERROR(CONCATENATE(ROUND(INDEX(환산공식!CJ$16:CJ$301,MATCH(E135,환산공식!$A$16:$A$301,0)),1),"%"),"")</f>
        <v>100%</v>
      </c>
      <c r="M135" s="41">
        <f>IFERROR(INDEX(환산공식!CK$16:CK$301,MATCH(E135,환산공식!$A$16:$A$301,0)),"")</f>
        <v>0</v>
      </c>
      <c r="N135" s="113" t="str">
        <f t="shared" si="4"/>
        <v>1% 이하</v>
      </c>
      <c r="O135" s="119">
        <f>IFERROR(ROUND(INDEX(환산공식!$EF$16:$EF$301,MATCH(E135,환산공식!$A$16:$A$301,0)),3),"")</f>
        <v>0</v>
      </c>
      <c r="P135" s="119">
        <f>IFERROR(ROUND(INDEX('배치점수 계산기'!M$11:M$1000,MATCH($C135,'배치점수 계산기'!$U$11:$U$1000,0)),2),"")</f>
        <v>896.13</v>
      </c>
      <c r="Q135" s="41">
        <f>IFERROR(ROUND(INDEX('배치점수 계산기'!N$11:N$1000,MATCH($C135,'배치점수 계산기'!$U$11:$U$1000,0)),2),"")</f>
        <v>894.34</v>
      </c>
      <c r="R135" s="41">
        <f>IFERROR(ROUND(INDEX('배치점수 계산기'!O$11:O$1000,MATCH($C135,'배치점수 계산기'!$U$11:$U$1000,0)),2),"")</f>
        <v>891.28</v>
      </c>
      <c r="S135" s="41">
        <f>IFERROR(ROUND(INDEX('배치점수 계산기'!P$11:P$1000,MATCH($C135,'배치점수 계산기'!$U$11:$U$1000,0)),2),"")</f>
        <v>889.84</v>
      </c>
      <c r="T135" s="41">
        <f>IFERROR(ROUND(INDEX('배치점수 계산기'!Q$11:Q$1000,MATCH($C135,'배치점수 계산기'!$U$11:$U$1000,0)),2),"")</f>
        <v>885.9</v>
      </c>
      <c r="U135" s="41">
        <f>IFERROR(INDEX(환산공식!$DC$16:$DC$301,MATCH(E135,환산공식!$A$16:$A$301,0)),"")</f>
        <v>0</v>
      </c>
      <c r="V135" s="113">
        <f t="shared" si="5"/>
        <v>6</v>
      </c>
      <c r="W135" s="110" t="str">
        <f>INDEX('배치점수 계산기'!$AG$11:$AG$800,MATCH('       가 군       '!$C135,'배치점수 계산기'!$U$11:$U$800,0))</f>
        <v>표점/만점</v>
      </c>
      <c r="X135" s="108" t="str">
        <f>INDEX('배치점수 계산기'!$AH$11:$AH$800,MATCH('       가 군       '!$C135,'배치점수 계산기'!$U$11:$U$800,0))</f>
        <v>변표/만점</v>
      </c>
      <c r="Y135" s="113">
        <f>INDEX('배치점수 계산기'!$AB$11:$AB$800,MATCH('       가 군       '!$C135,'배치점수 계산기'!$U$11:$U$800,0))</f>
        <v>0.21707413571547685</v>
      </c>
      <c r="Z135" s="73">
        <f>INDEX('배치점수 계산기'!$AC$11:$AC$800,MATCH('       가 군       '!$C135,'배치점수 계산기'!$U$11:$U$800,0))</f>
        <v>0.38504816930483388</v>
      </c>
      <c r="AA135" s="63">
        <f>INDEX('배치점수 계산기'!$AD$11:$AD$800,MATCH('       가 군       '!$C135,'배치점수 계산기'!$U$11:$U$800,0))</f>
        <v>0.39787769497968917</v>
      </c>
      <c r="AE135" s="7">
        <v>128</v>
      </c>
    </row>
    <row r="136" spans="3:31" x14ac:dyDescent="0.3">
      <c r="C136" s="7" t="s">
        <v>1028</v>
      </c>
      <c r="D136" s="41" t="str">
        <f>IFERROR(INDEX('배치점수 계산기'!V$11:V$1000,MATCH($C136,'배치점수 계산기'!$U$11:$U$1000,0)),"")</f>
        <v>한양 자연</v>
      </c>
      <c r="E136" s="41">
        <f>IFERROR(INDEX('배치점수 계산기'!W$11:W$1000,MATCH($C136,'배치점수 계산기'!$U$11:$U$1000,0)),"")</f>
        <v>27</v>
      </c>
      <c r="F136" s="113" t="s">
        <v>276</v>
      </c>
      <c r="G136" s="41" t="s">
        <v>359</v>
      </c>
      <c r="H136" s="41" t="s">
        <v>293</v>
      </c>
      <c r="I136" s="41" t="s">
        <v>274</v>
      </c>
      <c r="J136" s="41" t="str">
        <f t="shared" ref="J136:J199" si="6">IFERROR(IF(U136=1,"O",IF(U136=0,"X","")),"")</f>
        <v>X</v>
      </c>
      <c r="K136" s="113">
        <f>IFERROR(INDEX(환산공식!CI$16:CI$301,MATCH($E136,환산공식!$A$16:$A$301,0)),"")</f>
        <v>100</v>
      </c>
      <c r="L136" s="41" t="str">
        <f>IFERROR(CONCATENATE(ROUND(INDEX(환산공식!CJ$16:CJ$301,MATCH(E136,환산공식!$A$16:$A$301,0)),1),"%"),"")</f>
        <v>100%</v>
      </c>
      <c r="M136" s="41">
        <f>IFERROR(INDEX(환산공식!CK$16:CK$301,MATCH(E136,환산공식!$A$16:$A$301,0)),"")</f>
        <v>0</v>
      </c>
      <c r="N136" s="113" t="str">
        <f t="shared" ref="N136:N199" si="7">IF(E136="","",IF(O136&gt;P136,"90% 이상",IF(O136&gt;Q136,CONCATENATE(ROUND(((O136-Q136)/(P136-Q136))*20+70,0),"%"),IF(O136&gt;R136,CONCATENATE(ROUND(((O136-R136)/(Q136-R136))*30+40,0),"%"),IF(O136&gt;S136,CONCATENATE(ROUND(((O136-S136)/(R136-S136))*30+10,0),"%"),IF(O136&gt;T136,CONCATENATE(ROUND(((O136-T136)/(S136-T136))*9+1,0),"%"),"1% 이하"))))))</f>
        <v>1% 이하</v>
      </c>
      <c r="O136" s="119">
        <f>IFERROR(ROUND(INDEX(환산공식!$EF$16:$EF$301,MATCH(E136,환산공식!$A$16:$A$301,0)),3),"")</f>
        <v>0</v>
      </c>
      <c r="P136" s="119">
        <f>IFERROR(ROUND(INDEX('배치점수 계산기'!M$11:M$1000,MATCH($C136,'배치점수 계산기'!$U$11:$U$1000,0)),2),"")</f>
        <v>896.13</v>
      </c>
      <c r="Q136" s="41">
        <f>IFERROR(ROUND(INDEX('배치점수 계산기'!N$11:N$1000,MATCH($C136,'배치점수 계산기'!$U$11:$U$1000,0)),2),"")</f>
        <v>894.34</v>
      </c>
      <c r="R136" s="41">
        <f>IFERROR(ROUND(INDEX('배치점수 계산기'!O$11:O$1000,MATCH($C136,'배치점수 계산기'!$U$11:$U$1000,0)),2),"")</f>
        <v>891.28</v>
      </c>
      <c r="S136" s="41">
        <f>IFERROR(ROUND(INDEX('배치점수 계산기'!P$11:P$1000,MATCH($C136,'배치점수 계산기'!$U$11:$U$1000,0)),2),"")</f>
        <v>889.84</v>
      </c>
      <c r="T136" s="41">
        <f>IFERROR(ROUND(INDEX('배치점수 계산기'!Q$11:Q$1000,MATCH($C136,'배치점수 계산기'!$U$11:$U$1000,0)),2),"")</f>
        <v>885.9</v>
      </c>
      <c r="U136" s="41">
        <f>IFERROR(INDEX(환산공식!$DC$16:$DC$301,MATCH(E136,환산공식!$A$16:$A$301,0)),"")</f>
        <v>0</v>
      </c>
      <c r="V136" s="113">
        <f t="shared" ref="V136:V199" si="8">IFERROR(IF(T136="","",IF(O136&gt;P136,1,IF(O136&gt;Q136,2,IF(O136&gt;R136,3,IF(O136&gt;S136,4,IF(O136&gt;=T136,5,IF(O136&lt;T136,6))))))),"")</f>
        <v>6</v>
      </c>
      <c r="W136" s="110" t="str">
        <f>INDEX('배치점수 계산기'!$AG$11:$AG$800,MATCH('       가 군       '!$C136,'배치점수 계산기'!$U$11:$U$800,0))</f>
        <v>표점/만점</v>
      </c>
      <c r="X136" s="108" t="str">
        <f>INDEX('배치점수 계산기'!$AH$11:$AH$800,MATCH('       가 군       '!$C136,'배치점수 계산기'!$U$11:$U$800,0))</f>
        <v>변표/만점</v>
      </c>
      <c r="Y136" s="113">
        <f>INDEX('배치점수 계산기'!$AB$11:$AB$800,MATCH('       가 군       '!$C136,'배치점수 계산기'!$U$11:$U$800,0))</f>
        <v>0.21707413571547685</v>
      </c>
      <c r="Z136" s="73">
        <f>INDEX('배치점수 계산기'!$AC$11:$AC$800,MATCH('       가 군       '!$C136,'배치점수 계산기'!$U$11:$U$800,0))</f>
        <v>0.38504816930483388</v>
      </c>
      <c r="AA136" s="63">
        <f>INDEX('배치점수 계산기'!$AD$11:$AD$800,MATCH('       가 군       '!$C136,'배치점수 계산기'!$U$11:$U$800,0))</f>
        <v>0.39787769497968917</v>
      </c>
      <c r="AE136" s="7">
        <v>129</v>
      </c>
    </row>
    <row r="137" spans="3:31" x14ac:dyDescent="0.3">
      <c r="C137" s="7" t="s">
        <v>1029</v>
      </c>
      <c r="D137" s="41" t="str">
        <f>IFERROR(INDEX('배치점수 계산기'!V$11:V$1000,MATCH($C137,'배치점수 계산기'!$U$11:$U$1000,0)),"")</f>
        <v>한양 자연</v>
      </c>
      <c r="E137" s="41">
        <f>IFERROR(INDEX('배치점수 계산기'!W$11:W$1000,MATCH($C137,'배치점수 계산기'!$U$11:$U$1000,0)),"")</f>
        <v>27</v>
      </c>
      <c r="F137" s="113" t="s">
        <v>276</v>
      </c>
      <c r="G137" s="41" t="s">
        <v>359</v>
      </c>
      <c r="H137" s="41" t="s">
        <v>360</v>
      </c>
      <c r="I137" s="41" t="s">
        <v>274</v>
      </c>
      <c r="J137" s="41" t="str">
        <f t="shared" si="6"/>
        <v>X</v>
      </c>
      <c r="K137" s="113">
        <f>IFERROR(INDEX(환산공식!CI$16:CI$301,MATCH($E137,환산공식!$A$16:$A$301,0)),"")</f>
        <v>100</v>
      </c>
      <c r="L137" s="41" t="str">
        <f>IFERROR(CONCATENATE(ROUND(INDEX(환산공식!CJ$16:CJ$301,MATCH(E137,환산공식!$A$16:$A$301,0)),1),"%"),"")</f>
        <v>100%</v>
      </c>
      <c r="M137" s="41">
        <f>IFERROR(INDEX(환산공식!CK$16:CK$301,MATCH(E137,환산공식!$A$16:$A$301,0)),"")</f>
        <v>0</v>
      </c>
      <c r="N137" s="113" t="str">
        <f t="shared" si="7"/>
        <v>1% 이하</v>
      </c>
      <c r="O137" s="119">
        <f>IFERROR(ROUND(INDEX(환산공식!$EF$16:$EF$301,MATCH(E137,환산공식!$A$16:$A$301,0)),3),"")</f>
        <v>0</v>
      </c>
      <c r="P137" s="119">
        <f>IFERROR(ROUND(INDEX('배치점수 계산기'!M$11:M$1000,MATCH($C137,'배치점수 계산기'!$U$11:$U$1000,0)),2),"")</f>
        <v>896.13</v>
      </c>
      <c r="Q137" s="41">
        <f>IFERROR(ROUND(INDEX('배치점수 계산기'!N$11:N$1000,MATCH($C137,'배치점수 계산기'!$U$11:$U$1000,0)),2),"")</f>
        <v>894.34</v>
      </c>
      <c r="R137" s="41">
        <f>IFERROR(ROUND(INDEX('배치점수 계산기'!O$11:O$1000,MATCH($C137,'배치점수 계산기'!$U$11:$U$1000,0)),2),"")</f>
        <v>891.28</v>
      </c>
      <c r="S137" s="41">
        <f>IFERROR(ROUND(INDEX('배치점수 계산기'!P$11:P$1000,MATCH($C137,'배치점수 계산기'!$U$11:$U$1000,0)),2),"")</f>
        <v>889.84</v>
      </c>
      <c r="T137" s="41">
        <f>IFERROR(ROUND(INDEX('배치점수 계산기'!Q$11:Q$1000,MATCH($C137,'배치점수 계산기'!$U$11:$U$1000,0)),2),"")</f>
        <v>885.9</v>
      </c>
      <c r="U137" s="41">
        <f>IFERROR(INDEX(환산공식!$DC$16:$DC$301,MATCH(E137,환산공식!$A$16:$A$301,0)),"")</f>
        <v>0</v>
      </c>
      <c r="V137" s="113">
        <f t="shared" si="8"/>
        <v>6</v>
      </c>
      <c r="W137" s="110" t="str">
        <f>INDEX('배치점수 계산기'!$AG$11:$AG$800,MATCH('       가 군       '!$C137,'배치점수 계산기'!$U$11:$U$800,0))</f>
        <v>표점/만점</v>
      </c>
      <c r="X137" s="108" t="str">
        <f>INDEX('배치점수 계산기'!$AH$11:$AH$800,MATCH('       가 군       '!$C137,'배치점수 계산기'!$U$11:$U$800,0))</f>
        <v>변표/만점</v>
      </c>
      <c r="Y137" s="113">
        <f>INDEX('배치점수 계산기'!$AB$11:$AB$800,MATCH('       가 군       '!$C137,'배치점수 계산기'!$U$11:$U$800,0))</f>
        <v>0.21707413571547685</v>
      </c>
      <c r="Z137" s="73">
        <f>INDEX('배치점수 계산기'!$AC$11:$AC$800,MATCH('       가 군       '!$C137,'배치점수 계산기'!$U$11:$U$800,0))</f>
        <v>0.38504816930483388</v>
      </c>
      <c r="AA137" s="63">
        <f>INDEX('배치점수 계산기'!$AD$11:$AD$800,MATCH('       가 군       '!$C137,'배치점수 계산기'!$U$11:$U$800,0))</f>
        <v>0.39787769497968917</v>
      </c>
      <c r="AE137" s="7">
        <v>130</v>
      </c>
    </row>
    <row r="138" spans="3:31" x14ac:dyDescent="0.3">
      <c r="C138" s="7" t="s">
        <v>1030</v>
      </c>
      <c r="D138" s="41" t="str">
        <f>IFERROR(INDEX('배치점수 계산기'!V$11:V$1000,MATCH($C138,'배치점수 계산기'!$U$11:$U$1000,0)),"")</f>
        <v>한양 자연</v>
      </c>
      <c r="E138" s="41">
        <f>IFERROR(INDEX('배치점수 계산기'!W$11:W$1000,MATCH($C138,'배치점수 계산기'!$U$11:$U$1000,0)),"")</f>
        <v>27</v>
      </c>
      <c r="F138" s="113" t="s">
        <v>276</v>
      </c>
      <c r="G138" s="41" t="s">
        <v>359</v>
      </c>
      <c r="H138" s="41" t="s">
        <v>361</v>
      </c>
      <c r="I138" s="41" t="s">
        <v>274</v>
      </c>
      <c r="J138" s="41" t="str">
        <f t="shared" si="6"/>
        <v>X</v>
      </c>
      <c r="K138" s="113">
        <f>IFERROR(INDEX(환산공식!CI$16:CI$301,MATCH($E138,환산공식!$A$16:$A$301,0)),"")</f>
        <v>100</v>
      </c>
      <c r="L138" s="41" t="str">
        <f>IFERROR(CONCATENATE(ROUND(INDEX(환산공식!CJ$16:CJ$301,MATCH(E138,환산공식!$A$16:$A$301,0)),1),"%"),"")</f>
        <v>100%</v>
      </c>
      <c r="M138" s="41">
        <f>IFERROR(INDEX(환산공식!CK$16:CK$301,MATCH(E138,환산공식!$A$16:$A$301,0)),"")</f>
        <v>0</v>
      </c>
      <c r="N138" s="113" t="str">
        <f t="shared" si="7"/>
        <v>1% 이하</v>
      </c>
      <c r="O138" s="119">
        <f>IFERROR(ROUND(INDEX(환산공식!$EF$16:$EF$301,MATCH(E138,환산공식!$A$16:$A$301,0)),3),"")</f>
        <v>0</v>
      </c>
      <c r="P138" s="119">
        <f>IFERROR(ROUND(INDEX('배치점수 계산기'!M$11:M$1000,MATCH($C138,'배치점수 계산기'!$U$11:$U$1000,0)),2),"")</f>
        <v>906.51</v>
      </c>
      <c r="Q138" s="41">
        <f>IFERROR(ROUND(INDEX('배치점수 계산기'!N$11:N$1000,MATCH($C138,'배치점수 계산기'!$U$11:$U$1000,0)),2),"")</f>
        <v>903.37</v>
      </c>
      <c r="R138" s="41">
        <f>IFERROR(ROUND(INDEX('배치점수 계산기'!O$11:O$1000,MATCH($C138,'배치점수 계산기'!$U$11:$U$1000,0)),2),"")</f>
        <v>901.22</v>
      </c>
      <c r="S138" s="41">
        <f>IFERROR(ROUND(INDEX('배치점수 계산기'!P$11:P$1000,MATCH($C138,'배치점수 계산기'!$U$11:$U$1000,0)),2),"")</f>
        <v>896.19</v>
      </c>
      <c r="T138" s="41">
        <f>IFERROR(ROUND(INDEX('배치점수 계산기'!Q$11:Q$1000,MATCH($C138,'배치점수 계산기'!$U$11:$U$1000,0)),2),"")</f>
        <v>890.77</v>
      </c>
      <c r="U138" s="41">
        <f>IFERROR(INDEX(환산공식!$DC$16:$DC$301,MATCH(E138,환산공식!$A$16:$A$301,0)),"")</f>
        <v>0</v>
      </c>
      <c r="V138" s="113">
        <f t="shared" si="8"/>
        <v>6</v>
      </c>
      <c r="W138" s="110" t="str">
        <f>INDEX('배치점수 계산기'!$AG$11:$AG$800,MATCH('       가 군       '!$C138,'배치점수 계산기'!$U$11:$U$800,0))</f>
        <v>표점/만점</v>
      </c>
      <c r="X138" s="108" t="str">
        <f>INDEX('배치점수 계산기'!$AH$11:$AH$800,MATCH('       가 군       '!$C138,'배치점수 계산기'!$U$11:$U$800,0))</f>
        <v>변표/만점</v>
      </c>
      <c r="Y138" s="113">
        <f>INDEX('배치점수 계산기'!$AB$11:$AB$800,MATCH('       가 군       '!$C138,'배치점수 계산기'!$U$11:$U$800,0))</f>
        <v>0.21707413571547685</v>
      </c>
      <c r="Z138" s="73">
        <f>INDEX('배치점수 계산기'!$AC$11:$AC$800,MATCH('       가 군       '!$C138,'배치점수 계산기'!$U$11:$U$800,0))</f>
        <v>0.38504816930483388</v>
      </c>
      <c r="AA138" s="63">
        <f>INDEX('배치점수 계산기'!$AD$11:$AD$800,MATCH('       가 군       '!$C138,'배치점수 계산기'!$U$11:$U$800,0))</f>
        <v>0.39787769497968917</v>
      </c>
      <c r="AE138" s="7">
        <v>131</v>
      </c>
    </row>
    <row r="139" spans="3:31" x14ac:dyDescent="0.3">
      <c r="C139" s="7" t="s">
        <v>1031</v>
      </c>
      <c r="D139" s="41" t="str">
        <f>IFERROR(INDEX('배치점수 계산기'!V$11:V$1000,MATCH($C139,'배치점수 계산기'!$U$11:$U$1000,0)),"")</f>
        <v>한양 자연</v>
      </c>
      <c r="E139" s="41">
        <f>IFERROR(INDEX('배치점수 계산기'!W$11:W$1000,MATCH($C139,'배치점수 계산기'!$U$11:$U$1000,0)),"")</f>
        <v>27</v>
      </c>
      <c r="F139" s="113" t="s">
        <v>276</v>
      </c>
      <c r="G139" s="41" t="s">
        <v>359</v>
      </c>
      <c r="H139" s="41" t="s">
        <v>278</v>
      </c>
      <c r="I139" s="41" t="s">
        <v>274</v>
      </c>
      <c r="J139" s="41" t="str">
        <f t="shared" si="6"/>
        <v>X</v>
      </c>
      <c r="K139" s="113">
        <f>IFERROR(INDEX(환산공식!CI$16:CI$301,MATCH($E139,환산공식!$A$16:$A$301,0)),"")</f>
        <v>100</v>
      </c>
      <c r="L139" s="41" t="str">
        <f>IFERROR(CONCATENATE(ROUND(INDEX(환산공식!CJ$16:CJ$301,MATCH(E139,환산공식!$A$16:$A$301,0)),1),"%"),"")</f>
        <v>100%</v>
      </c>
      <c r="M139" s="41">
        <f>IFERROR(INDEX(환산공식!CK$16:CK$301,MATCH(E139,환산공식!$A$16:$A$301,0)),"")</f>
        <v>0</v>
      </c>
      <c r="N139" s="113" t="str">
        <f t="shared" si="7"/>
        <v>1% 이하</v>
      </c>
      <c r="O139" s="119">
        <f>IFERROR(ROUND(INDEX(환산공식!$EF$16:$EF$301,MATCH(E139,환산공식!$A$16:$A$301,0)),3),"")</f>
        <v>0</v>
      </c>
      <c r="P139" s="119">
        <f>IFERROR(ROUND(INDEX('배치점수 계산기'!M$11:M$1000,MATCH($C139,'배치점수 계산기'!$U$11:$U$1000,0)),2),"")</f>
        <v>904.2</v>
      </c>
      <c r="Q139" s="41">
        <f>IFERROR(ROUND(INDEX('배치점수 계산기'!N$11:N$1000,MATCH($C139,'배치점수 계산기'!$U$11:$U$1000,0)),2),"")</f>
        <v>902.65</v>
      </c>
      <c r="R139" s="41">
        <f>IFERROR(ROUND(INDEX('배치점수 계산기'!O$11:O$1000,MATCH($C139,'배치점수 계산기'!$U$11:$U$1000,0)),2),"")</f>
        <v>900.86</v>
      </c>
      <c r="S139" s="41">
        <f>IFERROR(ROUND(INDEX('배치점수 계산기'!P$11:P$1000,MATCH($C139,'배치점수 계산기'!$U$11:$U$1000,0)),2),"")</f>
        <v>896.19</v>
      </c>
      <c r="T139" s="41">
        <f>IFERROR(ROUND(INDEX('배치점수 계산기'!Q$11:Q$1000,MATCH($C139,'배치점수 계산기'!$U$11:$U$1000,0)),2),"")</f>
        <v>890.77</v>
      </c>
      <c r="U139" s="41">
        <f>IFERROR(INDEX(환산공식!$DC$16:$DC$301,MATCH(E139,환산공식!$A$16:$A$301,0)),"")</f>
        <v>0</v>
      </c>
      <c r="V139" s="113">
        <f t="shared" si="8"/>
        <v>6</v>
      </c>
      <c r="W139" s="110" t="str">
        <f>INDEX('배치점수 계산기'!$AG$11:$AG$800,MATCH('       가 군       '!$C139,'배치점수 계산기'!$U$11:$U$800,0))</f>
        <v>표점/만점</v>
      </c>
      <c r="X139" s="108" t="str">
        <f>INDEX('배치점수 계산기'!$AH$11:$AH$800,MATCH('       가 군       '!$C139,'배치점수 계산기'!$U$11:$U$800,0))</f>
        <v>변표/만점</v>
      </c>
      <c r="Y139" s="113">
        <f>INDEX('배치점수 계산기'!$AB$11:$AB$800,MATCH('       가 군       '!$C139,'배치점수 계산기'!$U$11:$U$800,0))</f>
        <v>0.21707413571547685</v>
      </c>
      <c r="Z139" s="73">
        <f>INDEX('배치점수 계산기'!$AC$11:$AC$800,MATCH('       가 군       '!$C139,'배치점수 계산기'!$U$11:$U$800,0))</f>
        <v>0.38504816930483388</v>
      </c>
      <c r="AA139" s="63">
        <f>INDEX('배치점수 계산기'!$AD$11:$AD$800,MATCH('       가 군       '!$C139,'배치점수 계산기'!$U$11:$U$800,0))</f>
        <v>0.39787769497968917</v>
      </c>
      <c r="AE139" s="7">
        <v>132</v>
      </c>
    </row>
    <row r="140" spans="3:31" x14ac:dyDescent="0.3">
      <c r="C140" s="7" t="s">
        <v>1032</v>
      </c>
      <c r="D140" s="41" t="str">
        <f>IFERROR(INDEX('배치점수 계산기'!V$11:V$1000,MATCH($C140,'배치점수 계산기'!$U$11:$U$1000,0)),"")</f>
        <v>한양 자연</v>
      </c>
      <c r="E140" s="41">
        <f>IFERROR(INDEX('배치점수 계산기'!W$11:W$1000,MATCH($C140,'배치점수 계산기'!$U$11:$U$1000,0)),"")</f>
        <v>27</v>
      </c>
      <c r="F140" s="113" t="s">
        <v>276</v>
      </c>
      <c r="G140" s="41" t="s">
        <v>359</v>
      </c>
      <c r="H140" s="41" t="s">
        <v>879</v>
      </c>
      <c r="I140" s="41" t="s">
        <v>274</v>
      </c>
      <c r="J140" s="41" t="str">
        <f t="shared" si="6"/>
        <v>X</v>
      </c>
      <c r="K140" s="113">
        <f>IFERROR(INDEX(환산공식!CI$16:CI$301,MATCH($E140,환산공식!$A$16:$A$301,0)),"")</f>
        <v>100</v>
      </c>
      <c r="L140" s="41" t="str">
        <f>IFERROR(CONCATENATE(ROUND(INDEX(환산공식!CJ$16:CJ$301,MATCH(E140,환산공식!$A$16:$A$301,0)),1),"%"),"")</f>
        <v>100%</v>
      </c>
      <c r="M140" s="41">
        <f>IFERROR(INDEX(환산공식!CK$16:CK$301,MATCH(E140,환산공식!$A$16:$A$301,0)),"")</f>
        <v>0</v>
      </c>
      <c r="N140" s="113" t="str">
        <f t="shared" si="7"/>
        <v>1% 이하</v>
      </c>
      <c r="O140" s="119">
        <f>IFERROR(ROUND(INDEX(환산공식!$EF$16:$EF$301,MATCH(E140,환산공식!$A$16:$A$301,0)),3),"")</f>
        <v>0</v>
      </c>
      <c r="P140" s="119">
        <f>IFERROR(ROUND(INDEX('배치점수 계산기'!M$11:M$1000,MATCH($C140,'배치점수 계산기'!$U$11:$U$1000,0)),2),"")</f>
        <v>898.14</v>
      </c>
      <c r="Q140" s="41">
        <f>IFERROR(ROUND(INDEX('배치점수 계산기'!N$11:N$1000,MATCH($C140,'배치점수 계산기'!$U$11:$U$1000,0)),2),"")</f>
        <v>896.95</v>
      </c>
      <c r="R140" s="41">
        <f>IFERROR(ROUND(INDEX('배치점수 계산기'!O$11:O$1000,MATCH($C140,'배치점수 계산기'!$U$11:$U$1000,0)),2),"")</f>
        <v>894.94</v>
      </c>
      <c r="S140" s="41">
        <f>IFERROR(ROUND(INDEX('배치점수 계산기'!P$11:P$1000,MATCH($C140,'배치점수 계산기'!$U$11:$U$1000,0)),2),"")</f>
        <v>892.09</v>
      </c>
      <c r="T140" s="41">
        <f>IFERROR(ROUND(INDEX('배치점수 계산기'!Q$11:Q$1000,MATCH($C140,'배치점수 계산기'!$U$11:$U$1000,0)),2),"")</f>
        <v>890.57</v>
      </c>
      <c r="U140" s="41">
        <f>IFERROR(INDEX(환산공식!$DC$16:$DC$301,MATCH(E140,환산공식!$A$16:$A$301,0)),"")</f>
        <v>0</v>
      </c>
      <c r="V140" s="113">
        <f t="shared" si="8"/>
        <v>6</v>
      </c>
      <c r="W140" s="110" t="str">
        <f>INDEX('배치점수 계산기'!$AG$11:$AG$800,MATCH('       가 군       '!$C140,'배치점수 계산기'!$U$11:$U$800,0))</f>
        <v>표점/만점</v>
      </c>
      <c r="X140" s="108" t="str">
        <f>INDEX('배치점수 계산기'!$AH$11:$AH$800,MATCH('       가 군       '!$C140,'배치점수 계산기'!$U$11:$U$800,0))</f>
        <v>변표/만점</v>
      </c>
      <c r="Y140" s="113">
        <f>INDEX('배치점수 계산기'!$AB$11:$AB$800,MATCH('       가 군       '!$C140,'배치점수 계산기'!$U$11:$U$800,0))</f>
        <v>0.21707413571547685</v>
      </c>
      <c r="Z140" s="73">
        <f>INDEX('배치점수 계산기'!$AC$11:$AC$800,MATCH('       가 군       '!$C140,'배치점수 계산기'!$U$11:$U$800,0))</f>
        <v>0.38504816930483388</v>
      </c>
      <c r="AA140" s="63">
        <f>INDEX('배치점수 계산기'!$AD$11:$AD$800,MATCH('       가 군       '!$C140,'배치점수 계산기'!$U$11:$U$800,0))</f>
        <v>0.39787769497968917</v>
      </c>
      <c r="AE140" s="7">
        <v>133</v>
      </c>
    </row>
    <row r="141" spans="3:31" x14ac:dyDescent="0.3">
      <c r="C141" s="7" t="s">
        <v>1033</v>
      </c>
      <c r="D141" s="41" t="str">
        <f>IFERROR(INDEX('배치점수 계산기'!V$11:V$1000,MATCH($C141,'배치점수 계산기'!$U$11:$U$1000,0)),"")</f>
        <v>한양 자연</v>
      </c>
      <c r="E141" s="41">
        <f>IFERROR(INDEX('배치점수 계산기'!W$11:W$1000,MATCH($C141,'배치점수 계산기'!$U$11:$U$1000,0)),"")</f>
        <v>27</v>
      </c>
      <c r="F141" s="113" t="s">
        <v>276</v>
      </c>
      <c r="G141" s="41" t="s">
        <v>359</v>
      </c>
      <c r="H141" s="41" t="s">
        <v>362</v>
      </c>
      <c r="I141" s="41" t="s">
        <v>274</v>
      </c>
      <c r="J141" s="41" t="str">
        <f t="shared" si="6"/>
        <v>X</v>
      </c>
      <c r="K141" s="113">
        <f>IFERROR(INDEX(환산공식!CI$16:CI$301,MATCH($E141,환산공식!$A$16:$A$301,0)),"")</f>
        <v>100</v>
      </c>
      <c r="L141" s="41" t="str">
        <f>IFERROR(CONCATENATE(ROUND(INDEX(환산공식!CJ$16:CJ$301,MATCH(E141,환산공식!$A$16:$A$301,0)),1),"%"),"")</f>
        <v>100%</v>
      </c>
      <c r="M141" s="41">
        <f>IFERROR(INDEX(환산공식!CK$16:CK$301,MATCH(E141,환산공식!$A$16:$A$301,0)),"")</f>
        <v>0</v>
      </c>
      <c r="N141" s="113" t="str">
        <f t="shared" si="7"/>
        <v>1% 이하</v>
      </c>
      <c r="O141" s="119">
        <f>IFERROR(ROUND(INDEX(환산공식!$EF$16:$EF$301,MATCH(E141,환산공식!$A$16:$A$301,0)),3),"")</f>
        <v>0</v>
      </c>
      <c r="P141" s="119">
        <f>IFERROR(ROUND(INDEX('배치점수 계산기'!M$11:M$1000,MATCH($C141,'배치점수 계산기'!$U$11:$U$1000,0)),2),"")</f>
        <v>896.95</v>
      </c>
      <c r="Q141" s="41">
        <f>IFERROR(ROUND(INDEX('배치점수 계산기'!N$11:N$1000,MATCH($C141,'배치점수 계산기'!$U$11:$U$1000,0)),2),"")</f>
        <v>895.99</v>
      </c>
      <c r="R141" s="41">
        <f>IFERROR(ROUND(INDEX('배치점수 계산기'!O$11:O$1000,MATCH($C141,'배치점수 계산기'!$U$11:$U$1000,0)),2),"")</f>
        <v>893.4</v>
      </c>
      <c r="S141" s="41">
        <f>IFERROR(ROUND(INDEX('배치점수 계산기'!P$11:P$1000,MATCH($C141,'배치점수 계산기'!$U$11:$U$1000,0)),2),"")</f>
        <v>891.28</v>
      </c>
      <c r="T141" s="41">
        <f>IFERROR(ROUND(INDEX('배치점수 계산기'!Q$11:Q$1000,MATCH($C141,'배치점수 계산기'!$U$11:$U$1000,0)),2),"")</f>
        <v>889.71</v>
      </c>
      <c r="U141" s="41">
        <f>IFERROR(INDEX(환산공식!$DC$16:$DC$301,MATCH(E141,환산공식!$A$16:$A$301,0)),"")</f>
        <v>0</v>
      </c>
      <c r="V141" s="113">
        <f t="shared" si="8"/>
        <v>6</v>
      </c>
      <c r="W141" s="110" t="str">
        <f>INDEX('배치점수 계산기'!$AG$11:$AG$800,MATCH('       가 군       '!$C141,'배치점수 계산기'!$U$11:$U$800,0))</f>
        <v>표점/만점</v>
      </c>
      <c r="X141" s="108" t="str">
        <f>INDEX('배치점수 계산기'!$AH$11:$AH$800,MATCH('       가 군       '!$C141,'배치점수 계산기'!$U$11:$U$800,0))</f>
        <v>변표/만점</v>
      </c>
      <c r="Y141" s="113">
        <f>INDEX('배치점수 계산기'!$AB$11:$AB$800,MATCH('       가 군       '!$C141,'배치점수 계산기'!$U$11:$U$800,0))</f>
        <v>0.21707413571547685</v>
      </c>
      <c r="Z141" s="73">
        <f>INDEX('배치점수 계산기'!$AC$11:$AC$800,MATCH('       가 군       '!$C141,'배치점수 계산기'!$U$11:$U$800,0))</f>
        <v>0.38504816930483388</v>
      </c>
      <c r="AA141" s="63">
        <f>INDEX('배치점수 계산기'!$AD$11:$AD$800,MATCH('       가 군       '!$C141,'배치점수 계산기'!$U$11:$U$800,0))</f>
        <v>0.39787769497968917</v>
      </c>
      <c r="AE141" s="7">
        <v>134</v>
      </c>
    </row>
    <row r="142" spans="3:31" x14ac:dyDescent="0.3">
      <c r="C142" s="7" t="s">
        <v>1034</v>
      </c>
      <c r="D142" s="41" t="str">
        <f>IFERROR(INDEX('배치점수 계산기'!V$11:V$1000,MATCH($C142,'배치점수 계산기'!$U$11:$U$1000,0)),"")</f>
        <v>한양 자연</v>
      </c>
      <c r="E142" s="41">
        <f>IFERROR(INDEX('배치점수 계산기'!W$11:W$1000,MATCH($C142,'배치점수 계산기'!$U$11:$U$1000,0)),"")</f>
        <v>27</v>
      </c>
      <c r="F142" s="113" t="s">
        <v>276</v>
      </c>
      <c r="G142" s="41" t="s">
        <v>359</v>
      </c>
      <c r="H142" s="41" t="s">
        <v>363</v>
      </c>
      <c r="I142" s="41" t="s">
        <v>274</v>
      </c>
      <c r="J142" s="41" t="str">
        <f t="shared" si="6"/>
        <v>X</v>
      </c>
      <c r="K142" s="113">
        <f>IFERROR(INDEX(환산공식!CI$16:CI$301,MATCH($E142,환산공식!$A$16:$A$301,0)),"")</f>
        <v>100</v>
      </c>
      <c r="L142" s="41" t="str">
        <f>IFERROR(CONCATENATE(ROUND(INDEX(환산공식!CJ$16:CJ$301,MATCH(E142,환산공식!$A$16:$A$301,0)),1),"%"),"")</f>
        <v>100%</v>
      </c>
      <c r="M142" s="41">
        <f>IFERROR(INDEX(환산공식!CK$16:CK$301,MATCH(E142,환산공식!$A$16:$A$301,0)),"")</f>
        <v>0</v>
      </c>
      <c r="N142" s="113" t="str">
        <f t="shared" si="7"/>
        <v>1% 이하</v>
      </c>
      <c r="O142" s="119">
        <f>IFERROR(ROUND(INDEX(환산공식!$EF$16:$EF$301,MATCH(E142,환산공식!$A$16:$A$301,0)),3),"")</f>
        <v>0</v>
      </c>
      <c r="P142" s="119">
        <f>IFERROR(ROUND(INDEX('배치점수 계산기'!M$11:M$1000,MATCH($C142,'배치점수 계산기'!$U$11:$U$1000,0)),2),"")</f>
        <v>896.13</v>
      </c>
      <c r="Q142" s="41">
        <f>IFERROR(ROUND(INDEX('배치점수 계산기'!N$11:N$1000,MATCH($C142,'배치점수 계산기'!$U$11:$U$1000,0)),2),"")</f>
        <v>894.94</v>
      </c>
      <c r="R142" s="41">
        <f>IFERROR(ROUND(INDEX('배치점수 계산기'!O$11:O$1000,MATCH($C142,'배치점수 계산기'!$U$11:$U$1000,0)),2),"")</f>
        <v>893.05</v>
      </c>
      <c r="S142" s="41">
        <f>IFERROR(ROUND(INDEX('배치점수 계산기'!P$11:P$1000,MATCH($C142,'배치점수 계산기'!$U$11:$U$1000,0)),2),"")</f>
        <v>891.28</v>
      </c>
      <c r="T142" s="41">
        <f>IFERROR(ROUND(INDEX('배치점수 계산기'!Q$11:Q$1000,MATCH($C142,'배치점수 계산기'!$U$11:$U$1000,0)),2),"")</f>
        <v>888.4</v>
      </c>
      <c r="U142" s="41">
        <f>IFERROR(INDEX(환산공식!$DC$16:$DC$301,MATCH(E142,환산공식!$A$16:$A$301,0)),"")</f>
        <v>0</v>
      </c>
      <c r="V142" s="113">
        <f t="shared" si="8"/>
        <v>6</v>
      </c>
      <c r="W142" s="110" t="str">
        <f>INDEX('배치점수 계산기'!$AG$11:$AG$800,MATCH('       가 군       '!$C142,'배치점수 계산기'!$U$11:$U$800,0))</f>
        <v>표점/만점</v>
      </c>
      <c r="X142" s="108" t="str">
        <f>INDEX('배치점수 계산기'!$AH$11:$AH$800,MATCH('       가 군       '!$C142,'배치점수 계산기'!$U$11:$U$800,0))</f>
        <v>변표/만점</v>
      </c>
      <c r="Y142" s="113">
        <f>INDEX('배치점수 계산기'!$AB$11:$AB$800,MATCH('       가 군       '!$C142,'배치점수 계산기'!$U$11:$U$800,0))</f>
        <v>0.21707413571547685</v>
      </c>
      <c r="Z142" s="73">
        <f>INDEX('배치점수 계산기'!$AC$11:$AC$800,MATCH('       가 군       '!$C142,'배치점수 계산기'!$U$11:$U$800,0))</f>
        <v>0.38504816930483388</v>
      </c>
      <c r="AA142" s="63">
        <f>INDEX('배치점수 계산기'!$AD$11:$AD$800,MATCH('       가 군       '!$C142,'배치점수 계산기'!$U$11:$U$800,0))</f>
        <v>0.39787769497968917</v>
      </c>
      <c r="AE142" s="7">
        <v>135</v>
      </c>
    </row>
    <row r="143" spans="3:31" x14ac:dyDescent="0.3">
      <c r="C143" s="7" t="s">
        <v>1035</v>
      </c>
      <c r="D143" s="41" t="str">
        <f>IFERROR(INDEX('배치점수 계산기'!V$11:V$1000,MATCH($C143,'배치점수 계산기'!$U$11:$U$1000,0)),"")</f>
        <v>한양 자연</v>
      </c>
      <c r="E143" s="41">
        <f>IFERROR(INDEX('배치점수 계산기'!W$11:W$1000,MATCH($C143,'배치점수 계산기'!$U$11:$U$1000,0)),"")</f>
        <v>27</v>
      </c>
      <c r="F143" s="113" t="s">
        <v>276</v>
      </c>
      <c r="G143" s="41" t="s">
        <v>359</v>
      </c>
      <c r="H143" s="41" t="s">
        <v>280</v>
      </c>
      <c r="I143" s="41" t="s">
        <v>274</v>
      </c>
      <c r="J143" s="41" t="str">
        <f t="shared" si="6"/>
        <v>X</v>
      </c>
      <c r="K143" s="113">
        <f>IFERROR(INDEX(환산공식!CI$16:CI$301,MATCH($E143,환산공식!$A$16:$A$301,0)),"")</f>
        <v>100</v>
      </c>
      <c r="L143" s="41" t="str">
        <f>IFERROR(CONCATENATE(ROUND(INDEX(환산공식!CJ$16:CJ$301,MATCH(E143,환산공식!$A$16:$A$301,0)),1),"%"),"")</f>
        <v>100%</v>
      </c>
      <c r="M143" s="41">
        <f>IFERROR(INDEX(환산공식!CK$16:CK$301,MATCH(E143,환산공식!$A$16:$A$301,0)),"")</f>
        <v>0</v>
      </c>
      <c r="N143" s="113" t="str">
        <f t="shared" si="7"/>
        <v>1% 이하</v>
      </c>
      <c r="O143" s="119">
        <f>IFERROR(ROUND(INDEX(환산공식!$EF$16:$EF$301,MATCH(E143,환산공식!$A$16:$A$301,0)),3),"")</f>
        <v>0</v>
      </c>
      <c r="P143" s="119">
        <f>IFERROR(ROUND(INDEX('배치점수 계산기'!M$11:M$1000,MATCH($C143,'배치점수 계산기'!$U$11:$U$1000,0)),2),"")</f>
        <v>899.69</v>
      </c>
      <c r="Q143" s="41">
        <f>IFERROR(ROUND(INDEX('배치점수 계산기'!N$11:N$1000,MATCH($C143,'배치점수 계산기'!$U$11:$U$1000,0)),2),"")</f>
        <v>898.14</v>
      </c>
      <c r="R143" s="41">
        <f>IFERROR(ROUND(INDEX('배치점수 계산기'!O$11:O$1000,MATCH($C143,'배치점수 계산기'!$U$11:$U$1000,0)),2),"")</f>
        <v>894.94</v>
      </c>
      <c r="S143" s="41">
        <f>IFERROR(ROUND(INDEX('배치점수 계산기'!P$11:P$1000,MATCH($C143,'배치점수 계산기'!$U$11:$U$1000,0)),2),"")</f>
        <v>890.57</v>
      </c>
      <c r="T143" s="41">
        <f>IFERROR(ROUND(INDEX('배치점수 계산기'!Q$11:Q$1000,MATCH($C143,'배치점수 계산기'!$U$11:$U$1000,0)),2),"")</f>
        <v>889</v>
      </c>
      <c r="U143" s="41">
        <f>IFERROR(INDEX(환산공식!$DC$16:$DC$301,MATCH(E143,환산공식!$A$16:$A$301,0)),"")</f>
        <v>0</v>
      </c>
      <c r="V143" s="113">
        <f t="shared" si="8"/>
        <v>6</v>
      </c>
      <c r="W143" s="110" t="str">
        <f>INDEX('배치점수 계산기'!$AG$11:$AG$800,MATCH('       가 군       '!$C143,'배치점수 계산기'!$U$11:$U$800,0))</f>
        <v>표점/만점</v>
      </c>
      <c r="X143" s="108" t="str">
        <f>INDEX('배치점수 계산기'!$AH$11:$AH$800,MATCH('       가 군       '!$C143,'배치점수 계산기'!$U$11:$U$800,0))</f>
        <v>변표/만점</v>
      </c>
      <c r="Y143" s="113">
        <f>INDEX('배치점수 계산기'!$AB$11:$AB$800,MATCH('       가 군       '!$C143,'배치점수 계산기'!$U$11:$U$800,0))</f>
        <v>0.21707413571547685</v>
      </c>
      <c r="Z143" s="73">
        <f>INDEX('배치점수 계산기'!$AC$11:$AC$800,MATCH('       가 군       '!$C143,'배치점수 계산기'!$U$11:$U$800,0))</f>
        <v>0.38504816930483388</v>
      </c>
      <c r="AA143" s="63">
        <f>INDEX('배치점수 계산기'!$AD$11:$AD$800,MATCH('       가 군       '!$C143,'배치점수 계산기'!$U$11:$U$800,0))</f>
        <v>0.39787769497968917</v>
      </c>
      <c r="AE143" s="7">
        <v>136</v>
      </c>
    </row>
    <row r="144" spans="3:31" x14ac:dyDescent="0.3">
      <c r="C144" s="7" t="s">
        <v>1036</v>
      </c>
      <c r="D144" s="41" t="str">
        <f>IFERROR(INDEX('배치점수 계산기'!V$11:V$1000,MATCH($C144,'배치점수 계산기'!$U$11:$U$1000,0)),"")</f>
        <v>한양 자연</v>
      </c>
      <c r="E144" s="41">
        <f>IFERROR(INDEX('배치점수 계산기'!W$11:W$1000,MATCH($C144,'배치점수 계산기'!$U$11:$U$1000,0)),"")</f>
        <v>27</v>
      </c>
      <c r="F144" s="113" t="s">
        <v>276</v>
      </c>
      <c r="G144" s="41" t="s">
        <v>359</v>
      </c>
      <c r="H144" s="41" t="s">
        <v>365</v>
      </c>
      <c r="I144" s="41" t="s">
        <v>274</v>
      </c>
      <c r="J144" s="41" t="str">
        <f t="shared" si="6"/>
        <v>X</v>
      </c>
      <c r="K144" s="113">
        <f>IFERROR(INDEX(환산공식!CI$16:CI$301,MATCH($E144,환산공식!$A$16:$A$301,0)),"")</f>
        <v>100</v>
      </c>
      <c r="L144" s="41" t="str">
        <f>IFERROR(CONCATENATE(ROUND(INDEX(환산공식!CJ$16:CJ$301,MATCH(E144,환산공식!$A$16:$A$301,0)),1),"%"),"")</f>
        <v>100%</v>
      </c>
      <c r="M144" s="41">
        <f>IFERROR(INDEX(환산공식!CK$16:CK$301,MATCH(E144,환산공식!$A$16:$A$301,0)),"")</f>
        <v>0</v>
      </c>
      <c r="N144" s="113" t="str">
        <f t="shared" si="7"/>
        <v>1% 이하</v>
      </c>
      <c r="O144" s="119">
        <f>IFERROR(ROUND(INDEX(환산공식!$EF$16:$EF$301,MATCH(E144,환산공식!$A$16:$A$301,0)),3),"")</f>
        <v>0</v>
      </c>
      <c r="P144" s="119">
        <f>IFERROR(ROUND(INDEX('배치점수 계산기'!M$11:M$1000,MATCH($C144,'배치점수 계산기'!$U$11:$U$1000,0)),2),"")</f>
        <v>897.66</v>
      </c>
      <c r="Q144" s="41">
        <f>IFERROR(ROUND(INDEX('배치점수 계산기'!N$11:N$1000,MATCH($C144,'배치점수 계산기'!$U$11:$U$1000,0)),2),"")</f>
        <v>894.94</v>
      </c>
      <c r="R144" s="41">
        <f>IFERROR(ROUND(INDEX('배치점수 계산기'!O$11:O$1000,MATCH($C144,'배치점수 계산기'!$U$11:$U$1000,0)),2),"")</f>
        <v>892.09</v>
      </c>
      <c r="S144" s="41">
        <f>IFERROR(ROUND(INDEX('배치점수 계산기'!P$11:P$1000,MATCH($C144,'배치점수 계산기'!$U$11:$U$1000,0)),2),"")</f>
        <v>890.57</v>
      </c>
      <c r="T144" s="41">
        <f>IFERROR(ROUND(INDEX('배치점수 계산기'!Q$11:Q$1000,MATCH($C144,'배치점수 계산기'!$U$11:$U$1000,0)),2),"")</f>
        <v>887.36</v>
      </c>
      <c r="U144" s="41">
        <f>IFERROR(INDEX(환산공식!$DC$16:$DC$301,MATCH(E144,환산공식!$A$16:$A$301,0)),"")</f>
        <v>0</v>
      </c>
      <c r="V144" s="113">
        <f t="shared" si="8"/>
        <v>6</v>
      </c>
      <c r="W144" s="110" t="str">
        <f>INDEX('배치점수 계산기'!$AG$11:$AG$800,MATCH('       가 군       '!$C144,'배치점수 계산기'!$U$11:$U$800,0))</f>
        <v>표점/만점</v>
      </c>
      <c r="X144" s="108" t="str">
        <f>INDEX('배치점수 계산기'!$AH$11:$AH$800,MATCH('       가 군       '!$C144,'배치점수 계산기'!$U$11:$U$800,0))</f>
        <v>변표/만점</v>
      </c>
      <c r="Y144" s="113">
        <f>INDEX('배치점수 계산기'!$AB$11:$AB$800,MATCH('       가 군       '!$C144,'배치점수 계산기'!$U$11:$U$800,0))</f>
        <v>0.21707413571547685</v>
      </c>
      <c r="Z144" s="73">
        <f>INDEX('배치점수 계산기'!$AC$11:$AC$800,MATCH('       가 군       '!$C144,'배치점수 계산기'!$U$11:$U$800,0))</f>
        <v>0.38504816930483388</v>
      </c>
      <c r="AA144" s="63">
        <f>INDEX('배치점수 계산기'!$AD$11:$AD$800,MATCH('       가 군       '!$C144,'배치점수 계산기'!$U$11:$U$800,0))</f>
        <v>0.39787769497968917</v>
      </c>
      <c r="AE144" s="7">
        <v>137</v>
      </c>
    </row>
    <row r="145" spans="3:31" x14ac:dyDescent="0.3">
      <c r="C145" s="7" t="s">
        <v>1037</v>
      </c>
      <c r="D145" s="41" t="str">
        <f>IFERROR(INDEX('배치점수 계산기'!V$11:V$1000,MATCH($C145,'배치점수 계산기'!$U$11:$U$1000,0)),"")</f>
        <v>한양 자연</v>
      </c>
      <c r="E145" s="41">
        <f>IFERROR(INDEX('배치점수 계산기'!W$11:W$1000,MATCH($C145,'배치점수 계산기'!$U$11:$U$1000,0)),"")</f>
        <v>27</v>
      </c>
      <c r="F145" s="113" t="s">
        <v>276</v>
      </c>
      <c r="G145" s="41" t="s">
        <v>359</v>
      </c>
      <c r="H145" s="41" t="s">
        <v>281</v>
      </c>
      <c r="I145" s="41" t="s">
        <v>274</v>
      </c>
      <c r="J145" s="41" t="str">
        <f t="shared" si="6"/>
        <v>X</v>
      </c>
      <c r="K145" s="113">
        <f>IFERROR(INDEX(환산공식!CI$16:CI$301,MATCH($E145,환산공식!$A$16:$A$301,0)),"")</f>
        <v>100</v>
      </c>
      <c r="L145" s="41" t="str">
        <f>IFERROR(CONCATENATE(ROUND(INDEX(환산공식!CJ$16:CJ$301,MATCH(E145,환산공식!$A$16:$A$301,0)),1),"%"),"")</f>
        <v>100%</v>
      </c>
      <c r="M145" s="41">
        <f>IFERROR(INDEX(환산공식!CK$16:CK$301,MATCH(E145,환산공식!$A$16:$A$301,0)),"")</f>
        <v>0</v>
      </c>
      <c r="N145" s="113" t="str">
        <f t="shared" si="7"/>
        <v>1% 이하</v>
      </c>
      <c r="O145" s="119">
        <f>IFERROR(ROUND(INDEX(환산공식!$EF$16:$EF$301,MATCH(E145,환산공식!$A$16:$A$301,0)),3),"")</f>
        <v>0</v>
      </c>
      <c r="P145" s="119">
        <f>IFERROR(ROUND(INDEX('배치점수 계산기'!M$11:M$1000,MATCH($C145,'배치점수 계산기'!$U$11:$U$1000,0)),2),"")</f>
        <v>898.14</v>
      </c>
      <c r="Q145" s="41">
        <f>IFERROR(ROUND(INDEX('배치점수 계산기'!N$11:N$1000,MATCH($C145,'배치점수 계산기'!$U$11:$U$1000,0)),2),"")</f>
        <v>896.95</v>
      </c>
      <c r="R145" s="41">
        <f>IFERROR(ROUND(INDEX('배치점수 계산기'!O$11:O$1000,MATCH($C145,'배치점수 계산기'!$U$11:$U$1000,0)),2),"")</f>
        <v>894.94</v>
      </c>
      <c r="S145" s="41">
        <f>IFERROR(ROUND(INDEX('배치점수 계산기'!P$11:P$1000,MATCH($C145,'배치점수 계산기'!$U$11:$U$1000,0)),2),"")</f>
        <v>892.09</v>
      </c>
      <c r="T145" s="41">
        <f>IFERROR(ROUND(INDEX('배치점수 계산기'!Q$11:Q$1000,MATCH($C145,'배치점수 계산기'!$U$11:$U$1000,0)),2),"")</f>
        <v>890.57</v>
      </c>
      <c r="U145" s="41">
        <f>IFERROR(INDEX(환산공식!$DC$16:$DC$301,MATCH(E145,환산공식!$A$16:$A$301,0)),"")</f>
        <v>0</v>
      </c>
      <c r="V145" s="113">
        <f t="shared" si="8"/>
        <v>6</v>
      </c>
      <c r="W145" s="110" t="str">
        <f>INDEX('배치점수 계산기'!$AG$11:$AG$800,MATCH('       가 군       '!$C145,'배치점수 계산기'!$U$11:$U$800,0))</f>
        <v>표점/만점</v>
      </c>
      <c r="X145" s="108" t="str">
        <f>INDEX('배치점수 계산기'!$AH$11:$AH$800,MATCH('       가 군       '!$C145,'배치점수 계산기'!$U$11:$U$800,0))</f>
        <v>변표/만점</v>
      </c>
      <c r="Y145" s="113">
        <f>INDEX('배치점수 계산기'!$AB$11:$AB$800,MATCH('       가 군       '!$C145,'배치점수 계산기'!$U$11:$U$800,0))</f>
        <v>0.21707413571547685</v>
      </c>
      <c r="Z145" s="73">
        <f>INDEX('배치점수 계산기'!$AC$11:$AC$800,MATCH('       가 군       '!$C145,'배치점수 계산기'!$U$11:$U$800,0))</f>
        <v>0.38504816930483388</v>
      </c>
      <c r="AA145" s="63">
        <f>INDEX('배치점수 계산기'!$AD$11:$AD$800,MATCH('       가 군       '!$C145,'배치점수 계산기'!$U$11:$U$800,0))</f>
        <v>0.39787769497968917</v>
      </c>
      <c r="AE145" s="7">
        <v>138</v>
      </c>
    </row>
    <row r="146" spans="3:31" x14ac:dyDescent="0.3">
      <c r="C146" s="7" t="s">
        <v>1038</v>
      </c>
      <c r="D146" s="41" t="str">
        <f>IFERROR(INDEX('배치점수 계산기'!V$11:V$1000,MATCH($C146,'배치점수 계산기'!$U$11:$U$1000,0)),"")</f>
        <v>한양 통합</v>
      </c>
      <c r="E146" s="41">
        <f>IFERROR(INDEX('배치점수 계산기'!W$11:W$1000,MATCH($C146,'배치점수 계산기'!$U$11:$U$1000,0)),"")</f>
        <v>28</v>
      </c>
      <c r="F146" s="113" t="s">
        <v>276</v>
      </c>
      <c r="G146" s="41" t="s">
        <v>359</v>
      </c>
      <c r="H146" s="41" t="s">
        <v>303</v>
      </c>
      <c r="I146" s="41" t="s">
        <v>275</v>
      </c>
      <c r="J146" s="41" t="str">
        <f t="shared" si="6"/>
        <v>X</v>
      </c>
      <c r="K146" s="113">
        <f>IFERROR(INDEX(환산공식!CI$16:CI$301,MATCH($E146,환산공식!$A$16:$A$301,0)),"")</f>
        <v>100</v>
      </c>
      <c r="L146" s="41" t="str">
        <f>IFERROR(CONCATENATE(ROUND(INDEX(환산공식!CJ$16:CJ$301,MATCH(E146,환산공식!$A$16:$A$301,0)),1),"%"),"")</f>
        <v>100%</v>
      </c>
      <c r="M146" s="41">
        <f>IFERROR(INDEX(환산공식!CK$16:CK$301,MATCH(E146,환산공식!$A$16:$A$301,0)),"")</f>
        <v>0</v>
      </c>
      <c r="N146" s="113" t="str">
        <f t="shared" si="7"/>
        <v>1% 이하</v>
      </c>
      <c r="O146" s="119">
        <f>IFERROR(ROUND(INDEX(환산공식!$EF$16:$EF$301,MATCH(E146,환산공식!$A$16:$A$301,0)),3),"")</f>
        <v>0</v>
      </c>
      <c r="P146" s="119">
        <f>IFERROR(ROUND(INDEX('배치점수 계산기'!M$11:M$1000,MATCH($C146,'배치점수 계산기'!$U$11:$U$1000,0)),2),"")</f>
        <v>887.5</v>
      </c>
      <c r="Q146" s="41">
        <f>IFERROR(ROUND(INDEX('배치점수 계산기'!N$11:N$1000,MATCH($C146,'배치점수 계산기'!$U$11:$U$1000,0)),2),"")</f>
        <v>885.81</v>
      </c>
      <c r="R146" s="41">
        <f>IFERROR(ROUND(INDEX('배치점수 계산기'!O$11:O$1000,MATCH($C146,'배치점수 계산기'!$U$11:$U$1000,0)),2),"")</f>
        <v>884.17</v>
      </c>
      <c r="S146" s="41">
        <f>IFERROR(ROUND(INDEX('배치점수 계산기'!P$11:P$1000,MATCH($C146,'배치점수 계산기'!$U$11:$U$1000,0)),2),"")</f>
        <v>883.11</v>
      </c>
      <c r="T146" s="41">
        <f>IFERROR(ROUND(INDEX('배치점수 계산기'!Q$11:Q$1000,MATCH($C146,'배치점수 계산기'!$U$11:$U$1000,0)),2),"")</f>
        <v>882.41</v>
      </c>
      <c r="U146" s="41">
        <f>IFERROR(INDEX(환산공식!$DC$16:$DC$301,MATCH(E146,환산공식!$A$16:$A$301,0)),"")</f>
        <v>0</v>
      </c>
      <c r="V146" s="113">
        <f t="shared" si="8"/>
        <v>6</v>
      </c>
      <c r="W146" s="110" t="str">
        <f>INDEX('배치점수 계산기'!$AG$11:$AG$800,MATCH('       가 군       '!$C146,'배치점수 계산기'!$U$11:$U$800,0))</f>
        <v>표점/만점</v>
      </c>
      <c r="X146" s="108" t="str">
        <f>INDEX('배치점수 계산기'!$AH$11:$AH$800,MATCH('       가 군       '!$C146,'배치점수 계산기'!$U$11:$U$800,0))</f>
        <v>변표/만점</v>
      </c>
      <c r="Y146" s="113">
        <f>INDEX('배치점수 계산기'!$AB$11:$AB$800,MATCH('       가 군       '!$C146,'배치점수 계산기'!$U$11:$U$800,0))</f>
        <v>0.31822878228782286</v>
      </c>
      <c r="Z146" s="73">
        <f>INDEX('배치점수 계산기'!$AC$11:$AC$800,MATCH('       가 군       '!$C146,'배치점수 계산기'!$U$11:$U$800,0))</f>
        <v>0.32255842558425585</v>
      </c>
      <c r="AA146" s="63">
        <f>INDEX('배치점수 계산기'!$AD$11:$AD$800,MATCH('       가 군       '!$C146,'배치점수 계산기'!$U$11:$U$800,0))</f>
        <v>0.35921279212792129</v>
      </c>
      <c r="AE146" s="7">
        <v>139</v>
      </c>
    </row>
    <row r="147" spans="3:31" x14ac:dyDescent="0.3">
      <c r="C147" s="7" t="s">
        <v>1040</v>
      </c>
      <c r="D147" s="41" t="str">
        <f>IFERROR(INDEX('배치점수 계산기'!V$11:V$1000,MATCH($C147,'배치점수 계산기'!$U$11:$U$1000,0)),"")</f>
        <v>한양 통합</v>
      </c>
      <c r="E147" s="41">
        <f>IFERROR(INDEX('배치점수 계산기'!W$11:W$1000,MATCH($C147,'배치점수 계산기'!$U$11:$U$1000,0)),"")</f>
        <v>28</v>
      </c>
      <c r="F147" s="113" t="s">
        <v>276</v>
      </c>
      <c r="G147" s="41" t="s">
        <v>359</v>
      </c>
      <c r="H147" s="41" t="s">
        <v>312</v>
      </c>
      <c r="I147" s="41" t="s">
        <v>275</v>
      </c>
      <c r="J147" s="41" t="str">
        <f t="shared" si="6"/>
        <v>X</v>
      </c>
      <c r="K147" s="113">
        <f>IFERROR(INDEX(환산공식!CI$16:CI$301,MATCH($E147,환산공식!$A$16:$A$301,0)),"")</f>
        <v>100</v>
      </c>
      <c r="L147" s="41" t="str">
        <f>IFERROR(CONCATENATE(ROUND(INDEX(환산공식!CJ$16:CJ$301,MATCH(E147,환산공식!$A$16:$A$301,0)),1),"%"),"")</f>
        <v>100%</v>
      </c>
      <c r="M147" s="41">
        <f>IFERROR(INDEX(환산공식!CK$16:CK$301,MATCH(E147,환산공식!$A$16:$A$301,0)),"")</f>
        <v>0</v>
      </c>
      <c r="N147" s="113" t="str">
        <f t="shared" si="7"/>
        <v>1% 이하</v>
      </c>
      <c r="O147" s="119">
        <f>IFERROR(ROUND(INDEX(환산공식!$EF$16:$EF$301,MATCH(E147,환산공식!$A$16:$A$301,0)),3),"")</f>
        <v>0</v>
      </c>
      <c r="P147" s="119">
        <f>IFERROR(ROUND(INDEX('배치점수 계산기'!M$11:M$1000,MATCH($C147,'배치점수 계산기'!$U$11:$U$1000,0)),2),"")</f>
        <v>885.81</v>
      </c>
      <c r="Q147" s="41">
        <f>IFERROR(ROUND(INDEX('배치점수 계산기'!N$11:N$1000,MATCH($C147,'배치점수 계산기'!$U$11:$U$1000,0)),2),"")</f>
        <v>884.17</v>
      </c>
      <c r="R147" s="41">
        <f>IFERROR(ROUND(INDEX('배치점수 계산기'!O$11:O$1000,MATCH($C147,'배치점수 계산기'!$U$11:$U$1000,0)),2),"")</f>
        <v>883.24</v>
      </c>
      <c r="S147" s="41">
        <f>IFERROR(ROUND(INDEX('배치점수 계산기'!P$11:P$1000,MATCH($C147,'배치점수 계산기'!$U$11:$U$1000,0)),2),"")</f>
        <v>882.85</v>
      </c>
      <c r="T147" s="41">
        <f>IFERROR(ROUND(INDEX('배치점수 계산기'!Q$11:Q$1000,MATCH($C147,'배치점수 계산기'!$U$11:$U$1000,0)),2),"")</f>
        <v>882.01</v>
      </c>
      <c r="U147" s="41">
        <f>IFERROR(INDEX(환산공식!$DC$16:$DC$301,MATCH(E147,환산공식!$A$16:$A$301,0)),"")</f>
        <v>0</v>
      </c>
      <c r="V147" s="113">
        <f t="shared" si="8"/>
        <v>6</v>
      </c>
      <c r="W147" s="110" t="str">
        <f>INDEX('배치점수 계산기'!$AG$11:$AG$800,MATCH('       가 군       '!$C147,'배치점수 계산기'!$U$11:$U$800,0))</f>
        <v>표점/만점</v>
      </c>
      <c r="X147" s="108" t="str">
        <f>INDEX('배치점수 계산기'!$AH$11:$AH$800,MATCH('       가 군       '!$C147,'배치점수 계산기'!$U$11:$U$800,0))</f>
        <v>변표/만점</v>
      </c>
      <c r="Y147" s="113">
        <f>INDEX('배치점수 계산기'!$AB$11:$AB$800,MATCH('       가 군       '!$C147,'배치점수 계산기'!$U$11:$U$800,0))</f>
        <v>0.31822878228782286</v>
      </c>
      <c r="Z147" s="73">
        <f>INDEX('배치점수 계산기'!$AC$11:$AC$800,MATCH('       가 군       '!$C147,'배치점수 계산기'!$U$11:$U$800,0))</f>
        <v>0.32255842558425585</v>
      </c>
      <c r="AA147" s="63">
        <f>INDEX('배치점수 계산기'!$AD$11:$AD$800,MATCH('       가 군       '!$C147,'배치점수 계산기'!$U$11:$U$800,0))</f>
        <v>0.35921279212792129</v>
      </c>
      <c r="AE147" s="7">
        <v>140</v>
      </c>
    </row>
    <row r="148" spans="3:31" x14ac:dyDescent="0.3">
      <c r="C148" s="7" t="s">
        <v>1041</v>
      </c>
      <c r="D148" s="41" t="str">
        <f>IFERROR(INDEX('배치점수 계산기'!V$11:V$1000,MATCH($C148,'배치점수 계산기'!$U$11:$U$1000,0)),"")</f>
        <v>한양 통합</v>
      </c>
      <c r="E148" s="41">
        <f>IFERROR(INDEX('배치점수 계산기'!W$11:W$1000,MATCH($C148,'배치점수 계산기'!$U$11:$U$1000,0)),"")</f>
        <v>28</v>
      </c>
      <c r="F148" s="113" t="s">
        <v>276</v>
      </c>
      <c r="G148" s="41" t="s">
        <v>359</v>
      </c>
      <c r="H148" s="41" t="s">
        <v>299</v>
      </c>
      <c r="I148" s="41" t="s">
        <v>275</v>
      </c>
      <c r="J148" s="41" t="str">
        <f t="shared" si="6"/>
        <v>X</v>
      </c>
      <c r="K148" s="113">
        <f>IFERROR(INDEX(환산공식!CI$16:CI$301,MATCH($E148,환산공식!$A$16:$A$301,0)),"")</f>
        <v>100</v>
      </c>
      <c r="L148" s="41" t="str">
        <f>IFERROR(CONCATENATE(ROUND(INDEX(환산공식!CJ$16:CJ$301,MATCH(E148,환산공식!$A$16:$A$301,0)),1),"%"),"")</f>
        <v>100%</v>
      </c>
      <c r="M148" s="41">
        <f>IFERROR(INDEX(환산공식!CK$16:CK$301,MATCH(E148,환산공식!$A$16:$A$301,0)),"")</f>
        <v>0</v>
      </c>
      <c r="N148" s="113" t="str">
        <f t="shared" si="7"/>
        <v>1% 이하</v>
      </c>
      <c r="O148" s="119">
        <f>IFERROR(ROUND(INDEX(환산공식!$EF$16:$EF$301,MATCH(E148,환산공식!$A$16:$A$301,0)),3),"")</f>
        <v>0</v>
      </c>
      <c r="P148" s="119">
        <f>IFERROR(ROUND(INDEX('배치점수 계산기'!M$11:M$1000,MATCH($C148,'배치점수 계산기'!$U$11:$U$1000,0)),2),"")</f>
        <v>887.5</v>
      </c>
      <c r="Q148" s="41">
        <f>IFERROR(ROUND(INDEX('배치점수 계산기'!N$11:N$1000,MATCH($C148,'배치점수 계산기'!$U$11:$U$1000,0)),2),"")</f>
        <v>885.81</v>
      </c>
      <c r="R148" s="41">
        <f>IFERROR(ROUND(INDEX('배치점수 계산기'!O$11:O$1000,MATCH($C148,'배치점수 계산기'!$U$11:$U$1000,0)),2),"")</f>
        <v>884.17</v>
      </c>
      <c r="S148" s="41">
        <f>IFERROR(ROUND(INDEX('배치점수 계산기'!P$11:P$1000,MATCH($C148,'배치점수 계산기'!$U$11:$U$1000,0)),2),"")</f>
        <v>883.11</v>
      </c>
      <c r="T148" s="41">
        <f>IFERROR(ROUND(INDEX('배치점수 계산기'!Q$11:Q$1000,MATCH($C148,'배치점수 계산기'!$U$11:$U$1000,0)),2),"")</f>
        <v>882.41</v>
      </c>
      <c r="U148" s="41">
        <f>IFERROR(INDEX(환산공식!$DC$16:$DC$301,MATCH(E148,환산공식!$A$16:$A$301,0)),"")</f>
        <v>0</v>
      </c>
      <c r="V148" s="113">
        <f t="shared" si="8"/>
        <v>6</v>
      </c>
      <c r="W148" s="110" t="str">
        <f>INDEX('배치점수 계산기'!$AG$11:$AG$800,MATCH('       가 군       '!$C148,'배치점수 계산기'!$U$11:$U$800,0))</f>
        <v>표점/만점</v>
      </c>
      <c r="X148" s="108" t="str">
        <f>INDEX('배치점수 계산기'!$AH$11:$AH$800,MATCH('       가 군       '!$C148,'배치점수 계산기'!$U$11:$U$800,0))</f>
        <v>변표/만점</v>
      </c>
      <c r="Y148" s="113">
        <f>INDEX('배치점수 계산기'!$AB$11:$AB$800,MATCH('       가 군       '!$C148,'배치점수 계산기'!$U$11:$U$800,0))</f>
        <v>0.31822878228782286</v>
      </c>
      <c r="Z148" s="73">
        <f>INDEX('배치점수 계산기'!$AC$11:$AC$800,MATCH('       가 군       '!$C148,'배치점수 계산기'!$U$11:$U$800,0))</f>
        <v>0.32255842558425585</v>
      </c>
      <c r="AA148" s="63">
        <f>INDEX('배치점수 계산기'!$AD$11:$AD$800,MATCH('       가 군       '!$C148,'배치점수 계산기'!$U$11:$U$800,0))</f>
        <v>0.35921279212792129</v>
      </c>
      <c r="AE148" s="7">
        <v>141</v>
      </c>
    </row>
    <row r="149" spans="3:31" x14ac:dyDescent="0.3">
      <c r="C149" s="7" t="s">
        <v>1042</v>
      </c>
      <c r="D149" s="41" t="str">
        <f>IFERROR(INDEX('배치점수 계산기'!V$11:V$1000,MATCH($C149,'배치점수 계산기'!$U$11:$U$1000,0)),"")</f>
        <v>한양 통합</v>
      </c>
      <c r="E149" s="41">
        <f>IFERROR(INDEX('배치점수 계산기'!W$11:W$1000,MATCH($C149,'배치점수 계산기'!$U$11:$U$1000,0)),"")</f>
        <v>28</v>
      </c>
      <c r="F149" s="113" t="s">
        <v>276</v>
      </c>
      <c r="G149" s="41" t="s">
        <v>359</v>
      </c>
      <c r="H149" s="41" t="s">
        <v>308</v>
      </c>
      <c r="I149" s="41" t="s">
        <v>275</v>
      </c>
      <c r="J149" s="41" t="str">
        <f t="shared" si="6"/>
        <v>X</v>
      </c>
      <c r="K149" s="113">
        <f>IFERROR(INDEX(환산공식!CI$16:CI$301,MATCH($E149,환산공식!$A$16:$A$301,0)),"")</f>
        <v>100</v>
      </c>
      <c r="L149" s="41" t="str">
        <f>IFERROR(CONCATENATE(ROUND(INDEX(환산공식!CJ$16:CJ$301,MATCH(E149,환산공식!$A$16:$A$301,0)),1),"%"),"")</f>
        <v>100%</v>
      </c>
      <c r="M149" s="41">
        <f>IFERROR(INDEX(환산공식!CK$16:CK$301,MATCH(E149,환산공식!$A$16:$A$301,0)),"")</f>
        <v>0</v>
      </c>
      <c r="N149" s="113" t="str">
        <f t="shared" si="7"/>
        <v>1% 이하</v>
      </c>
      <c r="O149" s="119">
        <f>IFERROR(ROUND(INDEX(환산공식!$EF$16:$EF$301,MATCH(E149,환산공식!$A$16:$A$301,0)),3),"")</f>
        <v>0</v>
      </c>
      <c r="P149" s="119">
        <f>IFERROR(ROUND(INDEX('배치점수 계산기'!M$11:M$1000,MATCH($C149,'배치점수 계산기'!$U$11:$U$1000,0)),2),"")</f>
        <v>887.5</v>
      </c>
      <c r="Q149" s="41">
        <f>IFERROR(ROUND(INDEX('배치점수 계산기'!N$11:N$1000,MATCH($C149,'배치점수 계산기'!$U$11:$U$1000,0)),2),"")</f>
        <v>885.81</v>
      </c>
      <c r="R149" s="41">
        <f>IFERROR(ROUND(INDEX('배치점수 계산기'!O$11:O$1000,MATCH($C149,'배치점수 계산기'!$U$11:$U$1000,0)),2),"")</f>
        <v>884.17</v>
      </c>
      <c r="S149" s="41">
        <f>IFERROR(ROUND(INDEX('배치점수 계산기'!P$11:P$1000,MATCH($C149,'배치점수 계산기'!$U$11:$U$1000,0)),2),"")</f>
        <v>883.11</v>
      </c>
      <c r="T149" s="41">
        <f>IFERROR(ROUND(INDEX('배치점수 계산기'!Q$11:Q$1000,MATCH($C149,'배치점수 계산기'!$U$11:$U$1000,0)),2),"")</f>
        <v>882.41</v>
      </c>
      <c r="U149" s="41">
        <f>IFERROR(INDEX(환산공식!$DC$16:$DC$301,MATCH(E149,환산공식!$A$16:$A$301,0)),"")</f>
        <v>0</v>
      </c>
      <c r="V149" s="113">
        <f t="shared" si="8"/>
        <v>6</v>
      </c>
      <c r="W149" s="110" t="str">
        <f>INDEX('배치점수 계산기'!$AG$11:$AG$800,MATCH('       가 군       '!$C149,'배치점수 계산기'!$U$11:$U$800,0))</f>
        <v>표점/만점</v>
      </c>
      <c r="X149" s="108" t="str">
        <f>INDEX('배치점수 계산기'!$AH$11:$AH$800,MATCH('       가 군       '!$C149,'배치점수 계산기'!$U$11:$U$800,0))</f>
        <v>변표/만점</v>
      </c>
      <c r="Y149" s="113">
        <f>INDEX('배치점수 계산기'!$AB$11:$AB$800,MATCH('       가 군       '!$C149,'배치점수 계산기'!$U$11:$U$800,0))</f>
        <v>0.31822878228782286</v>
      </c>
      <c r="Z149" s="73">
        <f>INDEX('배치점수 계산기'!$AC$11:$AC$800,MATCH('       가 군       '!$C149,'배치점수 계산기'!$U$11:$U$800,0))</f>
        <v>0.32255842558425585</v>
      </c>
      <c r="AA149" s="63">
        <f>INDEX('배치점수 계산기'!$AD$11:$AD$800,MATCH('       가 군       '!$C149,'배치점수 계산기'!$U$11:$U$800,0))</f>
        <v>0.35921279212792129</v>
      </c>
      <c r="AE149" s="7">
        <v>142</v>
      </c>
    </row>
    <row r="150" spans="3:31" x14ac:dyDescent="0.3">
      <c r="C150" s="7" t="s">
        <v>1043</v>
      </c>
      <c r="D150" s="41" t="str">
        <f>IFERROR(INDEX('배치점수 계산기'!V$11:V$1000,MATCH($C150,'배치점수 계산기'!$U$11:$U$1000,0)),"")</f>
        <v>한양 통합</v>
      </c>
      <c r="E150" s="41">
        <f>IFERROR(INDEX('배치점수 계산기'!W$11:W$1000,MATCH($C150,'배치점수 계산기'!$U$11:$U$1000,0)),"")</f>
        <v>28</v>
      </c>
      <c r="F150" s="113" t="s">
        <v>276</v>
      </c>
      <c r="G150" s="41" t="s">
        <v>359</v>
      </c>
      <c r="H150" s="41" t="s">
        <v>307</v>
      </c>
      <c r="I150" s="41" t="s">
        <v>275</v>
      </c>
      <c r="J150" s="41" t="str">
        <f t="shared" si="6"/>
        <v>X</v>
      </c>
      <c r="K150" s="113">
        <f>IFERROR(INDEX(환산공식!CI$16:CI$301,MATCH($E150,환산공식!$A$16:$A$301,0)),"")</f>
        <v>100</v>
      </c>
      <c r="L150" s="41" t="str">
        <f>IFERROR(CONCATENATE(ROUND(INDEX(환산공식!CJ$16:CJ$301,MATCH(E150,환산공식!$A$16:$A$301,0)),1),"%"),"")</f>
        <v>100%</v>
      </c>
      <c r="M150" s="41">
        <f>IFERROR(INDEX(환산공식!CK$16:CK$301,MATCH(E150,환산공식!$A$16:$A$301,0)),"")</f>
        <v>0</v>
      </c>
      <c r="N150" s="113" t="str">
        <f t="shared" si="7"/>
        <v>1% 이하</v>
      </c>
      <c r="O150" s="119">
        <f>IFERROR(ROUND(INDEX(환산공식!$EF$16:$EF$301,MATCH(E150,환산공식!$A$16:$A$301,0)),3),"")</f>
        <v>0</v>
      </c>
      <c r="P150" s="119">
        <f>IFERROR(ROUND(INDEX('배치점수 계산기'!M$11:M$1000,MATCH($C150,'배치점수 계산기'!$U$11:$U$1000,0)),2),"")</f>
        <v>886.54</v>
      </c>
      <c r="Q150" s="41">
        <f>IFERROR(ROUND(INDEX('배치점수 계산기'!N$11:N$1000,MATCH($C150,'배치점수 계산기'!$U$11:$U$1000,0)),2),"")</f>
        <v>885.28</v>
      </c>
      <c r="R150" s="41">
        <f>IFERROR(ROUND(INDEX('배치점수 계산기'!O$11:O$1000,MATCH($C150,'배치점수 계산기'!$U$11:$U$1000,0)),2),"")</f>
        <v>883.24</v>
      </c>
      <c r="S150" s="41">
        <f>IFERROR(ROUND(INDEX('배치점수 계산기'!P$11:P$1000,MATCH($C150,'배치점수 계산기'!$U$11:$U$1000,0)),2),"")</f>
        <v>882.85</v>
      </c>
      <c r="T150" s="41">
        <f>IFERROR(ROUND(INDEX('배치점수 계산기'!Q$11:Q$1000,MATCH($C150,'배치점수 계산기'!$U$11:$U$1000,0)),2),"")</f>
        <v>882.01</v>
      </c>
      <c r="U150" s="41">
        <f>IFERROR(INDEX(환산공식!$DC$16:$DC$301,MATCH(E150,환산공식!$A$16:$A$301,0)),"")</f>
        <v>0</v>
      </c>
      <c r="V150" s="113">
        <f t="shared" si="8"/>
        <v>6</v>
      </c>
      <c r="W150" s="110" t="str">
        <f>INDEX('배치점수 계산기'!$AG$11:$AG$800,MATCH('       가 군       '!$C150,'배치점수 계산기'!$U$11:$U$800,0))</f>
        <v>표점/만점</v>
      </c>
      <c r="X150" s="108" t="str">
        <f>INDEX('배치점수 계산기'!$AH$11:$AH$800,MATCH('       가 군       '!$C150,'배치점수 계산기'!$U$11:$U$800,0))</f>
        <v>변표/만점</v>
      </c>
      <c r="Y150" s="113">
        <f>INDEX('배치점수 계산기'!$AB$11:$AB$800,MATCH('       가 군       '!$C150,'배치점수 계산기'!$U$11:$U$800,0))</f>
        <v>0.31822878228782286</v>
      </c>
      <c r="Z150" s="73">
        <f>INDEX('배치점수 계산기'!$AC$11:$AC$800,MATCH('       가 군       '!$C150,'배치점수 계산기'!$U$11:$U$800,0))</f>
        <v>0.32255842558425585</v>
      </c>
      <c r="AA150" s="63">
        <f>INDEX('배치점수 계산기'!$AD$11:$AD$800,MATCH('       가 군       '!$C150,'배치점수 계산기'!$U$11:$U$800,0))</f>
        <v>0.35921279212792129</v>
      </c>
      <c r="AE150" s="7">
        <v>143</v>
      </c>
    </row>
    <row r="151" spans="3:31" x14ac:dyDescent="0.3">
      <c r="C151" s="7" t="s">
        <v>1044</v>
      </c>
      <c r="D151" s="41" t="str">
        <f>IFERROR(INDEX('배치점수 계산기'!V$11:V$1000,MATCH($C151,'배치점수 계산기'!$U$11:$U$1000,0)),"")</f>
        <v>한양 통합</v>
      </c>
      <c r="E151" s="41">
        <f>IFERROR(INDEX('배치점수 계산기'!W$11:W$1000,MATCH($C151,'배치점수 계산기'!$U$11:$U$1000,0)),"")</f>
        <v>28</v>
      </c>
      <c r="F151" s="113" t="s">
        <v>276</v>
      </c>
      <c r="G151" s="41" t="s">
        <v>359</v>
      </c>
      <c r="H151" s="41" t="s">
        <v>309</v>
      </c>
      <c r="I151" s="41" t="s">
        <v>275</v>
      </c>
      <c r="J151" s="41" t="str">
        <f t="shared" si="6"/>
        <v>X</v>
      </c>
      <c r="K151" s="113">
        <f>IFERROR(INDEX(환산공식!CI$16:CI$301,MATCH($E151,환산공식!$A$16:$A$301,0)),"")</f>
        <v>100</v>
      </c>
      <c r="L151" s="41" t="str">
        <f>IFERROR(CONCATENATE(ROUND(INDEX(환산공식!CJ$16:CJ$301,MATCH(E151,환산공식!$A$16:$A$301,0)),1),"%"),"")</f>
        <v>100%</v>
      </c>
      <c r="M151" s="41">
        <f>IFERROR(INDEX(환산공식!CK$16:CK$301,MATCH(E151,환산공식!$A$16:$A$301,0)),"")</f>
        <v>0</v>
      </c>
      <c r="N151" s="113" t="str">
        <f t="shared" si="7"/>
        <v>1% 이하</v>
      </c>
      <c r="O151" s="119">
        <f>IFERROR(ROUND(INDEX(환산공식!$EF$16:$EF$301,MATCH(E151,환산공식!$A$16:$A$301,0)),3),"")</f>
        <v>0</v>
      </c>
      <c r="P151" s="119">
        <f>IFERROR(ROUND(INDEX('배치점수 계산기'!M$11:M$1000,MATCH($C151,'배치점수 계산기'!$U$11:$U$1000,0)),2),"")</f>
        <v>885.81</v>
      </c>
      <c r="Q151" s="41">
        <f>IFERROR(ROUND(INDEX('배치점수 계산기'!N$11:N$1000,MATCH($C151,'배치점수 계산기'!$U$11:$U$1000,0)),2),"")</f>
        <v>884.17</v>
      </c>
      <c r="R151" s="41">
        <f>IFERROR(ROUND(INDEX('배치점수 계산기'!O$11:O$1000,MATCH($C151,'배치점수 계산기'!$U$11:$U$1000,0)),2),"")</f>
        <v>883.24</v>
      </c>
      <c r="S151" s="41">
        <f>IFERROR(ROUND(INDEX('배치점수 계산기'!P$11:P$1000,MATCH($C151,'배치점수 계산기'!$U$11:$U$1000,0)),2),"")</f>
        <v>882.85</v>
      </c>
      <c r="T151" s="41">
        <f>IFERROR(ROUND(INDEX('배치점수 계산기'!Q$11:Q$1000,MATCH($C151,'배치점수 계산기'!$U$11:$U$1000,0)),2),"")</f>
        <v>882.01</v>
      </c>
      <c r="U151" s="41">
        <f>IFERROR(INDEX(환산공식!$DC$16:$DC$301,MATCH(E151,환산공식!$A$16:$A$301,0)),"")</f>
        <v>0</v>
      </c>
      <c r="V151" s="113">
        <f t="shared" si="8"/>
        <v>6</v>
      </c>
      <c r="W151" s="110" t="str">
        <f>INDEX('배치점수 계산기'!$AG$11:$AG$800,MATCH('       가 군       '!$C151,'배치점수 계산기'!$U$11:$U$800,0))</f>
        <v>표점/만점</v>
      </c>
      <c r="X151" s="108" t="str">
        <f>INDEX('배치점수 계산기'!$AH$11:$AH$800,MATCH('       가 군       '!$C151,'배치점수 계산기'!$U$11:$U$800,0))</f>
        <v>변표/만점</v>
      </c>
      <c r="Y151" s="113">
        <f>INDEX('배치점수 계산기'!$AB$11:$AB$800,MATCH('       가 군       '!$C151,'배치점수 계산기'!$U$11:$U$800,0))</f>
        <v>0.31822878228782286</v>
      </c>
      <c r="Z151" s="73">
        <f>INDEX('배치점수 계산기'!$AC$11:$AC$800,MATCH('       가 군       '!$C151,'배치점수 계산기'!$U$11:$U$800,0))</f>
        <v>0.32255842558425585</v>
      </c>
      <c r="AA151" s="63">
        <f>INDEX('배치점수 계산기'!$AD$11:$AD$800,MATCH('       가 군       '!$C151,'배치점수 계산기'!$U$11:$U$800,0))</f>
        <v>0.35921279212792129</v>
      </c>
      <c r="AE151" s="7">
        <v>144</v>
      </c>
    </row>
    <row r="152" spans="3:31" x14ac:dyDescent="0.3">
      <c r="C152" s="7" t="s">
        <v>1045</v>
      </c>
      <c r="D152" s="41" t="str">
        <f>IFERROR(INDEX('배치점수 계산기'!V$11:V$1000,MATCH($C152,'배치점수 계산기'!$U$11:$U$1000,0)),"")</f>
        <v>한양 통합</v>
      </c>
      <c r="E152" s="41">
        <f>IFERROR(INDEX('배치점수 계산기'!W$11:W$1000,MATCH($C152,'배치점수 계산기'!$U$11:$U$1000,0)),"")</f>
        <v>28</v>
      </c>
      <c r="F152" s="113" t="s">
        <v>276</v>
      </c>
      <c r="G152" s="41" t="s">
        <v>359</v>
      </c>
      <c r="H152" s="41" t="s">
        <v>263</v>
      </c>
      <c r="I152" s="41" t="s">
        <v>275</v>
      </c>
      <c r="J152" s="41" t="str">
        <f t="shared" si="6"/>
        <v>X</v>
      </c>
      <c r="K152" s="113">
        <f>IFERROR(INDEX(환산공식!CI$16:CI$301,MATCH($E152,환산공식!$A$16:$A$301,0)),"")</f>
        <v>100</v>
      </c>
      <c r="L152" s="41" t="str">
        <f>IFERROR(CONCATENATE(ROUND(INDEX(환산공식!CJ$16:CJ$301,MATCH(E152,환산공식!$A$16:$A$301,0)),1),"%"),"")</f>
        <v>100%</v>
      </c>
      <c r="M152" s="41">
        <f>IFERROR(INDEX(환산공식!CK$16:CK$301,MATCH(E152,환산공식!$A$16:$A$301,0)),"")</f>
        <v>0</v>
      </c>
      <c r="N152" s="113" t="str">
        <f t="shared" si="7"/>
        <v>1% 이하</v>
      </c>
      <c r="O152" s="119">
        <f>IFERROR(ROUND(INDEX(환산공식!$EF$16:$EF$301,MATCH(E152,환산공식!$A$16:$A$301,0)),3),"")</f>
        <v>0</v>
      </c>
      <c r="P152" s="119">
        <f>IFERROR(ROUND(INDEX('배치점수 계산기'!M$11:M$1000,MATCH($C152,'배치점수 계산기'!$U$11:$U$1000,0)),2),"")</f>
        <v>889.7</v>
      </c>
      <c r="Q152" s="41">
        <f>IFERROR(ROUND(INDEX('배치점수 계산기'!N$11:N$1000,MATCH($C152,'배치점수 계산기'!$U$11:$U$1000,0)),2),"")</f>
        <v>887.7</v>
      </c>
      <c r="R152" s="41">
        <f>IFERROR(ROUND(INDEX('배치점수 계산기'!O$11:O$1000,MATCH($C152,'배치점수 계산기'!$U$11:$U$1000,0)),2),"")</f>
        <v>886.01</v>
      </c>
      <c r="S152" s="41">
        <f>IFERROR(ROUND(INDEX('배치점수 계산기'!P$11:P$1000,MATCH($C152,'배치점수 계산기'!$U$11:$U$1000,0)),2),"")</f>
        <v>884.17</v>
      </c>
      <c r="T152" s="41">
        <f>IFERROR(ROUND(INDEX('배치점수 계산기'!Q$11:Q$1000,MATCH($C152,'배치점수 계산기'!$U$11:$U$1000,0)),2),"")</f>
        <v>882.85</v>
      </c>
      <c r="U152" s="41">
        <f>IFERROR(INDEX(환산공식!$DC$16:$DC$301,MATCH(E152,환산공식!$A$16:$A$301,0)),"")</f>
        <v>0</v>
      </c>
      <c r="V152" s="113">
        <f t="shared" si="8"/>
        <v>6</v>
      </c>
      <c r="W152" s="110" t="str">
        <f>INDEX('배치점수 계산기'!$AG$11:$AG$800,MATCH('       가 군       '!$C152,'배치점수 계산기'!$U$11:$U$800,0))</f>
        <v>표점/만점</v>
      </c>
      <c r="X152" s="108" t="str">
        <f>INDEX('배치점수 계산기'!$AH$11:$AH$800,MATCH('       가 군       '!$C152,'배치점수 계산기'!$U$11:$U$800,0))</f>
        <v>변표/만점</v>
      </c>
      <c r="Y152" s="113">
        <f>INDEX('배치점수 계산기'!$AB$11:$AB$800,MATCH('       가 군       '!$C152,'배치점수 계산기'!$U$11:$U$800,0))</f>
        <v>0.31822878228782286</v>
      </c>
      <c r="Z152" s="73">
        <f>INDEX('배치점수 계산기'!$AC$11:$AC$800,MATCH('       가 군       '!$C152,'배치점수 계산기'!$U$11:$U$800,0))</f>
        <v>0.32255842558425585</v>
      </c>
      <c r="AA152" s="63">
        <f>INDEX('배치점수 계산기'!$AD$11:$AD$800,MATCH('       가 군       '!$C152,'배치점수 계산기'!$U$11:$U$800,0))</f>
        <v>0.35921279212792129</v>
      </c>
      <c r="AE152" s="7">
        <v>145</v>
      </c>
    </row>
    <row r="153" spans="3:31" x14ac:dyDescent="0.3">
      <c r="C153" s="7" t="s">
        <v>1046</v>
      </c>
      <c r="D153" s="41" t="str">
        <f>IFERROR(INDEX('배치점수 계산기'!V$11:V$1000,MATCH($C153,'배치점수 계산기'!$U$11:$U$1000,0)),"")</f>
        <v>한양 통합</v>
      </c>
      <c r="E153" s="41">
        <f>IFERROR(INDEX('배치점수 계산기'!W$11:W$1000,MATCH($C153,'배치점수 계산기'!$U$11:$U$1000,0)),"")</f>
        <v>28</v>
      </c>
      <c r="F153" s="113" t="s">
        <v>276</v>
      </c>
      <c r="G153" s="41" t="s">
        <v>359</v>
      </c>
      <c r="H153" s="41" t="s">
        <v>264</v>
      </c>
      <c r="I153" s="41" t="s">
        <v>275</v>
      </c>
      <c r="J153" s="41" t="str">
        <f t="shared" si="6"/>
        <v>X</v>
      </c>
      <c r="K153" s="113">
        <f>IFERROR(INDEX(환산공식!CI$16:CI$301,MATCH($E153,환산공식!$A$16:$A$301,0)),"")</f>
        <v>100</v>
      </c>
      <c r="L153" s="41" t="str">
        <f>IFERROR(CONCATENATE(ROUND(INDEX(환산공식!CJ$16:CJ$301,MATCH(E153,환산공식!$A$16:$A$301,0)),1),"%"),"")</f>
        <v>100%</v>
      </c>
      <c r="M153" s="41">
        <f>IFERROR(INDEX(환산공식!CK$16:CK$301,MATCH(E153,환산공식!$A$16:$A$301,0)),"")</f>
        <v>0</v>
      </c>
      <c r="N153" s="113" t="str">
        <f t="shared" si="7"/>
        <v>1% 이하</v>
      </c>
      <c r="O153" s="119">
        <f>IFERROR(ROUND(INDEX(환산공식!$EF$16:$EF$301,MATCH(E153,환산공식!$A$16:$A$301,0)),3),"")</f>
        <v>0</v>
      </c>
      <c r="P153" s="119">
        <f>IFERROR(ROUND(INDEX('배치점수 계산기'!M$11:M$1000,MATCH($C153,'배치점수 계산기'!$U$11:$U$1000,0)),2),"")</f>
        <v>888.77</v>
      </c>
      <c r="Q153" s="41">
        <f>IFERROR(ROUND(INDEX('배치점수 계산기'!N$11:N$1000,MATCH($C153,'배치점수 계산기'!$U$11:$U$1000,0)),2),"")</f>
        <v>887.04</v>
      </c>
      <c r="R153" s="41">
        <f>IFERROR(ROUND(INDEX('배치점수 계산기'!O$11:O$1000,MATCH($C153,'배치점수 계산기'!$U$11:$U$1000,0)),2),"")</f>
        <v>885.28</v>
      </c>
      <c r="S153" s="41">
        <f>IFERROR(ROUND(INDEX('배치점수 계산기'!P$11:P$1000,MATCH($C153,'배치점수 계산기'!$U$11:$U$1000,0)),2),"")</f>
        <v>883.64</v>
      </c>
      <c r="T153" s="41">
        <f>IFERROR(ROUND(INDEX('배치점수 계산기'!Q$11:Q$1000,MATCH($C153,'배치점수 계산기'!$U$11:$U$1000,0)),2),"")</f>
        <v>882.85</v>
      </c>
      <c r="U153" s="41">
        <f>IFERROR(INDEX(환산공식!$DC$16:$DC$301,MATCH(E153,환산공식!$A$16:$A$301,0)),"")</f>
        <v>0</v>
      </c>
      <c r="V153" s="113">
        <f t="shared" si="8"/>
        <v>6</v>
      </c>
      <c r="W153" s="110" t="str">
        <f>INDEX('배치점수 계산기'!$AG$11:$AG$800,MATCH('       가 군       '!$C153,'배치점수 계산기'!$U$11:$U$800,0))</f>
        <v>표점/만점</v>
      </c>
      <c r="X153" s="108" t="str">
        <f>INDEX('배치점수 계산기'!$AH$11:$AH$800,MATCH('       가 군       '!$C153,'배치점수 계산기'!$U$11:$U$800,0))</f>
        <v>변표/만점</v>
      </c>
      <c r="Y153" s="113">
        <f>INDEX('배치점수 계산기'!$AB$11:$AB$800,MATCH('       가 군       '!$C153,'배치점수 계산기'!$U$11:$U$800,0))</f>
        <v>0.31822878228782286</v>
      </c>
      <c r="Z153" s="73">
        <f>INDEX('배치점수 계산기'!$AC$11:$AC$800,MATCH('       가 군       '!$C153,'배치점수 계산기'!$U$11:$U$800,0))</f>
        <v>0.32255842558425585</v>
      </c>
      <c r="AA153" s="63">
        <f>INDEX('배치점수 계산기'!$AD$11:$AD$800,MATCH('       가 군       '!$C153,'배치점수 계산기'!$U$11:$U$800,0))</f>
        <v>0.35921279212792129</v>
      </c>
      <c r="AE153" s="7">
        <v>146</v>
      </c>
    </row>
    <row r="154" spans="3:31" x14ac:dyDescent="0.3">
      <c r="C154" s="7" t="s">
        <v>1047</v>
      </c>
      <c r="D154" s="41" t="str">
        <f>IFERROR(INDEX('배치점수 계산기'!V$11:V$1000,MATCH($C154,'배치점수 계산기'!$U$11:$U$1000,0)),"")</f>
        <v>한양 자연</v>
      </c>
      <c r="E154" s="41">
        <f>IFERROR(INDEX('배치점수 계산기'!W$11:W$1000,MATCH($C154,'배치점수 계산기'!$U$11:$U$1000,0)),"")</f>
        <v>27</v>
      </c>
      <c r="F154" s="113" t="s">
        <v>276</v>
      </c>
      <c r="G154" s="41" t="s">
        <v>359</v>
      </c>
      <c r="H154" s="41" t="s">
        <v>252</v>
      </c>
      <c r="I154" s="41" t="s">
        <v>274</v>
      </c>
      <c r="J154" s="41" t="str">
        <f t="shared" si="6"/>
        <v>X</v>
      </c>
      <c r="K154" s="113">
        <f>IFERROR(INDEX(환산공식!CI$16:CI$301,MATCH($E154,환산공식!$A$16:$A$301,0)),"")</f>
        <v>100</v>
      </c>
      <c r="L154" s="41" t="str">
        <f>IFERROR(CONCATENATE(ROUND(INDEX(환산공식!CJ$16:CJ$301,MATCH(E154,환산공식!$A$16:$A$301,0)),1),"%"),"")</f>
        <v>100%</v>
      </c>
      <c r="M154" s="41">
        <f>IFERROR(INDEX(환산공식!CK$16:CK$301,MATCH(E154,환산공식!$A$16:$A$301,0)),"")</f>
        <v>0</v>
      </c>
      <c r="N154" s="113" t="str">
        <f t="shared" si="7"/>
        <v>1% 이하</v>
      </c>
      <c r="O154" s="119">
        <f>IFERROR(ROUND(INDEX(환산공식!$EF$16:$EF$301,MATCH(E154,환산공식!$A$16:$A$301,0)),3),"")</f>
        <v>0</v>
      </c>
      <c r="P154" s="119">
        <f>IFERROR(ROUND(INDEX('배치점수 계산기'!M$11:M$1000,MATCH($C154,'배치점수 계산기'!$U$11:$U$1000,0)),2),"")</f>
        <v>896.95</v>
      </c>
      <c r="Q154" s="41">
        <f>IFERROR(ROUND(INDEX('배치점수 계산기'!N$11:N$1000,MATCH($C154,'배치점수 계산기'!$U$11:$U$1000,0)),2),"")</f>
        <v>894.34</v>
      </c>
      <c r="R154" s="41">
        <f>IFERROR(ROUND(INDEX('배치점수 계산기'!O$11:O$1000,MATCH($C154,'배치점수 계산기'!$U$11:$U$1000,0)),2),"")</f>
        <v>891.86</v>
      </c>
      <c r="S154" s="41">
        <f>IFERROR(ROUND(INDEX('배치점수 계산기'!P$11:P$1000,MATCH($C154,'배치점수 계산기'!$U$11:$U$1000,0)),2),"")</f>
        <v>890.57</v>
      </c>
      <c r="T154" s="41">
        <f>IFERROR(ROUND(INDEX('배치점수 계산기'!Q$11:Q$1000,MATCH($C154,'배치점수 계산기'!$U$11:$U$1000,0)),2),"")</f>
        <v>888.4</v>
      </c>
      <c r="U154" s="41">
        <f>IFERROR(INDEX(환산공식!$DC$16:$DC$301,MATCH(E154,환산공식!$A$16:$A$301,0)),"")</f>
        <v>0</v>
      </c>
      <c r="V154" s="113">
        <f t="shared" si="8"/>
        <v>6</v>
      </c>
      <c r="W154" s="110" t="str">
        <f>INDEX('배치점수 계산기'!$AG$11:$AG$800,MATCH('       가 군       '!$C154,'배치점수 계산기'!$U$11:$U$800,0))</f>
        <v>표점/만점</v>
      </c>
      <c r="X154" s="108" t="str">
        <f>INDEX('배치점수 계산기'!$AH$11:$AH$800,MATCH('       가 군       '!$C154,'배치점수 계산기'!$U$11:$U$800,0))</f>
        <v>변표/만점</v>
      </c>
      <c r="Y154" s="113">
        <f>INDEX('배치점수 계산기'!$AB$11:$AB$800,MATCH('       가 군       '!$C154,'배치점수 계산기'!$U$11:$U$800,0))</f>
        <v>0.21707413571547685</v>
      </c>
      <c r="Z154" s="73">
        <f>INDEX('배치점수 계산기'!$AC$11:$AC$800,MATCH('       가 군       '!$C154,'배치점수 계산기'!$U$11:$U$800,0))</f>
        <v>0.38504816930483388</v>
      </c>
      <c r="AA154" s="63">
        <f>INDEX('배치점수 계산기'!$AD$11:$AD$800,MATCH('       가 군       '!$C154,'배치점수 계산기'!$U$11:$U$800,0))</f>
        <v>0.39787769497968917</v>
      </c>
      <c r="AE154" s="7">
        <v>147</v>
      </c>
    </row>
    <row r="155" spans="3:31" x14ac:dyDescent="0.3">
      <c r="C155" s="7" t="s">
        <v>1048</v>
      </c>
      <c r="D155" s="41" t="str">
        <f>IFERROR(INDEX('배치점수 계산기'!V$11:V$1000,MATCH($C155,'배치점수 계산기'!$U$11:$U$1000,0)),"")</f>
        <v>한양 자연</v>
      </c>
      <c r="E155" s="41">
        <f>IFERROR(INDEX('배치점수 계산기'!W$11:W$1000,MATCH($C155,'배치점수 계산기'!$U$11:$U$1000,0)),"")</f>
        <v>27</v>
      </c>
      <c r="F155" s="113" t="s">
        <v>276</v>
      </c>
      <c r="G155" s="41" t="s">
        <v>359</v>
      </c>
      <c r="H155" s="41" t="s">
        <v>256</v>
      </c>
      <c r="I155" s="41" t="s">
        <v>274</v>
      </c>
      <c r="J155" s="41" t="str">
        <f t="shared" si="6"/>
        <v>X</v>
      </c>
      <c r="K155" s="113">
        <f>IFERROR(INDEX(환산공식!CI$16:CI$301,MATCH($E155,환산공식!$A$16:$A$301,0)),"")</f>
        <v>100</v>
      </c>
      <c r="L155" s="41" t="str">
        <f>IFERROR(CONCATENATE(ROUND(INDEX(환산공식!CJ$16:CJ$301,MATCH(E155,환산공식!$A$16:$A$301,0)),1),"%"),"")</f>
        <v>100%</v>
      </c>
      <c r="M155" s="41">
        <f>IFERROR(INDEX(환산공식!CK$16:CK$301,MATCH(E155,환산공식!$A$16:$A$301,0)),"")</f>
        <v>0</v>
      </c>
      <c r="N155" s="113" t="str">
        <f t="shared" si="7"/>
        <v>1% 이하</v>
      </c>
      <c r="O155" s="119">
        <f>IFERROR(ROUND(INDEX(환산공식!$EF$16:$EF$301,MATCH(E155,환산공식!$A$16:$A$301,0)),3),"")</f>
        <v>0</v>
      </c>
      <c r="P155" s="119">
        <f>IFERROR(ROUND(INDEX('배치점수 계산기'!M$11:M$1000,MATCH($C155,'배치점수 계산기'!$U$11:$U$1000,0)),2),"")</f>
        <v>896.13</v>
      </c>
      <c r="Q155" s="41">
        <f>IFERROR(ROUND(INDEX('배치점수 계산기'!N$11:N$1000,MATCH($C155,'배치점수 계산기'!$U$11:$U$1000,0)),2),"")</f>
        <v>894.34</v>
      </c>
      <c r="R155" s="41">
        <f>IFERROR(ROUND(INDEX('배치점수 계산기'!O$11:O$1000,MATCH($C155,'배치점수 계산기'!$U$11:$U$1000,0)),2),"")</f>
        <v>891.86</v>
      </c>
      <c r="S155" s="41">
        <f>IFERROR(ROUND(INDEX('배치점수 계산기'!P$11:P$1000,MATCH($C155,'배치점수 계산기'!$U$11:$U$1000,0)),2),"")</f>
        <v>889.84</v>
      </c>
      <c r="T155" s="41">
        <f>IFERROR(ROUND(INDEX('배치점수 계산기'!Q$11:Q$1000,MATCH($C155,'배치점수 계산기'!$U$11:$U$1000,0)),2),"")</f>
        <v>887.36</v>
      </c>
      <c r="U155" s="41">
        <f>IFERROR(INDEX(환산공식!$DC$16:$DC$301,MATCH(E155,환산공식!$A$16:$A$301,0)),"")</f>
        <v>0</v>
      </c>
      <c r="V155" s="113">
        <f t="shared" si="8"/>
        <v>6</v>
      </c>
      <c r="W155" s="110" t="str">
        <f>INDEX('배치점수 계산기'!$AG$11:$AG$800,MATCH('       가 군       '!$C155,'배치점수 계산기'!$U$11:$U$800,0))</f>
        <v>표점/만점</v>
      </c>
      <c r="X155" s="108" t="str">
        <f>INDEX('배치점수 계산기'!$AH$11:$AH$800,MATCH('       가 군       '!$C155,'배치점수 계산기'!$U$11:$U$800,0))</f>
        <v>변표/만점</v>
      </c>
      <c r="Y155" s="113">
        <f>INDEX('배치점수 계산기'!$AB$11:$AB$800,MATCH('       가 군       '!$C155,'배치점수 계산기'!$U$11:$U$800,0))</f>
        <v>0.21707413571547685</v>
      </c>
      <c r="Z155" s="73">
        <f>INDEX('배치점수 계산기'!$AC$11:$AC$800,MATCH('       가 군       '!$C155,'배치점수 계산기'!$U$11:$U$800,0))</f>
        <v>0.38504816930483388</v>
      </c>
      <c r="AA155" s="63">
        <f>INDEX('배치점수 계산기'!$AD$11:$AD$800,MATCH('       가 군       '!$C155,'배치점수 계산기'!$U$11:$U$800,0))</f>
        <v>0.39787769497968917</v>
      </c>
      <c r="AE155" s="7">
        <v>148</v>
      </c>
    </row>
    <row r="156" spans="3:31" x14ac:dyDescent="0.3">
      <c r="C156" s="7" t="s">
        <v>1049</v>
      </c>
      <c r="D156" s="41" t="str">
        <f>IFERROR(INDEX('배치점수 계산기'!V$11:V$1000,MATCH($C156,'배치점수 계산기'!$U$11:$U$1000,0)),"")</f>
        <v>한양 통합</v>
      </c>
      <c r="E156" s="41">
        <f>IFERROR(INDEX('배치점수 계산기'!W$11:W$1000,MATCH($C156,'배치점수 계산기'!$U$11:$U$1000,0)),"")</f>
        <v>28</v>
      </c>
      <c r="F156" s="113" t="s">
        <v>276</v>
      </c>
      <c r="G156" s="41" t="s">
        <v>359</v>
      </c>
      <c r="H156" s="41" t="s">
        <v>369</v>
      </c>
      <c r="I156" s="41" t="s">
        <v>275</v>
      </c>
      <c r="J156" s="41" t="str">
        <f t="shared" si="6"/>
        <v>X</v>
      </c>
      <c r="K156" s="113">
        <f>IFERROR(INDEX(환산공식!CI$16:CI$301,MATCH($E156,환산공식!$A$16:$A$301,0)),"")</f>
        <v>100</v>
      </c>
      <c r="L156" s="41" t="str">
        <f>IFERROR(CONCATENATE(ROUND(INDEX(환산공식!CJ$16:CJ$301,MATCH(E156,환산공식!$A$16:$A$301,0)),1),"%"),"")</f>
        <v>100%</v>
      </c>
      <c r="M156" s="41">
        <f>IFERROR(INDEX(환산공식!CK$16:CK$301,MATCH(E156,환산공식!$A$16:$A$301,0)),"")</f>
        <v>0</v>
      </c>
      <c r="N156" s="113" t="str">
        <f t="shared" si="7"/>
        <v>1% 이하</v>
      </c>
      <c r="O156" s="119">
        <f>IFERROR(ROUND(INDEX(환산공식!$EF$16:$EF$301,MATCH(E156,환산공식!$A$16:$A$301,0)),3),"")</f>
        <v>0</v>
      </c>
      <c r="P156" s="119">
        <f>IFERROR(ROUND(INDEX('배치점수 계산기'!M$11:M$1000,MATCH($C156,'배치점수 계산기'!$U$11:$U$1000,0)),2),"")</f>
        <v>893.76</v>
      </c>
      <c r="Q156" s="41">
        <f>IFERROR(ROUND(INDEX('배치점수 계산기'!N$11:N$1000,MATCH($C156,'배치점수 계산기'!$U$11:$U$1000,0)),2),"")</f>
        <v>890.1</v>
      </c>
      <c r="R156" s="41">
        <f>IFERROR(ROUND(INDEX('배치점수 계산기'!O$11:O$1000,MATCH($C156,'배치점수 계산기'!$U$11:$U$1000,0)),2),"")</f>
        <v>888.1</v>
      </c>
      <c r="S156" s="41">
        <f>IFERROR(ROUND(INDEX('배치점수 계산기'!P$11:P$1000,MATCH($C156,'배치점수 계산기'!$U$11:$U$1000,0)),2),"")</f>
        <v>886.41</v>
      </c>
      <c r="T156" s="41">
        <f>IFERROR(ROUND(INDEX('배치점수 계산기'!Q$11:Q$1000,MATCH($C156,'배치점수 계산기'!$U$11:$U$1000,0)),2),"")</f>
        <v>884.04</v>
      </c>
      <c r="U156" s="41">
        <f>IFERROR(INDEX(환산공식!$DC$16:$DC$301,MATCH(E156,환산공식!$A$16:$A$301,0)),"")</f>
        <v>0</v>
      </c>
      <c r="V156" s="113">
        <f t="shared" si="8"/>
        <v>6</v>
      </c>
      <c r="W156" s="110" t="str">
        <f>INDEX('배치점수 계산기'!$AG$11:$AG$800,MATCH('       가 군       '!$C156,'배치점수 계산기'!$U$11:$U$800,0))</f>
        <v>표점/만점</v>
      </c>
      <c r="X156" s="108" t="str">
        <f>INDEX('배치점수 계산기'!$AH$11:$AH$800,MATCH('       가 군       '!$C156,'배치점수 계산기'!$U$11:$U$800,0))</f>
        <v>변표/만점</v>
      </c>
      <c r="Y156" s="113">
        <f>INDEX('배치점수 계산기'!$AB$11:$AB$800,MATCH('       가 군       '!$C156,'배치점수 계산기'!$U$11:$U$800,0))</f>
        <v>0.31822878228782286</v>
      </c>
      <c r="Z156" s="73">
        <f>INDEX('배치점수 계산기'!$AC$11:$AC$800,MATCH('       가 군       '!$C156,'배치점수 계산기'!$U$11:$U$800,0))</f>
        <v>0.32255842558425585</v>
      </c>
      <c r="AA156" s="63">
        <f>INDEX('배치점수 계산기'!$AD$11:$AD$800,MATCH('       가 군       '!$C156,'배치점수 계산기'!$U$11:$U$800,0))</f>
        <v>0.35921279212792129</v>
      </c>
      <c r="AE156" s="7">
        <v>149</v>
      </c>
    </row>
    <row r="157" spans="3:31" x14ac:dyDescent="0.3">
      <c r="C157" s="7" t="s">
        <v>1050</v>
      </c>
      <c r="D157" s="41" t="str">
        <f>IFERROR(INDEX('배치점수 계산기'!V$11:V$1000,MATCH($C157,'배치점수 계산기'!$U$11:$U$1000,0)),"")</f>
        <v>한양 상경</v>
      </c>
      <c r="E157" s="41">
        <f>IFERROR(INDEX('배치점수 계산기'!W$11:W$1000,MATCH($C157,'배치점수 계산기'!$U$11:$U$1000,0)),"")</f>
        <v>2802</v>
      </c>
      <c r="F157" s="113" t="s">
        <v>276</v>
      </c>
      <c r="G157" s="41" t="s">
        <v>359</v>
      </c>
      <c r="H157" s="41" t="s">
        <v>370</v>
      </c>
      <c r="I157" s="41" t="s">
        <v>275</v>
      </c>
      <c r="J157" s="41" t="str">
        <f t="shared" si="6"/>
        <v>X</v>
      </c>
      <c r="K157" s="113">
        <f>IFERROR(INDEX(환산공식!CI$16:CI$301,MATCH($E157,환산공식!$A$16:$A$301,0)),"")</f>
        <v>100</v>
      </c>
      <c r="L157" s="41" t="str">
        <f>IFERROR(CONCATENATE(ROUND(INDEX(환산공식!CJ$16:CJ$301,MATCH(E157,환산공식!$A$16:$A$301,0)),1),"%"),"")</f>
        <v>100%</v>
      </c>
      <c r="M157" s="41">
        <f>IFERROR(INDEX(환산공식!CK$16:CK$301,MATCH(E157,환산공식!$A$16:$A$301,0)),"")</f>
        <v>0</v>
      </c>
      <c r="N157" s="113" t="str">
        <f t="shared" si="7"/>
        <v>1% 이하</v>
      </c>
      <c r="O157" s="119">
        <f>IFERROR(ROUND(INDEX(환산공식!$EF$16:$EF$301,MATCH(E157,환산공식!$A$16:$A$301,0)),3),"")</f>
        <v>0</v>
      </c>
      <c r="P157" s="119">
        <f>IFERROR(ROUND(INDEX('배치점수 계산기'!M$11:M$1000,MATCH($C157,'배치점수 계산기'!$U$11:$U$1000,0)),2),"")</f>
        <v>879.21</v>
      </c>
      <c r="Q157" s="41">
        <f>IFERROR(ROUND(INDEX('배치점수 계산기'!N$11:N$1000,MATCH($C157,'배치점수 계산기'!$U$11:$U$1000,0)),2),"")</f>
        <v>873.48</v>
      </c>
      <c r="R157" s="41">
        <f>IFERROR(ROUND(INDEX('배치점수 계산기'!O$11:O$1000,MATCH($C157,'배치점수 계산기'!$U$11:$U$1000,0)),2),"")</f>
        <v>871.93</v>
      </c>
      <c r="S157" s="41">
        <f>IFERROR(ROUND(INDEX('배치점수 계산기'!P$11:P$1000,MATCH($C157,'배치점수 계산기'!$U$11:$U$1000,0)),2),"")</f>
        <v>870.64</v>
      </c>
      <c r="T157" s="41">
        <f>IFERROR(ROUND(INDEX('배치점수 계산기'!Q$11:Q$1000,MATCH($C157,'배치점수 계산기'!$U$11:$U$1000,0)),2),"")</f>
        <v>867.8</v>
      </c>
      <c r="U157" s="41">
        <f>IFERROR(INDEX(환산공식!$DC$16:$DC$301,MATCH(E157,환산공식!$A$16:$A$301,0)),"")</f>
        <v>0</v>
      </c>
      <c r="V157" s="113">
        <f t="shared" si="8"/>
        <v>6</v>
      </c>
      <c r="W157" s="110" t="str">
        <f>INDEX('배치점수 계산기'!$AG$11:$AG$800,MATCH('       가 군       '!$C157,'배치점수 계산기'!$U$11:$U$800,0))</f>
        <v>표점/만점</v>
      </c>
      <c r="X157" s="108" t="str">
        <f>INDEX('배치점수 계산기'!$AH$11:$AH$800,MATCH('       가 군       '!$C157,'배치점수 계산기'!$U$11:$U$800,0))</f>
        <v>변표/만점</v>
      </c>
      <c r="Y157" s="113">
        <f>INDEX('배치점수 계산기'!$AB$11:$AB$800,MATCH('       가 군       '!$C157,'배치점수 계산기'!$U$11:$U$800,0))</f>
        <v>0.32216503403619462</v>
      </c>
      <c r="Z157" s="73">
        <f>INDEX('배치점수 계산기'!$AC$11:$AC$800,MATCH('       가 군       '!$C157,'배치점수 계산기'!$U$11:$U$800,0))</f>
        <v>0.4353976423709115</v>
      </c>
      <c r="AA157" s="63">
        <f>INDEX('배치점수 계산기'!$AD$11:$AD$800,MATCH('       가 군       '!$C157,'배치점수 계산기'!$U$11:$U$800,0))</f>
        <v>0.24243732359289391</v>
      </c>
      <c r="AE157" s="7">
        <v>150</v>
      </c>
    </row>
    <row r="158" spans="3:31" x14ac:dyDescent="0.3">
      <c r="C158" s="7" t="s">
        <v>1052</v>
      </c>
      <c r="D158" s="41" t="str">
        <f>IFERROR(INDEX('배치점수 계산기'!V$11:V$1000,MATCH($C158,'배치점수 계산기'!$U$11:$U$1000,0)),"")</f>
        <v>한양 상경</v>
      </c>
      <c r="E158" s="41">
        <f>IFERROR(INDEX('배치점수 계산기'!W$11:W$1000,MATCH($C158,'배치점수 계산기'!$U$11:$U$1000,0)),"")</f>
        <v>2802</v>
      </c>
      <c r="F158" s="113" t="s">
        <v>276</v>
      </c>
      <c r="G158" s="41" t="s">
        <v>359</v>
      </c>
      <c r="H158" s="41" t="s">
        <v>262</v>
      </c>
      <c r="I158" s="41" t="s">
        <v>275</v>
      </c>
      <c r="J158" s="41" t="str">
        <f t="shared" si="6"/>
        <v>X</v>
      </c>
      <c r="K158" s="113">
        <f>IFERROR(INDEX(환산공식!CI$16:CI$301,MATCH($E158,환산공식!$A$16:$A$301,0)),"")</f>
        <v>100</v>
      </c>
      <c r="L158" s="41" t="str">
        <f>IFERROR(CONCATENATE(ROUND(INDEX(환산공식!CJ$16:CJ$301,MATCH(E158,환산공식!$A$16:$A$301,0)),1),"%"),"")</f>
        <v>100%</v>
      </c>
      <c r="M158" s="41">
        <f>IFERROR(INDEX(환산공식!CK$16:CK$301,MATCH(E158,환산공식!$A$16:$A$301,0)),"")</f>
        <v>0</v>
      </c>
      <c r="N158" s="113" t="str">
        <f t="shared" si="7"/>
        <v>1% 이하</v>
      </c>
      <c r="O158" s="119">
        <f>IFERROR(ROUND(INDEX(환산공식!$EF$16:$EF$301,MATCH(E158,환산공식!$A$16:$A$301,0)),3),"")</f>
        <v>0</v>
      </c>
      <c r="P158" s="119">
        <f>IFERROR(ROUND(INDEX('배치점수 계산기'!M$11:M$1000,MATCH($C158,'배치점수 계산기'!$U$11:$U$1000,0)),2),"")</f>
        <v>879.21</v>
      </c>
      <c r="Q158" s="41">
        <f>IFERROR(ROUND(INDEX('배치점수 계산기'!N$11:N$1000,MATCH($C158,'배치점수 계산기'!$U$11:$U$1000,0)),2),"")</f>
        <v>873.48</v>
      </c>
      <c r="R158" s="41">
        <f>IFERROR(ROUND(INDEX('배치점수 계산기'!O$11:O$1000,MATCH($C158,'배치점수 계산기'!$U$11:$U$1000,0)),2),"")</f>
        <v>871.93</v>
      </c>
      <c r="S158" s="41">
        <f>IFERROR(ROUND(INDEX('배치점수 계산기'!P$11:P$1000,MATCH($C158,'배치점수 계산기'!$U$11:$U$1000,0)),2),"")</f>
        <v>870.64</v>
      </c>
      <c r="T158" s="41">
        <f>IFERROR(ROUND(INDEX('배치점수 계산기'!Q$11:Q$1000,MATCH($C158,'배치점수 계산기'!$U$11:$U$1000,0)),2),"")</f>
        <v>867.8</v>
      </c>
      <c r="U158" s="41">
        <f>IFERROR(INDEX(환산공식!$DC$16:$DC$301,MATCH(E158,환산공식!$A$16:$A$301,0)),"")</f>
        <v>0</v>
      </c>
      <c r="V158" s="113">
        <f t="shared" si="8"/>
        <v>6</v>
      </c>
      <c r="W158" s="110" t="str">
        <f>INDEX('배치점수 계산기'!$AG$11:$AG$800,MATCH('       가 군       '!$C158,'배치점수 계산기'!$U$11:$U$800,0))</f>
        <v>표점/만점</v>
      </c>
      <c r="X158" s="108" t="str">
        <f>INDEX('배치점수 계산기'!$AH$11:$AH$800,MATCH('       가 군       '!$C158,'배치점수 계산기'!$U$11:$U$800,0))</f>
        <v>변표/만점</v>
      </c>
      <c r="Y158" s="113">
        <f>INDEX('배치점수 계산기'!$AB$11:$AB$800,MATCH('       가 군       '!$C158,'배치점수 계산기'!$U$11:$U$800,0))</f>
        <v>0.32216503403619462</v>
      </c>
      <c r="Z158" s="73">
        <f>INDEX('배치점수 계산기'!$AC$11:$AC$800,MATCH('       가 군       '!$C158,'배치점수 계산기'!$U$11:$U$800,0))</f>
        <v>0.4353976423709115</v>
      </c>
      <c r="AA158" s="63">
        <f>INDEX('배치점수 계산기'!$AD$11:$AD$800,MATCH('       가 군       '!$C158,'배치점수 계산기'!$U$11:$U$800,0))</f>
        <v>0.24243732359289391</v>
      </c>
      <c r="AE158" s="7">
        <v>151</v>
      </c>
    </row>
    <row r="159" spans="3:31" x14ac:dyDescent="0.3">
      <c r="C159" s="7" t="s">
        <v>1053</v>
      </c>
      <c r="D159" s="41" t="str">
        <f>IFERROR(INDEX('배치점수 계산기'!V$11:V$1000,MATCH($C159,'배치점수 계산기'!$U$11:$U$1000,0)),"")</f>
        <v>한양 통합</v>
      </c>
      <c r="E159" s="41">
        <f>IFERROR(INDEX('배치점수 계산기'!W$11:W$1000,MATCH($C159,'배치점수 계산기'!$U$11:$U$1000,0)),"")</f>
        <v>28</v>
      </c>
      <c r="F159" s="113" t="s">
        <v>276</v>
      </c>
      <c r="G159" s="41" t="s">
        <v>359</v>
      </c>
      <c r="H159" s="41" t="s">
        <v>302</v>
      </c>
      <c r="I159" s="41" t="s">
        <v>275</v>
      </c>
      <c r="J159" s="41" t="str">
        <f t="shared" si="6"/>
        <v>X</v>
      </c>
      <c r="K159" s="113">
        <f>IFERROR(INDEX(환산공식!CI$16:CI$301,MATCH($E159,환산공식!$A$16:$A$301,0)),"")</f>
        <v>100</v>
      </c>
      <c r="L159" s="41" t="str">
        <f>IFERROR(CONCATENATE(ROUND(INDEX(환산공식!CJ$16:CJ$301,MATCH(E159,환산공식!$A$16:$A$301,0)),1),"%"),"")</f>
        <v>100%</v>
      </c>
      <c r="M159" s="41">
        <f>IFERROR(INDEX(환산공식!CK$16:CK$301,MATCH(E159,환산공식!$A$16:$A$301,0)),"")</f>
        <v>0</v>
      </c>
      <c r="N159" s="113" t="str">
        <f t="shared" si="7"/>
        <v>1% 이하</v>
      </c>
      <c r="O159" s="119">
        <f>IFERROR(ROUND(INDEX(환산공식!$EF$16:$EF$301,MATCH(E159,환산공식!$A$16:$A$301,0)),3),"")</f>
        <v>0</v>
      </c>
      <c r="P159" s="119">
        <f>IFERROR(ROUND(INDEX('배치점수 계산기'!M$11:M$1000,MATCH($C159,'배치점수 계산기'!$U$11:$U$1000,0)),2),"")</f>
        <v>887.5</v>
      </c>
      <c r="Q159" s="41">
        <f>IFERROR(ROUND(INDEX('배치점수 계산기'!N$11:N$1000,MATCH($C159,'배치점수 계산기'!$U$11:$U$1000,0)),2),"")</f>
        <v>885.81</v>
      </c>
      <c r="R159" s="41">
        <f>IFERROR(ROUND(INDEX('배치점수 계산기'!O$11:O$1000,MATCH($C159,'배치점수 계산기'!$U$11:$U$1000,0)),2),"")</f>
        <v>884.17</v>
      </c>
      <c r="S159" s="41">
        <f>IFERROR(ROUND(INDEX('배치점수 계산기'!P$11:P$1000,MATCH($C159,'배치점수 계산기'!$U$11:$U$1000,0)),2),"")</f>
        <v>883.11</v>
      </c>
      <c r="T159" s="41">
        <f>IFERROR(ROUND(INDEX('배치점수 계산기'!Q$11:Q$1000,MATCH($C159,'배치점수 계산기'!$U$11:$U$1000,0)),2),"")</f>
        <v>882.41</v>
      </c>
      <c r="U159" s="41">
        <f>IFERROR(INDEX(환산공식!$DC$16:$DC$301,MATCH(E159,환산공식!$A$16:$A$301,0)),"")</f>
        <v>0</v>
      </c>
      <c r="V159" s="113">
        <f t="shared" si="8"/>
        <v>6</v>
      </c>
      <c r="W159" s="110" t="str">
        <f>INDEX('배치점수 계산기'!$AG$11:$AG$800,MATCH('       가 군       '!$C159,'배치점수 계산기'!$U$11:$U$800,0))</f>
        <v>표점/만점</v>
      </c>
      <c r="X159" s="108" t="str">
        <f>INDEX('배치점수 계산기'!$AH$11:$AH$800,MATCH('       가 군       '!$C159,'배치점수 계산기'!$U$11:$U$800,0))</f>
        <v>변표/만점</v>
      </c>
      <c r="Y159" s="113">
        <f>INDEX('배치점수 계산기'!$AB$11:$AB$800,MATCH('       가 군       '!$C159,'배치점수 계산기'!$U$11:$U$800,0))</f>
        <v>0.31822878228782286</v>
      </c>
      <c r="Z159" s="73">
        <f>INDEX('배치점수 계산기'!$AC$11:$AC$800,MATCH('       가 군       '!$C159,'배치점수 계산기'!$U$11:$U$800,0))</f>
        <v>0.32255842558425585</v>
      </c>
      <c r="AA159" s="63">
        <f>INDEX('배치점수 계산기'!$AD$11:$AD$800,MATCH('       가 군       '!$C159,'배치점수 계산기'!$U$11:$U$800,0))</f>
        <v>0.35921279212792129</v>
      </c>
      <c r="AE159" s="7">
        <v>152</v>
      </c>
    </row>
    <row r="160" spans="3:31" x14ac:dyDescent="0.3">
      <c r="C160" s="7" t="s">
        <v>1054</v>
      </c>
      <c r="D160" s="41" t="str">
        <f>IFERROR(INDEX('배치점수 계산기'!V$11:V$1000,MATCH($C160,'배치점수 계산기'!$U$11:$U$1000,0)),"")</f>
        <v>한양 통합</v>
      </c>
      <c r="E160" s="41">
        <f>IFERROR(INDEX('배치점수 계산기'!W$11:W$1000,MATCH($C160,'배치점수 계산기'!$U$11:$U$1000,0)),"")</f>
        <v>28</v>
      </c>
      <c r="F160" s="113" t="s">
        <v>276</v>
      </c>
      <c r="G160" s="41" t="s">
        <v>359</v>
      </c>
      <c r="H160" s="41" t="s">
        <v>372</v>
      </c>
      <c r="I160" s="41" t="s">
        <v>275</v>
      </c>
      <c r="J160" s="41" t="str">
        <f t="shared" si="6"/>
        <v>X</v>
      </c>
      <c r="K160" s="113">
        <f>IFERROR(INDEX(환산공식!CI$16:CI$301,MATCH($E160,환산공식!$A$16:$A$301,0)),"")</f>
        <v>100</v>
      </c>
      <c r="L160" s="41" t="str">
        <f>IFERROR(CONCATENATE(ROUND(INDEX(환산공식!CJ$16:CJ$301,MATCH(E160,환산공식!$A$16:$A$301,0)),1),"%"),"")</f>
        <v>100%</v>
      </c>
      <c r="M160" s="41">
        <f>IFERROR(INDEX(환산공식!CK$16:CK$301,MATCH(E160,환산공식!$A$16:$A$301,0)),"")</f>
        <v>0</v>
      </c>
      <c r="N160" s="113" t="str">
        <f t="shared" si="7"/>
        <v>1% 이하</v>
      </c>
      <c r="O160" s="119">
        <f>IFERROR(ROUND(INDEX(환산공식!$EF$16:$EF$301,MATCH(E160,환산공식!$A$16:$A$301,0)),3),"")</f>
        <v>0</v>
      </c>
      <c r="P160" s="119">
        <f>IFERROR(ROUND(INDEX('배치점수 계산기'!M$11:M$1000,MATCH($C160,'배치점수 계산기'!$U$11:$U$1000,0)),2),"")</f>
        <v>887.5</v>
      </c>
      <c r="Q160" s="41">
        <f>IFERROR(ROUND(INDEX('배치점수 계산기'!N$11:N$1000,MATCH($C160,'배치점수 계산기'!$U$11:$U$1000,0)),2),"")</f>
        <v>885.81</v>
      </c>
      <c r="R160" s="41">
        <f>IFERROR(ROUND(INDEX('배치점수 계산기'!O$11:O$1000,MATCH($C160,'배치점수 계산기'!$U$11:$U$1000,0)),2),"")</f>
        <v>884.17</v>
      </c>
      <c r="S160" s="41">
        <f>IFERROR(ROUND(INDEX('배치점수 계산기'!P$11:P$1000,MATCH($C160,'배치점수 계산기'!$U$11:$U$1000,0)),2),"")</f>
        <v>883.11</v>
      </c>
      <c r="T160" s="41">
        <f>IFERROR(ROUND(INDEX('배치점수 계산기'!Q$11:Q$1000,MATCH($C160,'배치점수 계산기'!$U$11:$U$1000,0)),2),"")</f>
        <v>882.41</v>
      </c>
      <c r="U160" s="41">
        <f>IFERROR(INDEX(환산공식!$DC$16:$DC$301,MATCH(E160,환산공식!$A$16:$A$301,0)),"")</f>
        <v>0</v>
      </c>
      <c r="V160" s="113">
        <f t="shared" si="8"/>
        <v>6</v>
      </c>
      <c r="W160" s="110" t="str">
        <f>INDEX('배치점수 계산기'!$AG$11:$AG$800,MATCH('       가 군       '!$C160,'배치점수 계산기'!$U$11:$U$800,0))</f>
        <v>표점/만점</v>
      </c>
      <c r="X160" s="108" t="str">
        <f>INDEX('배치점수 계산기'!$AH$11:$AH$800,MATCH('       가 군       '!$C160,'배치점수 계산기'!$U$11:$U$800,0))</f>
        <v>변표/만점</v>
      </c>
      <c r="Y160" s="113">
        <f>INDEX('배치점수 계산기'!$AB$11:$AB$800,MATCH('       가 군       '!$C160,'배치점수 계산기'!$U$11:$U$800,0))</f>
        <v>0.31822878228782286</v>
      </c>
      <c r="Z160" s="73">
        <f>INDEX('배치점수 계산기'!$AC$11:$AC$800,MATCH('       가 군       '!$C160,'배치점수 계산기'!$U$11:$U$800,0))</f>
        <v>0.32255842558425585</v>
      </c>
      <c r="AA160" s="63">
        <f>INDEX('배치점수 계산기'!$AD$11:$AD$800,MATCH('       가 군       '!$C160,'배치점수 계산기'!$U$11:$U$800,0))</f>
        <v>0.35921279212792129</v>
      </c>
      <c r="AE160" s="7">
        <v>153</v>
      </c>
    </row>
    <row r="161" spans="3:31" x14ac:dyDescent="0.3">
      <c r="C161" s="7" t="s">
        <v>1055</v>
      </c>
      <c r="D161" s="41" t="str">
        <f>IFERROR(INDEX('배치점수 계산기'!V$11:V$1000,MATCH($C161,'배치점수 계산기'!$U$11:$U$1000,0)),"")</f>
        <v>한양 통합</v>
      </c>
      <c r="E161" s="41">
        <f>IFERROR(INDEX('배치점수 계산기'!W$11:W$1000,MATCH($C161,'배치점수 계산기'!$U$11:$U$1000,0)),"")</f>
        <v>28</v>
      </c>
      <c r="F161" s="113" t="s">
        <v>276</v>
      </c>
      <c r="G161" s="41" t="s">
        <v>359</v>
      </c>
      <c r="H161" s="41" t="s">
        <v>268</v>
      </c>
      <c r="I161" s="41" t="s">
        <v>275</v>
      </c>
      <c r="J161" s="41" t="str">
        <f t="shared" si="6"/>
        <v>X</v>
      </c>
      <c r="K161" s="113">
        <f>IFERROR(INDEX(환산공식!CI$16:CI$301,MATCH($E161,환산공식!$A$16:$A$301,0)),"")</f>
        <v>100</v>
      </c>
      <c r="L161" s="41" t="str">
        <f>IFERROR(CONCATENATE(ROUND(INDEX(환산공식!CJ$16:CJ$301,MATCH(E161,환산공식!$A$16:$A$301,0)),1),"%"),"")</f>
        <v>100%</v>
      </c>
      <c r="M161" s="41">
        <f>IFERROR(INDEX(환산공식!CK$16:CK$301,MATCH(E161,환산공식!$A$16:$A$301,0)),"")</f>
        <v>0</v>
      </c>
      <c r="N161" s="113" t="str">
        <f t="shared" si="7"/>
        <v>1% 이하</v>
      </c>
      <c r="O161" s="119">
        <f>IFERROR(ROUND(INDEX(환산공식!$EF$16:$EF$301,MATCH(E161,환산공식!$A$16:$A$301,0)),3),"")</f>
        <v>0</v>
      </c>
      <c r="P161" s="119">
        <f>IFERROR(ROUND(INDEX('배치점수 계산기'!M$11:M$1000,MATCH($C161,'배치점수 계산기'!$U$11:$U$1000,0)),2),"")</f>
        <v>887.5</v>
      </c>
      <c r="Q161" s="41">
        <f>IFERROR(ROUND(INDEX('배치점수 계산기'!N$11:N$1000,MATCH($C161,'배치점수 계산기'!$U$11:$U$1000,0)),2),"")</f>
        <v>885.81</v>
      </c>
      <c r="R161" s="41">
        <f>IFERROR(ROUND(INDEX('배치점수 계산기'!O$11:O$1000,MATCH($C161,'배치점수 계산기'!$U$11:$U$1000,0)),2),"")</f>
        <v>884.17</v>
      </c>
      <c r="S161" s="41">
        <f>IFERROR(ROUND(INDEX('배치점수 계산기'!P$11:P$1000,MATCH($C161,'배치점수 계산기'!$U$11:$U$1000,0)),2),"")</f>
        <v>883.11</v>
      </c>
      <c r="T161" s="41">
        <f>IFERROR(ROUND(INDEX('배치점수 계산기'!Q$11:Q$1000,MATCH($C161,'배치점수 계산기'!$U$11:$U$1000,0)),2),"")</f>
        <v>882.41</v>
      </c>
      <c r="U161" s="41">
        <f>IFERROR(INDEX(환산공식!$DC$16:$DC$301,MATCH(E161,환산공식!$A$16:$A$301,0)),"")</f>
        <v>0</v>
      </c>
      <c r="V161" s="113">
        <f t="shared" si="8"/>
        <v>6</v>
      </c>
      <c r="W161" s="110" t="str">
        <f>INDEX('배치점수 계산기'!$AG$11:$AG$800,MATCH('       가 군       '!$C161,'배치점수 계산기'!$U$11:$U$800,0))</f>
        <v>표점/만점</v>
      </c>
      <c r="X161" s="108" t="str">
        <f>INDEX('배치점수 계산기'!$AH$11:$AH$800,MATCH('       가 군       '!$C161,'배치점수 계산기'!$U$11:$U$800,0))</f>
        <v>변표/만점</v>
      </c>
      <c r="Y161" s="113">
        <f>INDEX('배치점수 계산기'!$AB$11:$AB$800,MATCH('       가 군       '!$C161,'배치점수 계산기'!$U$11:$U$800,0))</f>
        <v>0.31822878228782286</v>
      </c>
      <c r="Z161" s="73">
        <f>INDEX('배치점수 계산기'!$AC$11:$AC$800,MATCH('       가 군       '!$C161,'배치점수 계산기'!$U$11:$U$800,0))</f>
        <v>0.32255842558425585</v>
      </c>
      <c r="AA161" s="63">
        <f>INDEX('배치점수 계산기'!$AD$11:$AD$800,MATCH('       가 군       '!$C161,'배치점수 계산기'!$U$11:$U$800,0))</f>
        <v>0.35921279212792129</v>
      </c>
      <c r="AE161" s="7">
        <v>154</v>
      </c>
    </row>
    <row r="162" spans="3:31" x14ac:dyDescent="0.3">
      <c r="C162" s="7" t="s">
        <v>1056</v>
      </c>
      <c r="D162" s="41" t="str">
        <f>IFERROR(INDEX('배치점수 계산기'!V$11:V$1000,MATCH($C162,'배치점수 계산기'!$U$11:$U$1000,0)),"")</f>
        <v>한양 통합</v>
      </c>
      <c r="E162" s="41">
        <f>IFERROR(INDEX('배치점수 계산기'!W$11:W$1000,MATCH($C162,'배치점수 계산기'!$U$11:$U$1000,0)),"")</f>
        <v>28</v>
      </c>
      <c r="F162" s="113" t="s">
        <v>276</v>
      </c>
      <c r="G162" s="41" t="s">
        <v>359</v>
      </c>
      <c r="H162" s="41" t="s">
        <v>269</v>
      </c>
      <c r="I162" s="41" t="s">
        <v>275</v>
      </c>
      <c r="J162" s="41" t="str">
        <f t="shared" si="6"/>
        <v>X</v>
      </c>
      <c r="K162" s="113">
        <f>IFERROR(INDEX(환산공식!CI$16:CI$301,MATCH($E162,환산공식!$A$16:$A$301,0)),"")</f>
        <v>100</v>
      </c>
      <c r="L162" s="41" t="str">
        <f>IFERROR(CONCATENATE(ROUND(INDEX(환산공식!CJ$16:CJ$301,MATCH(E162,환산공식!$A$16:$A$301,0)),1),"%"),"")</f>
        <v>100%</v>
      </c>
      <c r="M162" s="41">
        <f>IFERROR(INDEX(환산공식!CK$16:CK$301,MATCH(E162,환산공식!$A$16:$A$301,0)),"")</f>
        <v>0</v>
      </c>
      <c r="N162" s="113" t="str">
        <f t="shared" si="7"/>
        <v>1% 이하</v>
      </c>
      <c r="O162" s="119">
        <f>IFERROR(ROUND(INDEX(환산공식!$EF$16:$EF$301,MATCH(E162,환산공식!$A$16:$A$301,0)),3),"")</f>
        <v>0</v>
      </c>
      <c r="P162" s="119">
        <f>IFERROR(ROUND(INDEX('배치점수 계산기'!M$11:M$1000,MATCH($C162,'배치점수 계산기'!$U$11:$U$1000,0)),2),"")</f>
        <v>887.5</v>
      </c>
      <c r="Q162" s="41">
        <f>IFERROR(ROUND(INDEX('배치점수 계산기'!N$11:N$1000,MATCH($C162,'배치점수 계산기'!$U$11:$U$1000,0)),2),"")</f>
        <v>885.81</v>
      </c>
      <c r="R162" s="41">
        <f>IFERROR(ROUND(INDEX('배치점수 계산기'!O$11:O$1000,MATCH($C162,'배치점수 계산기'!$U$11:$U$1000,0)),2),"")</f>
        <v>884.17</v>
      </c>
      <c r="S162" s="41">
        <f>IFERROR(ROUND(INDEX('배치점수 계산기'!P$11:P$1000,MATCH($C162,'배치점수 계산기'!$U$11:$U$1000,0)),2),"")</f>
        <v>883.11</v>
      </c>
      <c r="T162" s="41">
        <f>IFERROR(ROUND(INDEX('배치점수 계산기'!Q$11:Q$1000,MATCH($C162,'배치점수 계산기'!$U$11:$U$1000,0)),2),"")</f>
        <v>882.41</v>
      </c>
      <c r="U162" s="41">
        <f>IFERROR(INDEX(환산공식!$DC$16:$DC$301,MATCH(E162,환산공식!$A$16:$A$301,0)),"")</f>
        <v>0</v>
      </c>
      <c r="V162" s="113">
        <f t="shared" si="8"/>
        <v>6</v>
      </c>
      <c r="W162" s="110" t="str">
        <f>INDEX('배치점수 계산기'!$AG$11:$AG$800,MATCH('       가 군       '!$C162,'배치점수 계산기'!$U$11:$U$800,0))</f>
        <v>표점/만점</v>
      </c>
      <c r="X162" s="108" t="str">
        <f>INDEX('배치점수 계산기'!$AH$11:$AH$800,MATCH('       가 군       '!$C162,'배치점수 계산기'!$U$11:$U$800,0))</f>
        <v>변표/만점</v>
      </c>
      <c r="Y162" s="113">
        <f>INDEX('배치점수 계산기'!$AB$11:$AB$800,MATCH('       가 군       '!$C162,'배치점수 계산기'!$U$11:$U$800,0))</f>
        <v>0.31822878228782286</v>
      </c>
      <c r="Z162" s="73">
        <f>INDEX('배치점수 계산기'!$AC$11:$AC$800,MATCH('       가 군       '!$C162,'배치점수 계산기'!$U$11:$U$800,0))</f>
        <v>0.32255842558425585</v>
      </c>
      <c r="AA162" s="63">
        <f>INDEX('배치점수 계산기'!$AD$11:$AD$800,MATCH('       가 군       '!$C162,'배치점수 계산기'!$U$11:$U$800,0))</f>
        <v>0.35921279212792129</v>
      </c>
      <c r="AE162" s="7">
        <v>155</v>
      </c>
    </row>
    <row r="163" spans="3:31" x14ac:dyDescent="0.3">
      <c r="C163" s="7" t="s">
        <v>1057</v>
      </c>
      <c r="D163" s="41" t="str">
        <f>IFERROR(INDEX('배치점수 계산기'!V$11:V$1000,MATCH($C163,'배치점수 계산기'!$U$11:$U$1000,0)),"")</f>
        <v>한양 자연</v>
      </c>
      <c r="E163" s="41">
        <f>IFERROR(INDEX('배치점수 계산기'!W$11:W$1000,MATCH($C163,'배치점수 계산기'!$U$11:$U$1000,0)),"")</f>
        <v>27</v>
      </c>
      <c r="F163" s="113" t="s">
        <v>276</v>
      </c>
      <c r="G163" s="41" t="s">
        <v>359</v>
      </c>
      <c r="H163" s="41" t="s">
        <v>258</v>
      </c>
      <c r="I163" s="41" t="s">
        <v>274</v>
      </c>
      <c r="J163" s="41" t="str">
        <f t="shared" si="6"/>
        <v>X</v>
      </c>
      <c r="K163" s="113">
        <f>IFERROR(INDEX(환산공식!CI$16:CI$301,MATCH($E163,환산공식!$A$16:$A$301,0)),"")</f>
        <v>100</v>
      </c>
      <c r="L163" s="41" t="str">
        <f>IFERROR(CONCATENATE(ROUND(INDEX(환산공식!CJ$16:CJ$301,MATCH(E163,환산공식!$A$16:$A$301,0)),1),"%"),"")</f>
        <v>100%</v>
      </c>
      <c r="M163" s="41">
        <f>IFERROR(INDEX(환산공식!CK$16:CK$301,MATCH(E163,환산공식!$A$16:$A$301,0)),"")</f>
        <v>0</v>
      </c>
      <c r="N163" s="113" t="str">
        <f t="shared" si="7"/>
        <v>1% 이하</v>
      </c>
      <c r="O163" s="119">
        <f>IFERROR(ROUND(INDEX(환산공식!$EF$16:$EF$301,MATCH(E163,환산공식!$A$16:$A$301,0)),3),"")</f>
        <v>0</v>
      </c>
      <c r="P163" s="119">
        <f>IFERROR(ROUND(INDEX('배치점수 계산기'!M$11:M$1000,MATCH($C163,'배치점수 계산기'!$U$11:$U$1000,0)),2),"")</f>
        <v>897.66</v>
      </c>
      <c r="Q163" s="41">
        <f>IFERROR(ROUND(INDEX('배치점수 계산기'!N$11:N$1000,MATCH($C163,'배치점수 계산기'!$U$11:$U$1000,0)),2),"")</f>
        <v>894.94</v>
      </c>
      <c r="R163" s="41">
        <f>IFERROR(ROUND(INDEX('배치점수 계산기'!O$11:O$1000,MATCH($C163,'배치점수 계산기'!$U$11:$U$1000,0)),2),"")</f>
        <v>892.09</v>
      </c>
      <c r="S163" s="41">
        <f>IFERROR(ROUND(INDEX('배치점수 계산기'!P$11:P$1000,MATCH($C163,'배치점수 계산기'!$U$11:$U$1000,0)),2),"")</f>
        <v>890.57</v>
      </c>
      <c r="T163" s="41">
        <f>IFERROR(ROUND(INDEX('배치점수 계산기'!Q$11:Q$1000,MATCH($C163,'배치점수 계산기'!$U$11:$U$1000,0)),2),"")</f>
        <v>888.4</v>
      </c>
      <c r="U163" s="41">
        <f>IFERROR(INDEX(환산공식!$DC$16:$DC$301,MATCH(E163,환산공식!$A$16:$A$301,0)),"")</f>
        <v>0</v>
      </c>
      <c r="V163" s="113">
        <f t="shared" si="8"/>
        <v>6</v>
      </c>
      <c r="W163" s="110" t="str">
        <f>INDEX('배치점수 계산기'!$AG$11:$AG$800,MATCH('       가 군       '!$C163,'배치점수 계산기'!$U$11:$U$800,0))</f>
        <v>표점/만점</v>
      </c>
      <c r="X163" s="108" t="str">
        <f>INDEX('배치점수 계산기'!$AH$11:$AH$800,MATCH('       가 군       '!$C163,'배치점수 계산기'!$U$11:$U$800,0))</f>
        <v>변표/만점</v>
      </c>
      <c r="Y163" s="113">
        <f>INDEX('배치점수 계산기'!$AB$11:$AB$800,MATCH('       가 군       '!$C163,'배치점수 계산기'!$U$11:$U$800,0))</f>
        <v>0.21707413571547685</v>
      </c>
      <c r="Z163" s="73">
        <f>INDEX('배치점수 계산기'!$AC$11:$AC$800,MATCH('       가 군       '!$C163,'배치점수 계산기'!$U$11:$U$800,0))</f>
        <v>0.38504816930483388</v>
      </c>
      <c r="AA163" s="63">
        <f>INDEX('배치점수 계산기'!$AD$11:$AD$800,MATCH('       가 군       '!$C163,'배치점수 계산기'!$U$11:$U$800,0))</f>
        <v>0.39787769497968917</v>
      </c>
      <c r="AE163" s="7">
        <v>156</v>
      </c>
    </row>
    <row r="164" spans="3:31" x14ac:dyDescent="0.3">
      <c r="C164" s="7" t="s">
        <v>1058</v>
      </c>
      <c r="D164" s="41" t="str">
        <f>IFERROR(INDEX('배치점수 계산기'!V$11:V$1000,MATCH($C164,'배치점수 계산기'!$U$11:$U$1000,0)),"")</f>
        <v>한양 자연</v>
      </c>
      <c r="E164" s="41">
        <f>IFERROR(INDEX('배치점수 계산기'!W$11:W$1000,MATCH($C164,'배치점수 계산기'!$U$11:$U$1000,0)),"")</f>
        <v>27</v>
      </c>
      <c r="F164" s="113" t="s">
        <v>276</v>
      </c>
      <c r="G164" s="41" t="s">
        <v>359</v>
      </c>
      <c r="H164" s="41" t="s">
        <v>374</v>
      </c>
      <c r="I164" s="41" t="s">
        <v>274</v>
      </c>
      <c r="J164" s="41" t="str">
        <f t="shared" si="6"/>
        <v>X</v>
      </c>
      <c r="K164" s="113">
        <f>IFERROR(INDEX(환산공식!CI$16:CI$301,MATCH($E164,환산공식!$A$16:$A$301,0)),"")</f>
        <v>100</v>
      </c>
      <c r="L164" s="41" t="str">
        <f>IFERROR(CONCATENATE(ROUND(INDEX(환산공식!CJ$16:CJ$301,MATCH(E164,환산공식!$A$16:$A$301,0)),1),"%"),"")</f>
        <v>100%</v>
      </c>
      <c r="M164" s="41">
        <f>IFERROR(INDEX(환산공식!CK$16:CK$301,MATCH(E164,환산공식!$A$16:$A$301,0)),"")</f>
        <v>0</v>
      </c>
      <c r="N164" s="113" t="str">
        <f t="shared" si="7"/>
        <v>1% 이하</v>
      </c>
      <c r="O164" s="119">
        <f>IFERROR(ROUND(INDEX(환산공식!$EF$16:$EF$301,MATCH(E164,환산공식!$A$16:$A$301,0)),3),"")</f>
        <v>0</v>
      </c>
      <c r="P164" s="119">
        <f>IFERROR(ROUND(INDEX('배치점수 계산기'!M$11:M$1000,MATCH($C164,'배치점수 계산기'!$U$11:$U$1000,0)),2),"")</f>
        <v>896.13</v>
      </c>
      <c r="Q164" s="41">
        <f>IFERROR(ROUND(INDEX('배치점수 계산기'!N$11:N$1000,MATCH($C164,'배치점수 계산기'!$U$11:$U$1000,0)),2),"")</f>
        <v>892.09</v>
      </c>
      <c r="R164" s="41">
        <f>IFERROR(ROUND(INDEX('배치점수 계산기'!O$11:O$1000,MATCH($C164,'배치점수 계산기'!$U$11:$U$1000,0)),2),"")</f>
        <v>890.57</v>
      </c>
      <c r="S164" s="41">
        <f>IFERROR(ROUND(INDEX('배치점수 계산기'!P$11:P$1000,MATCH($C164,'배치점수 계산기'!$U$11:$U$1000,0)),2),"")</f>
        <v>889</v>
      </c>
      <c r="T164" s="41">
        <f>IFERROR(ROUND(INDEX('배치점수 계산기'!Q$11:Q$1000,MATCH($C164,'배치점수 계산기'!$U$11:$U$1000,0)),2),"")</f>
        <v>887.57</v>
      </c>
      <c r="U164" s="41">
        <f>IFERROR(INDEX(환산공식!$DC$16:$DC$301,MATCH(E164,환산공식!$A$16:$A$301,0)),"")</f>
        <v>0</v>
      </c>
      <c r="V164" s="113">
        <f t="shared" si="8"/>
        <v>6</v>
      </c>
      <c r="W164" s="110" t="str">
        <f>INDEX('배치점수 계산기'!$AG$11:$AG$800,MATCH('       가 군       '!$C164,'배치점수 계산기'!$U$11:$U$800,0))</f>
        <v>표점/만점</v>
      </c>
      <c r="X164" s="108" t="str">
        <f>INDEX('배치점수 계산기'!$AH$11:$AH$800,MATCH('       가 군       '!$C164,'배치점수 계산기'!$U$11:$U$800,0))</f>
        <v>변표/만점</v>
      </c>
      <c r="Y164" s="113">
        <f>INDEX('배치점수 계산기'!$AB$11:$AB$800,MATCH('       가 군       '!$C164,'배치점수 계산기'!$U$11:$U$800,0))</f>
        <v>0.21707413571547685</v>
      </c>
      <c r="Z164" s="73">
        <f>INDEX('배치점수 계산기'!$AC$11:$AC$800,MATCH('       가 군       '!$C164,'배치점수 계산기'!$U$11:$U$800,0))</f>
        <v>0.38504816930483388</v>
      </c>
      <c r="AA164" s="63">
        <f>INDEX('배치점수 계산기'!$AD$11:$AD$800,MATCH('       가 군       '!$C164,'배치점수 계산기'!$U$11:$U$800,0))</f>
        <v>0.39787769497968917</v>
      </c>
      <c r="AE164" s="7">
        <v>157</v>
      </c>
    </row>
    <row r="165" spans="3:31" x14ac:dyDescent="0.3">
      <c r="C165" s="7" t="s">
        <v>1059</v>
      </c>
      <c r="D165" s="41" t="str">
        <f>IFERROR(INDEX('배치점수 계산기'!V$11:V$1000,MATCH($C165,'배치점수 계산기'!$U$11:$U$1000,0)),"")</f>
        <v>한양 통합</v>
      </c>
      <c r="E165" s="41">
        <f>IFERROR(INDEX('배치점수 계산기'!W$11:W$1000,MATCH($C165,'배치점수 계산기'!$U$11:$U$1000,0)),"")</f>
        <v>28</v>
      </c>
      <c r="F165" s="113" t="s">
        <v>276</v>
      </c>
      <c r="G165" s="41" t="s">
        <v>359</v>
      </c>
      <c r="H165" s="41" t="s">
        <v>376</v>
      </c>
      <c r="I165" s="41" t="s">
        <v>275</v>
      </c>
      <c r="J165" s="41" t="str">
        <f t="shared" si="6"/>
        <v>X</v>
      </c>
      <c r="K165" s="113">
        <f>IFERROR(INDEX(환산공식!CI$16:CI$301,MATCH($E165,환산공식!$A$16:$A$301,0)),"")</f>
        <v>100</v>
      </c>
      <c r="L165" s="41" t="str">
        <f>IFERROR(CONCATENATE(ROUND(INDEX(환산공식!CJ$16:CJ$301,MATCH(E165,환산공식!$A$16:$A$301,0)),1),"%"),"")</f>
        <v>100%</v>
      </c>
      <c r="M165" s="41">
        <f>IFERROR(INDEX(환산공식!CK$16:CK$301,MATCH(E165,환산공식!$A$16:$A$301,0)),"")</f>
        <v>0</v>
      </c>
      <c r="N165" s="113" t="str">
        <f t="shared" si="7"/>
        <v>1% 이하</v>
      </c>
      <c r="O165" s="119">
        <f>IFERROR(ROUND(INDEX(환산공식!$EF$16:$EF$301,MATCH(E165,환산공식!$A$16:$A$301,0)),3),"")</f>
        <v>0</v>
      </c>
      <c r="P165" s="119">
        <f>IFERROR(ROUND(INDEX('배치점수 계산기'!M$11:M$1000,MATCH($C165,'배치점수 계산기'!$U$11:$U$1000,0)),2),"")</f>
        <v>887.5</v>
      </c>
      <c r="Q165" s="41">
        <f>IFERROR(ROUND(INDEX('배치점수 계산기'!N$11:N$1000,MATCH($C165,'배치점수 계산기'!$U$11:$U$1000,0)),2),"")</f>
        <v>885.81</v>
      </c>
      <c r="R165" s="41">
        <f>IFERROR(ROUND(INDEX('배치점수 계산기'!O$11:O$1000,MATCH($C165,'배치점수 계산기'!$U$11:$U$1000,0)),2),"")</f>
        <v>884.17</v>
      </c>
      <c r="S165" s="41">
        <f>IFERROR(ROUND(INDEX('배치점수 계산기'!P$11:P$1000,MATCH($C165,'배치점수 계산기'!$U$11:$U$1000,0)),2),"")</f>
        <v>883.11</v>
      </c>
      <c r="T165" s="41">
        <f>IFERROR(ROUND(INDEX('배치점수 계산기'!Q$11:Q$1000,MATCH($C165,'배치점수 계산기'!$U$11:$U$1000,0)),2),"")</f>
        <v>882.01</v>
      </c>
      <c r="U165" s="41">
        <f>IFERROR(INDEX(환산공식!$DC$16:$DC$301,MATCH(E165,환산공식!$A$16:$A$301,0)),"")</f>
        <v>0</v>
      </c>
      <c r="V165" s="113">
        <f t="shared" si="8"/>
        <v>6</v>
      </c>
      <c r="W165" s="110" t="str">
        <f>INDEX('배치점수 계산기'!$AG$11:$AG$800,MATCH('       가 군       '!$C165,'배치점수 계산기'!$U$11:$U$800,0))</f>
        <v>표점/만점</v>
      </c>
      <c r="X165" s="108" t="str">
        <f>INDEX('배치점수 계산기'!$AH$11:$AH$800,MATCH('       가 군       '!$C165,'배치점수 계산기'!$U$11:$U$800,0))</f>
        <v>변표/만점</v>
      </c>
      <c r="Y165" s="113">
        <f>INDEX('배치점수 계산기'!$AB$11:$AB$800,MATCH('       가 군       '!$C165,'배치점수 계산기'!$U$11:$U$800,0))</f>
        <v>0.31822878228782286</v>
      </c>
      <c r="Z165" s="73">
        <f>INDEX('배치점수 계산기'!$AC$11:$AC$800,MATCH('       가 군       '!$C165,'배치점수 계산기'!$U$11:$U$800,0))</f>
        <v>0.32255842558425585</v>
      </c>
      <c r="AA165" s="63">
        <f>INDEX('배치점수 계산기'!$AD$11:$AD$800,MATCH('       가 군       '!$C165,'배치점수 계산기'!$U$11:$U$800,0))</f>
        <v>0.35921279212792129</v>
      </c>
      <c r="AE165" s="7">
        <v>158</v>
      </c>
    </row>
    <row r="166" spans="3:31" x14ac:dyDescent="0.3">
      <c r="C166" s="7" t="s">
        <v>1060</v>
      </c>
      <c r="D166" s="41" t="str">
        <f>IFERROR(INDEX('배치점수 계산기'!V$11:V$1000,MATCH($C166,'배치점수 계산기'!$U$11:$U$1000,0)),"")</f>
        <v>중앙 통합</v>
      </c>
      <c r="E166" s="41">
        <f>IFERROR(INDEX('배치점수 계산기'!W$11:W$1000,MATCH($C166,'배치점수 계산기'!$U$11:$U$1000,0)),"")</f>
        <v>30</v>
      </c>
      <c r="F166" s="113" t="s">
        <v>276</v>
      </c>
      <c r="G166" s="41" t="s">
        <v>747</v>
      </c>
      <c r="H166" s="41" t="s">
        <v>335</v>
      </c>
      <c r="I166" s="41" t="s">
        <v>275</v>
      </c>
      <c r="J166" s="41" t="str">
        <f t="shared" si="6"/>
        <v>X</v>
      </c>
      <c r="K166" s="113">
        <f>IFERROR(INDEX(환산공식!CI$16:CI$301,MATCH($E166,환산공식!$A$16:$A$301,0)),"")</f>
        <v>100</v>
      </c>
      <c r="L166" s="41" t="str">
        <f>IFERROR(CONCATENATE(ROUND(INDEX(환산공식!CJ$16:CJ$301,MATCH(E166,환산공식!$A$16:$A$301,0)),1),"%"),"")</f>
        <v>100%</v>
      </c>
      <c r="M166" s="41">
        <f>IFERROR(INDEX(환산공식!CK$16:CK$301,MATCH(E166,환산공식!$A$16:$A$301,0)),"")</f>
        <v>10</v>
      </c>
      <c r="N166" s="113" t="str">
        <f t="shared" si="7"/>
        <v>1% 이하</v>
      </c>
      <c r="O166" s="119">
        <f>IFERROR(ROUND(INDEX(환산공식!$EF$16:$EF$301,MATCH(E166,환산공식!$A$16:$A$301,0)),3),"")</f>
        <v>0</v>
      </c>
      <c r="P166" s="119">
        <f>IFERROR(ROUND(INDEX('배치점수 계산기'!M$11:M$1000,MATCH($C166,'배치점수 계산기'!$U$11:$U$1000,0)),2),"")</f>
        <v>737.46</v>
      </c>
      <c r="Q166" s="41">
        <f>IFERROR(ROUND(INDEX('배치점수 계산기'!N$11:N$1000,MATCH($C166,'배치점수 계산기'!$U$11:$U$1000,0)),2),"")</f>
        <v>733.41</v>
      </c>
      <c r="R166" s="41">
        <f>IFERROR(ROUND(INDEX('배치점수 계산기'!O$11:O$1000,MATCH($C166,'배치점수 계산기'!$U$11:$U$1000,0)),2),"")</f>
        <v>729.88</v>
      </c>
      <c r="S166" s="41">
        <f>IFERROR(ROUND(INDEX('배치점수 계산기'!P$11:P$1000,MATCH($C166,'배치점수 계산기'!$U$11:$U$1000,0)),2),"")</f>
        <v>727.87</v>
      </c>
      <c r="T166" s="41">
        <f>IFERROR(ROUND(INDEX('배치점수 계산기'!Q$11:Q$1000,MATCH($C166,'배치점수 계산기'!$U$11:$U$1000,0)),2),"")</f>
        <v>726.05</v>
      </c>
      <c r="U166" s="41">
        <f>IFERROR(INDEX(환산공식!$DC$16:$DC$301,MATCH(E166,환산공식!$A$16:$A$301,0)),"")</f>
        <v>0</v>
      </c>
      <c r="V166" s="113">
        <f t="shared" si="8"/>
        <v>6</v>
      </c>
      <c r="W166" s="110" t="str">
        <f>INDEX('배치점수 계산기'!$AG$11:$AG$800,MATCH('       가 군       '!$C166,'배치점수 계산기'!$U$11:$U$800,0))</f>
        <v>표점</v>
      </c>
      <c r="X166" s="108" t="str">
        <f>INDEX('배치점수 계산기'!$AH$11:$AH$800,MATCH('       가 군       '!$C166,'배치점수 계산기'!$U$11:$U$800,0))</f>
        <v>변표</v>
      </c>
      <c r="Y166" s="113">
        <f>INDEX('배치점수 계산기'!$AB$11:$AB$800,MATCH('       가 군       '!$C166,'배치점수 계산기'!$U$11:$U$800,0))</f>
        <v>0.4</v>
      </c>
      <c r="Z166" s="73">
        <f>INDEX('배치점수 계산기'!$AC$11:$AC$800,MATCH('       가 군       '!$C166,'배치점수 계산기'!$U$11:$U$800,0))</f>
        <v>0.4</v>
      </c>
      <c r="AA166" s="63">
        <f>INDEX('배치점수 계산기'!$AD$11:$AD$800,MATCH('       가 군       '!$C166,'배치점수 계산기'!$U$11:$U$800,0))</f>
        <v>0.2</v>
      </c>
      <c r="AE166" s="7">
        <v>159</v>
      </c>
    </row>
    <row r="167" spans="3:31" x14ac:dyDescent="0.3">
      <c r="C167" s="7" t="s">
        <v>1062</v>
      </c>
      <c r="D167" s="41" t="str">
        <f>IFERROR(INDEX('배치점수 계산기'!V$11:V$1000,MATCH($C167,'배치점수 계산기'!$U$11:$U$1000,0)),"")</f>
        <v>중앙 통합</v>
      </c>
      <c r="E167" s="41">
        <f>IFERROR(INDEX('배치점수 계산기'!W$11:W$1000,MATCH($C167,'배치점수 계산기'!$U$11:$U$1000,0)),"")</f>
        <v>30</v>
      </c>
      <c r="F167" s="113" t="s">
        <v>276</v>
      </c>
      <c r="G167" s="41" t="s">
        <v>747</v>
      </c>
      <c r="H167" s="41" t="s">
        <v>749</v>
      </c>
      <c r="I167" s="41" t="s">
        <v>275</v>
      </c>
      <c r="J167" s="41" t="str">
        <f t="shared" si="6"/>
        <v>X</v>
      </c>
      <c r="K167" s="113">
        <f>IFERROR(INDEX(환산공식!CI$16:CI$301,MATCH($E167,환산공식!$A$16:$A$301,0)),"")</f>
        <v>100</v>
      </c>
      <c r="L167" s="41" t="str">
        <f>IFERROR(CONCATENATE(ROUND(INDEX(환산공식!CJ$16:CJ$301,MATCH(E167,환산공식!$A$16:$A$301,0)),1),"%"),"")</f>
        <v>100%</v>
      </c>
      <c r="M167" s="41">
        <f>IFERROR(INDEX(환산공식!CK$16:CK$301,MATCH(E167,환산공식!$A$16:$A$301,0)),"")</f>
        <v>10</v>
      </c>
      <c r="N167" s="113" t="str">
        <f t="shared" si="7"/>
        <v>1% 이하</v>
      </c>
      <c r="O167" s="119">
        <f>IFERROR(ROUND(INDEX(환산공식!$EF$16:$EF$301,MATCH(E167,환산공식!$A$16:$A$301,0)),3),"")</f>
        <v>0</v>
      </c>
      <c r="P167" s="119">
        <f>IFERROR(ROUND(INDEX('배치점수 계산기'!M$11:M$1000,MATCH($C167,'배치점수 계산기'!$U$11:$U$1000,0)),2),"")</f>
        <v>737.46</v>
      </c>
      <c r="Q167" s="41">
        <f>IFERROR(ROUND(INDEX('배치점수 계산기'!N$11:N$1000,MATCH($C167,'배치점수 계산기'!$U$11:$U$1000,0)),2),"")</f>
        <v>733.41</v>
      </c>
      <c r="R167" s="41">
        <f>IFERROR(ROUND(INDEX('배치점수 계산기'!O$11:O$1000,MATCH($C167,'배치점수 계산기'!$U$11:$U$1000,0)),2),"")</f>
        <v>729.88</v>
      </c>
      <c r="S167" s="41">
        <f>IFERROR(ROUND(INDEX('배치점수 계산기'!P$11:P$1000,MATCH($C167,'배치점수 계산기'!$U$11:$U$1000,0)),2),"")</f>
        <v>727.87</v>
      </c>
      <c r="T167" s="41">
        <f>IFERROR(ROUND(INDEX('배치점수 계산기'!Q$11:Q$1000,MATCH($C167,'배치점수 계산기'!$U$11:$U$1000,0)),2),"")</f>
        <v>726.05</v>
      </c>
      <c r="U167" s="41">
        <f>IFERROR(INDEX(환산공식!$DC$16:$DC$301,MATCH(E167,환산공식!$A$16:$A$301,0)),"")</f>
        <v>0</v>
      </c>
      <c r="V167" s="113">
        <f t="shared" si="8"/>
        <v>6</v>
      </c>
      <c r="W167" s="110" t="str">
        <f>INDEX('배치점수 계산기'!$AG$11:$AG$800,MATCH('       가 군       '!$C167,'배치점수 계산기'!$U$11:$U$800,0))</f>
        <v>표점</v>
      </c>
      <c r="X167" s="108" t="str">
        <f>INDEX('배치점수 계산기'!$AH$11:$AH$800,MATCH('       가 군       '!$C167,'배치점수 계산기'!$U$11:$U$800,0))</f>
        <v>변표</v>
      </c>
      <c r="Y167" s="113">
        <f>INDEX('배치점수 계산기'!$AB$11:$AB$800,MATCH('       가 군       '!$C167,'배치점수 계산기'!$U$11:$U$800,0))</f>
        <v>0.4</v>
      </c>
      <c r="Z167" s="73">
        <f>INDEX('배치점수 계산기'!$AC$11:$AC$800,MATCH('       가 군       '!$C167,'배치점수 계산기'!$U$11:$U$800,0))</f>
        <v>0.4</v>
      </c>
      <c r="AA167" s="63">
        <f>INDEX('배치점수 계산기'!$AD$11:$AD$800,MATCH('       가 군       '!$C167,'배치점수 계산기'!$U$11:$U$800,0))</f>
        <v>0.2</v>
      </c>
      <c r="AE167" s="7">
        <v>160</v>
      </c>
    </row>
    <row r="168" spans="3:31" x14ac:dyDescent="0.3">
      <c r="C168" s="7" t="s">
        <v>1063</v>
      </c>
      <c r="D168" s="41" t="str">
        <f>IFERROR(INDEX('배치점수 계산기'!V$11:V$1000,MATCH($C168,'배치점수 계산기'!$U$11:$U$1000,0)),"")</f>
        <v>중앙 자연</v>
      </c>
      <c r="E168" s="41">
        <f>IFERROR(INDEX('배치점수 계산기'!W$11:W$1000,MATCH($C168,'배치점수 계산기'!$U$11:$U$1000,0)),"")</f>
        <v>29</v>
      </c>
      <c r="F168" s="113" t="s">
        <v>276</v>
      </c>
      <c r="G168" s="41" t="s">
        <v>747</v>
      </c>
      <c r="H168" s="41" t="s">
        <v>752</v>
      </c>
      <c r="I168" s="41" t="s">
        <v>274</v>
      </c>
      <c r="J168" s="41" t="str">
        <f t="shared" si="6"/>
        <v>X</v>
      </c>
      <c r="K168" s="113">
        <f>IFERROR(INDEX(환산공식!CI$16:CI$301,MATCH($E168,환산공식!$A$16:$A$301,0)),"")</f>
        <v>100</v>
      </c>
      <c r="L168" s="41" t="str">
        <f>IFERROR(CONCATENATE(ROUND(INDEX(환산공식!CJ$16:CJ$301,MATCH(E168,환산공식!$A$16:$A$301,0)),1),"%"),"")</f>
        <v>100%</v>
      </c>
      <c r="M168" s="41">
        <f>IFERROR(INDEX(환산공식!CK$16:CK$301,MATCH(E168,환산공식!$A$16:$A$301,0)),"")</f>
        <v>10</v>
      </c>
      <c r="N168" s="113" t="str">
        <f t="shared" si="7"/>
        <v>1% 이하</v>
      </c>
      <c r="O168" s="119">
        <f>IFERROR(ROUND(INDEX(환산공식!$EF$16:$EF$301,MATCH(E168,환산공식!$A$16:$A$301,0)),3),"")</f>
        <v>0</v>
      </c>
      <c r="P168" s="119">
        <f>IFERROR(ROUND(INDEX('배치점수 계산기'!M$11:M$1000,MATCH($C168,'배치점수 계산기'!$U$11:$U$1000,0)),2),"")</f>
        <v>761.61</v>
      </c>
      <c r="Q168" s="41">
        <f>IFERROR(ROUND(INDEX('배치점수 계산기'!N$11:N$1000,MATCH($C168,'배치점수 계산기'!$U$11:$U$1000,0)),2),"")</f>
        <v>758.98</v>
      </c>
      <c r="R168" s="41">
        <f>IFERROR(ROUND(INDEX('배치점수 계산기'!O$11:O$1000,MATCH($C168,'배치점수 계산기'!$U$11:$U$1000,0)),2),"")</f>
        <v>757.09</v>
      </c>
      <c r="S168" s="41">
        <f>IFERROR(ROUND(INDEX('배치점수 계산기'!P$11:P$1000,MATCH($C168,'배치점수 계산기'!$U$11:$U$1000,0)),2),"")</f>
        <v>755.11</v>
      </c>
      <c r="T168" s="41">
        <f>IFERROR(ROUND(INDEX('배치점수 계산기'!Q$11:Q$1000,MATCH($C168,'배치점수 계산기'!$U$11:$U$1000,0)),2),"")</f>
        <v>751.57</v>
      </c>
      <c r="U168" s="41">
        <f>IFERROR(INDEX(환산공식!$DC$16:$DC$301,MATCH(E168,환산공식!$A$16:$A$301,0)),"")</f>
        <v>0</v>
      </c>
      <c r="V168" s="113">
        <f t="shared" si="8"/>
        <v>6</v>
      </c>
      <c r="W168" s="110" t="str">
        <f>INDEX('배치점수 계산기'!$AG$11:$AG$800,MATCH('       가 군       '!$C168,'배치점수 계산기'!$U$11:$U$800,0))</f>
        <v>표점</v>
      </c>
      <c r="X168" s="108" t="str">
        <f>INDEX('배치점수 계산기'!$AH$11:$AH$800,MATCH('       가 군       '!$C168,'배치점수 계산기'!$U$11:$U$800,0))</f>
        <v>변표</v>
      </c>
      <c r="Y168" s="113">
        <f>INDEX('배치점수 계산기'!$AB$11:$AB$800,MATCH('       가 군       '!$C168,'배치점수 계산기'!$U$11:$U$800,0))</f>
        <v>0.25</v>
      </c>
      <c r="Z168" s="73">
        <f>INDEX('배치점수 계산기'!$AC$11:$AC$800,MATCH('       가 군       '!$C168,'배치점수 계산기'!$U$11:$U$800,0))</f>
        <v>0.4</v>
      </c>
      <c r="AA168" s="63">
        <f>INDEX('배치점수 계산기'!$AD$11:$AD$800,MATCH('       가 군       '!$C168,'배치점수 계산기'!$U$11:$U$800,0))</f>
        <v>0.35</v>
      </c>
      <c r="AE168" s="7">
        <v>161</v>
      </c>
    </row>
    <row r="169" spans="3:31" x14ac:dyDescent="0.3">
      <c r="C169" s="7" t="s">
        <v>1065</v>
      </c>
      <c r="D169" s="41" t="str">
        <f>IFERROR(INDEX('배치점수 계산기'!V$11:V$1000,MATCH($C169,'배치점수 계산기'!$U$11:$U$1000,0)),"")</f>
        <v>중앙 자연</v>
      </c>
      <c r="E169" s="41">
        <f>IFERROR(INDEX('배치점수 계산기'!W$11:W$1000,MATCH($C169,'배치점수 계산기'!$U$11:$U$1000,0)),"")</f>
        <v>29</v>
      </c>
      <c r="F169" s="113" t="s">
        <v>276</v>
      </c>
      <c r="G169" s="41" t="s">
        <v>747</v>
      </c>
      <c r="H169" s="41" t="s">
        <v>754</v>
      </c>
      <c r="I169" s="41" t="s">
        <v>274</v>
      </c>
      <c r="J169" s="41" t="str">
        <f t="shared" si="6"/>
        <v>X</v>
      </c>
      <c r="K169" s="113">
        <f>IFERROR(INDEX(환산공식!CI$16:CI$301,MATCH($E169,환산공식!$A$16:$A$301,0)),"")</f>
        <v>100</v>
      </c>
      <c r="L169" s="41" t="str">
        <f>IFERROR(CONCATENATE(ROUND(INDEX(환산공식!CJ$16:CJ$301,MATCH(E169,환산공식!$A$16:$A$301,0)),1),"%"),"")</f>
        <v>100%</v>
      </c>
      <c r="M169" s="41">
        <f>IFERROR(INDEX(환산공식!CK$16:CK$301,MATCH(E169,환산공식!$A$16:$A$301,0)),"")</f>
        <v>10</v>
      </c>
      <c r="N169" s="113" t="str">
        <f t="shared" si="7"/>
        <v>1% 이하</v>
      </c>
      <c r="O169" s="119">
        <f>IFERROR(ROUND(INDEX(환산공식!$EF$16:$EF$301,MATCH(E169,환산공식!$A$16:$A$301,0)),3),"")</f>
        <v>0</v>
      </c>
      <c r="P169" s="119">
        <f>IFERROR(ROUND(INDEX('배치점수 계산기'!M$11:M$1000,MATCH($C169,'배치점수 계산기'!$U$11:$U$1000,0)),2),"")</f>
        <v>757.67</v>
      </c>
      <c r="Q169" s="41">
        <f>IFERROR(ROUND(INDEX('배치점수 계산기'!N$11:N$1000,MATCH($C169,'배치점수 계산기'!$U$11:$U$1000,0)),2),"")</f>
        <v>754.91</v>
      </c>
      <c r="R169" s="41">
        <f>IFERROR(ROUND(INDEX('배치점수 계산기'!O$11:O$1000,MATCH($C169,'배치점수 계산기'!$U$11:$U$1000,0)),2),"")</f>
        <v>751.85</v>
      </c>
      <c r="S169" s="41">
        <f>IFERROR(ROUND(INDEX('배치점수 계산기'!P$11:P$1000,MATCH($C169,'배치점수 계산기'!$U$11:$U$1000,0)),2),"")</f>
        <v>749.59</v>
      </c>
      <c r="T169" s="41">
        <f>IFERROR(ROUND(INDEX('배치점수 계산기'!Q$11:Q$1000,MATCH($C169,'배치점수 계산기'!$U$11:$U$1000,0)),2),"")</f>
        <v>747.61</v>
      </c>
      <c r="U169" s="41">
        <f>IFERROR(INDEX(환산공식!$DC$16:$DC$301,MATCH(E169,환산공식!$A$16:$A$301,0)),"")</f>
        <v>0</v>
      </c>
      <c r="V169" s="113">
        <f t="shared" si="8"/>
        <v>6</v>
      </c>
      <c r="W169" s="110" t="str">
        <f>INDEX('배치점수 계산기'!$AG$11:$AG$800,MATCH('       가 군       '!$C169,'배치점수 계산기'!$U$11:$U$800,0))</f>
        <v>표점</v>
      </c>
      <c r="X169" s="108" t="str">
        <f>INDEX('배치점수 계산기'!$AH$11:$AH$800,MATCH('       가 군       '!$C169,'배치점수 계산기'!$U$11:$U$800,0))</f>
        <v>변표</v>
      </c>
      <c r="Y169" s="113">
        <f>INDEX('배치점수 계산기'!$AB$11:$AB$800,MATCH('       가 군       '!$C169,'배치점수 계산기'!$U$11:$U$800,0))</f>
        <v>0.25</v>
      </c>
      <c r="Z169" s="73">
        <f>INDEX('배치점수 계산기'!$AC$11:$AC$800,MATCH('       가 군       '!$C169,'배치점수 계산기'!$U$11:$U$800,0))</f>
        <v>0.4</v>
      </c>
      <c r="AA169" s="63">
        <f>INDEX('배치점수 계산기'!$AD$11:$AD$800,MATCH('       가 군       '!$C169,'배치점수 계산기'!$U$11:$U$800,0))</f>
        <v>0.35</v>
      </c>
      <c r="AE169" s="7">
        <v>162</v>
      </c>
    </row>
    <row r="170" spans="3:31" x14ac:dyDescent="0.3">
      <c r="C170" s="7" t="s">
        <v>1066</v>
      </c>
      <c r="D170" s="41" t="str">
        <f>IFERROR(INDEX('배치점수 계산기'!V$11:V$1000,MATCH($C170,'배치점수 계산기'!$U$11:$U$1000,0)),"")</f>
        <v>중앙 자연</v>
      </c>
      <c r="E170" s="41">
        <f>IFERROR(INDEX('배치점수 계산기'!W$11:W$1000,MATCH($C170,'배치점수 계산기'!$U$11:$U$1000,0)),"")</f>
        <v>29</v>
      </c>
      <c r="F170" s="113" t="s">
        <v>276</v>
      </c>
      <c r="G170" s="41" t="s">
        <v>747</v>
      </c>
      <c r="H170" s="41" t="s">
        <v>280</v>
      </c>
      <c r="I170" s="41" t="s">
        <v>274</v>
      </c>
      <c r="J170" s="41" t="str">
        <f t="shared" si="6"/>
        <v>X</v>
      </c>
      <c r="K170" s="113">
        <f>IFERROR(INDEX(환산공식!CI$16:CI$301,MATCH($E170,환산공식!$A$16:$A$301,0)),"")</f>
        <v>100</v>
      </c>
      <c r="L170" s="41" t="str">
        <f>IFERROR(CONCATENATE(ROUND(INDEX(환산공식!CJ$16:CJ$301,MATCH(E170,환산공식!$A$16:$A$301,0)),1),"%"),"")</f>
        <v>100%</v>
      </c>
      <c r="M170" s="41">
        <f>IFERROR(INDEX(환산공식!CK$16:CK$301,MATCH(E170,환산공식!$A$16:$A$301,0)),"")</f>
        <v>10</v>
      </c>
      <c r="N170" s="113" t="str">
        <f t="shared" si="7"/>
        <v>1% 이하</v>
      </c>
      <c r="O170" s="119">
        <f>IFERROR(ROUND(INDEX(환산공식!$EF$16:$EF$301,MATCH(E170,환산공식!$A$16:$A$301,0)),3),"")</f>
        <v>0</v>
      </c>
      <c r="P170" s="119">
        <f>IFERROR(ROUND(INDEX('배치점수 계산기'!M$11:M$1000,MATCH($C170,'배치점수 계산기'!$U$11:$U$1000,0)),2),"")</f>
        <v>757.13</v>
      </c>
      <c r="Q170" s="41">
        <f>IFERROR(ROUND(INDEX('배치점수 계산기'!N$11:N$1000,MATCH($C170,'배치점수 계산기'!$U$11:$U$1000,0)),2),"")</f>
        <v>754.91</v>
      </c>
      <c r="R170" s="41">
        <f>IFERROR(ROUND(INDEX('배치점수 계산기'!O$11:O$1000,MATCH($C170,'배치점수 계산기'!$U$11:$U$1000,0)),2),"")</f>
        <v>751.85</v>
      </c>
      <c r="S170" s="41">
        <f>IFERROR(ROUND(INDEX('배치점수 계산기'!P$11:P$1000,MATCH($C170,'배치점수 계산기'!$U$11:$U$1000,0)),2),"")</f>
        <v>749.59</v>
      </c>
      <c r="T170" s="41">
        <f>IFERROR(ROUND(INDEX('배치점수 계산기'!Q$11:Q$1000,MATCH($C170,'배치점수 계산기'!$U$11:$U$1000,0)),2),"")</f>
        <v>747.61</v>
      </c>
      <c r="U170" s="41">
        <f>IFERROR(INDEX(환산공식!$DC$16:$DC$301,MATCH(E170,환산공식!$A$16:$A$301,0)),"")</f>
        <v>0</v>
      </c>
      <c r="V170" s="113">
        <f t="shared" si="8"/>
        <v>6</v>
      </c>
      <c r="W170" s="110" t="str">
        <f>INDEX('배치점수 계산기'!$AG$11:$AG$800,MATCH('       가 군       '!$C170,'배치점수 계산기'!$U$11:$U$800,0))</f>
        <v>표점</v>
      </c>
      <c r="X170" s="108" t="str">
        <f>INDEX('배치점수 계산기'!$AH$11:$AH$800,MATCH('       가 군       '!$C170,'배치점수 계산기'!$U$11:$U$800,0))</f>
        <v>변표</v>
      </c>
      <c r="Y170" s="113">
        <f>INDEX('배치점수 계산기'!$AB$11:$AB$800,MATCH('       가 군       '!$C170,'배치점수 계산기'!$U$11:$U$800,0))</f>
        <v>0.25</v>
      </c>
      <c r="Z170" s="73">
        <f>INDEX('배치점수 계산기'!$AC$11:$AC$800,MATCH('       가 군       '!$C170,'배치점수 계산기'!$U$11:$U$800,0))</f>
        <v>0.4</v>
      </c>
      <c r="AA170" s="63">
        <f>INDEX('배치점수 계산기'!$AD$11:$AD$800,MATCH('       가 군       '!$C170,'배치점수 계산기'!$U$11:$U$800,0))</f>
        <v>0.35</v>
      </c>
      <c r="AE170" s="7">
        <v>163</v>
      </c>
    </row>
    <row r="171" spans="3:31" x14ac:dyDescent="0.3">
      <c r="C171" s="7" t="s">
        <v>1067</v>
      </c>
      <c r="D171" s="41" t="str">
        <f>IFERROR(INDEX('배치점수 계산기'!V$11:V$1000,MATCH($C171,'배치점수 계산기'!$U$11:$U$1000,0)),"")</f>
        <v>경희 통합인문</v>
      </c>
      <c r="E171" s="41">
        <f>IFERROR(INDEX('배치점수 계산기'!W$11:W$1000,MATCH($C171,'배치점수 계산기'!$U$11:$U$1000,0)),"")</f>
        <v>34</v>
      </c>
      <c r="F171" s="113" t="s">
        <v>276</v>
      </c>
      <c r="G171" s="41" t="s">
        <v>380</v>
      </c>
      <c r="H171" s="41" t="s">
        <v>303</v>
      </c>
      <c r="I171" s="41" t="s">
        <v>275</v>
      </c>
      <c r="J171" s="41" t="str">
        <f t="shared" si="6"/>
        <v>X</v>
      </c>
      <c r="K171" s="113">
        <f>IFERROR(INDEX(환산공식!CI$16:CI$301,MATCH($E171,환산공식!$A$16:$A$301,0)),"")</f>
        <v>120</v>
      </c>
      <c r="L171" s="41" t="str">
        <f>IFERROR(CONCATENATE(ROUND(INDEX(환산공식!CJ$16:CJ$301,MATCH(E171,환산공식!$A$16:$A$301,0)),1),"%"),"")</f>
        <v>100%</v>
      </c>
      <c r="M171" s="41">
        <f>IFERROR(INDEX(환산공식!CK$16:CK$301,MATCH(E171,환산공식!$A$16:$A$301,0)),"")</f>
        <v>40</v>
      </c>
      <c r="N171" s="113" t="str">
        <f t="shared" si="7"/>
        <v>1% 이하</v>
      </c>
      <c r="O171" s="119">
        <f>IFERROR(ROUND(INDEX(환산공식!$EF$16:$EF$301,MATCH(E171,환산공식!$A$16:$A$301,0)),3),"")</f>
        <v>0</v>
      </c>
      <c r="P171" s="119">
        <f>IFERROR(ROUND(INDEX('배치점수 계산기'!M$11:M$1000,MATCH($C171,'배치점수 계산기'!$U$11:$U$1000,0)),2),"")</f>
        <v>554.71</v>
      </c>
      <c r="Q171" s="41">
        <f>IFERROR(ROUND(INDEX('배치점수 계산기'!N$11:N$1000,MATCH($C171,'배치점수 계산기'!$U$11:$U$1000,0)),2),"")</f>
        <v>553</v>
      </c>
      <c r="R171" s="41">
        <f>IFERROR(ROUND(INDEX('배치점수 계산기'!O$11:O$1000,MATCH($C171,'배치점수 계산기'!$U$11:$U$1000,0)),2),"")</f>
        <v>551.63</v>
      </c>
      <c r="S171" s="41">
        <f>IFERROR(ROUND(INDEX('배치점수 계산기'!P$11:P$1000,MATCH($C171,'배치점수 계산기'!$U$11:$U$1000,0)),2),"")</f>
        <v>551.04999999999995</v>
      </c>
      <c r="T171" s="41">
        <f>IFERROR(ROUND(INDEX('배치점수 계산기'!Q$11:Q$1000,MATCH($C171,'배치점수 계산기'!$U$11:$U$1000,0)),2),"")</f>
        <v>550.05999999999995</v>
      </c>
      <c r="U171" s="41">
        <f>IFERROR(INDEX(환산공식!$DC$16:$DC$301,MATCH(E171,환산공식!$A$16:$A$301,0)),"")</f>
        <v>0</v>
      </c>
      <c r="V171" s="113">
        <f t="shared" si="8"/>
        <v>6</v>
      </c>
      <c r="W171" s="110" t="str">
        <f>INDEX('배치점수 계산기'!$AG$11:$AG$800,MATCH('       가 군       '!$C171,'배치점수 계산기'!$U$11:$U$800,0))</f>
        <v>표점</v>
      </c>
      <c r="X171" s="108" t="str">
        <f>INDEX('배치점수 계산기'!$AH$11:$AH$800,MATCH('       가 군       '!$C171,'배치점수 계산기'!$U$11:$U$800,0))</f>
        <v>변표</v>
      </c>
      <c r="Y171" s="113">
        <f>INDEX('배치점수 계산기'!$AB$11:$AB$800,MATCH('       가 군       '!$C171,'배치점수 계산기'!$U$11:$U$800,0))</f>
        <v>0.43749999999999994</v>
      </c>
      <c r="Z171" s="73">
        <f>INDEX('배치점수 계산기'!$AC$11:$AC$800,MATCH('       가 군       '!$C171,'배치점수 계산기'!$U$11:$U$800,0))</f>
        <v>0.3125</v>
      </c>
      <c r="AA171" s="63">
        <f>INDEX('배치점수 계산기'!$AD$11:$AD$800,MATCH('       가 군       '!$C171,'배치점수 계산기'!$U$11:$U$800,0))</f>
        <v>0.25</v>
      </c>
      <c r="AE171" s="7">
        <v>164</v>
      </c>
    </row>
    <row r="172" spans="3:31" x14ac:dyDescent="0.3">
      <c r="C172" s="7" t="s">
        <v>1069</v>
      </c>
      <c r="D172" s="41" t="str">
        <f>IFERROR(INDEX('배치점수 계산기'!V$11:V$1000,MATCH($C172,'배치점수 계산기'!$U$11:$U$1000,0)),"")</f>
        <v>경희 통합인문</v>
      </c>
      <c r="E172" s="41">
        <f>IFERROR(INDEX('배치점수 계산기'!W$11:W$1000,MATCH($C172,'배치점수 계산기'!$U$11:$U$1000,0)),"")</f>
        <v>34</v>
      </c>
      <c r="F172" s="113" t="s">
        <v>276</v>
      </c>
      <c r="G172" s="41" t="s">
        <v>380</v>
      </c>
      <c r="H172" s="41" t="s">
        <v>307</v>
      </c>
      <c r="I172" s="41" t="s">
        <v>275</v>
      </c>
      <c r="J172" s="41" t="str">
        <f t="shared" si="6"/>
        <v>X</v>
      </c>
      <c r="K172" s="113">
        <f>IFERROR(INDEX(환산공식!CI$16:CI$301,MATCH($E172,환산공식!$A$16:$A$301,0)),"")</f>
        <v>120</v>
      </c>
      <c r="L172" s="41" t="str">
        <f>IFERROR(CONCATENATE(ROUND(INDEX(환산공식!CJ$16:CJ$301,MATCH(E172,환산공식!$A$16:$A$301,0)),1),"%"),"")</f>
        <v>100%</v>
      </c>
      <c r="M172" s="41">
        <f>IFERROR(INDEX(환산공식!CK$16:CK$301,MATCH(E172,환산공식!$A$16:$A$301,0)),"")</f>
        <v>40</v>
      </c>
      <c r="N172" s="113" t="str">
        <f t="shared" si="7"/>
        <v>1% 이하</v>
      </c>
      <c r="O172" s="119">
        <f>IFERROR(ROUND(INDEX(환산공식!$EF$16:$EF$301,MATCH(E172,환산공식!$A$16:$A$301,0)),3),"")</f>
        <v>0</v>
      </c>
      <c r="P172" s="119">
        <f>IFERROR(ROUND(INDEX('배치점수 계산기'!M$11:M$1000,MATCH($C172,'배치점수 계산기'!$U$11:$U$1000,0)),2),"")</f>
        <v>553.26</v>
      </c>
      <c r="Q172" s="41">
        <f>IFERROR(ROUND(INDEX('배치점수 계산기'!N$11:N$1000,MATCH($C172,'배치점수 계산기'!$U$11:$U$1000,0)),2),"")</f>
        <v>551.91999999999996</v>
      </c>
      <c r="R172" s="41">
        <f>IFERROR(ROUND(INDEX('배치점수 계산기'!O$11:O$1000,MATCH($C172,'배치점수 계산기'!$U$11:$U$1000,0)),2),"")</f>
        <v>551.04999999999995</v>
      </c>
      <c r="S172" s="41">
        <f>IFERROR(ROUND(INDEX('배치점수 계산기'!P$11:P$1000,MATCH($C172,'배치점수 계산기'!$U$11:$U$1000,0)),2),"")</f>
        <v>550.64</v>
      </c>
      <c r="T172" s="41">
        <f>IFERROR(ROUND(INDEX('배치점수 계산기'!Q$11:Q$1000,MATCH($C172,'배치점수 계산기'!$U$11:$U$1000,0)),2),"")</f>
        <v>549.4</v>
      </c>
      <c r="U172" s="41">
        <f>IFERROR(INDEX(환산공식!$DC$16:$DC$301,MATCH(E172,환산공식!$A$16:$A$301,0)),"")</f>
        <v>0</v>
      </c>
      <c r="V172" s="113">
        <f t="shared" si="8"/>
        <v>6</v>
      </c>
      <c r="W172" s="110" t="str">
        <f>INDEX('배치점수 계산기'!$AG$11:$AG$800,MATCH('       가 군       '!$C172,'배치점수 계산기'!$U$11:$U$800,0))</f>
        <v>표점</v>
      </c>
      <c r="X172" s="108" t="str">
        <f>INDEX('배치점수 계산기'!$AH$11:$AH$800,MATCH('       가 군       '!$C172,'배치점수 계산기'!$U$11:$U$800,0))</f>
        <v>변표</v>
      </c>
      <c r="Y172" s="113">
        <f>INDEX('배치점수 계산기'!$AB$11:$AB$800,MATCH('       가 군       '!$C172,'배치점수 계산기'!$U$11:$U$800,0))</f>
        <v>0.43749999999999994</v>
      </c>
      <c r="Z172" s="73">
        <f>INDEX('배치점수 계산기'!$AC$11:$AC$800,MATCH('       가 군       '!$C172,'배치점수 계산기'!$U$11:$U$800,0))</f>
        <v>0.3125</v>
      </c>
      <c r="AA172" s="63">
        <f>INDEX('배치점수 계산기'!$AD$11:$AD$800,MATCH('       가 군       '!$C172,'배치점수 계산기'!$U$11:$U$800,0))</f>
        <v>0.25</v>
      </c>
      <c r="AE172" s="7">
        <v>165</v>
      </c>
    </row>
    <row r="173" spans="3:31" x14ac:dyDescent="0.3">
      <c r="C173" s="7" t="s">
        <v>1070</v>
      </c>
      <c r="D173" s="41" t="str">
        <f>IFERROR(INDEX('배치점수 계산기'!V$11:V$1000,MATCH($C173,'배치점수 계산기'!$U$11:$U$1000,0)),"")</f>
        <v>경희 통합인문</v>
      </c>
      <c r="E173" s="41">
        <f>IFERROR(INDEX('배치점수 계산기'!W$11:W$1000,MATCH($C173,'배치점수 계산기'!$U$11:$U$1000,0)),"")</f>
        <v>34</v>
      </c>
      <c r="F173" s="113" t="s">
        <v>276</v>
      </c>
      <c r="G173" s="41" t="s">
        <v>380</v>
      </c>
      <c r="H173" s="41" t="s">
        <v>309</v>
      </c>
      <c r="I173" s="41" t="s">
        <v>275</v>
      </c>
      <c r="J173" s="41" t="str">
        <f t="shared" si="6"/>
        <v>X</v>
      </c>
      <c r="K173" s="113">
        <f>IFERROR(INDEX(환산공식!CI$16:CI$301,MATCH($E173,환산공식!$A$16:$A$301,0)),"")</f>
        <v>120</v>
      </c>
      <c r="L173" s="41" t="str">
        <f>IFERROR(CONCATENATE(ROUND(INDEX(환산공식!CJ$16:CJ$301,MATCH(E173,환산공식!$A$16:$A$301,0)),1),"%"),"")</f>
        <v>100%</v>
      </c>
      <c r="M173" s="41">
        <f>IFERROR(INDEX(환산공식!CK$16:CK$301,MATCH(E173,환산공식!$A$16:$A$301,0)),"")</f>
        <v>40</v>
      </c>
      <c r="N173" s="113" t="str">
        <f t="shared" si="7"/>
        <v>1% 이하</v>
      </c>
      <c r="O173" s="119">
        <f>IFERROR(ROUND(INDEX(환산공식!$EF$16:$EF$301,MATCH(E173,환산공식!$A$16:$A$301,0)),3),"")</f>
        <v>0</v>
      </c>
      <c r="P173" s="119">
        <f>IFERROR(ROUND(INDEX('배치점수 계산기'!M$11:M$1000,MATCH($C173,'배치점수 계산기'!$U$11:$U$1000,0)),2),"")</f>
        <v>553.26</v>
      </c>
      <c r="Q173" s="41">
        <f>IFERROR(ROUND(INDEX('배치점수 계산기'!N$11:N$1000,MATCH($C173,'배치점수 계산기'!$U$11:$U$1000,0)),2),"")</f>
        <v>551.91999999999996</v>
      </c>
      <c r="R173" s="41">
        <f>IFERROR(ROUND(INDEX('배치점수 계산기'!O$11:O$1000,MATCH($C173,'배치점수 계산기'!$U$11:$U$1000,0)),2),"")</f>
        <v>551.04999999999995</v>
      </c>
      <c r="S173" s="41">
        <f>IFERROR(ROUND(INDEX('배치점수 계산기'!P$11:P$1000,MATCH($C173,'배치점수 계산기'!$U$11:$U$1000,0)),2),"")</f>
        <v>550.64</v>
      </c>
      <c r="T173" s="41">
        <f>IFERROR(ROUND(INDEX('배치점수 계산기'!Q$11:Q$1000,MATCH($C173,'배치점수 계산기'!$U$11:$U$1000,0)),2),"")</f>
        <v>549.4</v>
      </c>
      <c r="U173" s="41">
        <f>IFERROR(INDEX(환산공식!$DC$16:$DC$301,MATCH(E173,환산공식!$A$16:$A$301,0)),"")</f>
        <v>0</v>
      </c>
      <c r="V173" s="113">
        <f t="shared" si="8"/>
        <v>6</v>
      </c>
      <c r="W173" s="110" t="str">
        <f>INDEX('배치점수 계산기'!$AG$11:$AG$800,MATCH('       가 군       '!$C173,'배치점수 계산기'!$U$11:$U$800,0))</f>
        <v>표점</v>
      </c>
      <c r="X173" s="108" t="str">
        <f>INDEX('배치점수 계산기'!$AH$11:$AH$800,MATCH('       가 군       '!$C173,'배치점수 계산기'!$U$11:$U$800,0))</f>
        <v>변표</v>
      </c>
      <c r="Y173" s="113">
        <f>INDEX('배치점수 계산기'!$AB$11:$AB$800,MATCH('       가 군       '!$C173,'배치점수 계산기'!$U$11:$U$800,0))</f>
        <v>0.43749999999999994</v>
      </c>
      <c r="Z173" s="73">
        <f>INDEX('배치점수 계산기'!$AC$11:$AC$800,MATCH('       가 군       '!$C173,'배치점수 계산기'!$U$11:$U$800,0))</f>
        <v>0.3125</v>
      </c>
      <c r="AA173" s="63">
        <f>INDEX('배치점수 계산기'!$AD$11:$AD$800,MATCH('       가 군       '!$C173,'배치점수 계산기'!$U$11:$U$800,0))</f>
        <v>0.25</v>
      </c>
      <c r="AE173" s="7">
        <v>166</v>
      </c>
    </row>
    <row r="174" spans="3:31" x14ac:dyDescent="0.3">
      <c r="C174" s="7" t="s">
        <v>1071</v>
      </c>
      <c r="D174" s="41" t="str">
        <f>IFERROR(INDEX('배치점수 계산기'!V$11:V$1000,MATCH($C174,'배치점수 계산기'!$U$11:$U$1000,0)),"")</f>
        <v>경희 통합인문</v>
      </c>
      <c r="E174" s="41">
        <f>IFERROR(INDEX('배치점수 계산기'!W$11:W$1000,MATCH($C174,'배치점수 계산기'!$U$11:$U$1000,0)),"")</f>
        <v>34</v>
      </c>
      <c r="F174" s="113" t="s">
        <v>276</v>
      </c>
      <c r="G174" s="41" t="s">
        <v>380</v>
      </c>
      <c r="H174" s="41" t="s">
        <v>299</v>
      </c>
      <c r="I174" s="41" t="s">
        <v>275</v>
      </c>
      <c r="J174" s="41" t="str">
        <f t="shared" si="6"/>
        <v>X</v>
      </c>
      <c r="K174" s="113">
        <f>IFERROR(INDEX(환산공식!CI$16:CI$301,MATCH($E174,환산공식!$A$16:$A$301,0)),"")</f>
        <v>120</v>
      </c>
      <c r="L174" s="41" t="str">
        <f>IFERROR(CONCATENATE(ROUND(INDEX(환산공식!CJ$16:CJ$301,MATCH(E174,환산공식!$A$16:$A$301,0)),1),"%"),"")</f>
        <v>100%</v>
      </c>
      <c r="M174" s="41">
        <f>IFERROR(INDEX(환산공식!CK$16:CK$301,MATCH(E174,환산공식!$A$16:$A$301,0)),"")</f>
        <v>40</v>
      </c>
      <c r="N174" s="113" t="str">
        <f t="shared" si="7"/>
        <v>1% 이하</v>
      </c>
      <c r="O174" s="119">
        <f>IFERROR(ROUND(INDEX(환산공식!$EF$16:$EF$301,MATCH(E174,환산공식!$A$16:$A$301,0)),3),"")</f>
        <v>0</v>
      </c>
      <c r="P174" s="119">
        <f>IFERROR(ROUND(INDEX('배치점수 계산기'!M$11:M$1000,MATCH($C174,'배치점수 계산기'!$U$11:$U$1000,0)),2),"")</f>
        <v>554.71</v>
      </c>
      <c r="Q174" s="41">
        <f>IFERROR(ROUND(INDEX('배치점수 계산기'!N$11:N$1000,MATCH($C174,'배치점수 계산기'!$U$11:$U$1000,0)),2),"")</f>
        <v>553</v>
      </c>
      <c r="R174" s="41">
        <f>IFERROR(ROUND(INDEX('배치점수 계산기'!O$11:O$1000,MATCH($C174,'배치점수 계산기'!$U$11:$U$1000,0)),2),"")</f>
        <v>551.63</v>
      </c>
      <c r="S174" s="41">
        <f>IFERROR(ROUND(INDEX('배치점수 계산기'!P$11:P$1000,MATCH($C174,'배치점수 계산기'!$U$11:$U$1000,0)),2),"")</f>
        <v>551.04999999999995</v>
      </c>
      <c r="T174" s="41">
        <f>IFERROR(ROUND(INDEX('배치점수 계산기'!Q$11:Q$1000,MATCH($C174,'배치점수 계산기'!$U$11:$U$1000,0)),2),"")</f>
        <v>550.05999999999995</v>
      </c>
      <c r="U174" s="41">
        <f>IFERROR(INDEX(환산공식!$DC$16:$DC$301,MATCH(E174,환산공식!$A$16:$A$301,0)),"")</f>
        <v>0</v>
      </c>
      <c r="V174" s="113">
        <f t="shared" si="8"/>
        <v>6</v>
      </c>
      <c r="W174" s="110" t="str">
        <f>INDEX('배치점수 계산기'!$AG$11:$AG$800,MATCH('       가 군       '!$C174,'배치점수 계산기'!$U$11:$U$800,0))</f>
        <v>표점</v>
      </c>
      <c r="X174" s="108" t="str">
        <f>INDEX('배치점수 계산기'!$AH$11:$AH$800,MATCH('       가 군       '!$C174,'배치점수 계산기'!$U$11:$U$800,0))</f>
        <v>변표</v>
      </c>
      <c r="Y174" s="113">
        <f>INDEX('배치점수 계산기'!$AB$11:$AB$800,MATCH('       가 군       '!$C174,'배치점수 계산기'!$U$11:$U$800,0))</f>
        <v>0.43749999999999994</v>
      </c>
      <c r="Z174" s="73">
        <f>INDEX('배치점수 계산기'!$AC$11:$AC$800,MATCH('       가 군       '!$C174,'배치점수 계산기'!$U$11:$U$800,0))</f>
        <v>0.3125</v>
      </c>
      <c r="AA174" s="63">
        <f>INDEX('배치점수 계산기'!$AD$11:$AD$800,MATCH('       가 군       '!$C174,'배치점수 계산기'!$U$11:$U$800,0))</f>
        <v>0.25</v>
      </c>
      <c r="AE174" s="7">
        <v>167</v>
      </c>
    </row>
    <row r="175" spans="3:31" x14ac:dyDescent="0.3">
      <c r="C175" s="7" t="s">
        <v>1072</v>
      </c>
      <c r="D175" s="41" t="str">
        <f>IFERROR(INDEX('배치점수 계산기'!V$11:V$1000,MATCH($C175,'배치점수 계산기'!$U$11:$U$1000,0)),"")</f>
        <v>경희 통합인문</v>
      </c>
      <c r="E175" s="41">
        <f>IFERROR(INDEX('배치점수 계산기'!W$11:W$1000,MATCH($C175,'배치점수 계산기'!$U$11:$U$1000,0)),"")</f>
        <v>34</v>
      </c>
      <c r="F175" s="113" t="s">
        <v>276</v>
      </c>
      <c r="G175" s="41" t="s">
        <v>380</v>
      </c>
      <c r="H175" s="41" t="s">
        <v>381</v>
      </c>
      <c r="I175" s="41" t="s">
        <v>275</v>
      </c>
      <c r="J175" s="41" t="str">
        <f t="shared" si="6"/>
        <v>X</v>
      </c>
      <c r="K175" s="113">
        <f>IFERROR(INDEX(환산공식!CI$16:CI$301,MATCH($E175,환산공식!$A$16:$A$301,0)),"")</f>
        <v>120</v>
      </c>
      <c r="L175" s="41" t="str">
        <f>IFERROR(CONCATENATE(ROUND(INDEX(환산공식!CJ$16:CJ$301,MATCH(E175,환산공식!$A$16:$A$301,0)),1),"%"),"")</f>
        <v>100%</v>
      </c>
      <c r="M175" s="41">
        <f>IFERROR(INDEX(환산공식!CK$16:CK$301,MATCH(E175,환산공식!$A$16:$A$301,0)),"")</f>
        <v>40</v>
      </c>
      <c r="N175" s="113" t="str">
        <f t="shared" si="7"/>
        <v>1% 이하</v>
      </c>
      <c r="O175" s="119">
        <f>IFERROR(ROUND(INDEX(환산공식!$EF$16:$EF$301,MATCH(E175,환산공식!$A$16:$A$301,0)),3),"")</f>
        <v>0</v>
      </c>
      <c r="P175" s="119">
        <f>IFERROR(ROUND(INDEX('배치점수 계산기'!M$11:M$1000,MATCH($C175,'배치점수 계산기'!$U$11:$U$1000,0)),2),"")</f>
        <v>554.71</v>
      </c>
      <c r="Q175" s="41">
        <f>IFERROR(ROUND(INDEX('배치점수 계산기'!N$11:N$1000,MATCH($C175,'배치점수 계산기'!$U$11:$U$1000,0)),2),"")</f>
        <v>553</v>
      </c>
      <c r="R175" s="41">
        <f>IFERROR(ROUND(INDEX('배치점수 계산기'!O$11:O$1000,MATCH($C175,'배치점수 계산기'!$U$11:$U$1000,0)),2),"")</f>
        <v>551.63</v>
      </c>
      <c r="S175" s="41">
        <f>IFERROR(ROUND(INDEX('배치점수 계산기'!P$11:P$1000,MATCH($C175,'배치점수 계산기'!$U$11:$U$1000,0)),2),"")</f>
        <v>550.97</v>
      </c>
      <c r="T175" s="41">
        <f>IFERROR(ROUND(INDEX('배치점수 계산기'!Q$11:Q$1000,MATCH($C175,'배치점수 계산기'!$U$11:$U$1000,0)),2),"")</f>
        <v>549.4</v>
      </c>
      <c r="U175" s="41">
        <f>IFERROR(INDEX(환산공식!$DC$16:$DC$301,MATCH(E175,환산공식!$A$16:$A$301,0)),"")</f>
        <v>0</v>
      </c>
      <c r="V175" s="113">
        <f t="shared" si="8"/>
        <v>6</v>
      </c>
      <c r="W175" s="110" t="str">
        <f>INDEX('배치점수 계산기'!$AG$11:$AG$800,MATCH('       가 군       '!$C175,'배치점수 계산기'!$U$11:$U$800,0))</f>
        <v>표점</v>
      </c>
      <c r="X175" s="108" t="str">
        <f>INDEX('배치점수 계산기'!$AH$11:$AH$800,MATCH('       가 군       '!$C175,'배치점수 계산기'!$U$11:$U$800,0))</f>
        <v>변표</v>
      </c>
      <c r="Y175" s="113">
        <f>INDEX('배치점수 계산기'!$AB$11:$AB$800,MATCH('       가 군       '!$C175,'배치점수 계산기'!$U$11:$U$800,0))</f>
        <v>0.43749999999999994</v>
      </c>
      <c r="Z175" s="73">
        <f>INDEX('배치점수 계산기'!$AC$11:$AC$800,MATCH('       가 군       '!$C175,'배치점수 계산기'!$U$11:$U$800,0))</f>
        <v>0.3125</v>
      </c>
      <c r="AA175" s="63">
        <f>INDEX('배치점수 계산기'!$AD$11:$AD$800,MATCH('       가 군       '!$C175,'배치점수 계산기'!$U$11:$U$800,0))</f>
        <v>0.25</v>
      </c>
      <c r="AE175" s="7">
        <v>168</v>
      </c>
    </row>
    <row r="176" spans="3:31" x14ac:dyDescent="0.3">
      <c r="C176" s="7" t="s">
        <v>1073</v>
      </c>
      <c r="D176" s="41" t="str">
        <f>IFERROR(INDEX('배치점수 계산기'!V$11:V$1000,MATCH($C176,'배치점수 계산기'!$U$11:$U$1000,0)),"")</f>
        <v>경희 통합사회</v>
      </c>
      <c r="E176" s="41">
        <f>IFERROR(INDEX('배치점수 계산기'!W$11:W$1000,MATCH($C176,'배치점수 계산기'!$U$11:$U$1000,0)),"")</f>
        <v>35</v>
      </c>
      <c r="F176" s="113" t="s">
        <v>276</v>
      </c>
      <c r="G176" s="41" t="s">
        <v>380</v>
      </c>
      <c r="H176" s="41" t="s">
        <v>382</v>
      </c>
      <c r="I176" s="41" t="s">
        <v>275</v>
      </c>
      <c r="J176" s="41" t="str">
        <f t="shared" si="6"/>
        <v>X</v>
      </c>
      <c r="K176" s="113">
        <f>IFERROR(INDEX(환산공식!CI$16:CI$301,MATCH($E176,환산공식!$A$16:$A$301,0)),"")</f>
        <v>120</v>
      </c>
      <c r="L176" s="41" t="str">
        <f>IFERROR(CONCATENATE(ROUND(INDEX(환산공식!CJ$16:CJ$301,MATCH(E176,환산공식!$A$16:$A$301,0)),1),"%"),"")</f>
        <v>100%</v>
      </c>
      <c r="M176" s="41">
        <f>IFERROR(INDEX(환산공식!CK$16:CK$301,MATCH(E176,환산공식!$A$16:$A$301,0)),"")</f>
        <v>40</v>
      </c>
      <c r="N176" s="113" t="str">
        <f t="shared" si="7"/>
        <v>1% 이하</v>
      </c>
      <c r="O176" s="119">
        <f>IFERROR(ROUND(INDEX(환산공식!$EF$16:$EF$301,MATCH(E176,환산공식!$A$16:$A$301,0)),3),"")</f>
        <v>0</v>
      </c>
      <c r="P176" s="119">
        <f>IFERROR(ROUND(INDEX('배치점수 계산기'!M$11:M$1000,MATCH($C176,'배치점수 계산기'!$U$11:$U$1000,0)),2),"")</f>
        <v>556.67999999999995</v>
      </c>
      <c r="Q176" s="41">
        <f>IFERROR(ROUND(INDEX('배치점수 계산기'!N$11:N$1000,MATCH($C176,'배치점수 계산기'!$U$11:$U$1000,0)),2),"")</f>
        <v>556.12</v>
      </c>
      <c r="R176" s="41">
        <f>IFERROR(ROUND(INDEX('배치점수 계산기'!O$11:O$1000,MATCH($C176,'배치점수 계산기'!$U$11:$U$1000,0)),2),"")</f>
        <v>554.70000000000005</v>
      </c>
      <c r="S176" s="41">
        <f>IFERROR(ROUND(INDEX('배치점수 계산기'!P$11:P$1000,MATCH($C176,'배치점수 계산기'!$U$11:$U$1000,0)),2),"")</f>
        <v>553.59</v>
      </c>
      <c r="T176" s="41">
        <f>IFERROR(ROUND(INDEX('배치점수 계산기'!Q$11:Q$1000,MATCH($C176,'배치점수 계산기'!$U$11:$U$1000,0)),2),"")</f>
        <v>551.08000000000004</v>
      </c>
      <c r="U176" s="41">
        <f>IFERROR(INDEX(환산공식!$DC$16:$DC$301,MATCH(E176,환산공식!$A$16:$A$301,0)),"")</f>
        <v>0</v>
      </c>
      <c r="V176" s="113">
        <f t="shared" si="8"/>
        <v>6</v>
      </c>
      <c r="W176" s="110" t="str">
        <f>INDEX('배치점수 계산기'!$AG$11:$AG$800,MATCH('       가 군       '!$C176,'배치점수 계산기'!$U$11:$U$800,0))</f>
        <v>표점</v>
      </c>
      <c r="X176" s="108" t="str">
        <f>INDEX('배치점수 계산기'!$AH$11:$AH$800,MATCH('       가 군       '!$C176,'배치점수 계산기'!$U$11:$U$800,0))</f>
        <v>변표</v>
      </c>
      <c r="Y176" s="113">
        <f>INDEX('배치점수 계산기'!$AB$11:$AB$800,MATCH('       가 군       '!$C176,'배치점수 계산기'!$U$11:$U$800,0))</f>
        <v>0.3125</v>
      </c>
      <c r="Z176" s="73">
        <f>INDEX('배치점수 계산기'!$AC$11:$AC$800,MATCH('       가 군       '!$C176,'배치점수 계산기'!$U$11:$U$800,0))</f>
        <v>0.43749999999999994</v>
      </c>
      <c r="AA176" s="63">
        <f>INDEX('배치점수 계산기'!$AD$11:$AD$800,MATCH('       가 군       '!$C176,'배치점수 계산기'!$U$11:$U$800,0))</f>
        <v>0.25</v>
      </c>
      <c r="AE176" s="7">
        <v>169</v>
      </c>
    </row>
    <row r="177" spans="3:31" x14ac:dyDescent="0.3">
      <c r="C177" s="7" t="s">
        <v>1075</v>
      </c>
      <c r="D177" s="41" t="str">
        <f>IFERROR(INDEX('배치점수 계산기'!V$11:V$1000,MATCH($C177,'배치점수 계산기'!$U$11:$U$1000,0)),"")</f>
        <v>경희 통합사회</v>
      </c>
      <c r="E177" s="41">
        <f>IFERROR(INDEX('배치점수 계산기'!W$11:W$1000,MATCH($C177,'배치점수 계산기'!$U$11:$U$1000,0)),"")</f>
        <v>35</v>
      </c>
      <c r="F177" s="113" t="s">
        <v>276</v>
      </c>
      <c r="G177" s="41" t="s">
        <v>380</v>
      </c>
      <c r="H177" s="41" t="s">
        <v>263</v>
      </c>
      <c r="I177" s="41" t="s">
        <v>275</v>
      </c>
      <c r="J177" s="41" t="str">
        <f t="shared" si="6"/>
        <v>X</v>
      </c>
      <c r="K177" s="113">
        <f>IFERROR(INDEX(환산공식!CI$16:CI$301,MATCH($E177,환산공식!$A$16:$A$301,0)),"")</f>
        <v>120</v>
      </c>
      <c r="L177" s="41" t="str">
        <f>IFERROR(CONCATENATE(ROUND(INDEX(환산공식!CJ$16:CJ$301,MATCH(E177,환산공식!$A$16:$A$301,0)),1),"%"),"")</f>
        <v>100%</v>
      </c>
      <c r="M177" s="41">
        <f>IFERROR(INDEX(환산공식!CK$16:CK$301,MATCH(E177,환산공식!$A$16:$A$301,0)),"")</f>
        <v>40</v>
      </c>
      <c r="N177" s="113" t="str">
        <f t="shared" si="7"/>
        <v>1% 이하</v>
      </c>
      <c r="O177" s="119">
        <f>IFERROR(ROUND(INDEX(환산공식!$EF$16:$EF$301,MATCH(E177,환산공식!$A$16:$A$301,0)),3),"")</f>
        <v>0</v>
      </c>
      <c r="P177" s="119">
        <f>IFERROR(ROUND(INDEX('배치점수 계산기'!M$11:M$1000,MATCH($C177,'배치점수 계산기'!$U$11:$U$1000,0)),2),"")</f>
        <v>558.53</v>
      </c>
      <c r="Q177" s="41">
        <f>IFERROR(ROUND(INDEX('배치점수 계산기'!N$11:N$1000,MATCH($C177,'배치점수 계산기'!$U$11:$U$1000,0)),2),"")</f>
        <v>556.67999999999995</v>
      </c>
      <c r="R177" s="41">
        <f>IFERROR(ROUND(INDEX('배치점수 계산기'!O$11:O$1000,MATCH($C177,'배치점수 계산기'!$U$11:$U$1000,0)),2),"")</f>
        <v>555.45000000000005</v>
      </c>
      <c r="S177" s="41">
        <f>IFERROR(ROUND(INDEX('배치점수 계산기'!P$11:P$1000,MATCH($C177,'배치점수 계산기'!$U$11:$U$1000,0)),2),"")</f>
        <v>554.53</v>
      </c>
      <c r="T177" s="41">
        <f>IFERROR(ROUND(INDEX('배치점수 계산기'!Q$11:Q$1000,MATCH($C177,'배치점수 계산기'!$U$11:$U$1000,0)),2),"")</f>
        <v>551.08000000000004</v>
      </c>
      <c r="U177" s="41">
        <f>IFERROR(INDEX(환산공식!$DC$16:$DC$301,MATCH(E177,환산공식!$A$16:$A$301,0)),"")</f>
        <v>0</v>
      </c>
      <c r="V177" s="113">
        <f t="shared" si="8"/>
        <v>6</v>
      </c>
      <c r="W177" s="110" t="str">
        <f>INDEX('배치점수 계산기'!$AG$11:$AG$800,MATCH('       가 군       '!$C177,'배치점수 계산기'!$U$11:$U$800,0))</f>
        <v>표점</v>
      </c>
      <c r="X177" s="108" t="str">
        <f>INDEX('배치점수 계산기'!$AH$11:$AH$800,MATCH('       가 군       '!$C177,'배치점수 계산기'!$U$11:$U$800,0))</f>
        <v>변표</v>
      </c>
      <c r="Y177" s="113">
        <f>INDEX('배치점수 계산기'!$AB$11:$AB$800,MATCH('       가 군       '!$C177,'배치점수 계산기'!$U$11:$U$800,0))</f>
        <v>0.3125</v>
      </c>
      <c r="Z177" s="73">
        <f>INDEX('배치점수 계산기'!$AC$11:$AC$800,MATCH('       가 군       '!$C177,'배치점수 계산기'!$U$11:$U$800,0))</f>
        <v>0.43749999999999994</v>
      </c>
      <c r="AA177" s="63">
        <f>INDEX('배치점수 계산기'!$AD$11:$AD$800,MATCH('       가 군       '!$C177,'배치점수 계산기'!$U$11:$U$800,0))</f>
        <v>0.25</v>
      </c>
      <c r="AE177" s="7">
        <v>170</v>
      </c>
    </row>
    <row r="178" spans="3:31" x14ac:dyDescent="0.3">
      <c r="C178" s="7" t="s">
        <v>1076</v>
      </c>
      <c r="D178" s="41" t="str">
        <f>IFERROR(INDEX('배치점수 계산기'!V$11:V$1000,MATCH($C178,'배치점수 계산기'!$U$11:$U$1000,0)),"")</f>
        <v>경희 통합사회</v>
      </c>
      <c r="E178" s="41">
        <f>IFERROR(INDEX('배치점수 계산기'!W$11:W$1000,MATCH($C178,'배치점수 계산기'!$U$11:$U$1000,0)),"")</f>
        <v>35</v>
      </c>
      <c r="F178" s="113" t="s">
        <v>276</v>
      </c>
      <c r="G178" s="41" t="s">
        <v>380</v>
      </c>
      <c r="H178" s="41" t="s">
        <v>301</v>
      </c>
      <c r="I178" s="41" t="s">
        <v>275</v>
      </c>
      <c r="J178" s="41" t="str">
        <f t="shared" si="6"/>
        <v>X</v>
      </c>
      <c r="K178" s="113">
        <f>IFERROR(INDEX(환산공식!CI$16:CI$301,MATCH($E178,환산공식!$A$16:$A$301,0)),"")</f>
        <v>120</v>
      </c>
      <c r="L178" s="41" t="str">
        <f>IFERROR(CONCATENATE(ROUND(INDEX(환산공식!CJ$16:CJ$301,MATCH(E178,환산공식!$A$16:$A$301,0)),1),"%"),"")</f>
        <v>100%</v>
      </c>
      <c r="M178" s="41">
        <f>IFERROR(INDEX(환산공식!CK$16:CK$301,MATCH(E178,환산공식!$A$16:$A$301,0)),"")</f>
        <v>40</v>
      </c>
      <c r="N178" s="113" t="str">
        <f t="shared" si="7"/>
        <v>1% 이하</v>
      </c>
      <c r="O178" s="119">
        <f>IFERROR(ROUND(INDEX(환산공식!$EF$16:$EF$301,MATCH(E178,환산공식!$A$16:$A$301,0)),3),"")</f>
        <v>0</v>
      </c>
      <c r="P178" s="119">
        <f>IFERROR(ROUND(INDEX('배치점수 계산기'!M$11:M$1000,MATCH($C178,'배치점수 계산기'!$U$11:$U$1000,0)),2),"")</f>
        <v>558.53</v>
      </c>
      <c r="Q178" s="41">
        <f>IFERROR(ROUND(INDEX('배치점수 계산기'!N$11:N$1000,MATCH($C178,'배치점수 계산기'!$U$11:$U$1000,0)),2),"")</f>
        <v>556.67999999999995</v>
      </c>
      <c r="R178" s="41">
        <f>IFERROR(ROUND(INDEX('배치점수 계산기'!O$11:O$1000,MATCH($C178,'배치점수 계산기'!$U$11:$U$1000,0)),2),"")</f>
        <v>555.45000000000005</v>
      </c>
      <c r="S178" s="41">
        <f>IFERROR(ROUND(INDEX('배치점수 계산기'!P$11:P$1000,MATCH($C178,'배치점수 계산기'!$U$11:$U$1000,0)),2),"")</f>
        <v>554.53</v>
      </c>
      <c r="T178" s="41">
        <f>IFERROR(ROUND(INDEX('배치점수 계산기'!Q$11:Q$1000,MATCH($C178,'배치점수 계산기'!$U$11:$U$1000,0)),2),"")</f>
        <v>551.08000000000004</v>
      </c>
      <c r="U178" s="41">
        <f>IFERROR(INDEX(환산공식!$DC$16:$DC$301,MATCH(E178,환산공식!$A$16:$A$301,0)),"")</f>
        <v>0</v>
      </c>
      <c r="V178" s="113">
        <f t="shared" si="8"/>
        <v>6</v>
      </c>
      <c r="W178" s="110" t="str">
        <f>INDEX('배치점수 계산기'!$AG$11:$AG$800,MATCH('       가 군       '!$C178,'배치점수 계산기'!$U$11:$U$800,0))</f>
        <v>표점</v>
      </c>
      <c r="X178" s="108" t="str">
        <f>INDEX('배치점수 계산기'!$AH$11:$AH$800,MATCH('       가 군       '!$C178,'배치점수 계산기'!$U$11:$U$800,0))</f>
        <v>변표</v>
      </c>
      <c r="Y178" s="113">
        <f>INDEX('배치점수 계산기'!$AB$11:$AB$800,MATCH('       가 군       '!$C178,'배치점수 계산기'!$U$11:$U$800,0))</f>
        <v>0.3125</v>
      </c>
      <c r="Z178" s="73">
        <f>INDEX('배치점수 계산기'!$AC$11:$AC$800,MATCH('       가 군       '!$C178,'배치점수 계산기'!$U$11:$U$800,0))</f>
        <v>0.43749999999999994</v>
      </c>
      <c r="AA178" s="63">
        <f>INDEX('배치점수 계산기'!$AD$11:$AD$800,MATCH('       가 군       '!$C178,'배치점수 계산기'!$U$11:$U$800,0))</f>
        <v>0.25</v>
      </c>
      <c r="AE178" s="7">
        <v>171</v>
      </c>
    </row>
    <row r="179" spans="3:31" x14ac:dyDescent="0.3">
      <c r="C179" s="7" t="s">
        <v>1077</v>
      </c>
      <c r="D179" s="41" t="str">
        <f>IFERROR(INDEX('배치점수 계산기'!V$11:V$1000,MATCH($C179,'배치점수 계산기'!$U$11:$U$1000,0)),"")</f>
        <v>경희 통합사회</v>
      </c>
      <c r="E179" s="41">
        <f>IFERROR(INDEX('배치점수 계산기'!W$11:W$1000,MATCH($C179,'배치점수 계산기'!$U$11:$U$1000,0)),"")</f>
        <v>35</v>
      </c>
      <c r="F179" s="113" t="s">
        <v>276</v>
      </c>
      <c r="G179" s="41" t="s">
        <v>380</v>
      </c>
      <c r="H179" s="41" t="s">
        <v>264</v>
      </c>
      <c r="I179" s="41" t="s">
        <v>275</v>
      </c>
      <c r="J179" s="41" t="str">
        <f t="shared" si="6"/>
        <v>X</v>
      </c>
      <c r="K179" s="113">
        <f>IFERROR(INDEX(환산공식!CI$16:CI$301,MATCH($E179,환산공식!$A$16:$A$301,0)),"")</f>
        <v>120</v>
      </c>
      <c r="L179" s="41" t="str">
        <f>IFERROR(CONCATENATE(ROUND(INDEX(환산공식!CJ$16:CJ$301,MATCH(E179,환산공식!$A$16:$A$301,0)),1),"%"),"")</f>
        <v>100%</v>
      </c>
      <c r="M179" s="41">
        <f>IFERROR(INDEX(환산공식!CK$16:CK$301,MATCH(E179,환산공식!$A$16:$A$301,0)),"")</f>
        <v>40</v>
      </c>
      <c r="N179" s="113" t="str">
        <f t="shared" si="7"/>
        <v>1% 이하</v>
      </c>
      <c r="O179" s="119">
        <f>IFERROR(ROUND(INDEX(환산공식!$EF$16:$EF$301,MATCH(E179,환산공식!$A$16:$A$301,0)),3),"")</f>
        <v>0</v>
      </c>
      <c r="P179" s="119">
        <f>IFERROR(ROUND(INDEX('배치점수 계산기'!M$11:M$1000,MATCH($C179,'배치점수 계산기'!$U$11:$U$1000,0)),2),"")</f>
        <v>556.12</v>
      </c>
      <c r="Q179" s="41">
        <f>IFERROR(ROUND(INDEX('배치점수 계산기'!N$11:N$1000,MATCH($C179,'배치점수 계산기'!$U$11:$U$1000,0)),2),"")</f>
        <v>554.70000000000005</v>
      </c>
      <c r="R179" s="41">
        <f>IFERROR(ROUND(INDEX('배치점수 계산기'!O$11:O$1000,MATCH($C179,'배치점수 계산기'!$U$11:$U$1000,0)),2),"")</f>
        <v>552.99</v>
      </c>
      <c r="S179" s="41">
        <f>IFERROR(ROUND(INDEX('배치점수 계산기'!P$11:P$1000,MATCH($C179,'배치점수 계산기'!$U$11:$U$1000,0)),2),"")</f>
        <v>551.08000000000004</v>
      </c>
      <c r="T179" s="41">
        <f>IFERROR(ROUND(INDEX('배치점수 계산기'!Q$11:Q$1000,MATCH($C179,'배치점수 계산기'!$U$11:$U$1000,0)),2),"")</f>
        <v>549.63</v>
      </c>
      <c r="U179" s="41">
        <f>IFERROR(INDEX(환산공식!$DC$16:$DC$301,MATCH(E179,환산공식!$A$16:$A$301,0)),"")</f>
        <v>0</v>
      </c>
      <c r="V179" s="113">
        <f t="shared" si="8"/>
        <v>6</v>
      </c>
      <c r="W179" s="110" t="str">
        <f>INDEX('배치점수 계산기'!$AG$11:$AG$800,MATCH('       가 군       '!$C179,'배치점수 계산기'!$U$11:$U$800,0))</f>
        <v>표점</v>
      </c>
      <c r="X179" s="108" t="str">
        <f>INDEX('배치점수 계산기'!$AH$11:$AH$800,MATCH('       가 군       '!$C179,'배치점수 계산기'!$U$11:$U$800,0))</f>
        <v>변표</v>
      </c>
      <c r="Y179" s="113">
        <f>INDEX('배치점수 계산기'!$AB$11:$AB$800,MATCH('       가 군       '!$C179,'배치점수 계산기'!$U$11:$U$800,0))</f>
        <v>0.3125</v>
      </c>
      <c r="Z179" s="73">
        <f>INDEX('배치점수 계산기'!$AC$11:$AC$800,MATCH('       가 군       '!$C179,'배치점수 계산기'!$U$11:$U$800,0))</f>
        <v>0.43749999999999994</v>
      </c>
      <c r="AA179" s="63">
        <f>INDEX('배치점수 계산기'!$AD$11:$AD$800,MATCH('       가 군       '!$C179,'배치점수 계산기'!$U$11:$U$800,0))</f>
        <v>0.25</v>
      </c>
      <c r="AE179" s="7">
        <v>172</v>
      </c>
    </row>
    <row r="180" spans="3:31" x14ac:dyDescent="0.3">
      <c r="C180" s="7" t="s">
        <v>1078</v>
      </c>
      <c r="D180" s="41" t="str">
        <f>IFERROR(INDEX('배치점수 계산기'!V$11:V$1000,MATCH($C180,'배치점수 계산기'!$U$11:$U$1000,0)),"")</f>
        <v>경희 통합사회</v>
      </c>
      <c r="E180" s="41">
        <f>IFERROR(INDEX('배치점수 계산기'!W$11:W$1000,MATCH($C180,'배치점수 계산기'!$U$11:$U$1000,0)),"")</f>
        <v>35</v>
      </c>
      <c r="F180" s="113" t="s">
        <v>276</v>
      </c>
      <c r="G180" s="41" t="s">
        <v>380</v>
      </c>
      <c r="H180" s="41" t="s">
        <v>261</v>
      </c>
      <c r="I180" s="41" t="s">
        <v>275</v>
      </c>
      <c r="J180" s="41" t="str">
        <f t="shared" si="6"/>
        <v>X</v>
      </c>
      <c r="K180" s="113">
        <f>IFERROR(INDEX(환산공식!CI$16:CI$301,MATCH($E180,환산공식!$A$16:$A$301,0)),"")</f>
        <v>120</v>
      </c>
      <c r="L180" s="41" t="str">
        <f>IFERROR(CONCATENATE(ROUND(INDEX(환산공식!CJ$16:CJ$301,MATCH(E180,환산공식!$A$16:$A$301,0)),1),"%"),"")</f>
        <v>100%</v>
      </c>
      <c r="M180" s="41">
        <f>IFERROR(INDEX(환산공식!CK$16:CK$301,MATCH(E180,환산공식!$A$16:$A$301,0)),"")</f>
        <v>40</v>
      </c>
      <c r="N180" s="113" t="str">
        <f t="shared" si="7"/>
        <v>1% 이하</v>
      </c>
      <c r="O180" s="119">
        <f>IFERROR(ROUND(INDEX(환산공식!$EF$16:$EF$301,MATCH(E180,환산공식!$A$16:$A$301,0)),3),"")</f>
        <v>0</v>
      </c>
      <c r="P180" s="119">
        <f>IFERROR(ROUND(INDEX('배치점수 계산기'!M$11:M$1000,MATCH($C180,'배치점수 계산기'!$U$11:$U$1000,0)),2),"")</f>
        <v>561.33000000000004</v>
      </c>
      <c r="Q180" s="41">
        <f>IFERROR(ROUND(INDEX('배치점수 계산기'!N$11:N$1000,MATCH($C180,'배치점수 계산기'!$U$11:$U$1000,0)),2),"")</f>
        <v>560.38</v>
      </c>
      <c r="R180" s="41">
        <f>IFERROR(ROUND(INDEX('배치점수 계산기'!O$11:O$1000,MATCH($C180,'배치점수 계산기'!$U$11:$U$1000,0)),2),"")</f>
        <v>558.07000000000005</v>
      </c>
      <c r="S180" s="41">
        <f>IFERROR(ROUND(INDEX('배치점수 계산기'!P$11:P$1000,MATCH($C180,'배치점수 계산기'!$U$11:$U$1000,0)),2),"")</f>
        <v>555.17999999999995</v>
      </c>
      <c r="T180" s="41">
        <f>IFERROR(ROUND(INDEX('배치점수 계산기'!Q$11:Q$1000,MATCH($C180,'배치점수 계산기'!$U$11:$U$1000,0)),2),"")</f>
        <v>551.55999999999995</v>
      </c>
      <c r="U180" s="41">
        <f>IFERROR(INDEX(환산공식!$DC$16:$DC$301,MATCH(E180,환산공식!$A$16:$A$301,0)),"")</f>
        <v>0</v>
      </c>
      <c r="V180" s="113">
        <f t="shared" si="8"/>
        <v>6</v>
      </c>
      <c r="W180" s="110" t="str">
        <f>INDEX('배치점수 계산기'!$AG$11:$AG$800,MATCH('       가 군       '!$C180,'배치점수 계산기'!$U$11:$U$800,0))</f>
        <v>표점</v>
      </c>
      <c r="X180" s="108" t="str">
        <f>INDEX('배치점수 계산기'!$AH$11:$AH$800,MATCH('       가 군       '!$C180,'배치점수 계산기'!$U$11:$U$800,0))</f>
        <v>변표</v>
      </c>
      <c r="Y180" s="113">
        <f>INDEX('배치점수 계산기'!$AB$11:$AB$800,MATCH('       가 군       '!$C180,'배치점수 계산기'!$U$11:$U$800,0))</f>
        <v>0.3125</v>
      </c>
      <c r="Z180" s="73">
        <f>INDEX('배치점수 계산기'!$AC$11:$AC$800,MATCH('       가 군       '!$C180,'배치점수 계산기'!$U$11:$U$800,0))</f>
        <v>0.43749999999999994</v>
      </c>
      <c r="AA180" s="63">
        <f>INDEX('배치점수 계산기'!$AD$11:$AD$800,MATCH('       가 군       '!$C180,'배치점수 계산기'!$U$11:$U$800,0))</f>
        <v>0.25</v>
      </c>
      <c r="AE180" s="7">
        <v>173</v>
      </c>
    </row>
    <row r="181" spans="3:31" x14ac:dyDescent="0.3">
      <c r="C181" s="7" t="s">
        <v>1079</v>
      </c>
      <c r="D181" s="41" t="str">
        <f>IFERROR(INDEX('배치점수 계산기'!V$11:V$1000,MATCH($C181,'배치점수 계산기'!$U$11:$U$1000,0)),"")</f>
        <v>경희 통합사회</v>
      </c>
      <c r="E181" s="41">
        <f>IFERROR(INDEX('배치점수 계산기'!W$11:W$1000,MATCH($C181,'배치점수 계산기'!$U$11:$U$1000,0)),"")</f>
        <v>35</v>
      </c>
      <c r="F181" s="113" t="s">
        <v>276</v>
      </c>
      <c r="G181" s="41" t="s">
        <v>380</v>
      </c>
      <c r="H181" s="41" t="s">
        <v>383</v>
      </c>
      <c r="I181" s="41" t="s">
        <v>275</v>
      </c>
      <c r="J181" s="41" t="str">
        <f t="shared" si="6"/>
        <v>X</v>
      </c>
      <c r="K181" s="113">
        <f>IFERROR(INDEX(환산공식!CI$16:CI$301,MATCH($E181,환산공식!$A$16:$A$301,0)),"")</f>
        <v>120</v>
      </c>
      <c r="L181" s="41" t="str">
        <f>IFERROR(CONCATENATE(ROUND(INDEX(환산공식!CJ$16:CJ$301,MATCH(E181,환산공식!$A$16:$A$301,0)),1),"%"),"")</f>
        <v>100%</v>
      </c>
      <c r="M181" s="41">
        <f>IFERROR(INDEX(환산공식!CK$16:CK$301,MATCH(E181,환산공식!$A$16:$A$301,0)),"")</f>
        <v>40</v>
      </c>
      <c r="N181" s="113" t="str">
        <f t="shared" si="7"/>
        <v>1% 이하</v>
      </c>
      <c r="O181" s="119">
        <f>IFERROR(ROUND(INDEX(환산공식!$EF$16:$EF$301,MATCH(E181,환산공식!$A$16:$A$301,0)),3),"")</f>
        <v>0</v>
      </c>
      <c r="P181" s="119">
        <f>IFERROR(ROUND(INDEX('배치점수 계산기'!M$11:M$1000,MATCH($C181,'배치점수 계산기'!$U$11:$U$1000,0)),2),"")</f>
        <v>555.73</v>
      </c>
      <c r="Q181" s="41">
        <f>IFERROR(ROUND(INDEX('배치점수 계산기'!N$11:N$1000,MATCH($C181,'배치점수 계산기'!$U$11:$U$1000,0)),2),"")</f>
        <v>553.91</v>
      </c>
      <c r="R181" s="41">
        <f>IFERROR(ROUND(INDEX('배치점수 계산기'!O$11:O$1000,MATCH($C181,'배치점수 계산기'!$U$11:$U$1000,0)),2),"")</f>
        <v>552.07000000000005</v>
      </c>
      <c r="S181" s="41">
        <f>IFERROR(ROUND(INDEX('배치점수 계산기'!P$11:P$1000,MATCH($C181,'배치점수 계산기'!$U$11:$U$1000,0)),2),"")</f>
        <v>550.34</v>
      </c>
      <c r="T181" s="41">
        <f>IFERROR(ROUND(INDEX('배치점수 계산기'!Q$11:Q$1000,MATCH($C181,'배치점수 계산기'!$U$11:$U$1000,0)),2),"")</f>
        <v>549.01</v>
      </c>
      <c r="U181" s="41">
        <f>IFERROR(INDEX(환산공식!$DC$16:$DC$301,MATCH(E181,환산공식!$A$16:$A$301,0)),"")</f>
        <v>0</v>
      </c>
      <c r="V181" s="113">
        <f t="shared" si="8"/>
        <v>6</v>
      </c>
      <c r="W181" s="110" t="str">
        <f>INDEX('배치점수 계산기'!$AG$11:$AG$800,MATCH('       가 군       '!$C181,'배치점수 계산기'!$U$11:$U$800,0))</f>
        <v>표점</v>
      </c>
      <c r="X181" s="108" t="str">
        <f>INDEX('배치점수 계산기'!$AH$11:$AH$800,MATCH('       가 군       '!$C181,'배치점수 계산기'!$U$11:$U$800,0))</f>
        <v>변표</v>
      </c>
      <c r="Y181" s="113">
        <f>INDEX('배치점수 계산기'!$AB$11:$AB$800,MATCH('       가 군       '!$C181,'배치점수 계산기'!$U$11:$U$800,0))</f>
        <v>0.3125</v>
      </c>
      <c r="Z181" s="73">
        <f>INDEX('배치점수 계산기'!$AC$11:$AC$800,MATCH('       가 군       '!$C181,'배치점수 계산기'!$U$11:$U$800,0))</f>
        <v>0.43749999999999994</v>
      </c>
      <c r="AA181" s="63">
        <f>INDEX('배치점수 계산기'!$AD$11:$AD$800,MATCH('       가 군       '!$C181,'배치점수 계산기'!$U$11:$U$800,0))</f>
        <v>0.25</v>
      </c>
      <c r="AE181" s="7">
        <v>174</v>
      </c>
    </row>
    <row r="182" spans="3:31" x14ac:dyDescent="0.3">
      <c r="C182" s="7" t="s">
        <v>1080</v>
      </c>
      <c r="D182" s="41" t="str">
        <f>IFERROR(INDEX('배치점수 계산기'!V$11:V$1000,MATCH($C182,'배치점수 계산기'!$U$11:$U$1000,0)),"")</f>
        <v>경희 통합사회</v>
      </c>
      <c r="E182" s="41">
        <f>IFERROR(INDEX('배치점수 계산기'!W$11:W$1000,MATCH($C182,'배치점수 계산기'!$U$11:$U$1000,0)),"")</f>
        <v>35</v>
      </c>
      <c r="F182" s="113" t="s">
        <v>276</v>
      </c>
      <c r="G182" s="41" t="s">
        <v>380</v>
      </c>
      <c r="H182" s="41" t="s">
        <v>335</v>
      </c>
      <c r="I182" s="41" t="s">
        <v>275</v>
      </c>
      <c r="J182" s="41" t="str">
        <f t="shared" si="6"/>
        <v>X</v>
      </c>
      <c r="K182" s="113">
        <f>IFERROR(INDEX(환산공식!CI$16:CI$301,MATCH($E182,환산공식!$A$16:$A$301,0)),"")</f>
        <v>120</v>
      </c>
      <c r="L182" s="41" t="str">
        <f>IFERROR(CONCATENATE(ROUND(INDEX(환산공식!CJ$16:CJ$301,MATCH(E182,환산공식!$A$16:$A$301,0)),1),"%"),"")</f>
        <v>100%</v>
      </c>
      <c r="M182" s="41">
        <f>IFERROR(INDEX(환산공식!CK$16:CK$301,MATCH(E182,환산공식!$A$16:$A$301,0)),"")</f>
        <v>40</v>
      </c>
      <c r="N182" s="113" t="str">
        <f t="shared" si="7"/>
        <v>1% 이하</v>
      </c>
      <c r="O182" s="119">
        <f>IFERROR(ROUND(INDEX(환산공식!$EF$16:$EF$301,MATCH(E182,환산공식!$A$16:$A$301,0)),3),"")</f>
        <v>0</v>
      </c>
      <c r="P182" s="119">
        <f>IFERROR(ROUND(INDEX('배치점수 계산기'!M$11:M$1000,MATCH($C182,'배치점수 계산기'!$U$11:$U$1000,0)),2),"")</f>
        <v>555.73</v>
      </c>
      <c r="Q182" s="41">
        <f>IFERROR(ROUND(INDEX('배치점수 계산기'!N$11:N$1000,MATCH($C182,'배치점수 계산기'!$U$11:$U$1000,0)),2),"")</f>
        <v>553.91</v>
      </c>
      <c r="R182" s="41">
        <f>IFERROR(ROUND(INDEX('배치점수 계산기'!O$11:O$1000,MATCH($C182,'배치점수 계산기'!$U$11:$U$1000,0)),2),"")</f>
        <v>552.07000000000005</v>
      </c>
      <c r="S182" s="41">
        <f>IFERROR(ROUND(INDEX('배치점수 계산기'!P$11:P$1000,MATCH($C182,'배치점수 계산기'!$U$11:$U$1000,0)),2),"")</f>
        <v>550.34</v>
      </c>
      <c r="T182" s="41">
        <f>IFERROR(ROUND(INDEX('배치점수 계산기'!Q$11:Q$1000,MATCH($C182,'배치점수 계산기'!$U$11:$U$1000,0)),2),"")</f>
        <v>549.01</v>
      </c>
      <c r="U182" s="41">
        <f>IFERROR(INDEX(환산공식!$DC$16:$DC$301,MATCH(E182,환산공식!$A$16:$A$301,0)),"")</f>
        <v>0</v>
      </c>
      <c r="V182" s="113">
        <f t="shared" si="8"/>
        <v>6</v>
      </c>
      <c r="W182" s="110" t="str">
        <f>INDEX('배치점수 계산기'!$AG$11:$AG$800,MATCH('       가 군       '!$C182,'배치점수 계산기'!$U$11:$U$800,0))</f>
        <v>표점</v>
      </c>
      <c r="X182" s="108" t="str">
        <f>INDEX('배치점수 계산기'!$AH$11:$AH$800,MATCH('       가 군       '!$C182,'배치점수 계산기'!$U$11:$U$800,0))</f>
        <v>변표</v>
      </c>
      <c r="Y182" s="113">
        <f>INDEX('배치점수 계산기'!$AB$11:$AB$800,MATCH('       가 군       '!$C182,'배치점수 계산기'!$U$11:$U$800,0))</f>
        <v>0.3125</v>
      </c>
      <c r="Z182" s="73">
        <f>INDEX('배치점수 계산기'!$AC$11:$AC$800,MATCH('       가 군       '!$C182,'배치점수 계산기'!$U$11:$U$800,0))</f>
        <v>0.43749999999999994</v>
      </c>
      <c r="AA182" s="63">
        <f>INDEX('배치점수 계산기'!$AD$11:$AD$800,MATCH('       가 군       '!$C182,'배치점수 계산기'!$U$11:$U$800,0))</f>
        <v>0.25</v>
      </c>
      <c r="AE182" s="7">
        <v>175</v>
      </c>
    </row>
    <row r="183" spans="3:31" x14ac:dyDescent="0.3">
      <c r="C183" s="7" t="s">
        <v>1081</v>
      </c>
      <c r="D183" s="41" t="str">
        <f>IFERROR(INDEX('배치점수 계산기'!V$11:V$1000,MATCH($C183,'배치점수 계산기'!$U$11:$U$1000,0)),"")</f>
        <v>경희 통합사회</v>
      </c>
      <c r="E183" s="41">
        <f>IFERROR(INDEX('배치점수 계산기'!W$11:W$1000,MATCH($C183,'배치점수 계산기'!$U$11:$U$1000,0)),"")</f>
        <v>35</v>
      </c>
      <c r="F183" s="113" t="s">
        <v>276</v>
      </c>
      <c r="G183" s="41" t="s">
        <v>380</v>
      </c>
      <c r="H183" s="41" t="s">
        <v>262</v>
      </c>
      <c r="I183" s="41" t="s">
        <v>275</v>
      </c>
      <c r="J183" s="41" t="str">
        <f t="shared" si="6"/>
        <v>X</v>
      </c>
      <c r="K183" s="113">
        <f>IFERROR(INDEX(환산공식!CI$16:CI$301,MATCH($E183,환산공식!$A$16:$A$301,0)),"")</f>
        <v>120</v>
      </c>
      <c r="L183" s="41" t="str">
        <f>IFERROR(CONCATENATE(ROUND(INDEX(환산공식!CJ$16:CJ$301,MATCH(E183,환산공식!$A$16:$A$301,0)),1),"%"),"")</f>
        <v>100%</v>
      </c>
      <c r="M183" s="41">
        <f>IFERROR(INDEX(환산공식!CK$16:CK$301,MATCH(E183,환산공식!$A$16:$A$301,0)),"")</f>
        <v>40</v>
      </c>
      <c r="N183" s="113" t="str">
        <f t="shared" si="7"/>
        <v>1% 이하</v>
      </c>
      <c r="O183" s="119">
        <f>IFERROR(ROUND(INDEX(환산공식!$EF$16:$EF$301,MATCH(E183,환산공식!$A$16:$A$301,0)),3),"")</f>
        <v>0</v>
      </c>
      <c r="P183" s="119">
        <f>IFERROR(ROUND(INDEX('배치점수 계산기'!M$11:M$1000,MATCH($C183,'배치점수 계산기'!$U$11:$U$1000,0)),2),"")</f>
        <v>561.33000000000004</v>
      </c>
      <c r="Q183" s="41">
        <f>IFERROR(ROUND(INDEX('배치점수 계산기'!N$11:N$1000,MATCH($C183,'배치점수 계산기'!$U$11:$U$1000,0)),2),"")</f>
        <v>560.38</v>
      </c>
      <c r="R183" s="41">
        <f>IFERROR(ROUND(INDEX('배치점수 계산기'!O$11:O$1000,MATCH($C183,'배치점수 계산기'!$U$11:$U$1000,0)),2),"")</f>
        <v>558.07000000000005</v>
      </c>
      <c r="S183" s="41">
        <f>IFERROR(ROUND(INDEX('배치점수 계산기'!P$11:P$1000,MATCH($C183,'배치점수 계산기'!$U$11:$U$1000,0)),2),"")</f>
        <v>555.17999999999995</v>
      </c>
      <c r="T183" s="41">
        <f>IFERROR(ROUND(INDEX('배치점수 계산기'!Q$11:Q$1000,MATCH($C183,'배치점수 계산기'!$U$11:$U$1000,0)),2),"")</f>
        <v>551.55999999999995</v>
      </c>
      <c r="U183" s="41">
        <f>IFERROR(INDEX(환산공식!$DC$16:$DC$301,MATCH(E183,환산공식!$A$16:$A$301,0)),"")</f>
        <v>0</v>
      </c>
      <c r="V183" s="113">
        <f t="shared" si="8"/>
        <v>6</v>
      </c>
      <c r="W183" s="110" t="str">
        <f>INDEX('배치점수 계산기'!$AG$11:$AG$800,MATCH('       가 군       '!$C183,'배치점수 계산기'!$U$11:$U$800,0))</f>
        <v>표점</v>
      </c>
      <c r="X183" s="108" t="str">
        <f>INDEX('배치점수 계산기'!$AH$11:$AH$800,MATCH('       가 군       '!$C183,'배치점수 계산기'!$U$11:$U$800,0))</f>
        <v>변표</v>
      </c>
      <c r="Y183" s="113">
        <f>INDEX('배치점수 계산기'!$AB$11:$AB$800,MATCH('       가 군       '!$C183,'배치점수 계산기'!$U$11:$U$800,0))</f>
        <v>0.3125</v>
      </c>
      <c r="Z183" s="73">
        <f>INDEX('배치점수 계산기'!$AC$11:$AC$800,MATCH('       가 군       '!$C183,'배치점수 계산기'!$U$11:$U$800,0))</f>
        <v>0.43749999999999994</v>
      </c>
      <c r="AA183" s="63">
        <f>INDEX('배치점수 계산기'!$AD$11:$AD$800,MATCH('       가 군       '!$C183,'배치점수 계산기'!$U$11:$U$800,0))</f>
        <v>0.25</v>
      </c>
      <c r="AE183" s="7">
        <v>176</v>
      </c>
    </row>
    <row r="184" spans="3:31" x14ac:dyDescent="0.3">
      <c r="C184" s="7" t="s">
        <v>1082</v>
      </c>
      <c r="D184" s="41" t="str">
        <f>IFERROR(INDEX('배치점수 계산기'!V$11:V$1000,MATCH($C184,'배치점수 계산기'!$U$11:$U$1000,0)),"")</f>
        <v>경희 통합사회</v>
      </c>
      <c r="E184" s="41">
        <f>IFERROR(INDEX('배치점수 계산기'!W$11:W$1000,MATCH($C184,'배치점수 계산기'!$U$11:$U$1000,0)),"")</f>
        <v>35</v>
      </c>
      <c r="F184" s="113" t="s">
        <v>276</v>
      </c>
      <c r="G184" s="41" t="s">
        <v>380</v>
      </c>
      <c r="H184" s="41" t="s">
        <v>384</v>
      </c>
      <c r="I184" s="41" t="s">
        <v>275</v>
      </c>
      <c r="J184" s="41" t="str">
        <f t="shared" si="6"/>
        <v>X</v>
      </c>
      <c r="K184" s="113">
        <f>IFERROR(INDEX(환산공식!CI$16:CI$301,MATCH($E184,환산공식!$A$16:$A$301,0)),"")</f>
        <v>120</v>
      </c>
      <c r="L184" s="41" t="str">
        <f>IFERROR(CONCATENATE(ROUND(INDEX(환산공식!CJ$16:CJ$301,MATCH(E184,환산공식!$A$16:$A$301,0)),1),"%"),"")</f>
        <v>100%</v>
      </c>
      <c r="M184" s="41">
        <f>IFERROR(INDEX(환산공식!CK$16:CK$301,MATCH(E184,환산공식!$A$16:$A$301,0)),"")</f>
        <v>40</v>
      </c>
      <c r="N184" s="113" t="str">
        <f t="shared" si="7"/>
        <v>1% 이하</v>
      </c>
      <c r="O184" s="119">
        <f>IFERROR(ROUND(INDEX(환산공식!$EF$16:$EF$301,MATCH(E184,환산공식!$A$16:$A$301,0)),3),"")</f>
        <v>0</v>
      </c>
      <c r="P184" s="119">
        <f>IFERROR(ROUND(INDEX('배치점수 계산기'!M$11:M$1000,MATCH($C184,'배치점수 계산기'!$U$11:$U$1000,0)),2),"")</f>
        <v>561.33000000000004</v>
      </c>
      <c r="Q184" s="41">
        <f>IFERROR(ROUND(INDEX('배치점수 계산기'!N$11:N$1000,MATCH($C184,'배치점수 계산기'!$U$11:$U$1000,0)),2),"")</f>
        <v>560.38</v>
      </c>
      <c r="R184" s="41">
        <f>IFERROR(ROUND(INDEX('배치점수 계산기'!O$11:O$1000,MATCH($C184,'배치점수 계산기'!$U$11:$U$1000,0)),2),"")</f>
        <v>558.07000000000005</v>
      </c>
      <c r="S184" s="41">
        <f>IFERROR(ROUND(INDEX('배치점수 계산기'!P$11:P$1000,MATCH($C184,'배치점수 계산기'!$U$11:$U$1000,0)),2),"")</f>
        <v>555.92999999999995</v>
      </c>
      <c r="T184" s="41">
        <f>IFERROR(ROUND(INDEX('배치점수 계산기'!Q$11:Q$1000,MATCH($C184,'배치점수 계산기'!$U$11:$U$1000,0)),2),"")</f>
        <v>551.55999999999995</v>
      </c>
      <c r="U184" s="41">
        <f>IFERROR(INDEX(환산공식!$DC$16:$DC$301,MATCH(E184,환산공식!$A$16:$A$301,0)),"")</f>
        <v>0</v>
      </c>
      <c r="V184" s="113">
        <f t="shared" si="8"/>
        <v>6</v>
      </c>
      <c r="W184" s="110" t="str">
        <f>INDEX('배치점수 계산기'!$AG$11:$AG$800,MATCH('       가 군       '!$C184,'배치점수 계산기'!$U$11:$U$800,0))</f>
        <v>표점</v>
      </c>
      <c r="X184" s="108" t="str">
        <f>INDEX('배치점수 계산기'!$AH$11:$AH$800,MATCH('       가 군       '!$C184,'배치점수 계산기'!$U$11:$U$800,0))</f>
        <v>변표</v>
      </c>
      <c r="Y184" s="113">
        <f>INDEX('배치점수 계산기'!$AB$11:$AB$800,MATCH('       가 군       '!$C184,'배치점수 계산기'!$U$11:$U$800,0))</f>
        <v>0.3125</v>
      </c>
      <c r="Z184" s="73">
        <f>INDEX('배치점수 계산기'!$AC$11:$AC$800,MATCH('       가 군       '!$C184,'배치점수 계산기'!$U$11:$U$800,0))</f>
        <v>0.43749999999999994</v>
      </c>
      <c r="AA184" s="63">
        <f>INDEX('배치점수 계산기'!$AD$11:$AD$800,MATCH('       가 군       '!$C184,'배치점수 계산기'!$U$11:$U$800,0))</f>
        <v>0.25</v>
      </c>
      <c r="AE184" s="7">
        <v>177</v>
      </c>
    </row>
    <row r="185" spans="3:31" x14ac:dyDescent="0.3">
      <c r="C185" s="7" t="s">
        <v>1083</v>
      </c>
      <c r="D185" s="41" t="str">
        <f>IFERROR(INDEX('배치점수 계산기'!V$11:V$1000,MATCH($C185,'배치점수 계산기'!$U$11:$U$1000,0)),"")</f>
        <v>경희 통합사회</v>
      </c>
      <c r="E185" s="41">
        <f>IFERROR(INDEX('배치점수 계산기'!W$11:W$1000,MATCH($C185,'배치점수 계산기'!$U$11:$U$1000,0)),"")</f>
        <v>35</v>
      </c>
      <c r="F185" s="113" t="s">
        <v>276</v>
      </c>
      <c r="G185" s="41" t="s">
        <v>380</v>
      </c>
      <c r="H185" s="41" t="s">
        <v>385</v>
      </c>
      <c r="I185" s="41" t="s">
        <v>275</v>
      </c>
      <c r="J185" s="41" t="str">
        <f t="shared" si="6"/>
        <v>X</v>
      </c>
      <c r="K185" s="113">
        <f>IFERROR(INDEX(환산공식!CI$16:CI$301,MATCH($E185,환산공식!$A$16:$A$301,0)),"")</f>
        <v>120</v>
      </c>
      <c r="L185" s="41" t="str">
        <f>IFERROR(CONCATENATE(ROUND(INDEX(환산공식!CJ$16:CJ$301,MATCH(E185,환산공식!$A$16:$A$301,0)),1),"%"),"")</f>
        <v>100%</v>
      </c>
      <c r="M185" s="41">
        <f>IFERROR(INDEX(환산공식!CK$16:CK$301,MATCH(E185,환산공식!$A$16:$A$301,0)),"")</f>
        <v>40</v>
      </c>
      <c r="N185" s="113" t="str">
        <f t="shared" si="7"/>
        <v>1% 이하</v>
      </c>
      <c r="O185" s="119">
        <f>IFERROR(ROUND(INDEX(환산공식!$EF$16:$EF$301,MATCH(E185,환산공식!$A$16:$A$301,0)),3),"")</f>
        <v>0</v>
      </c>
      <c r="P185" s="119">
        <f>IFERROR(ROUND(INDEX('배치점수 계산기'!M$11:M$1000,MATCH($C185,'배치점수 계산기'!$U$11:$U$1000,0)),2),"")</f>
        <v>556.12</v>
      </c>
      <c r="Q185" s="41">
        <f>IFERROR(ROUND(INDEX('배치점수 계산기'!N$11:N$1000,MATCH($C185,'배치점수 계산기'!$U$11:$U$1000,0)),2),"")</f>
        <v>554.70000000000005</v>
      </c>
      <c r="R185" s="41">
        <f>IFERROR(ROUND(INDEX('배치점수 계산기'!O$11:O$1000,MATCH($C185,'배치점수 계산기'!$U$11:$U$1000,0)),2),"")</f>
        <v>552.99</v>
      </c>
      <c r="S185" s="41">
        <f>IFERROR(ROUND(INDEX('배치점수 계산기'!P$11:P$1000,MATCH($C185,'배치점수 계산기'!$U$11:$U$1000,0)),2),"")</f>
        <v>551.08000000000004</v>
      </c>
      <c r="T185" s="41">
        <f>IFERROR(ROUND(INDEX('배치점수 계산기'!Q$11:Q$1000,MATCH($C185,'배치점수 계산기'!$U$11:$U$1000,0)),2),"")</f>
        <v>549.01</v>
      </c>
      <c r="U185" s="41">
        <f>IFERROR(INDEX(환산공식!$DC$16:$DC$301,MATCH(E185,환산공식!$A$16:$A$301,0)),"")</f>
        <v>0</v>
      </c>
      <c r="V185" s="113">
        <f t="shared" si="8"/>
        <v>6</v>
      </c>
      <c r="W185" s="110" t="str">
        <f>INDEX('배치점수 계산기'!$AG$11:$AG$800,MATCH('       가 군       '!$C185,'배치점수 계산기'!$U$11:$U$800,0))</f>
        <v>표점</v>
      </c>
      <c r="X185" s="108" t="str">
        <f>INDEX('배치점수 계산기'!$AH$11:$AH$800,MATCH('       가 군       '!$C185,'배치점수 계산기'!$U$11:$U$800,0))</f>
        <v>변표</v>
      </c>
      <c r="Y185" s="113">
        <f>INDEX('배치점수 계산기'!$AB$11:$AB$800,MATCH('       가 군       '!$C185,'배치점수 계산기'!$U$11:$U$800,0))</f>
        <v>0.3125</v>
      </c>
      <c r="Z185" s="73">
        <f>INDEX('배치점수 계산기'!$AC$11:$AC$800,MATCH('       가 군       '!$C185,'배치점수 계산기'!$U$11:$U$800,0))</f>
        <v>0.43749999999999994</v>
      </c>
      <c r="AA185" s="63">
        <f>INDEX('배치점수 계산기'!$AD$11:$AD$800,MATCH('       가 군       '!$C185,'배치점수 계산기'!$U$11:$U$800,0))</f>
        <v>0.25</v>
      </c>
      <c r="AE185" s="7">
        <v>178</v>
      </c>
    </row>
    <row r="186" spans="3:31" x14ac:dyDescent="0.3">
      <c r="C186" s="7" t="s">
        <v>1084</v>
      </c>
      <c r="D186" s="41" t="str">
        <f>IFERROR(INDEX('배치점수 계산기'!V$11:V$1000,MATCH($C186,'배치점수 계산기'!$U$11:$U$1000,0)),"")</f>
        <v>경희 통합사회</v>
      </c>
      <c r="E186" s="41">
        <f>IFERROR(INDEX('배치점수 계산기'!W$11:W$1000,MATCH($C186,'배치점수 계산기'!$U$11:$U$1000,0)),"")</f>
        <v>35</v>
      </c>
      <c r="F186" s="113" t="s">
        <v>276</v>
      </c>
      <c r="G186" s="41" t="s">
        <v>380</v>
      </c>
      <c r="H186" s="41" t="s">
        <v>757</v>
      </c>
      <c r="I186" s="41" t="s">
        <v>275</v>
      </c>
      <c r="J186" s="41" t="str">
        <f t="shared" si="6"/>
        <v>X</v>
      </c>
      <c r="K186" s="113">
        <f>IFERROR(INDEX(환산공식!CI$16:CI$301,MATCH($E186,환산공식!$A$16:$A$301,0)),"")</f>
        <v>120</v>
      </c>
      <c r="L186" s="41" t="str">
        <f>IFERROR(CONCATENATE(ROUND(INDEX(환산공식!CJ$16:CJ$301,MATCH(E186,환산공식!$A$16:$A$301,0)),1),"%"),"")</f>
        <v>100%</v>
      </c>
      <c r="M186" s="41">
        <f>IFERROR(INDEX(환산공식!CK$16:CK$301,MATCH(E186,환산공식!$A$16:$A$301,0)),"")</f>
        <v>40</v>
      </c>
      <c r="N186" s="113" t="str">
        <f t="shared" si="7"/>
        <v>1% 이하</v>
      </c>
      <c r="O186" s="119">
        <f>IFERROR(ROUND(INDEX(환산공식!$EF$16:$EF$301,MATCH(E186,환산공식!$A$16:$A$301,0)),3),"")</f>
        <v>0</v>
      </c>
      <c r="P186" s="119">
        <f>IFERROR(ROUND(INDEX('배치점수 계산기'!M$11:M$1000,MATCH($C186,'배치점수 계산기'!$U$11:$U$1000,0)),2),"")</f>
        <v>556.12</v>
      </c>
      <c r="Q186" s="41">
        <f>IFERROR(ROUND(INDEX('배치점수 계산기'!N$11:N$1000,MATCH($C186,'배치점수 계산기'!$U$11:$U$1000,0)),2),"")</f>
        <v>554.70000000000005</v>
      </c>
      <c r="R186" s="41">
        <f>IFERROR(ROUND(INDEX('배치점수 계산기'!O$11:O$1000,MATCH($C186,'배치점수 계산기'!$U$11:$U$1000,0)),2),"")</f>
        <v>552.99</v>
      </c>
      <c r="S186" s="41">
        <f>IFERROR(ROUND(INDEX('배치점수 계산기'!P$11:P$1000,MATCH($C186,'배치점수 계산기'!$U$11:$U$1000,0)),2),"")</f>
        <v>551.08000000000004</v>
      </c>
      <c r="T186" s="41">
        <f>IFERROR(ROUND(INDEX('배치점수 계산기'!Q$11:Q$1000,MATCH($C186,'배치점수 계산기'!$U$11:$U$1000,0)),2),"")</f>
        <v>549.01</v>
      </c>
      <c r="U186" s="41">
        <f>IFERROR(INDEX(환산공식!$DC$16:$DC$301,MATCH(E186,환산공식!$A$16:$A$301,0)),"")</f>
        <v>0</v>
      </c>
      <c r="V186" s="113">
        <f t="shared" si="8"/>
        <v>6</v>
      </c>
      <c r="W186" s="110" t="str">
        <f>INDEX('배치점수 계산기'!$AG$11:$AG$800,MATCH('       가 군       '!$C186,'배치점수 계산기'!$U$11:$U$800,0))</f>
        <v>표점</v>
      </c>
      <c r="X186" s="108" t="str">
        <f>INDEX('배치점수 계산기'!$AH$11:$AH$800,MATCH('       가 군       '!$C186,'배치점수 계산기'!$U$11:$U$800,0))</f>
        <v>변표</v>
      </c>
      <c r="Y186" s="113">
        <f>INDEX('배치점수 계산기'!$AB$11:$AB$800,MATCH('       가 군       '!$C186,'배치점수 계산기'!$U$11:$U$800,0))</f>
        <v>0.3125</v>
      </c>
      <c r="Z186" s="73">
        <f>INDEX('배치점수 계산기'!$AC$11:$AC$800,MATCH('       가 군       '!$C186,'배치점수 계산기'!$U$11:$U$800,0))</f>
        <v>0.43749999999999994</v>
      </c>
      <c r="AA186" s="63">
        <f>INDEX('배치점수 계산기'!$AD$11:$AD$800,MATCH('       가 군       '!$C186,'배치점수 계산기'!$U$11:$U$800,0))</f>
        <v>0.25</v>
      </c>
      <c r="AE186" s="7">
        <v>179</v>
      </c>
    </row>
    <row r="187" spans="3:31" x14ac:dyDescent="0.3">
      <c r="C187" s="7" t="s">
        <v>1085</v>
      </c>
      <c r="D187" s="41" t="str">
        <f>IFERROR(INDEX('배치점수 계산기'!V$11:V$1000,MATCH($C187,'배치점수 계산기'!$U$11:$U$1000,0)),"")</f>
        <v>경희 통합사회</v>
      </c>
      <c r="E187" s="41">
        <f>IFERROR(INDEX('배치점수 계산기'!W$11:W$1000,MATCH($C187,'배치점수 계산기'!$U$11:$U$1000,0)),"")</f>
        <v>35</v>
      </c>
      <c r="F187" s="113" t="s">
        <v>276</v>
      </c>
      <c r="G187" s="41" t="s">
        <v>380</v>
      </c>
      <c r="H187" s="41" t="s">
        <v>367</v>
      </c>
      <c r="I187" s="41" t="s">
        <v>275</v>
      </c>
      <c r="J187" s="41" t="str">
        <f t="shared" si="6"/>
        <v>X</v>
      </c>
      <c r="K187" s="113">
        <f>IFERROR(INDEX(환산공식!CI$16:CI$301,MATCH($E187,환산공식!$A$16:$A$301,0)),"")</f>
        <v>120</v>
      </c>
      <c r="L187" s="41" t="str">
        <f>IFERROR(CONCATENATE(ROUND(INDEX(환산공식!CJ$16:CJ$301,MATCH(E187,환산공식!$A$16:$A$301,0)),1),"%"),"")</f>
        <v>100%</v>
      </c>
      <c r="M187" s="41">
        <f>IFERROR(INDEX(환산공식!CK$16:CK$301,MATCH(E187,환산공식!$A$16:$A$301,0)),"")</f>
        <v>40</v>
      </c>
      <c r="N187" s="113" t="str">
        <f t="shared" si="7"/>
        <v>1% 이하</v>
      </c>
      <c r="O187" s="119">
        <f>IFERROR(ROUND(INDEX(환산공식!$EF$16:$EF$301,MATCH(E187,환산공식!$A$16:$A$301,0)),3),"")</f>
        <v>0</v>
      </c>
      <c r="P187" s="119">
        <f>IFERROR(ROUND(INDEX('배치점수 계산기'!M$11:M$1000,MATCH($C187,'배치점수 계산기'!$U$11:$U$1000,0)),2),"")</f>
        <v>556.12</v>
      </c>
      <c r="Q187" s="41">
        <f>IFERROR(ROUND(INDEX('배치점수 계산기'!N$11:N$1000,MATCH($C187,'배치점수 계산기'!$U$11:$U$1000,0)),2),"")</f>
        <v>554.70000000000005</v>
      </c>
      <c r="R187" s="41">
        <f>IFERROR(ROUND(INDEX('배치점수 계산기'!O$11:O$1000,MATCH($C187,'배치점수 계산기'!$U$11:$U$1000,0)),2),"")</f>
        <v>552.99</v>
      </c>
      <c r="S187" s="41">
        <f>IFERROR(ROUND(INDEX('배치점수 계산기'!P$11:P$1000,MATCH($C187,'배치점수 계산기'!$U$11:$U$1000,0)),2),"")</f>
        <v>551.08000000000004</v>
      </c>
      <c r="T187" s="41">
        <f>IFERROR(ROUND(INDEX('배치점수 계산기'!Q$11:Q$1000,MATCH($C187,'배치점수 계산기'!$U$11:$U$1000,0)),2),"")</f>
        <v>549.01</v>
      </c>
      <c r="U187" s="41">
        <f>IFERROR(INDEX(환산공식!$DC$16:$DC$301,MATCH(E187,환산공식!$A$16:$A$301,0)),"")</f>
        <v>0</v>
      </c>
      <c r="V187" s="113">
        <f t="shared" si="8"/>
        <v>6</v>
      </c>
      <c r="W187" s="110" t="str">
        <f>INDEX('배치점수 계산기'!$AG$11:$AG$800,MATCH('       가 군       '!$C187,'배치점수 계산기'!$U$11:$U$800,0))</f>
        <v>표점</v>
      </c>
      <c r="X187" s="108" t="str">
        <f>INDEX('배치점수 계산기'!$AH$11:$AH$800,MATCH('       가 군       '!$C187,'배치점수 계산기'!$U$11:$U$800,0))</f>
        <v>변표</v>
      </c>
      <c r="Y187" s="113">
        <f>INDEX('배치점수 계산기'!$AB$11:$AB$800,MATCH('       가 군       '!$C187,'배치점수 계산기'!$U$11:$U$800,0))</f>
        <v>0.3125</v>
      </c>
      <c r="Z187" s="73">
        <f>INDEX('배치점수 계산기'!$AC$11:$AC$800,MATCH('       가 군       '!$C187,'배치점수 계산기'!$U$11:$U$800,0))</f>
        <v>0.43749999999999994</v>
      </c>
      <c r="AA187" s="63">
        <f>INDEX('배치점수 계산기'!$AD$11:$AD$800,MATCH('       가 군       '!$C187,'배치점수 계산기'!$U$11:$U$800,0))</f>
        <v>0.25</v>
      </c>
      <c r="AE187" s="7">
        <v>180</v>
      </c>
    </row>
    <row r="188" spans="3:31" x14ac:dyDescent="0.3">
      <c r="C188" s="7" t="s">
        <v>1086</v>
      </c>
      <c r="D188" s="41" t="str">
        <f>IFERROR(INDEX('배치점수 계산기'!V$11:V$1000,MATCH($C188,'배치점수 계산기'!$U$11:$U$1000,0)),"")</f>
        <v>경희 통합인문</v>
      </c>
      <c r="E188" s="41">
        <f>IFERROR(INDEX('배치점수 계산기'!W$11:W$1000,MATCH($C188,'배치점수 계산기'!$U$11:$U$1000,0)),"")</f>
        <v>34</v>
      </c>
      <c r="F188" s="113" t="s">
        <v>276</v>
      </c>
      <c r="G188" s="41" t="s">
        <v>380</v>
      </c>
      <c r="H188" s="41" t="s">
        <v>298</v>
      </c>
      <c r="I188" s="41" t="s">
        <v>275</v>
      </c>
      <c r="J188" s="41" t="str">
        <f t="shared" si="6"/>
        <v>X</v>
      </c>
      <c r="K188" s="113">
        <f>IFERROR(INDEX(환산공식!CI$16:CI$301,MATCH($E188,환산공식!$A$16:$A$301,0)),"")</f>
        <v>120</v>
      </c>
      <c r="L188" s="41" t="str">
        <f>IFERROR(CONCATENATE(ROUND(INDEX(환산공식!CJ$16:CJ$301,MATCH(E188,환산공식!$A$16:$A$301,0)),1),"%"),"")</f>
        <v>100%</v>
      </c>
      <c r="M188" s="41">
        <f>IFERROR(INDEX(환산공식!CK$16:CK$301,MATCH(E188,환산공식!$A$16:$A$301,0)),"")</f>
        <v>40</v>
      </c>
      <c r="N188" s="113" t="str">
        <f t="shared" si="7"/>
        <v>1% 이하</v>
      </c>
      <c r="O188" s="119">
        <f>IFERROR(ROUND(INDEX(환산공식!$EF$16:$EF$301,MATCH(E188,환산공식!$A$16:$A$301,0)),3),"")</f>
        <v>0</v>
      </c>
      <c r="P188" s="119">
        <f>IFERROR(ROUND(INDEX('배치점수 계산기'!M$11:M$1000,MATCH($C188,'배치점수 계산기'!$U$11:$U$1000,0)),2),"")</f>
        <v>555.51</v>
      </c>
      <c r="Q188" s="41">
        <f>IFERROR(ROUND(INDEX('배치점수 계산기'!N$11:N$1000,MATCH($C188,'배치점수 계산기'!$U$11:$U$1000,0)),2),"")</f>
        <v>553.87</v>
      </c>
      <c r="R188" s="41">
        <f>IFERROR(ROUND(INDEX('배치점수 계산기'!O$11:O$1000,MATCH($C188,'배치점수 계산기'!$U$11:$U$1000,0)),2),"")</f>
        <v>552.76</v>
      </c>
      <c r="S188" s="41">
        <f>IFERROR(ROUND(INDEX('배치점수 계산기'!P$11:P$1000,MATCH($C188,'배치점수 계산기'!$U$11:$U$1000,0)),2),"")</f>
        <v>551.63</v>
      </c>
      <c r="T188" s="41">
        <f>IFERROR(ROUND(INDEX('배치점수 계산기'!Q$11:Q$1000,MATCH($C188,'배치점수 계산기'!$U$11:$U$1000,0)),2),"")</f>
        <v>550.64</v>
      </c>
      <c r="U188" s="41">
        <f>IFERROR(INDEX(환산공식!$DC$16:$DC$301,MATCH(E188,환산공식!$A$16:$A$301,0)),"")</f>
        <v>0</v>
      </c>
      <c r="V188" s="113">
        <f t="shared" si="8"/>
        <v>6</v>
      </c>
      <c r="W188" s="110" t="str">
        <f>INDEX('배치점수 계산기'!$AG$11:$AG$800,MATCH('       가 군       '!$C188,'배치점수 계산기'!$U$11:$U$800,0))</f>
        <v>표점</v>
      </c>
      <c r="X188" s="108" t="str">
        <f>INDEX('배치점수 계산기'!$AH$11:$AH$800,MATCH('       가 군       '!$C188,'배치점수 계산기'!$U$11:$U$800,0))</f>
        <v>변표</v>
      </c>
      <c r="Y188" s="113">
        <f>INDEX('배치점수 계산기'!$AB$11:$AB$800,MATCH('       가 군       '!$C188,'배치점수 계산기'!$U$11:$U$800,0))</f>
        <v>0.43749999999999994</v>
      </c>
      <c r="Z188" s="73">
        <f>INDEX('배치점수 계산기'!$AC$11:$AC$800,MATCH('       가 군       '!$C188,'배치점수 계산기'!$U$11:$U$800,0))</f>
        <v>0.3125</v>
      </c>
      <c r="AA188" s="63">
        <f>INDEX('배치점수 계산기'!$AD$11:$AD$800,MATCH('       가 군       '!$C188,'배치점수 계산기'!$U$11:$U$800,0))</f>
        <v>0.25</v>
      </c>
      <c r="AE188" s="7">
        <v>181</v>
      </c>
    </row>
    <row r="189" spans="3:31" x14ac:dyDescent="0.3">
      <c r="C189" s="7" t="s">
        <v>1087</v>
      </c>
      <c r="D189" s="41" t="str">
        <f>IFERROR(INDEX('배치점수 계산기'!V$11:V$1000,MATCH($C189,'배치점수 계산기'!$U$11:$U$1000,0)),"")</f>
        <v>경희 통합인문</v>
      </c>
      <c r="E189" s="41">
        <f>IFERROR(INDEX('배치점수 계산기'!W$11:W$1000,MATCH($C189,'배치점수 계산기'!$U$11:$U$1000,0)),"")</f>
        <v>34</v>
      </c>
      <c r="F189" s="113" t="s">
        <v>276</v>
      </c>
      <c r="G189" s="41" t="s">
        <v>380</v>
      </c>
      <c r="H189" s="41" t="s">
        <v>386</v>
      </c>
      <c r="I189" s="41" t="s">
        <v>275</v>
      </c>
      <c r="J189" s="41" t="str">
        <f t="shared" si="6"/>
        <v>X</v>
      </c>
      <c r="K189" s="113">
        <f>IFERROR(INDEX(환산공식!CI$16:CI$301,MATCH($E189,환산공식!$A$16:$A$301,0)),"")</f>
        <v>120</v>
      </c>
      <c r="L189" s="41" t="str">
        <f>IFERROR(CONCATENATE(ROUND(INDEX(환산공식!CJ$16:CJ$301,MATCH(E189,환산공식!$A$16:$A$301,0)),1),"%"),"")</f>
        <v>100%</v>
      </c>
      <c r="M189" s="41">
        <f>IFERROR(INDEX(환산공식!CK$16:CK$301,MATCH(E189,환산공식!$A$16:$A$301,0)),"")</f>
        <v>40</v>
      </c>
      <c r="N189" s="113" t="str">
        <f t="shared" si="7"/>
        <v>1% 이하</v>
      </c>
      <c r="O189" s="119">
        <f>IFERROR(ROUND(INDEX(환산공식!$EF$16:$EF$301,MATCH(E189,환산공식!$A$16:$A$301,0)),3),"")</f>
        <v>0</v>
      </c>
      <c r="P189" s="119">
        <f>IFERROR(ROUND(INDEX('배치점수 계산기'!M$11:M$1000,MATCH($C189,'배치점수 계산기'!$U$11:$U$1000,0)),2),"")</f>
        <v>554.71</v>
      </c>
      <c r="Q189" s="41">
        <f>IFERROR(ROUND(INDEX('배치점수 계산기'!N$11:N$1000,MATCH($C189,'배치점수 계산기'!$U$11:$U$1000,0)),2),"")</f>
        <v>553</v>
      </c>
      <c r="R189" s="41">
        <f>IFERROR(ROUND(INDEX('배치점수 계산기'!O$11:O$1000,MATCH($C189,'배치점수 계산기'!$U$11:$U$1000,0)),2),"")</f>
        <v>551.63</v>
      </c>
      <c r="S189" s="41">
        <f>IFERROR(ROUND(INDEX('배치점수 계산기'!P$11:P$1000,MATCH($C189,'배치점수 계산기'!$U$11:$U$1000,0)),2),"")</f>
        <v>551.04999999999995</v>
      </c>
      <c r="T189" s="41">
        <f>IFERROR(ROUND(INDEX('배치점수 계산기'!Q$11:Q$1000,MATCH($C189,'배치점수 계산기'!$U$11:$U$1000,0)),2),"")</f>
        <v>550.05999999999995</v>
      </c>
      <c r="U189" s="41">
        <f>IFERROR(INDEX(환산공식!$DC$16:$DC$301,MATCH(E189,환산공식!$A$16:$A$301,0)),"")</f>
        <v>0</v>
      </c>
      <c r="V189" s="113">
        <f t="shared" si="8"/>
        <v>6</v>
      </c>
      <c r="W189" s="110" t="str">
        <f>INDEX('배치점수 계산기'!$AG$11:$AG$800,MATCH('       가 군       '!$C189,'배치점수 계산기'!$U$11:$U$800,0))</f>
        <v>표점</v>
      </c>
      <c r="X189" s="108" t="str">
        <f>INDEX('배치점수 계산기'!$AH$11:$AH$800,MATCH('       가 군       '!$C189,'배치점수 계산기'!$U$11:$U$800,0))</f>
        <v>변표</v>
      </c>
      <c r="Y189" s="113">
        <f>INDEX('배치점수 계산기'!$AB$11:$AB$800,MATCH('       가 군       '!$C189,'배치점수 계산기'!$U$11:$U$800,0))</f>
        <v>0.43749999999999994</v>
      </c>
      <c r="Z189" s="73">
        <f>INDEX('배치점수 계산기'!$AC$11:$AC$800,MATCH('       가 군       '!$C189,'배치점수 계산기'!$U$11:$U$800,0))</f>
        <v>0.3125</v>
      </c>
      <c r="AA189" s="63">
        <f>INDEX('배치점수 계산기'!$AD$11:$AD$800,MATCH('       가 군       '!$C189,'배치점수 계산기'!$U$11:$U$800,0))</f>
        <v>0.25</v>
      </c>
      <c r="AE189" s="7">
        <v>182</v>
      </c>
    </row>
    <row r="190" spans="3:31" x14ac:dyDescent="0.3">
      <c r="C190" s="7" t="s">
        <v>1088</v>
      </c>
      <c r="D190" s="41" t="str">
        <f>IFERROR(INDEX('배치점수 계산기'!V$11:V$1000,MATCH($C190,'배치점수 계산기'!$U$11:$U$1000,0)),"")</f>
        <v>경희 통합인문</v>
      </c>
      <c r="E190" s="41">
        <f>IFERROR(INDEX('배치점수 계산기'!W$11:W$1000,MATCH($C190,'배치점수 계산기'!$U$11:$U$1000,0)),"")</f>
        <v>34</v>
      </c>
      <c r="F190" s="113" t="s">
        <v>276</v>
      </c>
      <c r="G190" s="41" t="s">
        <v>380</v>
      </c>
      <c r="H190" s="41" t="s">
        <v>351</v>
      </c>
      <c r="I190" s="41" t="s">
        <v>275</v>
      </c>
      <c r="J190" s="41" t="str">
        <f t="shared" si="6"/>
        <v>X</v>
      </c>
      <c r="K190" s="113">
        <f>IFERROR(INDEX(환산공식!CI$16:CI$301,MATCH($E190,환산공식!$A$16:$A$301,0)),"")</f>
        <v>120</v>
      </c>
      <c r="L190" s="41" t="str">
        <f>IFERROR(CONCATENATE(ROUND(INDEX(환산공식!CJ$16:CJ$301,MATCH(E190,환산공식!$A$16:$A$301,0)),1),"%"),"")</f>
        <v>100%</v>
      </c>
      <c r="M190" s="41">
        <f>IFERROR(INDEX(환산공식!CK$16:CK$301,MATCH(E190,환산공식!$A$16:$A$301,0)),"")</f>
        <v>40</v>
      </c>
      <c r="N190" s="113" t="str">
        <f t="shared" si="7"/>
        <v>1% 이하</v>
      </c>
      <c r="O190" s="119">
        <f>IFERROR(ROUND(INDEX(환산공식!$EF$16:$EF$301,MATCH(E190,환산공식!$A$16:$A$301,0)),3),"")</f>
        <v>0</v>
      </c>
      <c r="P190" s="119">
        <f>IFERROR(ROUND(INDEX('배치점수 계산기'!M$11:M$1000,MATCH($C190,'배치점수 계산기'!$U$11:$U$1000,0)),2),"")</f>
        <v>554.71</v>
      </c>
      <c r="Q190" s="41">
        <f>IFERROR(ROUND(INDEX('배치점수 계산기'!N$11:N$1000,MATCH($C190,'배치점수 계산기'!$U$11:$U$1000,0)),2),"")</f>
        <v>553</v>
      </c>
      <c r="R190" s="41">
        <f>IFERROR(ROUND(INDEX('배치점수 계산기'!O$11:O$1000,MATCH($C190,'배치점수 계산기'!$U$11:$U$1000,0)),2),"")</f>
        <v>551.63</v>
      </c>
      <c r="S190" s="41">
        <f>IFERROR(ROUND(INDEX('배치점수 계산기'!P$11:P$1000,MATCH($C190,'배치점수 계산기'!$U$11:$U$1000,0)),2),"")</f>
        <v>551.04999999999995</v>
      </c>
      <c r="T190" s="41">
        <f>IFERROR(ROUND(INDEX('배치점수 계산기'!Q$11:Q$1000,MATCH($C190,'배치점수 계산기'!$U$11:$U$1000,0)),2),"")</f>
        <v>550.05999999999995</v>
      </c>
      <c r="U190" s="41">
        <f>IFERROR(INDEX(환산공식!$DC$16:$DC$301,MATCH(E190,환산공식!$A$16:$A$301,0)),"")</f>
        <v>0</v>
      </c>
      <c r="V190" s="113">
        <f t="shared" si="8"/>
        <v>6</v>
      </c>
      <c r="W190" s="110" t="str">
        <f>INDEX('배치점수 계산기'!$AG$11:$AG$800,MATCH('       가 군       '!$C190,'배치점수 계산기'!$U$11:$U$800,0))</f>
        <v>표점</v>
      </c>
      <c r="X190" s="108" t="str">
        <f>INDEX('배치점수 계산기'!$AH$11:$AH$800,MATCH('       가 군       '!$C190,'배치점수 계산기'!$U$11:$U$800,0))</f>
        <v>변표</v>
      </c>
      <c r="Y190" s="113">
        <f>INDEX('배치점수 계산기'!$AB$11:$AB$800,MATCH('       가 군       '!$C190,'배치점수 계산기'!$U$11:$U$800,0))</f>
        <v>0.43749999999999994</v>
      </c>
      <c r="Z190" s="73">
        <f>INDEX('배치점수 계산기'!$AC$11:$AC$800,MATCH('       가 군       '!$C190,'배치점수 계산기'!$U$11:$U$800,0))</f>
        <v>0.3125</v>
      </c>
      <c r="AA190" s="63">
        <f>INDEX('배치점수 계산기'!$AD$11:$AD$800,MATCH('       가 군       '!$C190,'배치점수 계산기'!$U$11:$U$800,0))</f>
        <v>0.25</v>
      </c>
      <c r="AE190" s="7">
        <v>183</v>
      </c>
    </row>
    <row r="191" spans="3:31" x14ac:dyDescent="0.3">
      <c r="C191" s="7" t="s">
        <v>1089</v>
      </c>
      <c r="D191" s="41" t="str">
        <f>IFERROR(INDEX('배치점수 계산기'!V$11:V$1000,MATCH($C191,'배치점수 계산기'!$U$11:$U$1000,0)),"")</f>
        <v>경희 통합사회</v>
      </c>
      <c r="E191" s="41">
        <f>IFERROR(INDEX('배치점수 계산기'!W$11:W$1000,MATCH($C191,'배치점수 계산기'!$U$11:$U$1000,0)),"")</f>
        <v>35</v>
      </c>
      <c r="F191" s="113" t="s">
        <v>276</v>
      </c>
      <c r="G191" s="41" t="s">
        <v>380</v>
      </c>
      <c r="H191" s="41" t="s">
        <v>389</v>
      </c>
      <c r="I191" s="41" t="s">
        <v>275</v>
      </c>
      <c r="J191" s="41" t="str">
        <f t="shared" si="6"/>
        <v>X</v>
      </c>
      <c r="K191" s="113">
        <f>IFERROR(INDEX(환산공식!CI$16:CI$301,MATCH($E191,환산공식!$A$16:$A$301,0)),"")</f>
        <v>120</v>
      </c>
      <c r="L191" s="41" t="str">
        <f>IFERROR(CONCATENATE(ROUND(INDEX(환산공식!CJ$16:CJ$301,MATCH(E191,환산공식!$A$16:$A$301,0)),1),"%"),"")</f>
        <v>100%</v>
      </c>
      <c r="M191" s="41">
        <f>IFERROR(INDEX(환산공식!CK$16:CK$301,MATCH(E191,환산공식!$A$16:$A$301,0)),"")</f>
        <v>40</v>
      </c>
      <c r="N191" s="113" t="str">
        <f t="shared" si="7"/>
        <v>1% 이하</v>
      </c>
      <c r="O191" s="119">
        <f>IFERROR(ROUND(INDEX(환산공식!$EF$16:$EF$301,MATCH(E191,환산공식!$A$16:$A$301,0)),3),"")</f>
        <v>0</v>
      </c>
      <c r="P191" s="119">
        <f>IFERROR(ROUND(INDEX('배치점수 계산기'!M$11:M$1000,MATCH($C191,'배치점수 계산기'!$U$11:$U$1000,0)),2),"")</f>
        <v>556.12</v>
      </c>
      <c r="Q191" s="41">
        <f>IFERROR(ROUND(INDEX('배치점수 계산기'!N$11:N$1000,MATCH($C191,'배치점수 계산기'!$U$11:$U$1000,0)),2),"")</f>
        <v>554.70000000000005</v>
      </c>
      <c r="R191" s="41">
        <f>IFERROR(ROUND(INDEX('배치점수 계산기'!O$11:O$1000,MATCH($C191,'배치점수 계산기'!$U$11:$U$1000,0)),2),"")</f>
        <v>551.08000000000004</v>
      </c>
      <c r="S191" s="41">
        <f>IFERROR(ROUND(INDEX('배치점수 계산기'!P$11:P$1000,MATCH($C191,'배치점수 계산기'!$U$11:$U$1000,0)),2),"")</f>
        <v>549.63</v>
      </c>
      <c r="T191" s="41">
        <f>IFERROR(ROUND(INDEX('배치점수 계산기'!Q$11:Q$1000,MATCH($C191,'배치점수 계산기'!$U$11:$U$1000,0)),2),"")</f>
        <v>548.6</v>
      </c>
      <c r="U191" s="41">
        <f>IFERROR(INDEX(환산공식!$DC$16:$DC$301,MATCH(E191,환산공식!$A$16:$A$301,0)),"")</f>
        <v>0</v>
      </c>
      <c r="V191" s="113">
        <f t="shared" si="8"/>
        <v>6</v>
      </c>
      <c r="W191" s="110" t="str">
        <f>INDEX('배치점수 계산기'!$AG$11:$AG$800,MATCH('       가 군       '!$C191,'배치점수 계산기'!$U$11:$U$800,0))</f>
        <v>표점</v>
      </c>
      <c r="X191" s="108" t="str">
        <f>INDEX('배치점수 계산기'!$AH$11:$AH$800,MATCH('       가 군       '!$C191,'배치점수 계산기'!$U$11:$U$800,0))</f>
        <v>변표</v>
      </c>
      <c r="Y191" s="113">
        <f>INDEX('배치점수 계산기'!$AB$11:$AB$800,MATCH('       가 군       '!$C191,'배치점수 계산기'!$U$11:$U$800,0))</f>
        <v>0.3125</v>
      </c>
      <c r="Z191" s="73">
        <f>INDEX('배치점수 계산기'!$AC$11:$AC$800,MATCH('       가 군       '!$C191,'배치점수 계산기'!$U$11:$U$800,0))</f>
        <v>0.43749999999999994</v>
      </c>
      <c r="AA191" s="63">
        <f>INDEX('배치점수 계산기'!$AD$11:$AD$800,MATCH('       가 군       '!$C191,'배치점수 계산기'!$U$11:$U$800,0))</f>
        <v>0.25</v>
      </c>
      <c r="AE191" s="7">
        <v>184</v>
      </c>
    </row>
    <row r="192" spans="3:31" x14ac:dyDescent="0.3">
      <c r="C192" s="7" t="s">
        <v>1090</v>
      </c>
      <c r="D192" s="41" t="str">
        <f>IFERROR(INDEX('배치점수 계산기'!V$11:V$1000,MATCH($C192,'배치점수 계산기'!$U$11:$U$1000,0)),"")</f>
        <v>경희 통합인문</v>
      </c>
      <c r="E192" s="41">
        <f>IFERROR(INDEX('배치점수 계산기'!W$11:W$1000,MATCH($C192,'배치점수 계산기'!$U$11:$U$1000,0)),"")</f>
        <v>34</v>
      </c>
      <c r="F192" s="113" t="s">
        <v>276</v>
      </c>
      <c r="G192" s="41" t="s">
        <v>380</v>
      </c>
      <c r="H192" s="41" t="s">
        <v>390</v>
      </c>
      <c r="I192" s="41" t="s">
        <v>275</v>
      </c>
      <c r="J192" s="41" t="str">
        <f t="shared" si="6"/>
        <v>X</v>
      </c>
      <c r="K192" s="113">
        <f>IFERROR(INDEX(환산공식!CI$16:CI$301,MATCH($E192,환산공식!$A$16:$A$301,0)),"")</f>
        <v>120</v>
      </c>
      <c r="L192" s="41" t="str">
        <f>IFERROR(CONCATENATE(ROUND(INDEX(환산공식!CJ$16:CJ$301,MATCH(E192,환산공식!$A$16:$A$301,0)),1),"%"),"")</f>
        <v>100%</v>
      </c>
      <c r="M192" s="41">
        <f>IFERROR(INDEX(환산공식!CK$16:CK$301,MATCH(E192,환산공식!$A$16:$A$301,0)),"")</f>
        <v>40</v>
      </c>
      <c r="N192" s="113" t="str">
        <f t="shared" si="7"/>
        <v>1% 이하</v>
      </c>
      <c r="O192" s="119">
        <f>IFERROR(ROUND(INDEX(환산공식!$EF$16:$EF$301,MATCH(E192,환산공식!$A$16:$A$301,0)),3),"")</f>
        <v>0</v>
      </c>
      <c r="P192" s="119">
        <f>IFERROR(ROUND(INDEX('배치점수 계산기'!M$11:M$1000,MATCH($C192,'배치점수 계산기'!$U$11:$U$1000,0)),2),"")</f>
        <v>558.12</v>
      </c>
      <c r="Q192" s="41">
        <f>IFERROR(ROUND(INDEX('배치점수 계산기'!N$11:N$1000,MATCH($C192,'배치점수 계산기'!$U$11:$U$1000,0)),2),"")</f>
        <v>556.79</v>
      </c>
      <c r="R192" s="41">
        <f>IFERROR(ROUND(INDEX('배치점수 계산기'!O$11:O$1000,MATCH($C192,'배치점수 계산기'!$U$11:$U$1000,0)),2),"")</f>
        <v>555.54999999999995</v>
      </c>
      <c r="S192" s="41">
        <f>IFERROR(ROUND(INDEX('배치점수 계산기'!P$11:P$1000,MATCH($C192,'배치점수 계산기'!$U$11:$U$1000,0)),2),"")</f>
        <v>554.35</v>
      </c>
      <c r="T192" s="41">
        <f>IFERROR(ROUND(INDEX('배치점수 계산기'!Q$11:Q$1000,MATCH($C192,'배치점수 계산기'!$U$11:$U$1000,0)),2),"")</f>
        <v>552.11</v>
      </c>
      <c r="U192" s="41">
        <f>IFERROR(INDEX(환산공식!$DC$16:$DC$301,MATCH(E192,환산공식!$A$16:$A$301,0)),"")</f>
        <v>0</v>
      </c>
      <c r="V192" s="113">
        <f t="shared" si="8"/>
        <v>6</v>
      </c>
      <c r="W192" s="110" t="str">
        <f>INDEX('배치점수 계산기'!$AG$11:$AG$800,MATCH('       가 군       '!$C192,'배치점수 계산기'!$U$11:$U$800,0))</f>
        <v>표점</v>
      </c>
      <c r="X192" s="108" t="str">
        <f>INDEX('배치점수 계산기'!$AH$11:$AH$800,MATCH('       가 군       '!$C192,'배치점수 계산기'!$U$11:$U$800,0))</f>
        <v>변표</v>
      </c>
      <c r="Y192" s="113">
        <f>INDEX('배치점수 계산기'!$AB$11:$AB$800,MATCH('       가 군       '!$C192,'배치점수 계산기'!$U$11:$U$800,0))</f>
        <v>0.43749999999999994</v>
      </c>
      <c r="Z192" s="73">
        <f>INDEX('배치점수 계산기'!$AC$11:$AC$800,MATCH('       가 군       '!$C192,'배치점수 계산기'!$U$11:$U$800,0))</f>
        <v>0.3125</v>
      </c>
      <c r="AA192" s="63">
        <f>INDEX('배치점수 계산기'!$AD$11:$AD$800,MATCH('       가 군       '!$C192,'배치점수 계산기'!$U$11:$U$800,0))</f>
        <v>0.25</v>
      </c>
      <c r="AE192" s="7">
        <v>185</v>
      </c>
    </row>
    <row r="193" spans="3:31" x14ac:dyDescent="0.3">
      <c r="C193" s="7" t="s">
        <v>1091</v>
      </c>
      <c r="D193" s="41" t="str">
        <f>IFERROR(INDEX('배치점수 계산기'!V$11:V$1000,MATCH($C193,'배치점수 계산기'!$U$11:$U$1000,0)),"")</f>
        <v>경희 자연</v>
      </c>
      <c r="E193" s="41">
        <f>IFERROR(INDEX('배치점수 계산기'!W$11:W$1000,MATCH($C193,'배치점수 계산기'!$U$11:$U$1000,0)),"")</f>
        <v>33</v>
      </c>
      <c r="F193" s="113" t="s">
        <v>276</v>
      </c>
      <c r="G193" s="41" t="s">
        <v>380</v>
      </c>
      <c r="H193" s="41" t="s">
        <v>373</v>
      </c>
      <c r="I193" s="41" t="s">
        <v>274</v>
      </c>
      <c r="J193" s="41" t="str">
        <f t="shared" si="6"/>
        <v>X</v>
      </c>
      <c r="K193" s="113">
        <f>IFERROR(INDEX(환산공식!CI$16:CI$301,MATCH($E193,환산공식!$A$16:$A$301,0)),"")</f>
        <v>120</v>
      </c>
      <c r="L193" s="41" t="str">
        <f>IFERROR(CONCATENATE(ROUND(INDEX(환산공식!CJ$16:CJ$301,MATCH(E193,환산공식!$A$16:$A$301,0)),1),"%"),"")</f>
        <v>100%</v>
      </c>
      <c r="M193" s="41">
        <f>IFERROR(INDEX(환산공식!CK$16:CK$301,MATCH(E193,환산공식!$A$16:$A$301,0)),"")</f>
        <v>40</v>
      </c>
      <c r="N193" s="113" t="str">
        <f t="shared" si="7"/>
        <v>1% 이하</v>
      </c>
      <c r="O193" s="119">
        <f>IFERROR(ROUND(INDEX(환산공식!$EF$16:$EF$301,MATCH(E193,환산공식!$A$16:$A$301,0)),3),"")</f>
        <v>0</v>
      </c>
      <c r="P193" s="119">
        <f>IFERROR(ROUND(INDEX('배치점수 계산기'!M$11:M$1000,MATCH($C193,'배치점수 계산기'!$U$11:$U$1000,0)),2),"")</f>
        <v>560.24</v>
      </c>
      <c r="Q193" s="41">
        <f>IFERROR(ROUND(INDEX('배치점수 계산기'!N$11:N$1000,MATCH($C193,'배치점수 계산기'!$U$11:$U$1000,0)),2),"")</f>
        <v>559.04</v>
      </c>
      <c r="R193" s="41">
        <f>IFERROR(ROUND(INDEX('배치점수 계산기'!O$11:O$1000,MATCH($C193,'배치점수 계산기'!$U$11:$U$1000,0)),2),"")</f>
        <v>558</v>
      </c>
      <c r="S193" s="41">
        <f>IFERROR(ROUND(INDEX('배치점수 계산기'!P$11:P$1000,MATCH($C193,'배치점수 계산기'!$U$11:$U$1000,0)),2),"")</f>
        <v>556.79</v>
      </c>
      <c r="T193" s="41">
        <f>IFERROR(ROUND(INDEX('배치점수 계산기'!Q$11:Q$1000,MATCH($C193,'배치점수 계산기'!$U$11:$U$1000,0)),2),"")</f>
        <v>554.03</v>
      </c>
      <c r="U193" s="41">
        <f>IFERROR(INDEX(환산공식!$DC$16:$DC$301,MATCH(E193,환산공식!$A$16:$A$301,0)),"")</f>
        <v>0</v>
      </c>
      <c r="V193" s="113">
        <f t="shared" si="8"/>
        <v>6</v>
      </c>
      <c r="W193" s="110" t="str">
        <f>INDEX('배치점수 계산기'!$AG$11:$AG$800,MATCH('       가 군       '!$C193,'배치점수 계산기'!$U$11:$U$800,0))</f>
        <v>표점</v>
      </c>
      <c r="X193" s="108" t="str">
        <f>INDEX('배치점수 계산기'!$AH$11:$AH$800,MATCH('       가 군       '!$C193,'배치점수 계산기'!$U$11:$U$800,0))</f>
        <v>변표</v>
      </c>
      <c r="Y193" s="113">
        <f>INDEX('배치점수 계산기'!$AB$11:$AB$800,MATCH('       가 군       '!$C193,'배치점수 계산기'!$U$11:$U$800,0))</f>
        <v>0.25</v>
      </c>
      <c r="Z193" s="73">
        <f>INDEX('배치점수 계산기'!$AC$11:$AC$800,MATCH('       가 군       '!$C193,'배치점수 계산기'!$U$11:$U$800,0))</f>
        <v>0.43749999999999994</v>
      </c>
      <c r="AA193" s="63">
        <f>INDEX('배치점수 계산기'!$AD$11:$AD$800,MATCH('       가 군       '!$C193,'배치점수 계산기'!$U$11:$U$800,0))</f>
        <v>0.3125</v>
      </c>
      <c r="AE193" s="7">
        <v>186</v>
      </c>
    </row>
    <row r="194" spans="3:31" x14ac:dyDescent="0.3">
      <c r="C194" s="7" t="s">
        <v>1093</v>
      </c>
      <c r="D194" s="41" t="str">
        <f>IFERROR(INDEX('배치점수 계산기'!V$11:V$1000,MATCH($C194,'배치점수 계산기'!$U$11:$U$1000,0)),"")</f>
        <v>경희 자연</v>
      </c>
      <c r="E194" s="41">
        <f>IFERROR(INDEX('배치점수 계산기'!W$11:W$1000,MATCH($C194,'배치점수 계산기'!$U$11:$U$1000,0)),"")</f>
        <v>33</v>
      </c>
      <c r="F194" s="113" t="s">
        <v>276</v>
      </c>
      <c r="G194" s="41" t="s">
        <v>380</v>
      </c>
      <c r="H194" s="41" t="s">
        <v>292</v>
      </c>
      <c r="I194" s="41" t="s">
        <v>274</v>
      </c>
      <c r="J194" s="41" t="str">
        <f t="shared" si="6"/>
        <v>X</v>
      </c>
      <c r="K194" s="113">
        <f>IFERROR(INDEX(환산공식!CI$16:CI$301,MATCH($E194,환산공식!$A$16:$A$301,0)),"")</f>
        <v>120</v>
      </c>
      <c r="L194" s="41" t="str">
        <f>IFERROR(CONCATENATE(ROUND(INDEX(환산공식!CJ$16:CJ$301,MATCH(E194,환산공식!$A$16:$A$301,0)),1),"%"),"")</f>
        <v>100%</v>
      </c>
      <c r="M194" s="41">
        <f>IFERROR(INDEX(환산공식!CK$16:CK$301,MATCH(E194,환산공식!$A$16:$A$301,0)),"")</f>
        <v>40</v>
      </c>
      <c r="N194" s="113" t="str">
        <f t="shared" si="7"/>
        <v>1% 이하</v>
      </c>
      <c r="O194" s="119">
        <f>IFERROR(ROUND(INDEX(환산공식!$EF$16:$EF$301,MATCH(E194,환산공식!$A$16:$A$301,0)),3),"")</f>
        <v>0</v>
      </c>
      <c r="P194" s="119">
        <f>IFERROR(ROUND(INDEX('배치점수 계산기'!M$11:M$1000,MATCH($C194,'배치점수 계산기'!$U$11:$U$1000,0)),2),"")</f>
        <v>563.22</v>
      </c>
      <c r="Q194" s="41">
        <f>IFERROR(ROUND(INDEX('배치점수 계산기'!N$11:N$1000,MATCH($C194,'배치점수 계산기'!$U$11:$U$1000,0)),2),"")</f>
        <v>561.94000000000005</v>
      </c>
      <c r="R194" s="41">
        <f>IFERROR(ROUND(INDEX('배치점수 계산기'!O$11:O$1000,MATCH($C194,'배치점수 계산기'!$U$11:$U$1000,0)),2),"")</f>
        <v>560.72</v>
      </c>
      <c r="S194" s="41">
        <f>IFERROR(ROUND(INDEX('배치점수 계산기'!P$11:P$1000,MATCH($C194,'배치점수 계산기'!$U$11:$U$1000,0)),2),"")</f>
        <v>559.52</v>
      </c>
      <c r="T194" s="41">
        <f>IFERROR(ROUND(INDEX('배치점수 계산기'!Q$11:Q$1000,MATCH($C194,'배치점수 계산기'!$U$11:$U$1000,0)),2),"")</f>
        <v>558.48</v>
      </c>
      <c r="U194" s="41">
        <f>IFERROR(INDEX(환산공식!$DC$16:$DC$301,MATCH(E194,환산공식!$A$16:$A$301,0)),"")</f>
        <v>0</v>
      </c>
      <c r="V194" s="113">
        <f t="shared" si="8"/>
        <v>6</v>
      </c>
      <c r="W194" s="110" t="str">
        <f>INDEX('배치점수 계산기'!$AG$11:$AG$800,MATCH('       가 군       '!$C194,'배치점수 계산기'!$U$11:$U$800,0))</f>
        <v>표점</v>
      </c>
      <c r="X194" s="108" t="str">
        <f>INDEX('배치점수 계산기'!$AH$11:$AH$800,MATCH('       가 군       '!$C194,'배치점수 계산기'!$U$11:$U$800,0))</f>
        <v>변표</v>
      </c>
      <c r="Y194" s="113">
        <f>INDEX('배치점수 계산기'!$AB$11:$AB$800,MATCH('       가 군       '!$C194,'배치점수 계산기'!$U$11:$U$800,0))</f>
        <v>0.25</v>
      </c>
      <c r="Z194" s="73">
        <f>INDEX('배치점수 계산기'!$AC$11:$AC$800,MATCH('       가 군       '!$C194,'배치점수 계산기'!$U$11:$U$800,0))</f>
        <v>0.43749999999999994</v>
      </c>
      <c r="AA194" s="63">
        <f>INDEX('배치점수 계산기'!$AD$11:$AD$800,MATCH('       가 군       '!$C194,'배치점수 계산기'!$U$11:$U$800,0))</f>
        <v>0.3125</v>
      </c>
      <c r="AE194" s="7">
        <v>187</v>
      </c>
    </row>
    <row r="195" spans="3:31" x14ac:dyDescent="0.3">
      <c r="C195" s="7" t="s">
        <v>1094</v>
      </c>
      <c r="D195" s="41" t="str">
        <f>IFERROR(INDEX('배치점수 계산기'!V$11:V$1000,MATCH($C195,'배치점수 계산기'!$U$11:$U$1000,0)),"")</f>
        <v>경희 자연</v>
      </c>
      <c r="E195" s="41">
        <f>IFERROR(INDEX('배치점수 계산기'!W$11:W$1000,MATCH($C195,'배치점수 계산기'!$U$11:$U$1000,0)),"")</f>
        <v>33</v>
      </c>
      <c r="F195" s="113" t="s">
        <v>276</v>
      </c>
      <c r="G195" s="41" t="s">
        <v>380</v>
      </c>
      <c r="H195" s="41" t="s">
        <v>252</v>
      </c>
      <c r="I195" s="41" t="s">
        <v>274</v>
      </c>
      <c r="J195" s="41" t="str">
        <f t="shared" si="6"/>
        <v>X</v>
      </c>
      <c r="K195" s="113">
        <f>IFERROR(INDEX(환산공식!CI$16:CI$301,MATCH($E195,환산공식!$A$16:$A$301,0)),"")</f>
        <v>120</v>
      </c>
      <c r="L195" s="41" t="str">
        <f>IFERROR(CONCATENATE(ROUND(INDEX(환산공식!CJ$16:CJ$301,MATCH(E195,환산공식!$A$16:$A$301,0)),1),"%"),"")</f>
        <v>100%</v>
      </c>
      <c r="M195" s="41">
        <f>IFERROR(INDEX(환산공식!CK$16:CK$301,MATCH(E195,환산공식!$A$16:$A$301,0)),"")</f>
        <v>40</v>
      </c>
      <c r="N195" s="113" t="str">
        <f t="shared" si="7"/>
        <v>1% 이하</v>
      </c>
      <c r="O195" s="119">
        <f>IFERROR(ROUND(INDEX(환산공식!$EF$16:$EF$301,MATCH(E195,환산공식!$A$16:$A$301,0)),3),"")</f>
        <v>0</v>
      </c>
      <c r="P195" s="119">
        <f>IFERROR(ROUND(INDEX('배치점수 계산기'!M$11:M$1000,MATCH($C195,'배치점수 계산기'!$U$11:$U$1000,0)),2),"")</f>
        <v>562.54</v>
      </c>
      <c r="Q195" s="41">
        <f>IFERROR(ROUND(INDEX('배치점수 계산기'!N$11:N$1000,MATCH($C195,'배치점수 계산기'!$U$11:$U$1000,0)),2),"")</f>
        <v>561.94000000000005</v>
      </c>
      <c r="R195" s="41">
        <f>IFERROR(ROUND(INDEX('배치점수 계산기'!O$11:O$1000,MATCH($C195,'배치점수 계산기'!$U$11:$U$1000,0)),2),"")</f>
        <v>560.72</v>
      </c>
      <c r="S195" s="41">
        <f>IFERROR(ROUND(INDEX('배치점수 계산기'!P$11:P$1000,MATCH($C195,'배치점수 계산기'!$U$11:$U$1000,0)),2),"")</f>
        <v>559.52</v>
      </c>
      <c r="T195" s="41">
        <f>IFERROR(ROUND(INDEX('배치점수 계산기'!Q$11:Q$1000,MATCH($C195,'배치점수 계산기'!$U$11:$U$1000,0)),2),"")</f>
        <v>557.79999999999995</v>
      </c>
      <c r="U195" s="41">
        <f>IFERROR(INDEX(환산공식!$DC$16:$DC$301,MATCH(E195,환산공식!$A$16:$A$301,0)),"")</f>
        <v>0</v>
      </c>
      <c r="V195" s="113">
        <f t="shared" si="8"/>
        <v>6</v>
      </c>
      <c r="W195" s="110" t="str">
        <f>INDEX('배치점수 계산기'!$AG$11:$AG$800,MATCH('       가 군       '!$C195,'배치점수 계산기'!$U$11:$U$800,0))</f>
        <v>표점</v>
      </c>
      <c r="X195" s="108" t="str">
        <f>INDEX('배치점수 계산기'!$AH$11:$AH$800,MATCH('       가 군       '!$C195,'배치점수 계산기'!$U$11:$U$800,0))</f>
        <v>변표</v>
      </c>
      <c r="Y195" s="113">
        <f>INDEX('배치점수 계산기'!$AB$11:$AB$800,MATCH('       가 군       '!$C195,'배치점수 계산기'!$U$11:$U$800,0))</f>
        <v>0.25</v>
      </c>
      <c r="Z195" s="73">
        <f>INDEX('배치점수 계산기'!$AC$11:$AC$800,MATCH('       가 군       '!$C195,'배치점수 계산기'!$U$11:$U$800,0))</f>
        <v>0.43749999999999994</v>
      </c>
      <c r="AA195" s="63">
        <f>INDEX('배치점수 계산기'!$AD$11:$AD$800,MATCH('       가 군       '!$C195,'배치점수 계산기'!$U$11:$U$800,0))</f>
        <v>0.3125</v>
      </c>
      <c r="AE195" s="7">
        <v>188</v>
      </c>
    </row>
    <row r="196" spans="3:31" x14ac:dyDescent="0.3">
      <c r="C196" s="7" t="s">
        <v>1095</v>
      </c>
      <c r="D196" s="41" t="str">
        <f>IFERROR(INDEX('배치점수 계산기'!V$11:V$1000,MATCH($C196,'배치점수 계산기'!$U$11:$U$1000,0)),"")</f>
        <v>경희 자연</v>
      </c>
      <c r="E196" s="41">
        <f>IFERROR(INDEX('배치점수 계산기'!W$11:W$1000,MATCH($C196,'배치점수 계산기'!$U$11:$U$1000,0)),"")</f>
        <v>33</v>
      </c>
      <c r="F196" s="113" t="s">
        <v>276</v>
      </c>
      <c r="G196" s="41" t="s">
        <v>380</v>
      </c>
      <c r="H196" s="41" t="s">
        <v>256</v>
      </c>
      <c r="I196" s="41" t="s">
        <v>274</v>
      </c>
      <c r="J196" s="41" t="str">
        <f t="shared" si="6"/>
        <v>X</v>
      </c>
      <c r="K196" s="113">
        <f>IFERROR(INDEX(환산공식!CI$16:CI$301,MATCH($E196,환산공식!$A$16:$A$301,0)),"")</f>
        <v>120</v>
      </c>
      <c r="L196" s="41" t="str">
        <f>IFERROR(CONCATENATE(ROUND(INDEX(환산공식!CJ$16:CJ$301,MATCH(E196,환산공식!$A$16:$A$301,0)),1),"%"),"")</f>
        <v>100%</v>
      </c>
      <c r="M196" s="41">
        <f>IFERROR(INDEX(환산공식!CK$16:CK$301,MATCH(E196,환산공식!$A$16:$A$301,0)),"")</f>
        <v>40</v>
      </c>
      <c r="N196" s="113" t="str">
        <f t="shared" si="7"/>
        <v>1% 이하</v>
      </c>
      <c r="O196" s="119">
        <f>IFERROR(ROUND(INDEX(환산공식!$EF$16:$EF$301,MATCH(E196,환산공식!$A$16:$A$301,0)),3),"")</f>
        <v>0</v>
      </c>
      <c r="P196" s="119">
        <f>IFERROR(ROUND(INDEX('배치점수 계산기'!M$11:M$1000,MATCH($C196,'배치점수 계산기'!$U$11:$U$1000,0)),2),"")</f>
        <v>562.54</v>
      </c>
      <c r="Q196" s="41">
        <f>IFERROR(ROUND(INDEX('배치점수 계산기'!N$11:N$1000,MATCH($C196,'배치점수 계산기'!$U$11:$U$1000,0)),2),"")</f>
        <v>561.94000000000005</v>
      </c>
      <c r="R196" s="41">
        <f>IFERROR(ROUND(INDEX('배치점수 계산기'!O$11:O$1000,MATCH($C196,'배치점수 계산기'!$U$11:$U$1000,0)),2),"")</f>
        <v>560.72</v>
      </c>
      <c r="S196" s="41">
        <f>IFERROR(ROUND(INDEX('배치점수 계산기'!P$11:P$1000,MATCH($C196,'배치점수 계산기'!$U$11:$U$1000,0)),2),"")</f>
        <v>559.52</v>
      </c>
      <c r="T196" s="41">
        <f>IFERROR(ROUND(INDEX('배치점수 계산기'!Q$11:Q$1000,MATCH($C196,'배치점수 계산기'!$U$11:$U$1000,0)),2),"")</f>
        <v>557.27</v>
      </c>
      <c r="U196" s="41">
        <f>IFERROR(INDEX(환산공식!$DC$16:$DC$301,MATCH(E196,환산공식!$A$16:$A$301,0)),"")</f>
        <v>0</v>
      </c>
      <c r="V196" s="113">
        <f t="shared" si="8"/>
        <v>6</v>
      </c>
      <c r="W196" s="110" t="str">
        <f>INDEX('배치점수 계산기'!$AG$11:$AG$800,MATCH('       가 군       '!$C196,'배치점수 계산기'!$U$11:$U$800,0))</f>
        <v>표점</v>
      </c>
      <c r="X196" s="108" t="str">
        <f>INDEX('배치점수 계산기'!$AH$11:$AH$800,MATCH('       가 군       '!$C196,'배치점수 계산기'!$U$11:$U$800,0))</f>
        <v>변표</v>
      </c>
      <c r="Y196" s="113">
        <f>INDEX('배치점수 계산기'!$AB$11:$AB$800,MATCH('       가 군       '!$C196,'배치점수 계산기'!$U$11:$U$800,0))</f>
        <v>0.25</v>
      </c>
      <c r="Z196" s="73">
        <f>INDEX('배치점수 계산기'!$AC$11:$AC$800,MATCH('       가 군       '!$C196,'배치점수 계산기'!$U$11:$U$800,0))</f>
        <v>0.43749999999999994</v>
      </c>
      <c r="AA196" s="63">
        <f>INDEX('배치점수 계산기'!$AD$11:$AD$800,MATCH('       가 군       '!$C196,'배치점수 계산기'!$U$11:$U$800,0))</f>
        <v>0.3125</v>
      </c>
      <c r="AE196" s="7">
        <v>189</v>
      </c>
    </row>
    <row r="197" spans="3:31" x14ac:dyDescent="0.3">
      <c r="C197" s="7" t="s">
        <v>1096</v>
      </c>
      <c r="D197" s="41" t="str">
        <f>IFERROR(INDEX('배치점수 계산기'!V$11:V$1000,MATCH($C197,'배치점수 계산기'!$U$11:$U$1000,0)),"")</f>
        <v>경희 자연</v>
      </c>
      <c r="E197" s="41">
        <f>IFERROR(INDEX('배치점수 계산기'!W$11:W$1000,MATCH($C197,'배치점수 계산기'!$U$11:$U$1000,0)),"")</f>
        <v>33</v>
      </c>
      <c r="F197" s="113" t="s">
        <v>276</v>
      </c>
      <c r="G197" s="41" t="s">
        <v>380</v>
      </c>
      <c r="H197" s="41" t="s">
        <v>387</v>
      </c>
      <c r="I197" s="41" t="s">
        <v>274</v>
      </c>
      <c r="J197" s="41" t="str">
        <f t="shared" si="6"/>
        <v>X</v>
      </c>
      <c r="K197" s="113">
        <f>IFERROR(INDEX(환산공식!CI$16:CI$301,MATCH($E197,환산공식!$A$16:$A$301,0)),"")</f>
        <v>120</v>
      </c>
      <c r="L197" s="41" t="str">
        <f>IFERROR(CONCATENATE(ROUND(INDEX(환산공식!CJ$16:CJ$301,MATCH(E197,환산공식!$A$16:$A$301,0)),1),"%"),"")</f>
        <v>100%</v>
      </c>
      <c r="M197" s="41">
        <f>IFERROR(INDEX(환산공식!CK$16:CK$301,MATCH(E197,환산공식!$A$16:$A$301,0)),"")</f>
        <v>40</v>
      </c>
      <c r="N197" s="113" t="str">
        <f t="shared" si="7"/>
        <v>1% 이하</v>
      </c>
      <c r="O197" s="119">
        <f>IFERROR(ROUND(INDEX(환산공식!$EF$16:$EF$301,MATCH(E197,환산공식!$A$16:$A$301,0)),3),"")</f>
        <v>0</v>
      </c>
      <c r="P197" s="119">
        <f>IFERROR(ROUND(INDEX('배치점수 계산기'!M$11:M$1000,MATCH($C197,'배치점수 계산기'!$U$11:$U$1000,0)),2),"")</f>
        <v>561.94000000000005</v>
      </c>
      <c r="Q197" s="41">
        <f>IFERROR(ROUND(INDEX('배치점수 계산기'!N$11:N$1000,MATCH($C197,'배치점수 계산기'!$U$11:$U$1000,0)),2),"")</f>
        <v>561.32000000000005</v>
      </c>
      <c r="R197" s="41">
        <f>IFERROR(ROUND(INDEX('배치점수 계산기'!O$11:O$1000,MATCH($C197,'배치점수 계산기'!$U$11:$U$1000,0)),2),"")</f>
        <v>560.1</v>
      </c>
      <c r="S197" s="41">
        <f>IFERROR(ROUND(INDEX('배치점수 계산기'!P$11:P$1000,MATCH($C197,'배치점수 계산기'!$U$11:$U$1000,0)),2),"")</f>
        <v>559.52</v>
      </c>
      <c r="T197" s="41">
        <f>IFERROR(ROUND(INDEX('배치점수 계산기'!Q$11:Q$1000,MATCH($C197,'배치점수 계산기'!$U$11:$U$1000,0)),2),"")</f>
        <v>557.27</v>
      </c>
      <c r="U197" s="41">
        <f>IFERROR(INDEX(환산공식!$DC$16:$DC$301,MATCH(E197,환산공식!$A$16:$A$301,0)),"")</f>
        <v>0</v>
      </c>
      <c r="V197" s="113">
        <f t="shared" si="8"/>
        <v>6</v>
      </c>
      <c r="W197" s="110" t="str">
        <f>INDEX('배치점수 계산기'!$AG$11:$AG$800,MATCH('       가 군       '!$C197,'배치점수 계산기'!$U$11:$U$800,0))</f>
        <v>표점</v>
      </c>
      <c r="X197" s="108" t="str">
        <f>INDEX('배치점수 계산기'!$AH$11:$AH$800,MATCH('       가 군       '!$C197,'배치점수 계산기'!$U$11:$U$800,0))</f>
        <v>변표</v>
      </c>
      <c r="Y197" s="113">
        <f>INDEX('배치점수 계산기'!$AB$11:$AB$800,MATCH('       가 군       '!$C197,'배치점수 계산기'!$U$11:$U$800,0))</f>
        <v>0.25</v>
      </c>
      <c r="Z197" s="73">
        <f>INDEX('배치점수 계산기'!$AC$11:$AC$800,MATCH('       가 군       '!$C197,'배치점수 계산기'!$U$11:$U$800,0))</f>
        <v>0.43749999999999994</v>
      </c>
      <c r="AA197" s="63">
        <f>INDEX('배치점수 계산기'!$AD$11:$AD$800,MATCH('       가 군       '!$C197,'배치점수 계산기'!$U$11:$U$800,0))</f>
        <v>0.3125</v>
      </c>
      <c r="AE197" s="7">
        <v>190</v>
      </c>
    </row>
    <row r="198" spans="3:31" x14ac:dyDescent="0.3">
      <c r="C198" s="7" t="s">
        <v>1097</v>
      </c>
      <c r="D198" s="41" t="str">
        <f>IFERROR(INDEX('배치점수 계산기'!V$11:V$1000,MATCH($C198,'배치점수 계산기'!$U$11:$U$1000,0)),"")</f>
        <v>경희 자연</v>
      </c>
      <c r="E198" s="41">
        <f>IFERROR(INDEX('배치점수 계산기'!W$11:W$1000,MATCH($C198,'배치점수 계산기'!$U$11:$U$1000,0)),"")</f>
        <v>33</v>
      </c>
      <c r="F198" s="113" t="s">
        <v>276</v>
      </c>
      <c r="G198" s="41" t="s">
        <v>380</v>
      </c>
      <c r="H198" s="41" t="s">
        <v>388</v>
      </c>
      <c r="I198" s="41" t="s">
        <v>274</v>
      </c>
      <c r="J198" s="41" t="str">
        <f t="shared" si="6"/>
        <v>X</v>
      </c>
      <c r="K198" s="113">
        <f>IFERROR(INDEX(환산공식!CI$16:CI$301,MATCH($E198,환산공식!$A$16:$A$301,0)),"")</f>
        <v>120</v>
      </c>
      <c r="L198" s="41" t="str">
        <f>IFERROR(CONCATENATE(ROUND(INDEX(환산공식!CJ$16:CJ$301,MATCH(E198,환산공식!$A$16:$A$301,0)),1),"%"),"")</f>
        <v>100%</v>
      </c>
      <c r="M198" s="41">
        <f>IFERROR(INDEX(환산공식!CK$16:CK$301,MATCH(E198,환산공식!$A$16:$A$301,0)),"")</f>
        <v>40</v>
      </c>
      <c r="N198" s="113" t="str">
        <f t="shared" si="7"/>
        <v>1% 이하</v>
      </c>
      <c r="O198" s="119">
        <f>IFERROR(ROUND(INDEX(환산공식!$EF$16:$EF$301,MATCH(E198,환산공식!$A$16:$A$301,0)),3),"")</f>
        <v>0</v>
      </c>
      <c r="P198" s="119">
        <f>IFERROR(ROUND(INDEX('배치점수 계산기'!M$11:M$1000,MATCH($C198,'배치점수 계산기'!$U$11:$U$1000,0)),2),"")</f>
        <v>560.24</v>
      </c>
      <c r="Q198" s="41">
        <f>IFERROR(ROUND(INDEX('배치점수 계산기'!N$11:N$1000,MATCH($C198,'배치점수 계산기'!$U$11:$U$1000,0)),2),"")</f>
        <v>559.04</v>
      </c>
      <c r="R198" s="41">
        <f>IFERROR(ROUND(INDEX('배치점수 계산기'!O$11:O$1000,MATCH($C198,'배치점수 계산기'!$U$11:$U$1000,0)),2),"")</f>
        <v>558</v>
      </c>
      <c r="S198" s="41">
        <f>IFERROR(ROUND(INDEX('배치점수 계산기'!P$11:P$1000,MATCH($C198,'배치점수 계산기'!$U$11:$U$1000,0)),2),"")</f>
        <v>556.24</v>
      </c>
      <c r="T198" s="41">
        <f>IFERROR(ROUND(INDEX('배치점수 계산기'!Q$11:Q$1000,MATCH($C198,'배치점수 계산기'!$U$11:$U$1000,0)),2),"")</f>
        <v>553.5</v>
      </c>
      <c r="U198" s="41">
        <f>IFERROR(INDEX(환산공식!$DC$16:$DC$301,MATCH(E198,환산공식!$A$16:$A$301,0)),"")</f>
        <v>0</v>
      </c>
      <c r="V198" s="113">
        <f t="shared" si="8"/>
        <v>6</v>
      </c>
      <c r="W198" s="110" t="str">
        <f>INDEX('배치점수 계산기'!$AG$11:$AG$800,MATCH('       가 군       '!$C198,'배치점수 계산기'!$U$11:$U$800,0))</f>
        <v>표점</v>
      </c>
      <c r="X198" s="108" t="str">
        <f>INDEX('배치점수 계산기'!$AH$11:$AH$800,MATCH('       가 군       '!$C198,'배치점수 계산기'!$U$11:$U$800,0))</f>
        <v>변표</v>
      </c>
      <c r="Y198" s="113">
        <f>INDEX('배치점수 계산기'!$AB$11:$AB$800,MATCH('       가 군       '!$C198,'배치점수 계산기'!$U$11:$U$800,0))</f>
        <v>0.25</v>
      </c>
      <c r="Z198" s="73">
        <f>INDEX('배치점수 계산기'!$AC$11:$AC$800,MATCH('       가 군       '!$C198,'배치점수 계산기'!$U$11:$U$800,0))</f>
        <v>0.43749999999999994</v>
      </c>
      <c r="AA198" s="63">
        <f>INDEX('배치점수 계산기'!$AD$11:$AD$800,MATCH('       가 군       '!$C198,'배치점수 계산기'!$U$11:$U$800,0))</f>
        <v>0.3125</v>
      </c>
      <c r="AE198" s="7">
        <v>191</v>
      </c>
    </row>
    <row r="199" spans="3:31" x14ac:dyDescent="0.3">
      <c r="C199" s="7" t="s">
        <v>1098</v>
      </c>
      <c r="D199" s="41" t="str">
        <f>IFERROR(INDEX('배치점수 계산기'!V$11:V$1000,MATCH($C199,'배치점수 계산기'!$U$11:$U$1000,0)),"")</f>
        <v>경희 자연</v>
      </c>
      <c r="E199" s="41">
        <f>IFERROR(INDEX('배치점수 계산기'!W$11:W$1000,MATCH($C199,'배치점수 계산기'!$U$11:$U$1000,0)),"")</f>
        <v>33</v>
      </c>
      <c r="F199" s="113" t="s">
        <v>276</v>
      </c>
      <c r="G199" s="41" t="s">
        <v>380</v>
      </c>
      <c r="H199" s="41" t="s">
        <v>391</v>
      </c>
      <c r="I199" s="41" t="s">
        <v>274</v>
      </c>
      <c r="J199" s="41" t="str">
        <f t="shared" si="6"/>
        <v>X</v>
      </c>
      <c r="K199" s="113">
        <f>IFERROR(INDEX(환산공식!CI$16:CI$301,MATCH($E199,환산공식!$A$16:$A$301,0)),"")</f>
        <v>120</v>
      </c>
      <c r="L199" s="41" t="str">
        <f>IFERROR(CONCATENATE(ROUND(INDEX(환산공식!CJ$16:CJ$301,MATCH(E199,환산공식!$A$16:$A$301,0)),1),"%"),"")</f>
        <v>100%</v>
      </c>
      <c r="M199" s="41">
        <f>IFERROR(INDEX(환산공식!CK$16:CK$301,MATCH(E199,환산공식!$A$16:$A$301,0)),"")</f>
        <v>40</v>
      </c>
      <c r="N199" s="113" t="str">
        <f t="shared" si="7"/>
        <v>1% 이하</v>
      </c>
      <c r="O199" s="119">
        <f>IFERROR(ROUND(INDEX(환산공식!$EF$16:$EF$301,MATCH(E199,환산공식!$A$16:$A$301,0)),3),"")</f>
        <v>0</v>
      </c>
      <c r="P199" s="119">
        <f>IFERROR(ROUND(INDEX('배치점수 계산기'!M$11:M$1000,MATCH($C199,'배치점수 계산기'!$U$11:$U$1000,0)),2),"")</f>
        <v>569.41</v>
      </c>
      <c r="Q199" s="41">
        <f>IFERROR(ROUND(INDEX('배치점수 계산기'!N$11:N$1000,MATCH($C199,'배치점수 계산기'!$U$11:$U$1000,0)),2),"")</f>
        <v>568.41</v>
      </c>
      <c r="R199" s="41">
        <f>IFERROR(ROUND(INDEX('배치점수 계산기'!O$11:O$1000,MATCH($C199,'배치점수 계산기'!$U$11:$U$1000,0)),2),"")</f>
        <v>567.5</v>
      </c>
      <c r="S199" s="41">
        <f>IFERROR(ROUND(INDEX('배치점수 계산기'!P$11:P$1000,MATCH($C199,'배치점수 계산기'!$U$11:$U$1000,0)),2),"")</f>
        <v>564.17999999999995</v>
      </c>
      <c r="T199" s="41">
        <f>IFERROR(ROUND(INDEX('배치점수 계산기'!Q$11:Q$1000,MATCH($C199,'배치점수 계산기'!$U$11:$U$1000,0)),2),"")</f>
        <v>562.41999999999996</v>
      </c>
      <c r="U199" s="41">
        <f>IFERROR(INDEX(환산공식!$DC$16:$DC$301,MATCH(E199,환산공식!$A$16:$A$301,0)),"")</f>
        <v>0</v>
      </c>
      <c r="V199" s="113">
        <f t="shared" si="8"/>
        <v>6</v>
      </c>
      <c r="W199" s="110" t="str">
        <f>INDEX('배치점수 계산기'!$AG$11:$AG$800,MATCH('       가 군       '!$C199,'배치점수 계산기'!$U$11:$U$800,0))</f>
        <v>표점</v>
      </c>
      <c r="X199" s="108" t="str">
        <f>INDEX('배치점수 계산기'!$AH$11:$AH$800,MATCH('       가 군       '!$C199,'배치점수 계산기'!$U$11:$U$800,0))</f>
        <v>변표</v>
      </c>
      <c r="Y199" s="113">
        <f>INDEX('배치점수 계산기'!$AB$11:$AB$800,MATCH('       가 군       '!$C199,'배치점수 계산기'!$U$11:$U$800,0))</f>
        <v>0.25</v>
      </c>
      <c r="Z199" s="73">
        <f>INDEX('배치점수 계산기'!$AC$11:$AC$800,MATCH('       가 군       '!$C199,'배치점수 계산기'!$U$11:$U$800,0))</f>
        <v>0.43749999999999994</v>
      </c>
      <c r="AA199" s="63">
        <f>INDEX('배치점수 계산기'!$AD$11:$AD$800,MATCH('       가 군       '!$C199,'배치점수 계산기'!$U$11:$U$800,0))</f>
        <v>0.3125</v>
      </c>
      <c r="AE199" s="7">
        <v>192</v>
      </c>
    </row>
    <row r="200" spans="3:31" x14ac:dyDescent="0.3">
      <c r="C200" s="7" t="s">
        <v>1099</v>
      </c>
      <c r="D200" s="41" t="str">
        <f>IFERROR(INDEX('배치점수 계산기'!V$11:V$1000,MATCH($C200,'배치점수 계산기'!$U$11:$U$1000,0)),"")</f>
        <v>경희 자연</v>
      </c>
      <c r="E200" s="41">
        <f>IFERROR(INDEX('배치점수 계산기'!W$11:W$1000,MATCH($C200,'배치점수 계산기'!$U$11:$U$1000,0)),"")</f>
        <v>33</v>
      </c>
      <c r="F200" s="113" t="s">
        <v>276</v>
      </c>
      <c r="G200" s="41" t="s">
        <v>380</v>
      </c>
      <c r="H200" s="41" t="s">
        <v>407</v>
      </c>
      <c r="I200" s="41" t="s">
        <v>274</v>
      </c>
      <c r="J200" s="41" t="str">
        <f t="shared" ref="J200:J263" si="9">IFERROR(IF(U200=1,"O",IF(U200=0,"X","")),"")</f>
        <v>X</v>
      </c>
      <c r="K200" s="113">
        <f>IFERROR(INDEX(환산공식!CI$16:CI$301,MATCH($E200,환산공식!$A$16:$A$301,0)),"")</f>
        <v>120</v>
      </c>
      <c r="L200" s="41" t="str">
        <f>IFERROR(CONCATENATE(ROUND(INDEX(환산공식!CJ$16:CJ$301,MATCH(E200,환산공식!$A$16:$A$301,0)),1),"%"),"")</f>
        <v>100%</v>
      </c>
      <c r="M200" s="41">
        <f>IFERROR(INDEX(환산공식!CK$16:CK$301,MATCH(E200,환산공식!$A$16:$A$301,0)),"")</f>
        <v>40</v>
      </c>
      <c r="N200" s="113" t="str">
        <f t="shared" ref="N200:N263" si="10">IF(E200="","",IF(O200&gt;P200,"90% 이상",IF(O200&gt;Q200,CONCATENATE(ROUND(((O200-Q200)/(P200-Q200))*20+70,0),"%"),IF(O200&gt;R200,CONCATENATE(ROUND(((O200-R200)/(Q200-R200))*30+40,0),"%"),IF(O200&gt;S200,CONCATENATE(ROUND(((O200-S200)/(R200-S200))*30+10,0),"%"),IF(O200&gt;T200,CONCATENATE(ROUND(((O200-T200)/(S200-T200))*9+1,0),"%"),"1% 이하"))))))</f>
        <v>1% 이하</v>
      </c>
      <c r="O200" s="119">
        <f>IFERROR(ROUND(INDEX(환산공식!$EF$16:$EF$301,MATCH(E200,환산공식!$A$16:$A$301,0)),3),"")</f>
        <v>0</v>
      </c>
      <c r="P200" s="119">
        <f>IFERROR(ROUND(INDEX('배치점수 계산기'!M$11:M$1000,MATCH($C200,'배치점수 계산기'!$U$11:$U$1000,0)),2),"")</f>
        <v>567.02</v>
      </c>
      <c r="Q200" s="41">
        <f>IFERROR(ROUND(INDEX('배치점수 계산기'!N$11:N$1000,MATCH($C200,'배치점수 계산기'!$U$11:$U$1000,0)),2),"")</f>
        <v>566.46</v>
      </c>
      <c r="R200" s="41">
        <f>IFERROR(ROUND(INDEX('배치점수 계산기'!O$11:O$1000,MATCH($C200,'배치점수 계산기'!$U$11:$U$1000,0)),2),"")</f>
        <v>564.29</v>
      </c>
      <c r="S200" s="41">
        <f>IFERROR(ROUND(INDEX('배치점수 계산기'!P$11:P$1000,MATCH($C200,'배치점수 계산기'!$U$11:$U$1000,0)),2),"")</f>
        <v>561.94000000000005</v>
      </c>
      <c r="T200" s="41">
        <f>IFERROR(ROUND(INDEX('배치점수 계산기'!Q$11:Q$1000,MATCH($C200,'배치점수 계산기'!$U$11:$U$1000,0)),2),"")</f>
        <v>559.52</v>
      </c>
      <c r="U200" s="41">
        <f>IFERROR(INDEX(환산공식!$DC$16:$DC$301,MATCH(E200,환산공식!$A$16:$A$301,0)),"")</f>
        <v>0</v>
      </c>
      <c r="V200" s="113">
        <f t="shared" ref="V200:V263" si="11">IFERROR(IF(T200="","",IF(O200&gt;P200,1,IF(O200&gt;Q200,2,IF(O200&gt;R200,3,IF(O200&gt;S200,4,IF(O200&gt;=T200,5,IF(O200&lt;T200,6))))))),"")</f>
        <v>6</v>
      </c>
      <c r="W200" s="110" t="str">
        <f>INDEX('배치점수 계산기'!$AG$11:$AG$800,MATCH('       가 군       '!$C200,'배치점수 계산기'!$U$11:$U$800,0))</f>
        <v>표점</v>
      </c>
      <c r="X200" s="108" t="str">
        <f>INDEX('배치점수 계산기'!$AH$11:$AH$800,MATCH('       가 군       '!$C200,'배치점수 계산기'!$U$11:$U$800,0))</f>
        <v>변표</v>
      </c>
      <c r="Y200" s="113">
        <f>INDEX('배치점수 계산기'!$AB$11:$AB$800,MATCH('       가 군       '!$C200,'배치점수 계산기'!$U$11:$U$800,0))</f>
        <v>0.25</v>
      </c>
      <c r="Z200" s="73">
        <f>INDEX('배치점수 계산기'!$AC$11:$AC$800,MATCH('       가 군       '!$C200,'배치점수 계산기'!$U$11:$U$800,0))</f>
        <v>0.43749999999999994</v>
      </c>
      <c r="AA200" s="63">
        <f>INDEX('배치점수 계산기'!$AD$11:$AD$800,MATCH('       가 군       '!$C200,'배치점수 계산기'!$U$11:$U$800,0))</f>
        <v>0.3125</v>
      </c>
      <c r="AE200" s="7">
        <v>193</v>
      </c>
    </row>
    <row r="201" spans="3:31" x14ac:dyDescent="0.3">
      <c r="C201" s="7" t="s">
        <v>1100</v>
      </c>
      <c r="D201" s="41" t="str">
        <f>IFERROR(INDEX('배치점수 계산기'!V$11:V$1000,MATCH($C201,'배치점수 계산기'!$U$11:$U$1000,0)),"")</f>
        <v>경희 자연</v>
      </c>
      <c r="E201" s="41">
        <f>IFERROR(INDEX('배치점수 계산기'!W$11:W$1000,MATCH($C201,'배치점수 계산기'!$U$11:$U$1000,0)),"")</f>
        <v>33</v>
      </c>
      <c r="F201" s="113" t="s">
        <v>276</v>
      </c>
      <c r="G201" s="41" t="s">
        <v>380</v>
      </c>
      <c r="H201" s="41" t="s">
        <v>408</v>
      </c>
      <c r="I201" s="41" t="s">
        <v>274</v>
      </c>
      <c r="J201" s="41" t="str">
        <f t="shared" si="9"/>
        <v>X</v>
      </c>
      <c r="K201" s="113">
        <f>IFERROR(INDEX(환산공식!CI$16:CI$301,MATCH($E201,환산공식!$A$16:$A$301,0)),"")</f>
        <v>120</v>
      </c>
      <c r="L201" s="41" t="str">
        <f>IFERROR(CONCATENATE(ROUND(INDEX(환산공식!CJ$16:CJ$301,MATCH(E201,환산공식!$A$16:$A$301,0)),1),"%"),"")</f>
        <v>100%</v>
      </c>
      <c r="M201" s="41">
        <f>IFERROR(INDEX(환산공식!CK$16:CK$301,MATCH(E201,환산공식!$A$16:$A$301,0)),"")</f>
        <v>40</v>
      </c>
      <c r="N201" s="113" t="str">
        <f t="shared" si="10"/>
        <v>1% 이하</v>
      </c>
      <c r="O201" s="119">
        <f>IFERROR(ROUND(INDEX(환산공식!$EF$16:$EF$301,MATCH(E201,환산공식!$A$16:$A$301,0)),3),"")</f>
        <v>0</v>
      </c>
      <c r="P201" s="119">
        <f>IFERROR(ROUND(INDEX('배치점수 계산기'!M$11:M$1000,MATCH($C201,'배치점수 계산기'!$U$11:$U$1000,0)),2),"")</f>
        <v>568.24</v>
      </c>
      <c r="Q201" s="41">
        <f>IFERROR(ROUND(INDEX('배치점수 계산기'!N$11:N$1000,MATCH($C201,'배치점수 계산기'!$U$11:$U$1000,0)),2),"")</f>
        <v>567.41999999999996</v>
      </c>
      <c r="R201" s="41">
        <f>IFERROR(ROUND(INDEX('배치점수 계산기'!O$11:O$1000,MATCH($C201,'배치점수 계산기'!$U$11:$U$1000,0)),2),"")</f>
        <v>566.54999999999995</v>
      </c>
      <c r="S201" s="41">
        <f>IFERROR(ROUND(INDEX('배치점수 계산기'!P$11:P$1000,MATCH($C201,'배치점수 계산기'!$U$11:$U$1000,0)),2),"")</f>
        <v>563.70000000000005</v>
      </c>
      <c r="T201" s="41">
        <f>IFERROR(ROUND(INDEX('배치점수 계산기'!Q$11:Q$1000,MATCH($C201,'배치점수 계산기'!$U$11:$U$1000,0)),2),"")</f>
        <v>561.20000000000005</v>
      </c>
      <c r="U201" s="41">
        <f>IFERROR(INDEX(환산공식!$DC$16:$DC$301,MATCH(E201,환산공식!$A$16:$A$301,0)),"")</f>
        <v>0</v>
      </c>
      <c r="V201" s="113">
        <f t="shared" si="11"/>
        <v>6</v>
      </c>
      <c r="W201" s="110" t="str">
        <f>INDEX('배치점수 계산기'!$AG$11:$AG$800,MATCH('       가 군       '!$C201,'배치점수 계산기'!$U$11:$U$800,0))</f>
        <v>표점</v>
      </c>
      <c r="X201" s="108" t="str">
        <f>INDEX('배치점수 계산기'!$AH$11:$AH$800,MATCH('       가 군       '!$C201,'배치점수 계산기'!$U$11:$U$800,0))</f>
        <v>변표</v>
      </c>
      <c r="Y201" s="113">
        <f>INDEX('배치점수 계산기'!$AB$11:$AB$800,MATCH('       가 군       '!$C201,'배치점수 계산기'!$U$11:$U$800,0))</f>
        <v>0.25</v>
      </c>
      <c r="Z201" s="73">
        <f>INDEX('배치점수 계산기'!$AC$11:$AC$800,MATCH('       가 군       '!$C201,'배치점수 계산기'!$U$11:$U$800,0))</f>
        <v>0.43749999999999994</v>
      </c>
      <c r="AA201" s="63">
        <f>INDEX('배치점수 계산기'!$AD$11:$AD$800,MATCH('       가 군       '!$C201,'배치점수 계산기'!$U$11:$U$800,0))</f>
        <v>0.3125</v>
      </c>
      <c r="AE201" s="7">
        <v>194</v>
      </c>
    </row>
    <row r="202" spans="3:31" x14ac:dyDescent="0.3">
      <c r="C202" s="7" t="s">
        <v>1101</v>
      </c>
      <c r="D202" s="41" t="str">
        <f>IFERROR(INDEX('배치점수 계산기'!V$11:V$1000,MATCH($C202,'배치점수 계산기'!$U$11:$U$1000,0)),"")</f>
        <v>경희 자연</v>
      </c>
      <c r="E202" s="41">
        <f>IFERROR(INDEX('배치점수 계산기'!W$11:W$1000,MATCH($C202,'배치점수 계산기'!$U$11:$U$1000,0)),"")</f>
        <v>33</v>
      </c>
      <c r="F202" s="113" t="s">
        <v>276</v>
      </c>
      <c r="G202" s="41" t="s">
        <v>380</v>
      </c>
      <c r="H202" s="41" t="s">
        <v>260</v>
      </c>
      <c r="I202" s="41" t="s">
        <v>274</v>
      </c>
      <c r="J202" s="41" t="str">
        <f t="shared" si="9"/>
        <v>X</v>
      </c>
      <c r="K202" s="113">
        <f>IFERROR(INDEX(환산공식!CI$16:CI$301,MATCH($E202,환산공식!$A$16:$A$301,0)),"")</f>
        <v>120</v>
      </c>
      <c r="L202" s="41" t="str">
        <f>IFERROR(CONCATENATE(ROUND(INDEX(환산공식!CJ$16:CJ$301,MATCH(E202,환산공식!$A$16:$A$301,0)),1),"%"),"")</f>
        <v>100%</v>
      </c>
      <c r="M202" s="41">
        <f>IFERROR(INDEX(환산공식!CK$16:CK$301,MATCH(E202,환산공식!$A$16:$A$301,0)),"")</f>
        <v>40</v>
      </c>
      <c r="N202" s="113" t="str">
        <f t="shared" si="10"/>
        <v>1% 이하</v>
      </c>
      <c r="O202" s="119">
        <f>IFERROR(ROUND(INDEX(환산공식!$EF$16:$EF$301,MATCH(E202,환산공식!$A$16:$A$301,0)),3),"")</f>
        <v>0</v>
      </c>
      <c r="P202" s="119">
        <f>IFERROR(ROUND(INDEX('배치점수 계산기'!M$11:M$1000,MATCH($C202,'배치점수 계산기'!$U$11:$U$1000,0)),2),"")</f>
        <v>560.24</v>
      </c>
      <c r="Q202" s="41">
        <f>IFERROR(ROUND(INDEX('배치점수 계산기'!N$11:N$1000,MATCH($C202,'배치점수 계산기'!$U$11:$U$1000,0)),2),"")</f>
        <v>559.04</v>
      </c>
      <c r="R202" s="41">
        <f>IFERROR(ROUND(INDEX('배치점수 계산기'!O$11:O$1000,MATCH($C202,'배치점수 계산기'!$U$11:$U$1000,0)),2),"")</f>
        <v>558</v>
      </c>
      <c r="S202" s="41">
        <f>IFERROR(ROUND(INDEX('배치점수 계산기'!P$11:P$1000,MATCH($C202,'배치점수 계산기'!$U$11:$U$1000,0)),2),"")</f>
        <v>556.79</v>
      </c>
      <c r="T202" s="41">
        <f>IFERROR(ROUND(INDEX('배치점수 계산기'!Q$11:Q$1000,MATCH($C202,'배치점수 계산기'!$U$11:$U$1000,0)),2),"")</f>
        <v>555.52</v>
      </c>
      <c r="U202" s="41">
        <f>IFERROR(INDEX(환산공식!$DC$16:$DC$301,MATCH(E202,환산공식!$A$16:$A$301,0)),"")</f>
        <v>0</v>
      </c>
      <c r="V202" s="113">
        <f t="shared" si="11"/>
        <v>6</v>
      </c>
      <c r="W202" s="110" t="str">
        <f>INDEX('배치점수 계산기'!$AG$11:$AG$800,MATCH('       가 군       '!$C202,'배치점수 계산기'!$U$11:$U$800,0))</f>
        <v>표점</v>
      </c>
      <c r="X202" s="108" t="str">
        <f>INDEX('배치점수 계산기'!$AH$11:$AH$800,MATCH('       가 군       '!$C202,'배치점수 계산기'!$U$11:$U$800,0))</f>
        <v>변표</v>
      </c>
      <c r="Y202" s="113">
        <f>INDEX('배치점수 계산기'!$AB$11:$AB$800,MATCH('       가 군       '!$C202,'배치점수 계산기'!$U$11:$U$800,0))</f>
        <v>0.25</v>
      </c>
      <c r="Z202" s="73">
        <f>INDEX('배치점수 계산기'!$AC$11:$AC$800,MATCH('       가 군       '!$C202,'배치점수 계산기'!$U$11:$U$800,0))</f>
        <v>0.43749999999999994</v>
      </c>
      <c r="AA202" s="63">
        <f>INDEX('배치점수 계산기'!$AD$11:$AD$800,MATCH('       가 군       '!$C202,'배치점수 계산기'!$U$11:$U$800,0))</f>
        <v>0.3125</v>
      </c>
      <c r="AE202" s="7">
        <v>195</v>
      </c>
    </row>
    <row r="203" spans="3:31" x14ac:dyDescent="0.3">
      <c r="C203" s="7" t="s">
        <v>1102</v>
      </c>
      <c r="D203" s="41" t="str">
        <f>IFERROR(INDEX('배치점수 계산기'!V$11:V$1000,MATCH($C203,'배치점수 계산기'!$U$11:$U$1000,0)),"")</f>
        <v>경희 통합인문</v>
      </c>
      <c r="E203" s="41">
        <f>IFERROR(INDEX('배치점수 계산기'!W$11:W$1000,MATCH($C203,'배치점수 계산기'!$U$11:$U$1000,0)),"")</f>
        <v>34</v>
      </c>
      <c r="F203" s="113" t="s">
        <v>276</v>
      </c>
      <c r="G203" s="41" t="s">
        <v>380</v>
      </c>
      <c r="H203" s="41" t="s">
        <v>409</v>
      </c>
      <c r="I203" s="41" t="s">
        <v>275</v>
      </c>
      <c r="J203" s="41" t="str">
        <f t="shared" si="9"/>
        <v>X</v>
      </c>
      <c r="K203" s="113">
        <f>IFERROR(INDEX(환산공식!CI$16:CI$301,MATCH($E203,환산공식!$A$16:$A$301,0)),"")</f>
        <v>120</v>
      </c>
      <c r="L203" s="41" t="str">
        <f>IFERROR(CONCATENATE(ROUND(INDEX(환산공식!CJ$16:CJ$301,MATCH(E203,환산공식!$A$16:$A$301,0)),1),"%"),"")</f>
        <v>100%</v>
      </c>
      <c r="M203" s="41">
        <f>IFERROR(INDEX(환산공식!CK$16:CK$301,MATCH(E203,환산공식!$A$16:$A$301,0)),"")</f>
        <v>40</v>
      </c>
      <c r="N203" s="113" t="str">
        <f t="shared" si="10"/>
        <v>1% 이하</v>
      </c>
      <c r="O203" s="119">
        <f>IFERROR(ROUND(INDEX(환산공식!$EF$16:$EF$301,MATCH(E203,환산공식!$A$16:$A$301,0)),3),"")</f>
        <v>0</v>
      </c>
      <c r="P203" s="119">
        <f>IFERROR(ROUND(INDEX('배치점수 계산기'!M$11:M$1000,MATCH($C203,'배치점수 계산기'!$U$11:$U$1000,0)),2),"")</f>
        <v>553.87</v>
      </c>
      <c r="Q203" s="41">
        <f>IFERROR(ROUND(INDEX('배치점수 계산기'!N$11:N$1000,MATCH($C203,'배치점수 계산기'!$U$11:$U$1000,0)),2),"")</f>
        <v>552.38</v>
      </c>
      <c r="R203" s="41">
        <f>IFERROR(ROUND(INDEX('배치점수 계산기'!O$11:O$1000,MATCH($C203,'배치점수 계산기'!$U$11:$U$1000,0)),2),"")</f>
        <v>551.04999999999995</v>
      </c>
      <c r="S203" s="41">
        <f>IFERROR(ROUND(INDEX('배치점수 계산기'!P$11:P$1000,MATCH($C203,'배치점수 계산기'!$U$11:$U$1000,0)),2),"")</f>
        <v>550.64</v>
      </c>
      <c r="T203" s="41">
        <f>IFERROR(ROUND(INDEX('배치점수 계산기'!Q$11:Q$1000,MATCH($C203,'배치점수 계산기'!$U$11:$U$1000,0)),2),"")</f>
        <v>549.74</v>
      </c>
      <c r="U203" s="41">
        <f>IFERROR(INDEX(환산공식!$DC$16:$DC$301,MATCH(E203,환산공식!$A$16:$A$301,0)),"")</f>
        <v>0</v>
      </c>
      <c r="V203" s="113">
        <f t="shared" si="11"/>
        <v>6</v>
      </c>
      <c r="W203" s="110" t="str">
        <f>INDEX('배치점수 계산기'!$AG$11:$AG$800,MATCH('       가 군       '!$C203,'배치점수 계산기'!$U$11:$U$800,0))</f>
        <v>표점</v>
      </c>
      <c r="X203" s="108" t="str">
        <f>INDEX('배치점수 계산기'!$AH$11:$AH$800,MATCH('       가 군       '!$C203,'배치점수 계산기'!$U$11:$U$800,0))</f>
        <v>변표</v>
      </c>
      <c r="Y203" s="113">
        <f>INDEX('배치점수 계산기'!$AB$11:$AB$800,MATCH('       가 군       '!$C203,'배치점수 계산기'!$U$11:$U$800,0))</f>
        <v>0.43749999999999994</v>
      </c>
      <c r="Z203" s="73">
        <f>INDEX('배치점수 계산기'!$AC$11:$AC$800,MATCH('       가 군       '!$C203,'배치점수 계산기'!$U$11:$U$800,0))</f>
        <v>0.3125</v>
      </c>
      <c r="AA203" s="63">
        <f>INDEX('배치점수 계산기'!$AD$11:$AD$800,MATCH('       가 군       '!$C203,'배치점수 계산기'!$U$11:$U$800,0))</f>
        <v>0.25</v>
      </c>
      <c r="AE203" s="7">
        <v>196</v>
      </c>
    </row>
    <row r="204" spans="3:31" x14ac:dyDescent="0.3">
      <c r="C204" s="7" t="s">
        <v>1103</v>
      </c>
      <c r="D204" s="41" t="str">
        <f>IFERROR(INDEX('배치점수 계산기'!V$11:V$1000,MATCH($C204,'배치점수 계산기'!$U$11:$U$1000,0)),"")</f>
        <v>서울시립 통합</v>
      </c>
      <c r="E204" s="41">
        <f>IFERROR(INDEX('배치점수 계산기'!W$11:W$1000,MATCH($C204,'배치점수 계산기'!$U$11:$U$1000,0)),"")</f>
        <v>39</v>
      </c>
      <c r="F204" s="113" t="s">
        <v>276</v>
      </c>
      <c r="G204" s="41" t="s">
        <v>419</v>
      </c>
      <c r="H204" s="41" t="s">
        <v>423</v>
      </c>
      <c r="I204" s="41" t="s">
        <v>275</v>
      </c>
      <c r="J204" s="41" t="str">
        <f t="shared" si="9"/>
        <v>X</v>
      </c>
      <c r="K204" s="113">
        <f>IFERROR(INDEX(환산공식!CI$16:CI$301,MATCH($E204,환산공식!$A$16:$A$301,0)),"")</f>
        <v>250</v>
      </c>
      <c r="L204" s="41" t="str">
        <f>IFERROR(CONCATENATE(ROUND(INDEX(환산공식!CJ$16:CJ$301,MATCH(E204,환산공식!$A$16:$A$301,0)),1),"%"),"")</f>
        <v>100%</v>
      </c>
      <c r="M204" s="41">
        <f>IFERROR(INDEX(환산공식!CK$16:CK$301,MATCH(E204,환산공식!$A$16:$A$301,0)),"")</f>
        <v>0</v>
      </c>
      <c r="N204" s="113" t="str">
        <f t="shared" si="10"/>
        <v>1% 이하</v>
      </c>
      <c r="O204" s="119">
        <f>IFERROR(ROUND(INDEX(환산공식!$EF$16:$EF$301,MATCH(E204,환산공식!$A$16:$A$301,0)),3),"")</f>
        <v>0</v>
      </c>
      <c r="P204" s="119">
        <f>IFERROR(ROUND(INDEX('배치점수 계산기'!M$11:M$1000,MATCH($C204,'배치점수 계산기'!$U$11:$U$1000,0)),2),"")</f>
        <v>888.13</v>
      </c>
      <c r="Q204" s="41">
        <f>IFERROR(ROUND(INDEX('배치점수 계산기'!N$11:N$1000,MATCH($C204,'배치점수 계산기'!$U$11:$U$1000,0)),2),"")</f>
        <v>886.95</v>
      </c>
      <c r="R204" s="41">
        <f>IFERROR(ROUND(INDEX('배치점수 계산기'!O$11:O$1000,MATCH($C204,'배치점수 계산기'!$U$11:$U$1000,0)),2),"")</f>
        <v>884.25</v>
      </c>
      <c r="S204" s="41">
        <f>IFERROR(ROUND(INDEX('배치점수 계산기'!P$11:P$1000,MATCH($C204,'배치점수 계산기'!$U$11:$U$1000,0)),2),"")</f>
        <v>878.96</v>
      </c>
      <c r="T204" s="41">
        <f>IFERROR(ROUND(INDEX('배치점수 계산기'!Q$11:Q$1000,MATCH($C204,'배치점수 계산기'!$U$11:$U$1000,0)),2),"")</f>
        <v>875.28</v>
      </c>
      <c r="U204" s="41">
        <f>IFERROR(INDEX(환산공식!$DC$16:$DC$301,MATCH(E204,환산공식!$A$16:$A$301,0)),"")</f>
        <v>0</v>
      </c>
      <c r="V204" s="113">
        <f t="shared" si="11"/>
        <v>6</v>
      </c>
      <c r="W204" s="110" t="str">
        <f>INDEX('배치점수 계산기'!$AG$11:$AG$800,MATCH('       가 군       '!$C204,'배치점수 계산기'!$U$11:$U$800,0))</f>
        <v>표점/만점</v>
      </c>
      <c r="X204" s="108" t="str">
        <f>INDEX('배치점수 계산기'!$AH$11:$AH$800,MATCH('       가 군       '!$C204,'배치점수 계산기'!$U$11:$U$800,0))</f>
        <v>변표/만점</v>
      </c>
      <c r="Y204" s="113">
        <f>INDEX('배치점수 계산기'!$AB$11:$AB$800,MATCH('       가 군       '!$C204,'배치점수 계산기'!$U$11:$U$800,0))</f>
        <v>0.3878976880865993</v>
      </c>
      <c r="Z204" s="73">
        <f>INDEX('배치점수 계산기'!$AC$11:$AC$800,MATCH('       가 군       '!$C204,'배치점수 계산기'!$U$11:$U$800,0))</f>
        <v>0.39317520765240338</v>
      </c>
      <c r="AA204" s="63">
        <f>INDEX('배치점수 계산기'!$AD$11:$AD$800,MATCH('       가 군       '!$C204,'배치점수 계산기'!$U$11:$U$800,0))</f>
        <v>0.21892710426099735</v>
      </c>
      <c r="AE204" s="7">
        <v>197</v>
      </c>
    </row>
    <row r="205" spans="3:31" x14ac:dyDescent="0.3">
      <c r="C205" s="7" t="s">
        <v>1105</v>
      </c>
      <c r="D205" s="41" t="str">
        <f>IFERROR(INDEX('배치점수 계산기'!V$11:V$1000,MATCH($C205,'배치점수 계산기'!$U$11:$U$1000,0)),"")</f>
        <v>서울시립 자연</v>
      </c>
      <c r="E205" s="41">
        <f>IFERROR(INDEX('배치점수 계산기'!W$11:W$1000,MATCH($C205,'배치점수 계산기'!$U$11:$U$1000,0)),"")</f>
        <v>41</v>
      </c>
      <c r="F205" s="113" t="s">
        <v>276</v>
      </c>
      <c r="G205" s="41" t="s">
        <v>419</v>
      </c>
      <c r="H205" s="41" t="s">
        <v>289</v>
      </c>
      <c r="I205" s="41" t="s">
        <v>274</v>
      </c>
      <c r="J205" s="41" t="str">
        <f t="shared" si="9"/>
        <v>X</v>
      </c>
      <c r="K205" s="113">
        <f>IFERROR(INDEX(환산공식!CI$16:CI$301,MATCH($E205,환산공식!$A$16:$A$301,0)),"")</f>
        <v>250</v>
      </c>
      <c r="L205" s="41" t="str">
        <f>IFERROR(CONCATENATE(ROUND(INDEX(환산공식!CJ$16:CJ$301,MATCH(E205,환산공식!$A$16:$A$301,0)),1),"%"),"")</f>
        <v>100%</v>
      </c>
      <c r="M205" s="41">
        <f>IFERROR(INDEX(환산공식!CK$16:CK$301,MATCH(E205,환산공식!$A$16:$A$301,0)),"")</f>
        <v>0</v>
      </c>
      <c r="N205" s="113" t="str">
        <f t="shared" si="10"/>
        <v>1% 이하</v>
      </c>
      <c r="O205" s="119">
        <f>IFERROR(ROUND(INDEX(환산공식!$EF$16:$EF$301,MATCH(E205,환산공식!$A$16:$A$301,0)),3),"")</f>
        <v>0</v>
      </c>
      <c r="P205" s="119">
        <f>IFERROR(ROUND(INDEX('배치점수 계산기'!M$11:M$1000,MATCH($C205,'배치점수 계산기'!$U$11:$U$1000,0)),2),"")</f>
        <v>898.87</v>
      </c>
      <c r="Q205" s="41">
        <f>IFERROR(ROUND(INDEX('배치점수 계산기'!N$11:N$1000,MATCH($C205,'배치점수 계산기'!$U$11:$U$1000,0)),2),"")</f>
        <v>895.79</v>
      </c>
      <c r="R205" s="41">
        <f>IFERROR(ROUND(INDEX('배치점수 계산기'!O$11:O$1000,MATCH($C205,'배치점수 계산기'!$U$11:$U$1000,0)),2),"")</f>
        <v>892.86</v>
      </c>
      <c r="S205" s="41">
        <f>IFERROR(ROUND(INDEX('배치점수 계산기'!P$11:P$1000,MATCH($C205,'배치점수 계산기'!$U$11:$U$1000,0)),2),"")</f>
        <v>890.67</v>
      </c>
      <c r="T205" s="41">
        <f>IFERROR(ROUND(INDEX('배치점수 계산기'!Q$11:Q$1000,MATCH($C205,'배치점수 계산기'!$U$11:$U$1000,0)),2),"")</f>
        <v>886.86</v>
      </c>
      <c r="U205" s="41">
        <f>IFERROR(INDEX(환산공식!$DC$16:$DC$301,MATCH(E205,환산공식!$A$16:$A$301,0)),"")</f>
        <v>0</v>
      </c>
      <c r="V205" s="113">
        <f t="shared" si="11"/>
        <v>6</v>
      </c>
      <c r="W205" s="110" t="str">
        <f>INDEX('배치점수 계산기'!$AG$11:$AG$800,MATCH('       가 군       '!$C205,'배치점수 계산기'!$U$11:$U$800,0))</f>
        <v>표점/만점</v>
      </c>
      <c r="X205" s="108" t="str">
        <f>INDEX('배치점수 계산기'!$AH$11:$AH$800,MATCH('       가 군       '!$C205,'배치점수 계산기'!$U$11:$U$800,0))</f>
        <v>변표/만점</v>
      </c>
      <c r="Y205" s="113">
        <f>INDEX('배치점수 계산기'!$AB$11:$AB$800,MATCH('       가 군       '!$C205,'배치점수 계산기'!$U$11:$U$800,0))</f>
        <v>0.26169874763975232</v>
      </c>
      <c r="Z205" s="73">
        <f>INDEX('배치점수 계산기'!$AC$11:$AC$800,MATCH('       가 군       '!$C205,'배치점수 계산기'!$U$11:$U$800,0))</f>
        <v>0.46420373093241774</v>
      </c>
      <c r="AA205" s="63">
        <f>INDEX('배치점수 계산기'!$AD$11:$AD$800,MATCH('       가 군       '!$C205,'배치점수 계산기'!$U$11:$U$800,0))</f>
        <v>0.27409752142783</v>
      </c>
      <c r="AE205" s="7">
        <v>198</v>
      </c>
    </row>
    <row r="206" spans="3:31" x14ac:dyDescent="0.3">
      <c r="C206" s="7" t="s">
        <v>1107</v>
      </c>
      <c r="D206" s="41" t="str">
        <f>IFERROR(INDEX('배치점수 계산기'!V$11:V$1000,MATCH($C206,'배치점수 계산기'!$U$11:$U$1000,0)),"")</f>
        <v>서울시립 통합</v>
      </c>
      <c r="E206" s="41">
        <f>IFERROR(INDEX('배치점수 계산기'!W$11:W$1000,MATCH($C206,'배치점수 계산기'!$U$11:$U$1000,0)),"")</f>
        <v>39</v>
      </c>
      <c r="F206" s="113" t="s">
        <v>276</v>
      </c>
      <c r="G206" s="41" t="s">
        <v>419</v>
      </c>
      <c r="H206" s="41" t="s">
        <v>434</v>
      </c>
      <c r="I206" s="41" t="s">
        <v>275</v>
      </c>
      <c r="J206" s="41" t="str">
        <f t="shared" si="9"/>
        <v>X</v>
      </c>
      <c r="K206" s="113">
        <f>IFERROR(INDEX(환산공식!CI$16:CI$301,MATCH($E206,환산공식!$A$16:$A$301,0)),"")</f>
        <v>250</v>
      </c>
      <c r="L206" s="41" t="str">
        <f>IFERROR(CONCATENATE(ROUND(INDEX(환산공식!CJ$16:CJ$301,MATCH(E206,환산공식!$A$16:$A$301,0)),1),"%"),"")</f>
        <v>100%</v>
      </c>
      <c r="M206" s="41">
        <f>IFERROR(INDEX(환산공식!CK$16:CK$301,MATCH(E206,환산공식!$A$16:$A$301,0)),"")</f>
        <v>0</v>
      </c>
      <c r="N206" s="113" t="str">
        <f t="shared" si="10"/>
        <v>1% 이하</v>
      </c>
      <c r="O206" s="119">
        <f>IFERROR(ROUND(INDEX(환산공식!$EF$16:$EF$301,MATCH(E206,환산공식!$A$16:$A$301,0)),3),"")</f>
        <v>0</v>
      </c>
      <c r="P206" s="119">
        <f>IFERROR(ROUND(INDEX('배치점수 계산기'!M$11:M$1000,MATCH($C206,'배치점수 계산기'!$U$11:$U$1000,0)),2),"")</f>
        <v>887.34</v>
      </c>
      <c r="Q206" s="41">
        <f>IFERROR(ROUND(INDEX('배치점수 계산기'!N$11:N$1000,MATCH($C206,'배치점수 계산기'!$U$11:$U$1000,0)),2),"")</f>
        <v>886.22</v>
      </c>
      <c r="R206" s="41">
        <f>IFERROR(ROUND(INDEX('배치점수 계산기'!O$11:O$1000,MATCH($C206,'배치점수 계산기'!$U$11:$U$1000,0)),2),"")</f>
        <v>883.58</v>
      </c>
      <c r="S206" s="41">
        <f>IFERROR(ROUND(INDEX('배치점수 계산기'!P$11:P$1000,MATCH($C206,'배치점수 계산기'!$U$11:$U$1000,0)),2),"")</f>
        <v>881.27</v>
      </c>
      <c r="T206" s="41">
        <f>IFERROR(ROUND(INDEX('배치점수 계산기'!Q$11:Q$1000,MATCH($C206,'배치점수 계산기'!$U$11:$U$1000,0)),2),"")</f>
        <v>878.96</v>
      </c>
      <c r="U206" s="41">
        <f>IFERROR(INDEX(환산공식!$DC$16:$DC$301,MATCH(E206,환산공식!$A$16:$A$301,0)),"")</f>
        <v>0</v>
      </c>
      <c r="V206" s="113">
        <f t="shared" si="11"/>
        <v>6</v>
      </c>
      <c r="W206" s="110" t="str">
        <f>INDEX('배치점수 계산기'!$AG$11:$AG$800,MATCH('       가 군       '!$C206,'배치점수 계산기'!$U$11:$U$800,0))</f>
        <v>표점/만점</v>
      </c>
      <c r="X206" s="108" t="str">
        <f>INDEX('배치점수 계산기'!$AH$11:$AH$800,MATCH('       가 군       '!$C206,'배치점수 계산기'!$U$11:$U$800,0))</f>
        <v>변표/만점</v>
      </c>
      <c r="Y206" s="113">
        <f>INDEX('배치점수 계산기'!$AB$11:$AB$800,MATCH('       가 군       '!$C206,'배치점수 계산기'!$U$11:$U$800,0))</f>
        <v>0.3878976880865993</v>
      </c>
      <c r="Z206" s="73">
        <f>INDEX('배치점수 계산기'!$AC$11:$AC$800,MATCH('       가 군       '!$C206,'배치점수 계산기'!$U$11:$U$800,0))</f>
        <v>0.39317520765240338</v>
      </c>
      <c r="AA206" s="63">
        <f>INDEX('배치점수 계산기'!$AD$11:$AD$800,MATCH('       가 군       '!$C206,'배치점수 계산기'!$U$11:$U$800,0))</f>
        <v>0.21892710426099735</v>
      </c>
      <c r="AE206" s="7">
        <v>199</v>
      </c>
    </row>
    <row r="207" spans="3:31" x14ac:dyDescent="0.3">
      <c r="C207" s="7" t="s">
        <v>1108</v>
      </c>
      <c r="D207" s="41" t="str">
        <f>IFERROR(INDEX('배치점수 계산기'!V$11:V$1000,MATCH($C207,'배치점수 계산기'!$U$11:$U$1000,0)),"")</f>
        <v>한국외대 서울</v>
      </c>
      <c r="E207" s="41">
        <f>IFERROR(INDEX('배치점수 계산기'!W$11:W$1000,MATCH($C207,'배치점수 계산기'!$U$11:$U$1000,0)),"")</f>
        <v>36</v>
      </c>
      <c r="F207" s="113" t="s">
        <v>276</v>
      </c>
      <c r="G207" s="41" t="s">
        <v>764</v>
      </c>
      <c r="H207" s="41" t="s">
        <v>436</v>
      </c>
      <c r="I207" s="41" t="s">
        <v>275</v>
      </c>
      <c r="J207" s="41" t="str">
        <f t="shared" si="9"/>
        <v>X</v>
      </c>
      <c r="K207" s="113">
        <f>IFERROR(INDEX(환산공식!CI$16:CI$301,MATCH($E207,환산공식!$A$16:$A$301,0)),"")</f>
        <v>140</v>
      </c>
      <c r="L207" s="41" t="str">
        <f>IFERROR(CONCATENATE(ROUND(INDEX(환산공식!CJ$16:CJ$301,MATCH(E207,환산공식!$A$16:$A$301,0)),1),"%"),"")</f>
        <v>100%</v>
      </c>
      <c r="M207" s="41">
        <f>IFERROR(INDEX(환산공식!CK$16:CK$301,MATCH(E207,환산공식!$A$16:$A$301,0)),"")</f>
        <v>10</v>
      </c>
      <c r="N207" s="113" t="str">
        <f t="shared" si="10"/>
        <v>1% 이하</v>
      </c>
      <c r="O207" s="119">
        <f>IFERROR(ROUND(INDEX(환산공식!$EF$16:$EF$301,MATCH(E207,환산공식!$A$16:$A$301,0)),3),"")</f>
        <v>0</v>
      </c>
      <c r="P207" s="119">
        <f>IFERROR(ROUND(INDEX('배치점수 계산기'!M$11:M$1000,MATCH($C207,'배치점수 계산기'!$U$11:$U$1000,0)),2),"")</f>
        <v>630.30999999999995</v>
      </c>
      <c r="Q207" s="41">
        <f>IFERROR(ROUND(INDEX('배치점수 계산기'!N$11:N$1000,MATCH($C207,'배치점수 계산기'!$U$11:$U$1000,0)),2),"")</f>
        <v>629.16</v>
      </c>
      <c r="R207" s="41">
        <f>IFERROR(ROUND(INDEX('배치점수 계산기'!O$11:O$1000,MATCH($C207,'배치점수 계산기'!$U$11:$U$1000,0)),2),"")</f>
        <v>628</v>
      </c>
      <c r="S207" s="41">
        <f>IFERROR(ROUND(INDEX('배치점수 계산기'!P$11:P$1000,MATCH($C207,'배치점수 계산기'!$U$11:$U$1000,0)),2),"")</f>
        <v>620.95000000000005</v>
      </c>
      <c r="T207" s="41">
        <f>IFERROR(ROUND(INDEX('배치점수 계산기'!Q$11:Q$1000,MATCH($C207,'배치점수 계산기'!$U$11:$U$1000,0)),2),"")</f>
        <v>615.78</v>
      </c>
      <c r="U207" s="41">
        <f>IFERROR(INDEX(환산공식!$DC$16:$DC$301,MATCH(E207,환산공식!$A$16:$A$301,0)),"")</f>
        <v>0</v>
      </c>
      <c r="V207" s="113">
        <f t="shared" si="11"/>
        <v>6</v>
      </c>
      <c r="W207" s="110" t="str">
        <f>INDEX('배치점수 계산기'!$AG$11:$AG$800,MATCH('       가 군       '!$C207,'배치점수 계산기'!$U$11:$U$800,0))</f>
        <v>표점/만점</v>
      </c>
      <c r="X207" s="108" t="str">
        <f>INDEX('배치점수 계산기'!$AH$11:$AH$800,MATCH('       가 군       '!$C207,'배치점수 계산기'!$U$11:$U$800,0))</f>
        <v>변표/만점</v>
      </c>
      <c r="Y207" s="113">
        <f>INDEX('배치점수 계산기'!$AB$11:$AB$800,MATCH('       가 군       '!$C207,'배치점수 계산기'!$U$11:$U$800,0))</f>
        <v>0.36151581771434954</v>
      </c>
      <c r="Z207" s="73">
        <f>INDEX('배치점수 계산기'!$AC$11:$AC$800,MATCH('       가 군       '!$C207,'배치점수 계산기'!$U$11:$U$800,0))</f>
        <v>0.36643440026828633</v>
      </c>
      <c r="AA207" s="63">
        <f>INDEX('배치점수 계산기'!$AD$11:$AD$800,MATCH('       가 군       '!$C207,'배치점수 계산기'!$U$11:$U$800,0))</f>
        <v>0.27204978201736407</v>
      </c>
      <c r="AE207" s="7">
        <v>200</v>
      </c>
    </row>
    <row r="208" spans="3:31" x14ac:dyDescent="0.3">
      <c r="C208" s="7" t="s">
        <v>1110</v>
      </c>
      <c r="D208" s="41" t="str">
        <f>IFERROR(INDEX('배치점수 계산기'!V$11:V$1000,MATCH($C208,'배치점수 계산기'!$U$11:$U$1000,0)),"")</f>
        <v>한국외대 서울</v>
      </c>
      <c r="E208" s="41">
        <f>IFERROR(INDEX('배치점수 계산기'!W$11:W$1000,MATCH($C208,'배치점수 계산기'!$U$11:$U$1000,0)),"")</f>
        <v>36</v>
      </c>
      <c r="F208" s="113" t="s">
        <v>276</v>
      </c>
      <c r="G208" s="41" t="s">
        <v>764</v>
      </c>
      <c r="H208" s="41" t="s">
        <v>766</v>
      </c>
      <c r="I208" s="41" t="s">
        <v>275</v>
      </c>
      <c r="J208" s="41" t="str">
        <f t="shared" si="9"/>
        <v>X</v>
      </c>
      <c r="K208" s="113">
        <f>IFERROR(INDEX(환산공식!CI$16:CI$301,MATCH($E208,환산공식!$A$16:$A$301,0)),"")</f>
        <v>140</v>
      </c>
      <c r="L208" s="41" t="str">
        <f>IFERROR(CONCATENATE(ROUND(INDEX(환산공식!CJ$16:CJ$301,MATCH(E208,환산공식!$A$16:$A$301,0)),1),"%"),"")</f>
        <v>100%</v>
      </c>
      <c r="M208" s="41">
        <f>IFERROR(INDEX(환산공식!CK$16:CK$301,MATCH(E208,환산공식!$A$16:$A$301,0)),"")</f>
        <v>10</v>
      </c>
      <c r="N208" s="113" t="str">
        <f t="shared" si="10"/>
        <v>1% 이하</v>
      </c>
      <c r="O208" s="119">
        <f>IFERROR(ROUND(INDEX(환산공식!$EF$16:$EF$301,MATCH(E208,환산공식!$A$16:$A$301,0)),3),"")</f>
        <v>0</v>
      </c>
      <c r="P208" s="119">
        <f>IFERROR(ROUND(INDEX('배치점수 계산기'!M$11:M$1000,MATCH($C208,'배치점수 계산기'!$U$11:$U$1000,0)),2),"")</f>
        <v>632.28</v>
      </c>
      <c r="Q208" s="41">
        <f>IFERROR(ROUND(INDEX('배치점수 계산기'!N$11:N$1000,MATCH($C208,'배치점수 계산기'!$U$11:$U$1000,0)),2),"")</f>
        <v>631.51</v>
      </c>
      <c r="R208" s="41">
        <f>IFERROR(ROUND(INDEX('배치점수 계산기'!O$11:O$1000,MATCH($C208,'배치점수 계산기'!$U$11:$U$1000,0)),2),"")</f>
        <v>629.99</v>
      </c>
      <c r="S208" s="41">
        <f>IFERROR(ROUND(INDEX('배치점수 계산기'!P$11:P$1000,MATCH($C208,'배치점수 계산기'!$U$11:$U$1000,0)),2),"")</f>
        <v>628.28</v>
      </c>
      <c r="T208" s="41">
        <f>IFERROR(ROUND(INDEX('배치점수 계산기'!Q$11:Q$1000,MATCH($C208,'배치점수 계산기'!$U$11:$U$1000,0)),2),"")</f>
        <v>626.33000000000004</v>
      </c>
      <c r="U208" s="41">
        <f>IFERROR(INDEX(환산공식!$DC$16:$DC$301,MATCH(E208,환산공식!$A$16:$A$301,0)),"")</f>
        <v>0</v>
      </c>
      <c r="V208" s="113">
        <f t="shared" si="11"/>
        <v>6</v>
      </c>
      <c r="W208" s="110" t="str">
        <f>INDEX('배치점수 계산기'!$AG$11:$AG$800,MATCH('       가 군       '!$C208,'배치점수 계산기'!$U$11:$U$800,0))</f>
        <v>표점/만점</v>
      </c>
      <c r="X208" s="108" t="str">
        <f>INDEX('배치점수 계산기'!$AH$11:$AH$800,MATCH('       가 군       '!$C208,'배치점수 계산기'!$U$11:$U$800,0))</f>
        <v>변표/만점</v>
      </c>
      <c r="Y208" s="113">
        <f>INDEX('배치점수 계산기'!$AB$11:$AB$800,MATCH('       가 군       '!$C208,'배치점수 계산기'!$U$11:$U$800,0))</f>
        <v>0.36151581771434954</v>
      </c>
      <c r="Z208" s="73">
        <f>INDEX('배치점수 계산기'!$AC$11:$AC$800,MATCH('       가 군       '!$C208,'배치점수 계산기'!$U$11:$U$800,0))</f>
        <v>0.36643440026828633</v>
      </c>
      <c r="AA208" s="63">
        <f>INDEX('배치점수 계산기'!$AD$11:$AD$800,MATCH('       가 군       '!$C208,'배치점수 계산기'!$U$11:$U$800,0))</f>
        <v>0.27204978201736407</v>
      </c>
      <c r="AE208" s="7">
        <v>201</v>
      </c>
    </row>
    <row r="209" spans="3:31" x14ac:dyDescent="0.3">
      <c r="C209" s="7" t="s">
        <v>1111</v>
      </c>
      <c r="D209" s="41" t="str">
        <f>IFERROR(INDEX('배치점수 계산기'!V$11:V$1000,MATCH($C209,'배치점수 계산기'!$U$11:$U$1000,0)),"")</f>
        <v>한국외대 서울</v>
      </c>
      <c r="E209" s="41">
        <f>IFERROR(INDEX('배치점수 계산기'!W$11:W$1000,MATCH($C209,'배치점수 계산기'!$U$11:$U$1000,0)),"")</f>
        <v>36</v>
      </c>
      <c r="F209" s="113" t="s">
        <v>276</v>
      </c>
      <c r="G209" s="41" t="s">
        <v>764</v>
      </c>
      <c r="H209" s="41" t="s">
        <v>437</v>
      </c>
      <c r="I209" s="41" t="s">
        <v>275</v>
      </c>
      <c r="J209" s="41" t="str">
        <f t="shared" si="9"/>
        <v>X</v>
      </c>
      <c r="K209" s="113">
        <f>IFERROR(INDEX(환산공식!CI$16:CI$301,MATCH($E209,환산공식!$A$16:$A$301,0)),"")</f>
        <v>140</v>
      </c>
      <c r="L209" s="41" t="str">
        <f>IFERROR(CONCATENATE(ROUND(INDEX(환산공식!CJ$16:CJ$301,MATCH(E209,환산공식!$A$16:$A$301,0)),1),"%"),"")</f>
        <v>100%</v>
      </c>
      <c r="M209" s="41">
        <f>IFERROR(INDEX(환산공식!CK$16:CK$301,MATCH(E209,환산공식!$A$16:$A$301,0)),"")</f>
        <v>10</v>
      </c>
      <c r="N209" s="113" t="str">
        <f t="shared" si="10"/>
        <v>1% 이하</v>
      </c>
      <c r="O209" s="119">
        <f>IFERROR(ROUND(INDEX(환산공식!$EF$16:$EF$301,MATCH(E209,환산공식!$A$16:$A$301,0)),3),"")</f>
        <v>0</v>
      </c>
      <c r="P209" s="119">
        <f>IFERROR(ROUND(INDEX('배치점수 계산기'!M$11:M$1000,MATCH($C209,'배치점수 계산기'!$U$11:$U$1000,0)),2),"")</f>
        <v>629.29999999999995</v>
      </c>
      <c r="Q209" s="41">
        <f>IFERROR(ROUND(INDEX('배치점수 계산기'!N$11:N$1000,MATCH($C209,'배치점수 계산기'!$U$11:$U$1000,0)),2),"")</f>
        <v>627.35</v>
      </c>
      <c r="R209" s="41">
        <f>IFERROR(ROUND(INDEX('배치점수 계산기'!O$11:O$1000,MATCH($C209,'배치점수 계산기'!$U$11:$U$1000,0)),2),"")</f>
        <v>625.21</v>
      </c>
      <c r="S209" s="41">
        <f>IFERROR(ROUND(INDEX('배치점수 계산기'!P$11:P$1000,MATCH($C209,'배치점수 계산기'!$U$11:$U$1000,0)),2),"")</f>
        <v>620.21</v>
      </c>
      <c r="T209" s="41">
        <f>IFERROR(ROUND(INDEX('배치점수 계산기'!Q$11:Q$1000,MATCH($C209,'배치점수 계산기'!$U$11:$U$1000,0)),2),"")</f>
        <v>617.89</v>
      </c>
      <c r="U209" s="41">
        <f>IFERROR(INDEX(환산공식!$DC$16:$DC$301,MATCH(E209,환산공식!$A$16:$A$301,0)),"")</f>
        <v>0</v>
      </c>
      <c r="V209" s="113">
        <f t="shared" si="11"/>
        <v>6</v>
      </c>
      <c r="W209" s="110" t="str">
        <f>INDEX('배치점수 계산기'!$AG$11:$AG$800,MATCH('       가 군       '!$C209,'배치점수 계산기'!$U$11:$U$800,0))</f>
        <v>표점/만점</v>
      </c>
      <c r="X209" s="108" t="str">
        <f>INDEX('배치점수 계산기'!$AH$11:$AH$800,MATCH('       가 군       '!$C209,'배치점수 계산기'!$U$11:$U$800,0))</f>
        <v>변표/만점</v>
      </c>
      <c r="Y209" s="113">
        <f>INDEX('배치점수 계산기'!$AB$11:$AB$800,MATCH('       가 군       '!$C209,'배치점수 계산기'!$U$11:$U$800,0))</f>
        <v>0.36151581771434954</v>
      </c>
      <c r="Z209" s="73">
        <f>INDEX('배치점수 계산기'!$AC$11:$AC$800,MATCH('       가 군       '!$C209,'배치점수 계산기'!$U$11:$U$800,0))</f>
        <v>0.36643440026828633</v>
      </c>
      <c r="AA209" s="63">
        <f>INDEX('배치점수 계산기'!$AD$11:$AD$800,MATCH('       가 군       '!$C209,'배치점수 계산기'!$U$11:$U$800,0))</f>
        <v>0.27204978201736407</v>
      </c>
      <c r="AE209" s="7">
        <v>202</v>
      </c>
    </row>
    <row r="210" spans="3:31" x14ac:dyDescent="0.3">
      <c r="C210" s="7" t="s">
        <v>1112</v>
      </c>
      <c r="D210" s="41" t="str">
        <f>IFERROR(INDEX('배치점수 계산기'!V$11:V$1000,MATCH($C210,'배치점수 계산기'!$U$11:$U$1000,0)),"")</f>
        <v>한국외대 서울</v>
      </c>
      <c r="E210" s="41">
        <f>IFERROR(INDEX('배치점수 계산기'!W$11:W$1000,MATCH($C210,'배치점수 계산기'!$U$11:$U$1000,0)),"")</f>
        <v>36</v>
      </c>
      <c r="F210" s="113" t="s">
        <v>276</v>
      </c>
      <c r="G210" s="41" t="s">
        <v>764</v>
      </c>
      <c r="H210" s="41" t="s">
        <v>440</v>
      </c>
      <c r="I210" s="41" t="s">
        <v>275</v>
      </c>
      <c r="J210" s="41" t="str">
        <f t="shared" si="9"/>
        <v>X</v>
      </c>
      <c r="K210" s="113">
        <f>IFERROR(INDEX(환산공식!CI$16:CI$301,MATCH($E210,환산공식!$A$16:$A$301,0)),"")</f>
        <v>140</v>
      </c>
      <c r="L210" s="41" t="str">
        <f>IFERROR(CONCATENATE(ROUND(INDEX(환산공식!CJ$16:CJ$301,MATCH(E210,환산공식!$A$16:$A$301,0)),1),"%"),"")</f>
        <v>100%</v>
      </c>
      <c r="M210" s="41">
        <f>IFERROR(INDEX(환산공식!CK$16:CK$301,MATCH(E210,환산공식!$A$16:$A$301,0)),"")</f>
        <v>10</v>
      </c>
      <c r="N210" s="113" t="str">
        <f t="shared" si="10"/>
        <v>1% 이하</v>
      </c>
      <c r="O210" s="119">
        <f>IFERROR(ROUND(INDEX(환산공식!$EF$16:$EF$301,MATCH(E210,환산공식!$A$16:$A$301,0)),3),"")</f>
        <v>0</v>
      </c>
      <c r="P210" s="119">
        <f>IFERROR(ROUND(INDEX('배치점수 계산기'!M$11:M$1000,MATCH($C210,'배치점수 계산기'!$U$11:$U$1000,0)),2),"")</f>
        <v>628.16999999999996</v>
      </c>
      <c r="Q210" s="41">
        <f>IFERROR(ROUND(INDEX('배치점수 계산기'!N$11:N$1000,MATCH($C210,'배치점수 계산기'!$U$11:$U$1000,0)),2),"")</f>
        <v>623.57000000000005</v>
      </c>
      <c r="R210" s="41">
        <f>IFERROR(ROUND(INDEX('배치점수 계산기'!O$11:O$1000,MATCH($C210,'배치점수 계산기'!$U$11:$U$1000,0)),2),"")</f>
        <v>620.75</v>
      </c>
      <c r="S210" s="41">
        <f>IFERROR(ROUND(INDEX('배치점수 계산기'!P$11:P$1000,MATCH($C210,'배치점수 계산기'!$U$11:$U$1000,0)),2),"")</f>
        <v>616.37</v>
      </c>
      <c r="T210" s="41">
        <f>IFERROR(ROUND(INDEX('배치점수 계산기'!Q$11:Q$1000,MATCH($C210,'배치점수 계산기'!$U$11:$U$1000,0)),2),"")</f>
        <v>613.32000000000005</v>
      </c>
      <c r="U210" s="41">
        <f>IFERROR(INDEX(환산공식!$DC$16:$DC$301,MATCH(E210,환산공식!$A$16:$A$301,0)),"")</f>
        <v>0</v>
      </c>
      <c r="V210" s="113">
        <f t="shared" si="11"/>
        <v>6</v>
      </c>
      <c r="W210" s="110" t="str">
        <f>INDEX('배치점수 계산기'!$AG$11:$AG$800,MATCH('       가 군       '!$C210,'배치점수 계산기'!$U$11:$U$800,0))</f>
        <v>표점/만점</v>
      </c>
      <c r="X210" s="108" t="str">
        <f>INDEX('배치점수 계산기'!$AH$11:$AH$800,MATCH('       가 군       '!$C210,'배치점수 계산기'!$U$11:$U$800,0))</f>
        <v>변표/만점</v>
      </c>
      <c r="Y210" s="113">
        <f>INDEX('배치점수 계산기'!$AB$11:$AB$800,MATCH('       가 군       '!$C210,'배치점수 계산기'!$U$11:$U$800,0))</f>
        <v>0.36151581771434954</v>
      </c>
      <c r="Z210" s="73">
        <f>INDEX('배치점수 계산기'!$AC$11:$AC$800,MATCH('       가 군       '!$C210,'배치점수 계산기'!$U$11:$U$800,0))</f>
        <v>0.36643440026828633</v>
      </c>
      <c r="AA210" s="63">
        <f>INDEX('배치점수 계산기'!$AD$11:$AD$800,MATCH('       가 군       '!$C210,'배치점수 계산기'!$U$11:$U$800,0))</f>
        <v>0.27204978201736407</v>
      </c>
      <c r="AE210" s="7">
        <v>203</v>
      </c>
    </row>
    <row r="211" spans="3:31" x14ac:dyDescent="0.3">
      <c r="C211" s="7" t="s">
        <v>1113</v>
      </c>
      <c r="D211" s="41" t="str">
        <f>IFERROR(INDEX('배치점수 계산기'!V$11:V$1000,MATCH($C211,'배치점수 계산기'!$U$11:$U$1000,0)),"")</f>
        <v>한국외대 서울</v>
      </c>
      <c r="E211" s="41">
        <f>IFERROR(INDEX('배치점수 계산기'!W$11:W$1000,MATCH($C211,'배치점수 계산기'!$U$11:$U$1000,0)),"")</f>
        <v>36</v>
      </c>
      <c r="F211" s="113" t="s">
        <v>276</v>
      </c>
      <c r="G211" s="41" t="s">
        <v>764</v>
      </c>
      <c r="H211" s="41" t="s">
        <v>442</v>
      </c>
      <c r="I211" s="41" t="s">
        <v>275</v>
      </c>
      <c r="J211" s="41" t="str">
        <f t="shared" si="9"/>
        <v>X</v>
      </c>
      <c r="K211" s="113">
        <f>IFERROR(INDEX(환산공식!CI$16:CI$301,MATCH($E211,환산공식!$A$16:$A$301,0)),"")</f>
        <v>140</v>
      </c>
      <c r="L211" s="41" t="str">
        <f>IFERROR(CONCATENATE(ROUND(INDEX(환산공식!CJ$16:CJ$301,MATCH(E211,환산공식!$A$16:$A$301,0)),1),"%"),"")</f>
        <v>100%</v>
      </c>
      <c r="M211" s="41">
        <f>IFERROR(INDEX(환산공식!CK$16:CK$301,MATCH(E211,환산공식!$A$16:$A$301,0)),"")</f>
        <v>10</v>
      </c>
      <c r="N211" s="113" t="str">
        <f t="shared" si="10"/>
        <v>1% 이하</v>
      </c>
      <c r="O211" s="119">
        <f>IFERROR(ROUND(INDEX(환산공식!$EF$16:$EF$301,MATCH(E211,환산공식!$A$16:$A$301,0)),3),"")</f>
        <v>0</v>
      </c>
      <c r="P211" s="119">
        <f>IFERROR(ROUND(INDEX('배치점수 계산기'!M$11:M$1000,MATCH($C211,'배치점수 계산기'!$U$11:$U$1000,0)),2),"")</f>
        <v>621.96</v>
      </c>
      <c r="Q211" s="41">
        <f>IFERROR(ROUND(INDEX('배치점수 계산기'!N$11:N$1000,MATCH($C211,'배치점수 계산기'!$U$11:$U$1000,0)),2),"")</f>
        <v>620.01</v>
      </c>
      <c r="R211" s="41">
        <f>IFERROR(ROUND(INDEX('배치점수 계산기'!O$11:O$1000,MATCH($C211,'배치점수 계산기'!$U$11:$U$1000,0)),2),"")</f>
        <v>617.69000000000005</v>
      </c>
      <c r="S211" s="41">
        <f>IFERROR(ROUND(INDEX('배치점수 계산기'!P$11:P$1000,MATCH($C211,'배치점수 계산기'!$U$11:$U$1000,0)),2),"")</f>
        <v>615.58000000000004</v>
      </c>
      <c r="T211" s="41">
        <f>IFERROR(ROUND(INDEX('배치점수 계산기'!Q$11:Q$1000,MATCH($C211,'배치점수 계산기'!$U$11:$U$1000,0)),2),"")</f>
        <v>612.30999999999995</v>
      </c>
      <c r="U211" s="41">
        <f>IFERROR(INDEX(환산공식!$DC$16:$DC$301,MATCH(E211,환산공식!$A$16:$A$301,0)),"")</f>
        <v>0</v>
      </c>
      <c r="V211" s="113">
        <f t="shared" si="11"/>
        <v>6</v>
      </c>
      <c r="W211" s="110" t="str">
        <f>INDEX('배치점수 계산기'!$AG$11:$AG$800,MATCH('       가 군       '!$C211,'배치점수 계산기'!$U$11:$U$800,0))</f>
        <v>표점/만점</v>
      </c>
      <c r="X211" s="108" t="str">
        <f>INDEX('배치점수 계산기'!$AH$11:$AH$800,MATCH('       가 군       '!$C211,'배치점수 계산기'!$U$11:$U$800,0))</f>
        <v>변표/만점</v>
      </c>
      <c r="Y211" s="113">
        <f>INDEX('배치점수 계산기'!$AB$11:$AB$800,MATCH('       가 군       '!$C211,'배치점수 계산기'!$U$11:$U$800,0))</f>
        <v>0.36151581771434954</v>
      </c>
      <c r="Z211" s="73">
        <f>INDEX('배치점수 계산기'!$AC$11:$AC$800,MATCH('       가 군       '!$C211,'배치점수 계산기'!$U$11:$U$800,0))</f>
        <v>0.36643440026828633</v>
      </c>
      <c r="AA211" s="63">
        <f>INDEX('배치점수 계산기'!$AD$11:$AD$800,MATCH('       가 군       '!$C211,'배치점수 계산기'!$U$11:$U$800,0))</f>
        <v>0.27204978201736407</v>
      </c>
      <c r="AE211" s="7">
        <v>204</v>
      </c>
    </row>
    <row r="212" spans="3:31" x14ac:dyDescent="0.3">
      <c r="C212" s="7" t="s">
        <v>1114</v>
      </c>
      <c r="D212" s="41" t="str">
        <f>IFERROR(INDEX('배치점수 계산기'!V$11:V$1000,MATCH($C212,'배치점수 계산기'!$U$11:$U$1000,0)),"")</f>
        <v>한국외대 서울</v>
      </c>
      <c r="E212" s="41">
        <f>IFERROR(INDEX('배치점수 계산기'!W$11:W$1000,MATCH($C212,'배치점수 계산기'!$U$11:$U$1000,0)),"")</f>
        <v>36</v>
      </c>
      <c r="F212" s="113" t="s">
        <v>276</v>
      </c>
      <c r="G212" s="41" t="s">
        <v>764</v>
      </c>
      <c r="H212" s="41" t="s">
        <v>443</v>
      </c>
      <c r="I212" s="41" t="s">
        <v>275</v>
      </c>
      <c r="J212" s="41" t="str">
        <f t="shared" si="9"/>
        <v>X</v>
      </c>
      <c r="K212" s="113">
        <f>IFERROR(INDEX(환산공식!CI$16:CI$301,MATCH($E212,환산공식!$A$16:$A$301,0)),"")</f>
        <v>140</v>
      </c>
      <c r="L212" s="41" t="str">
        <f>IFERROR(CONCATENATE(ROUND(INDEX(환산공식!CJ$16:CJ$301,MATCH(E212,환산공식!$A$16:$A$301,0)),1),"%"),"")</f>
        <v>100%</v>
      </c>
      <c r="M212" s="41">
        <f>IFERROR(INDEX(환산공식!CK$16:CK$301,MATCH(E212,환산공식!$A$16:$A$301,0)),"")</f>
        <v>10</v>
      </c>
      <c r="N212" s="113" t="str">
        <f t="shared" si="10"/>
        <v>1% 이하</v>
      </c>
      <c r="O212" s="119">
        <f>IFERROR(ROUND(INDEX(환산공식!$EF$16:$EF$301,MATCH(E212,환산공식!$A$16:$A$301,0)),3),"")</f>
        <v>0</v>
      </c>
      <c r="P212" s="119">
        <f>IFERROR(ROUND(INDEX('배치점수 계산기'!M$11:M$1000,MATCH($C212,'배치점수 계산기'!$U$11:$U$1000,0)),2),"")</f>
        <v>621.96</v>
      </c>
      <c r="Q212" s="41">
        <f>IFERROR(ROUND(INDEX('배치점수 계산기'!N$11:N$1000,MATCH($C212,'배치점수 계산기'!$U$11:$U$1000,0)),2),"")</f>
        <v>620.01</v>
      </c>
      <c r="R212" s="41">
        <f>IFERROR(ROUND(INDEX('배치점수 계산기'!O$11:O$1000,MATCH($C212,'배치점수 계산기'!$U$11:$U$1000,0)),2),"")</f>
        <v>617.69000000000005</v>
      </c>
      <c r="S212" s="41">
        <f>IFERROR(ROUND(INDEX('배치점수 계산기'!P$11:P$1000,MATCH($C212,'배치점수 계산기'!$U$11:$U$1000,0)),2),"")</f>
        <v>615.58000000000004</v>
      </c>
      <c r="T212" s="41">
        <f>IFERROR(ROUND(INDEX('배치점수 계산기'!Q$11:Q$1000,MATCH($C212,'배치점수 계산기'!$U$11:$U$1000,0)),2),"")</f>
        <v>612.30999999999995</v>
      </c>
      <c r="U212" s="41">
        <f>IFERROR(INDEX(환산공식!$DC$16:$DC$301,MATCH(E212,환산공식!$A$16:$A$301,0)),"")</f>
        <v>0</v>
      </c>
      <c r="V212" s="113">
        <f t="shared" si="11"/>
        <v>6</v>
      </c>
      <c r="W212" s="110" t="str">
        <f>INDEX('배치점수 계산기'!$AG$11:$AG$800,MATCH('       가 군       '!$C212,'배치점수 계산기'!$U$11:$U$800,0))</f>
        <v>표점/만점</v>
      </c>
      <c r="X212" s="108" t="str">
        <f>INDEX('배치점수 계산기'!$AH$11:$AH$800,MATCH('       가 군       '!$C212,'배치점수 계산기'!$U$11:$U$800,0))</f>
        <v>변표/만점</v>
      </c>
      <c r="Y212" s="113">
        <f>INDEX('배치점수 계산기'!$AB$11:$AB$800,MATCH('       가 군       '!$C212,'배치점수 계산기'!$U$11:$U$800,0))</f>
        <v>0.36151581771434954</v>
      </c>
      <c r="Z212" s="73">
        <f>INDEX('배치점수 계산기'!$AC$11:$AC$800,MATCH('       가 군       '!$C212,'배치점수 계산기'!$U$11:$U$800,0))</f>
        <v>0.36643440026828633</v>
      </c>
      <c r="AA212" s="63">
        <f>INDEX('배치점수 계산기'!$AD$11:$AD$800,MATCH('       가 군       '!$C212,'배치점수 계산기'!$U$11:$U$800,0))</f>
        <v>0.27204978201736407</v>
      </c>
      <c r="AE212" s="7">
        <v>205</v>
      </c>
    </row>
    <row r="213" spans="3:31" x14ac:dyDescent="0.3">
      <c r="C213" s="7" t="s">
        <v>1115</v>
      </c>
      <c r="D213" s="41" t="str">
        <f>IFERROR(INDEX('배치점수 계산기'!V$11:V$1000,MATCH($C213,'배치점수 계산기'!$U$11:$U$1000,0)),"")</f>
        <v>한국외대 서울</v>
      </c>
      <c r="E213" s="41">
        <f>IFERROR(INDEX('배치점수 계산기'!W$11:W$1000,MATCH($C213,'배치점수 계산기'!$U$11:$U$1000,0)),"")</f>
        <v>36</v>
      </c>
      <c r="F213" s="113" t="s">
        <v>276</v>
      </c>
      <c r="G213" s="41" t="s">
        <v>764</v>
      </c>
      <c r="H213" s="41" t="s">
        <v>444</v>
      </c>
      <c r="I213" s="41" t="s">
        <v>275</v>
      </c>
      <c r="J213" s="41" t="str">
        <f t="shared" si="9"/>
        <v>X</v>
      </c>
      <c r="K213" s="113">
        <f>IFERROR(INDEX(환산공식!CI$16:CI$301,MATCH($E213,환산공식!$A$16:$A$301,0)),"")</f>
        <v>140</v>
      </c>
      <c r="L213" s="41" t="str">
        <f>IFERROR(CONCATENATE(ROUND(INDEX(환산공식!CJ$16:CJ$301,MATCH(E213,환산공식!$A$16:$A$301,0)),1),"%"),"")</f>
        <v>100%</v>
      </c>
      <c r="M213" s="41">
        <f>IFERROR(INDEX(환산공식!CK$16:CK$301,MATCH(E213,환산공식!$A$16:$A$301,0)),"")</f>
        <v>10</v>
      </c>
      <c r="N213" s="113" t="str">
        <f t="shared" si="10"/>
        <v>1% 이하</v>
      </c>
      <c r="O213" s="119">
        <f>IFERROR(ROUND(INDEX(환산공식!$EF$16:$EF$301,MATCH(E213,환산공식!$A$16:$A$301,0)),3),"")</f>
        <v>0</v>
      </c>
      <c r="P213" s="119">
        <f>IFERROR(ROUND(INDEX('배치점수 계산기'!M$11:M$1000,MATCH($C213,'배치점수 계산기'!$U$11:$U$1000,0)),2),"")</f>
        <v>628.16999999999996</v>
      </c>
      <c r="Q213" s="41">
        <f>IFERROR(ROUND(INDEX('배치점수 계산기'!N$11:N$1000,MATCH($C213,'배치점수 계산기'!$U$11:$U$1000,0)),2),"")</f>
        <v>623.57000000000005</v>
      </c>
      <c r="R213" s="41">
        <f>IFERROR(ROUND(INDEX('배치점수 계산기'!O$11:O$1000,MATCH($C213,'배치점수 계산기'!$U$11:$U$1000,0)),2),"")</f>
        <v>617.69000000000005</v>
      </c>
      <c r="S213" s="41">
        <f>IFERROR(ROUND(INDEX('배치점수 계산기'!P$11:P$1000,MATCH($C213,'배치점수 계산기'!$U$11:$U$1000,0)),2),"")</f>
        <v>615.58000000000004</v>
      </c>
      <c r="T213" s="41">
        <f>IFERROR(ROUND(INDEX('배치점수 계산기'!Q$11:Q$1000,MATCH($C213,'배치점수 계산기'!$U$11:$U$1000,0)),2),"")</f>
        <v>613.32000000000005</v>
      </c>
      <c r="U213" s="41">
        <f>IFERROR(INDEX(환산공식!$DC$16:$DC$301,MATCH(E213,환산공식!$A$16:$A$301,0)),"")</f>
        <v>0</v>
      </c>
      <c r="V213" s="113">
        <f t="shared" si="11"/>
        <v>6</v>
      </c>
      <c r="W213" s="110" t="str">
        <f>INDEX('배치점수 계산기'!$AG$11:$AG$800,MATCH('       가 군       '!$C213,'배치점수 계산기'!$U$11:$U$800,0))</f>
        <v>표점/만점</v>
      </c>
      <c r="X213" s="108" t="str">
        <f>INDEX('배치점수 계산기'!$AH$11:$AH$800,MATCH('       가 군       '!$C213,'배치점수 계산기'!$U$11:$U$800,0))</f>
        <v>변표/만점</v>
      </c>
      <c r="Y213" s="113">
        <f>INDEX('배치점수 계산기'!$AB$11:$AB$800,MATCH('       가 군       '!$C213,'배치점수 계산기'!$U$11:$U$800,0))</f>
        <v>0.36151581771434954</v>
      </c>
      <c r="Z213" s="73">
        <f>INDEX('배치점수 계산기'!$AC$11:$AC$800,MATCH('       가 군       '!$C213,'배치점수 계산기'!$U$11:$U$800,0))</f>
        <v>0.36643440026828633</v>
      </c>
      <c r="AA213" s="63">
        <f>INDEX('배치점수 계산기'!$AD$11:$AD$800,MATCH('       가 군       '!$C213,'배치점수 계산기'!$U$11:$U$800,0))</f>
        <v>0.27204978201736407</v>
      </c>
      <c r="AE213" s="7">
        <v>206</v>
      </c>
    </row>
    <row r="214" spans="3:31" x14ac:dyDescent="0.3">
      <c r="C214" s="7" t="s">
        <v>1116</v>
      </c>
      <c r="D214" s="41" t="str">
        <f>IFERROR(INDEX('배치점수 계산기'!V$11:V$1000,MATCH($C214,'배치점수 계산기'!$U$11:$U$1000,0)),"")</f>
        <v>한국외대 서울</v>
      </c>
      <c r="E214" s="41">
        <f>IFERROR(INDEX('배치점수 계산기'!W$11:W$1000,MATCH($C214,'배치점수 계산기'!$U$11:$U$1000,0)),"")</f>
        <v>36</v>
      </c>
      <c r="F214" s="113" t="s">
        <v>276</v>
      </c>
      <c r="G214" s="41" t="s">
        <v>764</v>
      </c>
      <c r="H214" s="41" t="s">
        <v>445</v>
      </c>
      <c r="I214" s="41" t="s">
        <v>275</v>
      </c>
      <c r="J214" s="41" t="str">
        <f t="shared" si="9"/>
        <v>X</v>
      </c>
      <c r="K214" s="113">
        <f>IFERROR(INDEX(환산공식!CI$16:CI$301,MATCH($E214,환산공식!$A$16:$A$301,0)),"")</f>
        <v>140</v>
      </c>
      <c r="L214" s="41" t="str">
        <f>IFERROR(CONCATENATE(ROUND(INDEX(환산공식!CJ$16:CJ$301,MATCH(E214,환산공식!$A$16:$A$301,0)),1),"%"),"")</f>
        <v>100%</v>
      </c>
      <c r="M214" s="41">
        <f>IFERROR(INDEX(환산공식!CK$16:CK$301,MATCH(E214,환산공식!$A$16:$A$301,0)),"")</f>
        <v>10</v>
      </c>
      <c r="N214" s="113" t="str">
        <f t="shared" si="10"/>
        <v>1% 이하</v>
      </c>
      <c r="O214" s="119">
        <f>IFERROR(ROUND(INDEX(환산공식!$EF$16:$EF$301,MATCH(E214,환산공식!$A$16:$A$301,0)),3),"")</f>
        <v>0</v>
      </c>
      <c r="P214" s="119">
        <f>IFERROR(ROUND(INDEX('배치점수 계산기'!M$11:M$1000,MATCH($C214,'배치점수 계산기'!$U$11:$U$1000,0)),2),"")</f>
        <v>621.96</v>
      </c>
      <c r="Q214" s="41">
        <f>IFERROR(ROUND(INDEX('배치점수 계산기'!N$11:N$1000,MATCH($C214,'배치점수 계산기'!$U$11:$U$1000,0)),2),"")</f>
        <v>620.01</v>
      </c>
      <c r="R214" s="41">
        <f>IFERROR(ROUND(INDEX('배치점수 계산기'!O$11:O$1000,MATCH($C214,'배치점수 계산기'!$U$11:$U$1000,0)),2),"")</f>
        <v>617.69000000000005</v>
      </c>
      <c r="S214" s="41">
        <f>IFERROR(ROUND(INDEX('배치점수 계산기'!P$11:P$1000,MATCH($C214,'배치점수 계산기'!$U$11:$U$1000,0)),2),"")</f>
        <v>615.58000000000004</v>
      </c>
      <c r="T214" s="41">
        <f>IFERROR(ROUND(INDEX('배치점수 계산기'!Q$11:Q$1000,MATCH($C214,'배치점수 계산기'!$U$11:$U$1000,0)),2),"")</f>
        <v>612.30999999999995</v>
      </c>
      <c r="U214" s="41">
        <f>IFERROR(INDEX(환산공식!$DC$16:$DC$301,MATCH(E214,환산공식!$A$16:$A$301,0)),"")</f>
        <v>0</v>
      </c>
      <c r="V214" s="113">
        <f t="shared" si="11"/>
        <v>6</v>
      </c>
      <c r="W214" s="110" t="str">
        <f>INDEX('배치점수 계산기'!$AG$11:$AG$800,MATCH('       가 군       '!$C214,'배치점수 계산기'!$U$11:$U$800,0))</f>
        <v>표점/만점</v>
      </c>
      <c r="X214" s="108" t="str">
        <f>INDEX('배치점수 계산기'!$AH$11:$AH$800,MATCH('       가 군       '!$C214,'배치점수 계산기'!$U$11:$U$800,0))</f>
        <v>변표/만점</v>
      </c>
      <c r="Y214" s="113">
        <f>INDEX('배치점수 계산기'!$AB$11:$AB$800,MATCH('       가 군       '!$C214,'배치점수 계산기'!$U$11:$U$800,0))</f>
        <v>0.36151581771434954</v>
      </c>
      <c r="Z214" s="73">
        <f>INDEX('배치점수 계산기'!$AC$11:$AC$800,MATCH('       가 군       '!$C214,'배치점수 계산기'!$U$11:$U$800,0))</f>
        <v>0.36643440026828633</v>
      </c>
      <c r="AA214" s="63">
        <f>INDEX('배치점수 계산기'!$AD$11:$AD$800,MATCH('       가 군       '!$C214,'배치점수 계산기'!$U$11:$U$800,0))</f>
        <v>0.27204978201736407</v>
      </c>
      <c r="AE214" s="7">
        <v>207</v>
      </c>
    </row>
    <row r="215" spans="3:31" x14ac:dyDescent="0.3">
      <c r="C215" s="7" t="s">
        <v>1117</v>
      </c>
      <c r="D215" s="41" t="str">
        <f>IFERROR(INDEX('배치점수 계산기'!V$11:V$1000,MATCH($C215,'배치점수 계산기'!$U$11:$U$1000,0)),"")</f>
        <v>한국외대 서울</v>
      </c>
      <c r="E215" s="41">
        <f>IFERROR(INDEX('배치점수 계산기'!W$11:W$1000,MATCH($C215,'배치점수 계산기'!$U$11:$U$1000,0)),"")</f>
        <v>36</v>
      </c>
      <c r="F215" s="113" t="s">
        <v>276</v>
      </c>
      <c r="G215" s="41" t="s">
        <v>764</v>
      </c>
      <c r="H215" s="41" t="s">
        <v>447</v>
      </c>
      <c r="I215" s="41" t="s">
        <v>275</v>
      </c>
      <c r="J215" s="41" t="str">
        <f t="shared" si="9"/>
        <v>X</v>
      </c>
      <c r="K215" s="113">
        <f>IFERROR(INDEX(환산공식!CI$16:CI$301,MATCH($E215,환산공식!$A$16:$A$301,0)),"")</f>
        <v>140</v>
      </c>
      <c r="L215" s="41" t="str">
        <f>IFERROR(CONCATENATE(ROUND(INDEX(환산공식!CJ$16:CJ$301,MATCH(E215,환산공식!$A$16:$A$301,0)),1),"%"),"")</f>
        <v>100%</v>
      </c>
      <c r="M215" s="41">
        <f>IFERROR(INDEX(환산공식!CK$16:CK$301,MATCH(E215,환산공식!$A$16:$A$301,0)),"")</f>
        <v>10</v>
      </c>
      <c r="N215" s="113" t="str">
        <f t="shared" si="10"/>
        <v>1% 이하</v>
      </c>
      <c r="O215" s="119">
        <f>IFERROR(ROUND(INDEX(환산공식!$EF$16:$EF$301,MATCH(E215,환산공식!$A$16:$A$301,0)),3),"")</f>
        <v>0</v>
      </c>
      <c r="P215" s="119">
        <f>IFERROR(ROUND(INDEX('배치점수 계산기'!M$11:M$1000,MATCH($C215,'배치점수 계산기'!$U$11:$U$1000,0)),2),"")</f>
        <v>621.96</v>
      </c>
      <c r="Q215" s="41">
        <f>IFERROR(ROUND(INDEX('배치점수 계산기'!N$11:N$1000,MATCH($C215,'배치점수 계산기'!$U$11:$U$1000,0)),2),"")</f>
        <v>620.01</v>
      </c>
      <c r="R215" s="41">
        <f>IFERROR(ROUND(INDEX('배치점수 계산기'!O$11:O$1000,MATCH($C215,'배치점수 계산기'!$U$11:$U$1000,0)),2),"")</f>
        <v>617.69000000000005</v>
      </c>
      <c r="S215" s="41">
        <f>IFERROR(ROUND(INDEX('배치점수 계산기'!P$11:P$1000,MATCH($C215,'배치점수 계산기'!$U$11:$U$1000,0)),2),"")</f>
        <v>615.58000000000004</v>
      </c>
      <c r="T215" s="41">
        <f>IFERROR(ROUND(INDEX('배치점수 계산기'!Q$11:Q$1000,MATCH($C215,'배치점수 계산기'!$U$11:$U$1000,0)),2),"")</f>
        <v>612.30999999999995</v>
      </c>
      <c r="U215" s="41">
        <f>IFERROR(INDEX(환산공식!$DC$16:$DC$301,MATCH(E215,환산공식!$A$16:$A$301,0)),"")</f>
        <v>0</v>
      </c>
      <c r="V215" s="113">
        <f t="shared" si="11"/>
        <v>6</v>
      </c>
      <c r="W215" s="110" t="str">
        <f>INDEX('배치점수 계산기'!$AG$11:$AG$800,MATCH('       가 군       '!$C215,'배치점수 계산기'!$U$11:$U$800,0))</f>
        <v>표점/만점</v>
      </c>
      <c r="X215" s="108" t="str">
        <f>INDEX('배치점수 계산기'!$AH$11:$AH$800,MATCH('       가 군       '!$C215,'배치점수 계산기'!$U$11:$U$800,0))</f>
        <v>변표/만점</v>
      </c>
      <c r="Y215" s="113">
        <f>INDEX('배치점수 계산기'!$AB$11:$AB$800,MATCH('       가 군       '!$C215,'배치점수 계산기'!$U$11:$U$800,0))</f>
        <v>0.36151581771434954</v>
      </c>
      <c r="Z215" s="73">
        <f>INDEX('배치점수 계산기'!$AC$11:$AC$800,MATCH('       가 군       '!$C215,'배치점수 계산기'!$U$11:$U$800,0))</f>
        <v>0.36643440026828633</v>
      </c>
      <c r="AA215" s="63">
        <f>INDEX('배치점수 계산기'!$AD$11:$AD$800,MATCH('       가 군       '!$C215,'배치점수 계산기'!$U$11:$U$800,0))</f>
        <v>0.27204978201736407</v>
      </c>
      <c r="AE215" s="7">
        <v>208</v>
      </c>
    </row>
    <row r="216" spans="3:31" x14ac:dyDescent="0.3">
      <c r="C216" s="7" t="s">
        <v>1118</v>
      </c>
      <c r="D216" s="41" t="str">
        <f>IFERROR(INDEX('배치점수 계산기'!V$11:V$1000,MATCH($C216,'배치점수 계산기'!$U$11:$U$1000,0)),"")</f>
        <v>한국외대 서울</v>
      </c>
      <c r="E216" s="41">
        <f>IFERROR(INDEX('배치점수 계산기'!W$11:W$1000,MATCH($C216,'배치점수 계산기'!$U$11:$U$1000,0)),"")</f>
        <v>36</v>
      </c>
      <c r="F216" s="113" t="s">
        <v>276</v>
      </c>
      <c r="G216" s="41" t="s">
        <v>764</v>
      </c>
      <c r="H216" s="41" t="s">
        <v>377</v>
      </c>
      <c r="I216" s="41" t="s">
        <v>275</v>
      </c>
      <c r="J216" s="41" t="str">
        <f t="shared" si="9"/>
        <v>X</v>
      </c>
      <c r="K216" s="113">
        <f>IFERROR(INDEX(환산공식!CI$16:CI$301,MATCH($E216,환산공식!$A$16:$A$301,0)),"")</f>
        <v>140</v>
      </c>
      <c r="L216" s="41" t="str">
        <f>IFERROR(CONCATENATE(ROUND(INDEX(환산공식!CJ$16:CJ$301,MATCH(E216,환산공식!$A$16:$A$301,0)),1),"%"),"")</f>
        <v>100%</v>
      </c>
      <c r="M216" s="41">
        <f>IFERROR(INDEX(환산공식!CK$16:CK$301,MATCH(E216,환산공식!$A$16:$A$301,0)),"")</f>
        <v>10</v>
      </c>
      <c r="N216" s="113" t="str">
        <f t="shared" si="10"/>
        <v>1% 이하</v>
      </c>
      <c r="O216" s="119">
        <f>IFERROR(ROUND(INDEX(환산공식!$EF$16:$EF$301,MATCH(E216,환산공식!$A$16:$A$301,0)),3),"")</f>
        <v>0</v>
      </c>
      <c r="P216" s="119">
        <f>IFERROR(ROUND(INDEX('배치점수 계산기'!M$11:M$1000,MATCH($C216,'배치점수 계산기'!$U$11:$U$1000,0)),2),"")</f>
        <v>621.96</v>
      </c>
      <c r="Q216" s="41">
        <f>IFERROR(ROUND(INDEX('배치점수 계산기'!N$11:N$1000,MATCH($C216,'배치점수 계산기'!$U$11:$U$1000,0)),2),"")</f>
        <v>620.01</v>
      </c>
      <c r="R216" s="41">
        <f>IFERROR(ROUND(INDEX('배치점수 계산기'!O$11:O$1000,MATCH($C216,'배치점수 계산기'!$U$11:$U$1000,0)),2),"")</f>
        <v>617.69000000000005</v>
      </c>
      <c r="S216" s="41">
        <f>IFERROR(ROUND(INDEX('배치점수 계산기'!P$11:P$1000,MATCH($C216,'배치점수 계산기'!$U$11:$U$1000,0)),2),"")</f>
        <v>615.58000000000004</v>
      </c>
      <c r="T216" s="41">
        <f>IFERROR(ROUND(INDEX('배치점수 계산기'!Q$11:Q$1000,MATCH($C216,'배치점수 계산기'!$U$11:$U$1000,0)),2),"")</f>
        <v>612.30999999999995</v>
      </c>
      <c r="U216" s="41">
        <f>IFERROR(INDEX(환산공식!$DC$16:$DC$301,MATCH(E216,환산공식!$A$16:$A$301,0)),"")</f>
        <v>0</v>
      </c>
      <c r="V216" s="113">
        <f t="shared" si="11"/>
        <v>6</v>
      </c>
      <c r="W216" s="110" t="str">
        <f>INDEX('배치점수 계산기'!$AG$11:$AG$800,MATCH('       가 군       '!$C216,'배치점수 계산기'!$U$11:$U$800,0))</f>
        <v>표점/만점</v>
      </c>
      <c r="X216" s="108" t="str">
        <f>INDEX('배치점수 계산기'!$AH$11:$AH$800,MATCH('       가 군       '!$C216,'배치점수 계산기'!$U$11:$U$800,0))</f>
        <v>변표/만점</v>
      </c>
      <c r="Y216" s="113">
        <f>INDEX('배치점수 계산기'!$AB$11:$AB$800,MATCH('       가 군       '!$C216,'배치점수 계산기'!$U$11:$U$800,0))</f>
        <v>0.36151581771434954</v>
      </c>
      <c r="Z216" s="73">
        <f>INDEX('배치점수 계산기'!$AC$11:$AC$800,MATCH('       가 군       '!$C216,'배치점수 계산기'!$U$11:$U$800,0))</f>
        <v>0.36643440026828633</v>
      </c>
      <c r="AA216" s="63">
        <f>INDEX('배치점수 계산기'!$AD$11:$AD$800,MATCH('       가 군       '!$C216,'배치점수 계산기'!$U$11:$U$800,0))</f>
        <v>0.27204978201736407</v>
      </c>
      <c r="AE216" s="7">
        <v>209</v>
      </c>
    </row>
    <row r="217" spans="3:31" x14ac:dyDescent="0.3">
      <c r="C217" s="7" t="s">
        <v>1119</v>
      </c>
      <c r="D217" s="41" t="str">
        <f>IFERROR(INDEX('배치점수 계산기'!V$11:V$1000,MATCH($C217,'배치점수 계산기'!$U$11:$U$1000,0)),"")</f>
        <v>한국외대 서울</v>
      </c>
      <c r="E217" s="41">
        <f>IFERROR(INDEX('배치점수 계산기'!W$11:W$1000,MATCH($C217,'배치점수 계산기'!$U$11:$U$1000,0)),"")</f>
        <v>36</v>
      </c>
      <c r="F217" s="113" t="s">
        <v>276</v>
      </c>
      <c r="G217" s="41" t="s">
        <v>764</v>
      </c>
      <c r="H217" s="41" t="s">
        <v>451</v>
      </c>
      <c r="I217" s="41" t="s">
        <v>275</v>
      </c>
      <c r="J217" s="41" t="str">
        <f t="shared" si="9"/>
        <v>X</v>
      </c>
      <c r="K217" s="113">
        <f>IFERROR(INDEX(환산공식!CI$16:CI$301,MATCH($E217,환산공식!$A$16:$A$301,0)),"")</f>
        <v>140</v>
      </c>
      <c r="L217" s="41" t="str">
        <f>IFERROR(CONCATENATE(ROUND(INDEX(환산공식!CJ$16:CJ$301,MATCH(E217,환산공식!$A$16:$A$301,0)),1),"%"),"")</f>
        <v>100%</v>
      </c>
      <c r="M217" s="41">
        <f>IFERROR(INDEX(환산공식!CK$16:CK$301,MATCH(E217,환산공식!$A$16:$A$301,0)),"")</f>
        <v>10</v>
      </c>
      <c r="N217" s="113" t="str">
        <f t="shared" si="10"/>
        <v>1% 이하</v>
      </c>
      <c r="O217" s="119">
        <f>IFERROR(ROUND(INDEX(환산공식!$EF$16:$EF$301,MATCH(E217,환산공식!$A$16:$A$301,0)),3),"")</f>
        <v>0</v>
      </c>
      <c r="P217" s="119">
        <f>IFERROR(ROUND(INDEX('배치점수 계산기'!M$11:M$1000,MATCH($C217,'배치점수 계산기'!$U$11:$U$1000,0)),2),"")</f>
        <v>621.96</v>
      </c>
      <c r="Q217" s="41">
        <f>IFERROR(ROUND(INDEX('배치점수 계산기'!N$11:N$1000,MATCH($C217,'배치점수 계산기'!$U$11:$U$1000,0)),2),"")</f>
        <v>620.01</v>
      </c>
      <c r="R217" s="41">
        <f>IFERROR(ROUND(INDEX('배치점수 계산기'!O$11:O$1000,MATCH($C217,'배치점수 계산기'!$U$11:$U$1000,0)),2),"")</f>
        <v>617.69000000000005</v>
      </c>
      <c r="S217" s="41">
        <f>IFERROR(ROUND(INDEX('배치점수 계산기'!P$11:P$1000,MATCH($C217,'배치점수 계산기'!$U$11:$U$1000,0)),2),"")</f>
        <v>615.58000000000004</v>
      </c>
      <c r="T217" s="41">
        <f>IFERROR(ROUND(INDEX('배치점수 계산기'!Q$11:Q$1000,MATCH($C217,'배치점수 계산기'!$U$11:$U$1000,0)),2),"")</f>
        <v>612.30999999999995</v>
      </c>
      <c r="U217" s="41">
        <f>IFERROR(INDEX(환산공식!$DC$16:$DC$301,MATCH(E217,환산공식!$A$16:$A$301,0)),"")</f>
        <v>0</v>
      </c>
      <c r="V217" s="113">
        <f t="shared" si="11"/>
        <v>6</v>
      </c>
      <c r="W217" s="110" t="str">
        <f>INDEX('배치점수 계산기'!$AG$11:$AG$800,MATCH('       가 군       '!$C217,'배치점수 계산기'!$U$11:$U$800,0))</f>
        <v>표점/만점</v>
      </c>
      <c r="X217" s="108" t="str">
        <f>INDEX('배치점수 계산기'!$AH$11:$AH$800,MATCH('       가 군       '!$C217,'배치점수 계산기'!$U$11:$U$800,0))</f>
        <v>변표/만점</v>
      </c>
      <c r="Y217" s="113">
        <f>INDEX('배치점수 계산기'!$AB$11:$AB$800,MATCH('       가 군       '!$C217,'배치점수 계산기'!$U$11:$U$800,0))</f>
        <v>0.36151581771434954</v>
      </c>
      <c r="Z217" s="73">
        <f>INDEX('배치점수 계산기'!$AC$11:$AC$800,MATCH('       가 군       '!$C217,'배치점수 계산기'!$U$11:$U$800,0))</f>
        <v>0.36643440026828633</v>
      </c>
      <c r="AA217" s="63">
        <f>INDEX('배치점수 계산기'!$AD$11:$AD$800,MATCH('       가 군       '!$C217,'배치점수 계산기'!$U$11:$U$800,0))</f>
        <v>0.27204978201736407</v>
      </c>
      <c r="AE217" s="7">
        <v>210</v>
      </c>
    </row>
    <row r="218" spans="3:31" x14ac:dyDescent="0.3">
      <c r="C218" s="7" t="s">
        <v>1120</v>
      </c>
      <c r="D218" s="41" t="str">
        <f>IFERROR(INDEX('배치점수 계산기'!V$11:V$1000,MATCH($C218,'배치점수 계산기'!$U$11:$U$1000,0)),"")</f>
        <v>한국외대 서울</v>
      </c>
      <c r="E218" s="41">
        <f>IFERROR(INDEX('배치점수 계산기'!W$11:W$1000,MATCH($C218,'배치점수 계산기'!$U$11:$U$1000,0)),"")</f>
        <v>36</v>
      </c>
      <c r="F218" s="113" t="s">
        <v>276</v>
      </c>
      <c r="G218" s="41" t="s">
        <v>764</v>
      </c>
      <c r="H218" s="41" t="s">
        <v>768</v>
      </c>
      <c r="I218" s="41" t="s">
        <v>275</v>
      </c>
      <c r="J218" s="41" t="str">
        <f t="shared" si="9"/>
        <v>X</v>
      </c>
      <c r="K218" s="113">
        <f>IFERROR(INDEX(환산공식!CI$16:CI$301,MATCH($E218,환산공식!$A$16:$A$301,0)),"")</f>
        <v>140</v>
      </c>
      <c r="L218" s="41" t="str">
        <f>IFERROR(CONCATENATE(ROUND(INDEX(환산공식!CJ$16:CJ$301,MATCH(E218,환산공식!$A$16:$A$301,0)),1),"%"),"")</f>
        <v>100%</v>
      </c>
      <c r="M218" s="41">
        <f>IFERROR(INDEX(환산공식!CK$16:CK$301,MATCH(E218,환산공식!$A$16:$A$301,0)),"")</f>
        <v>10</v>
      </c>
      <c r="N218" s="113" t="str">
        <f t="shared" si="10"/>
        <v>1% 이하</v>
      </c>
      <c r="O218" s="119">
        <f>IFERROR(ROUND(INDEX(환산공식!$EF$16:$EF$301,MATCH(E218,환산공식!$A$16:$A$301,0)),3),"")</f>
        <v>0</v>
      </c>
      <c r="P218" s="119">
        <f>IFERROR(ROUND(INDEX('배치점수 계산기'!M$11:M$1000,MATCH($C218,'배치점수 계산기'!$U$11:$U$1000,0)),2),"")</f>
        <v>626.13</v>
      </c>
      <c r="Q218" s="41">
        <f>IFERROR(ROUND(INDEX('배치점수 계산기'!N$11:N$1000,MATCH($C218,'배치점수 계산기'!$U$11:$U$1000,0)),2),"")</f>
        <v>621.45000000000005</v>
      </c>
      <c r="R218" s="41">
        <f>IFERROR(ROUND(INDEX('배치점수 계산기'!O$11:O$1000,MATCH($C218,'배치점수 계산기'!$U$11:$U$1000,0)),2),"")</f>
        <v>619.30999999999995</v>
      </c>
      <c r="S218" s="41">
        <f>IFERROR(ROUND(INDEX('배치점수 계산기'!P$11:P$1000,MATCH($C218,'배치점수 계산기'!$U$11:$U$1000,0)),2),"")</f>
        <v>617.69000000000005</v>
      </c>
      <c r="T218" s="41">
        <f>IFERROR(ROUND(INDEX('배치점수 계산기'!Q$11:Q$1000,MATCH($C218,'배치점수 계산기'!$U$11:$U$1000,0)),2),"")</f>
        <v>615.58000000000004</v>
      </c>
      <c r="U218" s="41">
        <f>IFERROR(INDEX(환산공식!$DC$16:$DC$301,MATCH(E218,환산공식!$A$16:$A$301,0)),"")</f>
        <v>0</v>
      </c>
      <c r="V218" s="113">
        <f t="shared" si="11"/>
        <v>6</v>
      </c>
      <c r="W218" s="110" t="str">
        <f>INDEX('배치점수 계산기'!$AG$11:$AG$800,MATCH('       가 군       '!$C218,'배치점수 계산기'!$U$11:$U$800,0))</f>
        <v>표점/만점</v>
      </c>
      <c r="X218" s="108" t="str">
        <f>INDEX('배치점수 계산기'!$AH$11:$AH$800,MATCH('       가 군       '!$C218,'배치점수 계산기'!$U$11:$U$800,0))</f>
        <v>변표/만점</v>
      </c>
      <c r="Y218" s="113">
        <f>INDEX('배치점수 계산기'!$AB$11:$AB$800,MATCH('       가 군       '!$C218,'배치점수 계산기'!$U$11:$U$800,0))</f>
        <v>0.36151581771434954</v>
      </c>
      <c r="Z218" s="73">
        <f>INDEX('배치점수 계산기'!$AC$11:$AC$800,MATCH('       가 군       '!$C218,'배치점수 계산기'!$U$11:$U$800,0))</f>
        <v>0.36643440026828633</v>
      </c>
      <c r="AA218" s="63">
        <f>INDEX('배치점수 계산기'!$AD$11:$AD$800,MATCH('       가 군       '!$C218,'배치점수 계산기'!$U$11:$U$800,0))</f>
        <v>0.27204978201736407</v>
      </c>
      <c r="AE218" s="7">
        <v>211</v>
      </c>
    </row>
    <row r="219" spans="3:31" x14ac:dyDescent="0.3">
      <c r="C219" s="7" t="s">
        <v>1121</v>
      </c>
      <c r="D219" s="41" t="str">
        <f>IFERROR(INDEX('배치점수 계산기'!V$11:V$1000,MATCH($C219,'배치점수 계산기'!$U$11:$U$1000,0)),"")</f>
        <v>한국외대 서울</v>
      </c>
      <c r="E219" s="41">
        <f>IFERROR(INDEX('배치점수 계산기'!W$11:W$1000,MATCH($C219,'배치점수 계산기'!$U$11:$U$1000,0)),"")</f>
        <v>36</v>
      </c>
      <c r="F219" s="113" t="s">
        <v>276</v>
      </c>
      <c r="G219" s="41" t="s">
        <v>764</v>
      </c>
      <c r="H219" s="41" t="s">
        <v>769</v>
      </c>
      <c r="I219" s="41" t="s">
        <v>275</v>
      </c>
      <c r="J219" s="41" t="str">
        <f t="shared" si="9"/>
        <v>X</v>
      </c>
      <c r="K219" s="113">
        <f>IFERROR(INDEX(환산공식!CI$16:CI$301,MATCH($E219,환산공식!$A$16:$A$301,0)),"")</f>
        <v>140</v>
      </c>
      <c r="L219" s="41" t="str">
        <f>IFERROR(CONCATENATE(ROUND(INDEX(환산공식!CJ$16:CJ$301,MATCH(E219,환산공식!$A$16:$A$301,0)),1),"%"),"")</f>
        <v>100%</v>
      </c>
      <c r="M219" s="41">
        <f>IFERROR(INDEX(환산공식!CK$16:CK$301,MATCH(E219,환산공식!$A$16:$A$301,0)),"")</f>
        <v>10</v>
      </c>
      <c r="N219" s="113" t="str">
        <f t="shared" si="10"/>
        <v>1% 이하</v>
      </c>
      <c r="O219" s="119">
        <f>IFERROR(ROUND(INDEX(환산공식!$EF$16:$EF$301,MATCH(E219,환산공식!$A$16:$A$301,0)),3),"")</f>
        <v>0</v>
      </c>
      <c r="P219" s="119">
        <f>IFERROR(ROUND(INDEX('배치점수 계산기'!M$11:M$1000,MATCH($C219,'배치점수 계산기'!$U$11:$U$1000,0)),2),"")</f>
        <v>626.13</v>
      </c>
      <c r="Q219" s="41">
        <f>IFERROR(ROUND(INDEX('배치점수 계산기'!N$11:N$1000,MATCH($C219,'배치점수 계산기'!$U$11:$U$1000,0)),2),"")</f>
        <v>621.45000000000005</v>
      </c>
      <c r="R219" s="41">
        <f>IFERROR(ROUND(INDEX('배치점수 계산기'!O$11:O$1000,MATCH($C219,'배치점수 계산기'!$U$11:$U$1000,0)),2),"")</f>
        <v>619.30999999999995</v>
      </c>
      <c r="S219" s="41">
        <f>IFERROR(ROUND(INDEX('배치점수 계산기'!P$11:P$1000,MATCH($C219,'배치점수 계산기'!$U$11:$U$1000,0)),2),"")</f>
        <v>617.69000000000005</v>
      </c>
      <c r="T219" s="41">
        <f>IFERROR(ROUND(INDEX('배치점수 계산기'!Q$11:Q$1000,MATCH($C219,'배치점수 계산기'!$U$11:$U$1000,0)),2),"")</f>
        <v>613.32000000000005</v>
      </c>
      <c r="U219" s="41">
        <f>IFERROR(INDEX(환산공식!$DC$16:$DC$301,MATCH(E219,환산공식!$A$16:$A$301,0)),"")</f>
        <v>0</v>
      </c>
      <c r="V219" s="113">
        <f t="shared" si="11"/>
        <v>6</v>
      </c>
      <c r="W219" s="110" t="str">
        <f>INDEX('배치점수 계산기'!$AG$11:$AG$800,MATCH('       가 군       '!$C219,'배치점수 계산기'!$U$11:$U$800,0))</f>
        <v>표점/만점</v>
      </c>
      <c r="X219" s="108" t="str">
        <f>INDEX('배치점수 계산기'!$AH$11:$AH$800,MATCH('       가 군       '!$C219,'배치점수 계산기'!$U$11:$U$800,0))</f>
        <v>변표/만점</v>
      </c>
      <c r="Y219" s="113">
        <f>INDEX('배치점수 계산기'!$AB$11:$AB$800,MATCH('       가 군       '!$C219,'배치점수 계산기'!$U$11:$U$800,0))</f>
        <v>0.36151581771434954</v>
      </c>
      <c r="Z219" s="73">
        <f>INDEX('배치점수 계산기'!$AC$11:$AC$800,MATCH('       가 군       '!$C219,'배치점수 계산기'!$U$11:$U$800,0))</f>
        <v>0.36643440026828633</v>
      </c>
      <c r="AA219" s="63">
        <f>INDEX('배치점수 계산기'!$AD$11:$AD$800,MATCH('       가 군       '!$C219,'배치점수 계산기'!$U$11:$U$800,0))</f>
        <v>0.27204978201736407</v>
      </c>
      <c r="AE219" s="7">
        <v>212</v>
      </c>
    </row>
    <row r="220" spans="3:31" x14ac:dyDescent="0.3">
      <c r="C220" s="7" t="s">
        <v>1122</v>
      </c>
      <c r="D220" s="41" t="str">
        <f>IFERROR(INDEX('배치점수 계산기'!V$11:V$1000,MATCH($C220,'배치점수 계산기'!$U$11:$U$1000,0)),"")</f>
        <v>한국외대 서울</v>
      </c>
      <c r="E220" s="41">
        <f>IFERROR(INDEX('배치점수 계산기'!W$11:W$1000,MATCH($C220,'배치점수 계산기'!$U$11:$U$1000,0)),"")</f>
        <v>36</v>
      </c>
      <c r="F220" s="113" t="s">
        <v>276</v>
      </c>
      <c r="G220" s="41" t="s">
        <v>764</v>
      </c>
      <c r="H220" s="41" t="s">
        <v>453</v>
      </c>
      <c r="I220" s="41" t="s">
        <v>275</v>
      </c>
      <c r="J220" s="41" t="str">
        <f t="shared" si="9"/>
        <v>X</v>
      </c>
      <c r="K220" s="113">
        <f>IFERROR(INDEX(환산공식!CI$16:CI$301,MATCH($E220,환산공식!$A$16:$A$301,0)),"")</f>
        <v>140</v>
      </c>
      <c r="L220" s="41" t="str">
        <f>IFERROR(CONCATENATE(ROUND(INDEX(환산공식!CJ$16:CJ$301,MATCH(E220,환산공식!$A$16:$A$301,0)),1),"%"),"")</f>
        <v>100%</v>
      </c>
      <c r="M220" s="41">
        <f>IFERROR(INDEX(환산공식!CK$16:CK$301,MATCH(E220,환산공식!$A$16:$A$301,0)),"")</f>
        <v>10</v>
      </c>
      <c r="N220" s="113" t="str">
        <f t="shared" si="10"/>
        <v>1% 이하</v>
      </c>
      <c r="O220" s="119">
        <f>IFERROR(ROUND(INDEX(환산공식!$EF$16:$EF$301,MATCH(E220,환산공식!$A$16:$A$301,0)),3),"")</f>
        <v>0</v>
      </c>
      <c r="P220" s="119">
        <f>IFERROR(ROUND(INDEX('배치점수 계산기'!M$11:M$1000,MATCH($C220,'배치점수 계산기'!$U$11:$U$1000,0)),2),"")</f>
        <v>626.13</v>
      </c>
      <c r="Q220" s="41">
        <f>IFERROR(ROUND(INDEX('배치점수 계산기'!N$11:N$1000,MATCH($C220,'배치점수 계산기'!$U$11:$U$1000,0)),2),"")</f>
        <v>621.45000000000005</v>
      </c>
      <c r="R220" s="41">
        <f>IFERROR(ROUND(INDEX('배치점수 계산기'!O$11:O$1000,MATCH($C220,'배치점수 계산기'!$U$11:$U$1000,0)),2),"")</f>
        <v>619.30999999999995</v>
      </c>
      <c r="S220" s="41">
        <f>IFERROR(ROUND(INDEX('배치점수 계산기'!P$11:P$1000,MATCH($C220,'배치점수 계산기'!$U$11:$U$1000,0)),2),"")</f>
        <v>617.69000000000005</v>
      </c>
      <c r="T220" s="41">
        <f>IFERROR(ROUND(INDEX('배치점수 계산기'!Q$11:Q$1000,MATCH($C220,'배치점수 계산기'!$U$11:$U$1000,0)),2),"")</f>
        <v>613.32000000000005</v>
      </c>
      <c r="U220" s="41">
        <f>IFERROR(INDEX(환산공식!$DC$16:$DC$301,MATCH(E220,환산공식!$A$16:$A$301,0)),"")</f>
        <v>0</v>
      </c>
      <c r="V220" s="113">
        <f t="shared" si="11"/>
        <v>6</v>
      </c>
      <c r="W220" s="110" t="str">
        <f>INDEX('배치점수 계산기'!$AG$11:$AG$800,MATCH('       가 군       '!$C220,'배치점수 계산기'!$U$11:$U$800,0))</f>
        <v>표점/만점</v>
      </c>
      <c r="X220" s="108" t="str">
        <f>INDEX('배치점수 계산기'!$AH$11:$AH$800,MATCH('       가 군       '!$C220,'배치점수 계산기'!$U$11:$U$800,0))</f>
        <v>변표/만점</v>
      </c>
      <c r="Y220" s="113">
        <f>INDEX('배치점수 계산기'!$AB$11:$AB$800,MATCH('       가 군       '!$C220,'배치점수 계산기'!$U$11:$U$800,0))</f>
        <v>0.36151581771434954</v>
      </c>
      <c r="Z220" s="73">
        <f>INDEX('배치점수 계산기'!$AC$11:$AC$800,MATCH('       가 군       '!$C220,'배치점수 계산기'!$U$11:$U$800,0))</f>
        <v>0.36643440026828633</v>
      </c>
      <c r="AA220" s="63">
        <f>INDEX('배치점수 계산기'!$AD$11:$AD$800,MATCH('       가 군       '!$C220,'배치점수 계산기'!$U$11:$U$800,0))</f>
        <v>0.27204978201736407</v>
      </c>
      <c r="AE220" s="7">
        <v>213</v>
      </c>
    </row>
    <row r="221" spans="3:31" x14ac:dyDescent="0.3">
      <c r="C221" s="7" t="s">
        <v>1123</v>
      </c>
      <c r="D221" s="41" t="str">
        <f>IFERROR(INDEX('배치점수 계산기'!V$11:V$1000,MATCH($C221,'배치점수 계산기'!$U$11:$U$1000,0)),"")</f>
        <v>한국외대 서울</v>
      </c>
      <c r="E221" s="41">
        <f>IFERROR(INDEX('배치점수 계산기'!W$11:W$1000,MATCH($C221,'배치점수 계산기'!$U$11:$U$1000,0)),"")</f>
        <v>36</v>
      </c>
      <c r="F221" s="113" t="s">
        <v>276</v>
      </c>
      <c r="G221" s="41" t="s">
        <v>764</v>
      </c>
      <c r="H221" s="41" t="s">
        <v>455</v>
      </c>
      <c r="I221" s="41" t="s">
        <v>275</v>
      </c>
      <c r="J221" s="41" t="str">
        <f t="shared" si="9"/>
        <v>X</v>
      </c>
      <c r="K221" s="113">
        <f>IFERROR(INDEX(환산공식!CI$16:CI$301,MATCH($E221,환산공식!$A$16:$A$301,0)),"")</f>
        <v>140</v>
      </c>
      <c r="L221" s="41" t="str">
        <f>IFERROR(CONCATENATE(ROUND(INDEX(환산공식!CJ$16:CJ$301,MATCH(E221,환산공식!$A$16:$A$301,0)),1),"%"),"")</f>
        <v>100%</v>
      </c>
      <c r="M221" s="41">
        <f>IFERROR(INDEX(환산공식!CK$16:CK$301,MATCH(E221,환산공식!$A$16:$A$301,0)),"")</f>
        <v>10</v>
      </c>
      <c r="N221" s="113" t="str">
        <f t="shared" si="10"/>
        <v>1% 이하</v>
      </c>
      <c r="O221" s="119">
        <f>IFERROR(ROUND(INDEX(환산공식!$EF$16:$EF$301,MATCH(E221,환산공식!$A$16:$A$301,0)),3),"")</f>
        <v>0</v>
      </c>
      <c r="P221" s="119">
        <f>IFERROR(ROUND(INDEX('배치점수 계산기'!M$11:M$1000,MATCH($C221,'배치점수 계산기'!$U$11:$U$1000,0)),2),"")</f>
        <v>628.16999999999996</v>
      </c>
      <c r="Q221" s="41">
        <f>IFERROR(ROUND(INDEX('배치점수 계산기'!N$11:N$1000,MATCH($C221,'배치점수 계산기'!$U$11:$U$1000,0)),2),"")</f>
        <v>623.57000000000005</v>
      </c>
      <c r="R221" s="41">
        <f>IFERROR(ROUND(INDEX('배치점수 계산기'!O$11:O$1000,MATCH($C221,'배치점수 계산기'!$U$11:$U$1000,0)),2),"")</f>
        <v>620.01</v>
      </c>
      <c r="S221" s="41">
        <f>IFERROR(ROUND(INDEX('배치점수 계산기'!P$11:P$1000,MATCH($C221,'배치점수 계산기'!$U$11:$U$1000,0)),2),"")</f>
        <v>617.69000000000005</v>
      </c>
      <c r="T221" s="41">
        <f>IFERROR(ROUND(INDEX('배치점수 계산기'!Q$11:Q$1000,MATCH($C221,'배치점수 계산기'!$U$11:$U$1000,0)),2),"")</f>
        <v>613.32000000000005</v>
      </c>
      <c r="U221" s="41">
        <f>IFERROR(INDEX(환산공식!$DC$16:$DC$301,MATCH(E221,환산공식!$A$16:$A$301,0)),"")</f>
        <v>0</v>
      </c>
      <c r="V221" s="113">
        <f t="shared" si="11"/>
        <v>6</v>
      </c>
      <c r="W221" s="110" t="str">
        <f>INDEX('배치점수 계산기'!$AG$11:$AG$800,MATCH('       가 군       '!$C221,'배치점수 계산기'!$U$11:$U$800,0))</f>
        <v>표점/만점</v>
      </c>
      <c r="X221" s="108" t="str">
        <f>INDEX('배치점수 계산기'!$AH$11:$AH$800,MATCH('       가 군       '!$C221,'배치점수 계산기'!$U$11:$U$800,0))</f>
        <v>변표/만점</v>
      </c>
      <c r="Y221" s="113">
        <f>INDEX('배치점수 계산기'!$AB$11:$AB$800,MATCH('       가 군       '!$C221,'배치점수 계산기'!$U$11:$U$800,0))</f>
        <v>0.36151581771434954</v>
      </c>
      <c r="Z221" s="73">
        <f>INDEX('배치점수 계산기'!$AC$11:$AC$800,MATCH('       가 군       '!$C221,'배치점수 계산기'!$U$11:$U$800,0))</f>
        <v>0.36643440026828633</v>
      </c>
      <c r="AA221" s="63">
        <f>INDEX('배치점수 계산기'!$AD$11:$AD$800,MATCH('       가 군       '!$C221,'배치점수 계산기'!$U$11:$U$800,0))</f>
        <v>0.27204978201736407</v>
      </c>
      <c r="AE221" s="7">
        <v>214</v>
      </c>
    </row>
    <row r="222" spans="3:31" x14ac:dyDescent="0.3">
      <c r="C222" s="7" t="s">
        <v>1124</v>
      </c>
      <c r="D222" s="41" t="str">
        <f>IFERROR(INDEX('배치점수 계산기'!V$11:V$1000,MATCH($C222,'배치점수 계산기'!$U$11:$U$1000,0)),"")</f>
        <v>한국외대 서울</v>
      </c>
      <c r="E222" s="41">
        <f>IFERROR(INDEX('배치점수 계산기'!W$11:W$1000,MATCH($C222,'배치점수 계산기'!$U$11:$U$1000,0)),"")</f>
        <v>36</v>
      </c>
      <c r="F222" s="113" t="s">
        <v>276</v>
      </c>
      <c r="G222" s="41" t="s">
        <v>764</v>
      </c>
      <c r="H222" s="41" t="s">
        <v>456</v>
      </c>
      <c r="I222" s="41" t="s">
        <v>275</v>
      </c>
      <c r="J222" s="41" t="str">
        <f t="shared" si="9"/>
        <v>X</v>
      </c>
      <c r="K222" s="113">
        <f>IFERROR(INDEX(환산공식!CI$16:CI$301,MATCH($E222,환산공식!$A$16:$A$301,0)),"")</f>
        <v>140</v>
      </c>
      <c r="L222" s="41" t="str">
        <f>IFERROR(CONCATENATE(ROUND(INDEX(환산공식!CJ$16:CJ$301,MATCH(E222,환산공식!$A$16:$A$301,0)),1),"%"),"")</f>
        <v>100%</v>
      </c>
      <c r="M222" s="41">
        <f>IFERROR(INDEX(환산공식!CK$16:CK$301,MATCH(E222,환산공식!$A$16:$A$301,0)),"")</f>
        <v>10</v>
      </c>
      <c r="N222" s="113" t="str">
        <f t="shared" si="10"/>
        <v>1% 이하</v>
      </c>
      <c r="O222" s="119">
        <f>IFERROR(ROUND(INDEX(환산공식!$EF$16:$EF$301,MATCH(E222,환산공식!$A$16:$A$301,0)),3),"")</f>
        <v>0</v>
      </c>
      <c r="P222" s="119">
        <f>IFERROR(ROUND(INDEX('배치점수 계산기'!M$11:M$1000,MATCH($C222,'배치점수 계산기'!$U$11:$U$1000,0)),2),"")</f>
        <v>621.96</v>
      </c>
      <c r="Q222" s="41">
        <f>IFERROR(ROUND(INDEX('배치점수 계산기'!N$11:N$1000,MATCH($C222,'배치점수 계산기'!$U$11:$U$1000,0)),2),"")</f>
        <v>620.01</v>
      </c>
      <c r="R222" s="41">
        <f>IFERROR(ROUND(INDEX('배치점수 계산기'!O$11:O$1000,MATCH($C222,'배치점수 계산기'!$U$11:$U$1000,0)),2),"")</f>
        <v>617.69000000000005</v>
      </c>
      <c r="S222" s="41">
        <f>IFERROR(ROUND(INDEX('배치점수 계산기'!P$11:P$1000,MATCH($C222,'배치점수 계산기'!$U$11:$U$1000,0)),2),"")</f>
        <v>615.58000000000004</v>
      </c>
      <c r="T222" s="41">
        <f>IFERROR(ROUND(INDEX('배치점수 계산기'!Q$11:Q$1000,MATCH($C222,'배치점수 계산기'!$U$11:$U$1000,0)),2),"")</f>
        <v>612.30999999999995</v>
      </c>
      <c r="U222" s="41">
        <f>IFERROR(INDEX(환산공식!$DC$16:$DC$301,MATCH(E222,환산공식!$A$16:$A$301,0)),"")</f>
        <v>0</v>
      </c>
      <c r="V222" s="113">
        <f t="shared" si="11"/>
        <v>6</v>
      </c>
      <c r="W222" s="110" t="str">
        <f>INDEX('배치점수 계산기'!$AG$11:$AG$800,MATCH('       가 군       '!$C222,'배치점수 계산기'!$U$11:$U$800,0))</f>
        <v>표점/만점</v>
      </c>
      <c r="X222" s="108" t="str">
        <f>INDEX('배치점수 계산기'!$AH$11:$AH$800,MATCH('       가 군       '!$C222,'배치점수 계산기'!$U$11:$U$800,0))</f>
        <v>변표/만점</v>
      </c>
      <c r="Y222" s="113">
        <f>INDEX('배치점수 계산기'!$AB$11:$AB$800,MATCH('       가 군       '!$C222,'배치점수 계산기'!$U$11:$U$800,0))</f>
        <v>0.36151581771434954</v>
      </c>
      <c r="Z222" s="73">
        <f>INDEX('배치점수 계산기'!$AC$11:$AC$800,MATCH('       가 군       '!$C222,'배치점수 계산기'!$U$11:$U$800,0))</f>
        <v>0.36643440026828633</v>
      </c>
      <c r="AA222" s="63">
        <f>INDEX('배치점수 계산기'!$AD$11:$AD$800,MATCH('       가 군       '!$C222,'배치점수 계산기'!$U$11:$U$800,0))</f>
        <v>0.27204978201736407</v>
      </c>
      <c r="AE222" s="7">
        <v>215</v>
      </c>
    </row>
    <row r="223" spans="3:31" x14ac:dyDescent="0.3">
      <c r="C223" s="7" t="s">
        <v>1125</v>
      </c>
      <c r="D223" s="41" t="str">
        <f>IFERROR(INDEX('배치점수 계산기'!V$11:V$1000,MATCH($C223,'배치점수 계산기'!$U$11:$U$1000,0)),"")</f>
        <v>한국외대 서울</v>
      </c>
      <c r="E223" s="41">
        <f>IFERROR(INDEX('배치점수 계산기'!W$11:W$1000,MATCH($C223,'배치점수 계산기'!$U$11:$U$1000,0)),"")</f>
        <v>36</v>
      </c>
      <c r="F223" s="113" t="s">
        <v>276</v>
      </c>
      <c r="G223" s="41" t="s">
        <v>764</v>
      </c>
      <c r="H223" s="41" t="s">
        <v>457</v>
      </c>
      <c r="I223" s="41" t="s">
        <v>275</v>
      </c>
      <c r="J223" s="41" t="str">
        <f t="shared" si="9"/>
        <v>X</v>
      </c>
      <c r="K223" s="113">
        <f>IFERROR(INDEX(환산공식!CI$16:CI$301,MATCH($E223,환산공식!$A$16:$A$301,0)),"")</f>
        <v>140</v>
      </c>
      <c r="L223" s="41" t="str">
        <f>IFERROR(CONCATENATE(ROUND(INDEX(환산공식!CJ$16:CJ$301,MATCH(E223,환산공식!$A$16:$A$301,0)),1),"%"),"")</f>
        <v>100%</v>
      </c>
      <c r="M223" s="41">
        <f>IFERROR(INDEX(환산공식!CK$16:CK$301,MATCH(E223,환산공식!$A$16:$A$301,0)),"")</f>
        <v>10</v>
      </c>
      <c r="N223" s="113" t="str">
        <f t="shared" si="10"/>
        <v>1% 이하</v>
      </c>
      <c r="O223" s="119">
        <f>IFERROR(ROUND(INDEX(환산공식!$EF$16:$EF$301,MATCH(E223,환산공식!$A$16:$A$301,0)),3),"")</f>
        <v>0</v>
      </c>
      <c r="P223" s="119">
        <f>IFERROR(ROUND(INDEX('배치점수 계산기'!M$11:M$1000,MATCH($C223,'배치점수 계산기'!$U$11:$U$1000,0)),2),"")</f>
        <v>621.96</v>
      </c>
      <c r="Q223" s="41">
        <f>IFERROR(ROUND(INDEX('배치점수 계산기'!N$11:N$1000,MATCH($C223,'배치점수 계산기'!$U$11:$U$1000,0)),2),"")</f>
        <v>620.01</v>
      </c>
      <c r="R223" s="41">
        <f>IFERROR(ROUND(INDEX('배치점수 계산기'!O$11:O$1000,MATCH($C223,'배치점수 계산기'!$U$11:$U$1000,0)),2),"")</f>
        <v>617.69000000000005</v>
      </c>
      <c r="S223" s="41">
        <f>IFERROR(ROUND(INDEX('배치점수 계산기'!P$11:P$1000,MATCH($C223,'배치점수 계산기'!$U$11:$U$1000,0)),2),"")</f>
        <v>615.58000000000004</v>
      </c>
      <c r="T223" s="41">
        <f>IFERROR(ROUND(INDEX('배치점수 계산기'!Q$11:Q$1000,MATCH($C223,'배치점수 계산기'!$U$11:$U$1000,0)),2),"")</f>
        <v>612.30999999999995</v>
      </c>
      <c r="U223" s="41">
        <f>IFERROR(INDEX(환산공식!$DC$16:$DC$301,MATCH(E223,환산공식!$A$16:$A$301,0)),"")</f>
        <v>0</v>
      </c>
      <c r="V223" s="113">
        <f t="shared" si="11"/>
        <v>6</v>
      </c>
      <c r="W223" s="110" t="str">
        <f>INDEX('배치점수 계산기'!$AG$11:$AG$800,MATCH('       가 군       '!$C223,'배치점수 계산기'!$U$11:$U$800,0))</f>
        <v>표점/만점</v>
      </c>
      <c r="X223" s="108" t="str">
        <f>INDEX('배치점수 계산기'!$AH$11:$AH$800,MATCH('       가 군       '!$C223,'배치점수 계산기'!$U$11:$U$800,0))</f>
        <v>변표/만점</v>
      </c>
      <c r="Y223" s="113">
        <f>INDEX('배치점수 계산기'!$AB$11:$AB$800,MATCH('       가 군       '!$C223,'배치점수 계산기'!$U$11:$U$800,0))</f>
        <v>0.36151581771434954</v>
      </c>
      <c r="Z223" s="73">
        <f>INDEX('배치점수 계산기'!$AC$11:$AC$800,MATCH('       가 군       '!$C223,'배치점수 계산기'!$U$11:$U$800,0))</f>
        <v>0.36643440026828633</v>
      </c>
      <c r="AA223" s="63">
        <f>INDEX('배치점수 계산기'!$AD$11:$AD$800,MATCH('       가 군       '!$C223,'배치점수 계산기'!$U$11:$U$800,0))</f>
        <v>0.27204978201736407</v>
      </c>
      <c r="AE223" s="7">
        <v>216</v>
      </c>
    </row>
    <row r="224" spans="3:31" x14ac:dyDescent="0.3">
      <c r="C224" s="7" t="s">
        <v>1126</v>
      </c>
      <c r="D224" s="41" t="str">
        <f>IFERROR(INDEX('배치점수 계산기'!V$11:V$1000,MATCH($C224,'배치점수 계산기'!$U$11:$U$1000,0)),"")</f>
        <v>한국외대 서울</v>
      </c>
      <c r="E224" s="41">
        <f>IFERROR(INDEX('배치점수 계산기'!W$11:W$1000,MATCH($C224,'배치점수 계산기'!$U$11:$U$1000,0)),"")</f>
        <v>36</v>
      </c>
      <c r="F224" s="113" t="s">
        <v>276</v>
      </c>
      <c r="G224" s="41" t="s">
        <v>764</v>
      </c>
      <c r="H224" s="41" t="s">
        <v>770</v>
      </c>
      <c r="I224" s="41" t="s">
        <v>275</v>
      </c>
      <c r="J224" s="41" t="str">
        <f t="shared" si="9"/>
        <v>X</v>
      </c>
      <c r="K224" s="113">
        <f>IFERROR(INDEX(환산공식!CI$16:CI$301,MATCH($E224,환산공식!$A$16:$A$301,0)),"")</f>
        <v>140</v>
      </c>
      <c r="L224" s="41" t="str">
        <f>IFERROR(CONCATENATE(ROUND(INDEX(환산공식!CJ$16:CJ$301,MATCH(E224,환산공식!$A$16:$A$301,0)),1),"%"),"")</f>
        <v>100%</v>
      </c>
      <c r="M224" s="41">
        <f>IFERROR(INDEX(환산공식!CK$16:CK$301,MATCH(E224,환산공식!$A$16:$A$301,0)),"")</f>
        <v>10</v>
      </c>
      <c r="N224" s="113" t="str">
        <f t="shared" si="10"/>
        <v>1% 이하</v>
      </c>
      <c r="O224" s="119">
        <f>IFERROR(ROUND(INDEX(환산공식!$EF$16:$EF$301,MATCH(E224,환산공식!$A$16:$A$301,0)),3),"")</f>
        <v>0</v>
      </c>
      <c r="P224" s="119">
        <f>IFERROR(ROUND(INDEX('배치점수 계산기'!M$11:M$1000,MATCH($C224,'배치점수 계산기'!$U$11:$U$1000,0)),2),"")</f>
        <v>628.16999999999996</v>
      </c>
      <c r="Q224" s="41">
        <f>IFERROR(ROUND(INDEX('배치점수 계산기'!N$11:N$1000,MATCH($C224,'배치점수 계산기'!$U$11:$U$1000,0)),2),"")</f>
        <v>623.57000000000005</v>
      </c>
      <c r="R224" s="41">
        <f>IFERROR(ROUND(INDEX('배치점수 계산기'!O$11:O$1000,MATCH($C224,'배치점수 계산기'!$U$11:$U$1000,0)),2),"")</f>
        <v>620.75</v>
      </c>
      <c r="S224" s="41">
        <f>IFERROR(ROUND(INDEX('배치점수 계산기'!P$11:P$1000,MATCH($C224,'배치점수 계산기'!$U$11:$U$1000,0)),2),"")</f>
        <v>617.69000000000005</v>
      </c>
      <c r="T224" s="41">
        <f>IFERROR(ROUND(INDEX('배치점수 계산기'!Q$11:Q$1000,MATCH($C224,'배치점수 계산기'!$U$11:$U$1000,0)),2),"")</f>
        <v>615.58000000000004</v>
      </c>
      <c r="U224" s="41">
        <f>IFERROR(INDEX(환산공식!$DC$16:$DC$301,MATCH(E224,환산공식!$A$16:$A$301,0)),"")</f>
        <v>0</v>
      </c>
      <c r="V224" s="113">
        <f t="shared" si="11"/>
        <v>6</v>
      </c>
      <c r="W224" s="110" t="str">
        <f>INDEX('배치점수 계산기'!$AG$11:$AG$800,MATCH('       가 군       '!$C224,'배치점수 계산기'!$U$11:$U$800,0))</f>
        <v>표점/만점</v>
      </c>
      <c r="X224" s="108" t="str">
        <f>INDEX('배치점수 계산기'!$AH$11:$AH$800,MATCH('       가 군       '!$C224,'배치점수 계산기'!$U$11:$U$800,0))</f>
        <v>변표/만점</v>
      </c>
      <c r="Y224" s="113">
        <f>INDEX('배치점수 계산기'!$AB$11:$AB$800,MATCH('       가 군       '!$C224,'배치점수 계산기'!$U$11:$U$800,0))</f>
        <v>0.36151581771434954</v>
      </c>
      <c r="Z224" s="73">
        <f>INDEX('배치점수 계산기'!$AC$11:$AC$800,MATCH('       가 군       '!$C224,'배치점수 계산기'!$U$11:$U$800,0))</f>
        <v>0.36643440026828633</v>
      </c>
      <c r="AA224" s="63">
        <f>INDEX('배치점수 계산기'!$AD$11:$AD$800,MATCH('       가 군       '!$C224,'배치점수 계산기'!$U$11:$U$800,0))</f>
        <v>0.27204978201736407</v>
      </c>
      <c r="AE224" s="7">
        <v>217</v>
      </c>
    </row>
    <row r="225" spans="3:31" x14ac:dyDescent="0.3">
      <c r="C225" s="7" t="s">
        <v>1127</v>
      </c>
      <c r="D225" s="41" t="str">
        <f>IFERROR(INDEX('배치점수 계산기'!V$11:V$1000,MATCH($C225,'배치점수 계산기'!$U$11:$U$1000,0)),"")</f>
        <v>건국 자연1</v>
      </c>
      <c r="E225" s="41">
        <f>IFERROR(INDEX('배치점수 계산기'!W$11:W$1000,MATCH($C225,'배치점수 계산기'!$U$11:$U$1000,0)),"")</f>
        <v>43</v>
      </c>
      <c r="F225" s="113" t="s">
        <v>276</v>
      </c>
      <c r="G225" s="41" t="s">
        <v>708</v>
      </c>
      <c r="H225" s="41" t="s">
        <v>777</v>
      </c>
      <c r="I225" s="41" t="s">
        <v>274</v>
      </c>
      <c r="J225" s="41" t="str">
        <f t="shared" si="9"/>
        <v>X</v>
      </c>
      <c r="K225" s="113">
        <f>IFERROR(INDEX(환산공식!CI$16:CI$301,MATCH($E225,환산공식!$A$16:$A$301,0)),"")</f>
        <v>200</v>
      </c>
      <c r="L225" s="41" t="str">
        <f>IFERROR(CONCATENATE(ROUND(INDEX(환산공식!CJ$16:CJ$301,MATCH(E225,환산공식!$A$16:$A$301,0)),1),"%"),"")</f>
        <v>100%</v>
      </c>
      <c r="M225" s="41">
        <f>IFERROR(INDEX(환산공식!CK$16:CK$301,MATCH(E225,환산공식!$A$16:$A$301,0)),"")</f>
        <v>200</v>
      </c>
      <c r="N225" s="113" t="str">
        <f t="shared" si="10"/>
        <v>1% 이하</v>
      </c>
      <c r="O225" s="119">
        <f>IFERROR(ROUND(INDEX(환산공식!$EF$16:$EF$301,MATCH(E225,환산공식!$A$16:$A$301,0)),3),"")</f>
        <v>0</v>
      </c>
      <c r="P225" s="119">
        <f>IFERROR(ROUND(INDEX('배치점수 계산기'!M$11:M$1000,MATCH($C225,'배치점수 계산기'!$U$11:$U$1000,0)),2),"")</f>
        <v>902.34</v>
      </c>
      <c r="Q225" s="41">
        <f>IFERROR(ROUND(INDEX('배치점수 계산기'!N$11:N$1000,MATCH($C225,'배치점수 계산기'!$U$11:$U$1000,0)),2),"")</f>
        <v>901.18</v>
      </c>
      <c r="R225" s="41">
        <f>IFERROR(ROUND(INDEX('배치점수 계산기'!O$11:O$1000,MATCH($C225,'배치점수 계산기'!$U$11:$U$1000,0)),2),"")</f>
        <v>899.47</v>
      </c>
      <c r="S225" s="41">
        <f>IFERROR(ROUND(INDEX('배치점수 계산기'!P$11:P$1000,MATCH($C225,'배치점수 계산기'!$U$11:$U$1000,0)),2),"")</f>
        <v>896.78</v>
      </c>
      <c r="T225" s="41">
        <f>IFERROR(ROUND(INDEX('배치점수 계산기'!Q$11:Q$1000,MATCH($C225,'배치점수 계산기'!$U$11:$U$1000,0)),2),"")</f>
        <v>895.35</v>
      </c>
      <c r="U225" s="41">
        <f>IFERROR(INDEX(환산공식!$DC$16:$DC$301,MATCH(E225,환산공식!$A$16:$A$301,0)),"")</f>
        <v>0</v>
      </c>
      <c r="V225" s="113">
        <f t="shared" si="11"/>
        <v>6</v>
      </c>
      <c r="W225" s="110" t="str">
        <f>INDEX('배치점수 계산기'!$AG$11:$AG$800,MATCH('       가 군       '!$C225,'배치점수 계산기'!$U$11:$U$800,0))</f>
        <v>표점</v>
      </c>
      <c r="X225" s="108" t="str">
        <f>INDEX('배치점수 계산기'!$AH$11:$AH$800,MATCH('       가 군       '!$C225,'배치점수 계산기'!$U$11:$U$800,0))</f>
        <v>변표</v>
      </c>
      <c r="Y225" s="113">
        <f>INDEX('배치점수 계산기'!$AB$11:$AB$800,MATCH('       가 군       '!$C225,'배치점수 계산기'!$U$11:$U$800,0))</f>
        <v>0.25</v>
      </c>
      <c r="Z225" s="73">
        <f>INDEX('배치점수 계산기'!$AC$11:$AC$800,MATCH('       가 군       '!$C225,'배치점수 계산기'!$U$11:$U$800,0))</f>
        <v>0.4375</v>
      </c>
      <c r="AA225" s="63">
        <f>INDEX('배치점수 계산기'!$AD$11:$AD$800,MATCH('       가 군       '!$C225,'배치점수 계산기'!$U$11:$U$800,0))</f>
        <v>0.3125</v>
      </c>
      <c r="AE225" s="7">
        <v>218</v>
      </c>
    </row>
    <row r="226" spans="3:31" x14ac:dyDescent="0.3">
      <c r="C226" s="7" t="s">
        <v>1129</v>
      </c>
      <c r="D226" s="41" t="str">
        <f>IFERROR(INDEX('배치점수 계산기'!V$11:V$1000,MATCH($C226,'배치점수 계산기'!$U$11:$U$1000,0)),"")</f>
        <v>건국 자연1</v>
      </c>
      <c r="E226" s="41">
        <f>IFERROR(INDEX('배치점수 계산기'!W$11:W$1000,MATCH($C226,'배치점수 계산기'!$U$11:$U$1000,0)),"")</f>
        <v>43</v>
      </c>
      <c r="F226" s="113" t="s">
        <v>276</v>
      </c>
      <c r="G226" s="41" t="s">
        <v>708</v>
      </c>
      <c r="H226" s="41" t="s">
        <v>778</v>
      </c>
      <c r="I226" s="41" t="s">
        <v>274</v>
      </c>
      <c r="J226" s="41" t="str">
        <f t="shared" si="9"/>
        <v>X</v>
      </c>
      <c r="K226" s="113">
        <f>IFERROR(INDEX(환산공식!CI$16:CI$301,MATCH($E226,환산공식!$A$16:$A$301,0)),"")</f>
        <v>200</v>
      </c>
      <c r="L226" s="41" t="str">
        <f>IFERROR(CONCATENATE(ROUND(INDEX(환산공식!CJ$16:CJ$301,MATCH(E226,환산공식!$A$16:$A$301,0)),1),"%"),"")</f>
        <v>100%</v>
      </c>
      <c r="M226" s="41">
        <f>IFERROR(INDEX(환산공식!CK$16:CK$301,MATCH(E226,환산공식!$A$16:$A$301,0)),"")</f>
        <v>200</v>
      </c>
      <c r="N226" s="113" t="str">
        <f t="shared" si="10"/>
        <v>1% 이하</v>
      </c>
      <c r="O226" s="119">
        <f>IFERROR(ROUND(INDEX(환산공식!$EF$16:$EF$301,MATCH(E226,환산공식!$A$16:$A$301,0)),3),"")</f>
        <v>0</v>
      </c>
      <c r="P226" s="119">
        <f>IFERROR(ROUND(INDEX('배치점수 계산기'!M$11:M$1000,MATCH($C226,'배치점수 계산기'!$U$11:$U$1000,0)),2),"")</f>
        <v>902.34</v>
      </c>
      <c r="Q226" s="41">
        <f>IFERROR(ROUND(INDEX('배치점수 계산기'!N$11:N$1000,MATCH($C226,'배치점수 계산기'!$U$11:$U$1000,0)),2),"")</f>
        <v>901.18</v>
      </c>
      <c r="R226" s="41">
        <f>IFERROR(ROUND(INDEX('배치점수 계산기'!O$11:O$1000,MATCH($C226,'배치점수 계산기'!$U$11:$U$1000,0)),2),"")</f>
        <v>899.47</v>
      </c>
      <c r="S226" s="41">
        <f>IFERROR(ROUND(INDEX('배치점수 계산기'!P$11:P$1000,MATCH($C226,'배치점수 계산기'!$U$11:$U$1000,0)),2),"")</f>
        <v>896.78</v>
      </c>
      <c r="T226" s="41">
        <f>IFERROR(ROUND(INDEX('배치점수 계산기'!Q$11:Q$1000,MATCH($C226,'배치점수 계산기'!$U$11:$U$1000,0)),2),"")</f>
        <v>895.35</v>
      </c>
      <c r="U226" s="41">
        <f>IFERROR(INDEX(환산공식!$DC$16:$DC$301,MATCH(E226,환산공식!$A$16:$A$301,0)),"")</f>
        <v>0</v>
      </c>
      <c r="V226" s="113">
        <f t="shared" si="11"/>
        <v>6</v>
      </c>
      <c r="W226" s="110" t="str">
        <f>INDEX('배치점수 계산기'!$AG$11:$AG$800,MATCH('       가 군       '!$C226,'배치점수 계산기'!$U$11:$U$800,0))</f>
        <v>표점</v>
      </c>
      <c r="X226" s="108" t="str">
        <f>INDEX('배치점수 계산기'!$AH$11:$AH$800,MATCH('       가 군       '!$C226,'배치점수 계산기'!$U$11:$U$800,0))</f>
        <v>변표</v>
      </c>
      <c r="Y226" s="113">
        <f>INDEX('배치점수 계산기'!$AB$11:$AB$800,MATCH('       가 군       '!$C226,'배치점수 계산기'!$U$11:$U$800,0))</f>
        <v>0.25</v>
      </c>
      <c r="Z226" s="73">
        <f>INDEX('배치점수 계산기'!$AC$11:$AC$800,MATCH('       가 군       '!$C226,'배치점수 계산기'!$U$11:$U$800,0))</f>
        <v>0.4375</v>
      </c>
      <c r="AA226" s="63">
        <f>INDEX('배치점수 계산기'!$AD$11:$AD$800,MATCH('       가 군       '!$C226,'배치점수 계산기'!$U$11:$U$800,0))</f>
        <v>0.3125</v>
      </c>
      <c r="AE226" s="7">
        <v>219</v>
      </c>
    </row>
    <row r="227" spans="3:31" x14ac:dyDescent="0.3">
      <c r="C227" s="7" t="s">
        <v>1130</v>
      </c>
      <c r="D227" s="41" t="str">
        <f>IFERROR(INDEX('배치점수 계산기'!V$11:V$1000,MATCH($C227,'배치점수 계산기'!$U$11:$U$1000,0)),"")</f>
        <v>건국 자연1</v>
      </c>
      <c r="E227" s="41">
        <f>IFERROR(INDEX('배치점수 계산기'!W$11:W$1000,MATCH($C227,'배치점수 계산기'!$U$11:$U$1000,0)),"")</f>
        <v>43</v>
      </c>
      <c r="F227" s="113" t="s">
        <v>276</v>
      </c>
      <c r="G227" s="41" t="s">
        <v>708</v>
      </c>
      <c r="H227" s="41" t="s">
        <v>779</v>
      </c>
      <c r="I227" s="41" t="s">
        <v>274</v>
      </c>
      <c r="J227" s="41" t="str">
        <f t="shared" si="9"/>
        <v>X</v>
      </c>
      <c r="K227" s="113">
        <f>IFERROR(INDEX(환산공식!CI$16:CI$301,MATCH($E227,환산공식!$A$16:$A$301,0)),"")</f>
        <v>200</v>
      </c>
      <c r="L227" s="41" t="str">
        <f>IFERROR(CONCATENATE(ROUND(INDEX(환산공식!CJ$16:CJ$301,MATCH(E227,환산공식!$A$16:$A$301,0)),1),"%"),"")</f>
        <v>100%</v>
      </c>
      <c r="M227" s="41">
        <f>IFERROR(INDEX(환산공식!CK$16:CK$301,MATCH(E227,환산공식!$A$16:$A$301,0)),"")</f>
        <v>200</v>
      </c>
      <c r="N227" s="113" t="str">
        <f t="shared" si="10"/>
        <v>1% 이하</v>
      </c>
      <c r="O227" s="119">
        <f>IFERROR(ROUND(INDEX(환산공식!$EF$16:$EF$301,MATCH(E227,환산공식!$A$16:$A$301,0)),3),"")</f>
        <v>0</v>
      </c>
      <c r="P227" s="119">
        <f>IFERROR(ROUND(INDEX('배치점수 계산기'!M$11:M$1000,MATCH($C227,'배치점수 계산기'!$U$11:$U$1000,0)),2),"")</f>
        <v>901.54</v>
      </c>
      <c r="Q227" s="41">
        <f>IFERROR(ROUND(INDEX('배치점수 계산기'!N$11:N$1000,MATCH($C227,'배치점수 계산기'!$U$11:$U$1000,0)),2),"")</f>
        <v>900.1</v>
      </c>
      <c r="R227" s="41">
        <f>IFERROR(ROUND(INDEX('배치점수 계산기'!O$11:O$1000,MATCH($C227,'배치점수 계산기'!$U$11:$U$1000,0)),2),"")</f>
        <v>898.32</v>
      </c>
      <c r="S227" s="41">
        <f>IFERROR(ROUND(INDEX('배치점수 계산기'!P$11:P$1000,MATCH($C227,'배치점수 계산기'!$U$11:$U$1000,0)),2),"")</f>
        <v>895.35</v>
      </c>
      <c r="T227" s="41">
        <f>IFERROR(ROUND(INDEX('배치점수 계산기'!Q$11:Q$1000,MATCH($C227,'배치점수 계산기'!$U$11:$U$1000,0)),2),"")</f>
        <v>895.35</v>
      </c>
      <c r="U227" s="41">
        <f>IFERROR(INDEX(환산공식!$DC$16:$DC$301,MATCH(E227,환산공식!$A$16:$A$301,0)),"")</f>
        <v>0</v>
      </c>
      <c r="V227" s="113">
        <f t="shared" si="11"/>
        <v>6</v>
      </c>
      <c r="W227" s="110" t="str">
        <f>INDEX('배치점수 계산기'!$AG$11:$AG$800,MATCH('       가 군       '!$C227,'배치점수 계산기'!$U$11:$U$800,0))</f>
        <v>표점</v>
      </c>
      <c r="X227" s="108" t="str">
        <f>INDEX('배치점수 계산기'!$AH$11:$AH$800,MATCH('       가 군       '!$C227,'배치점수 계산기'!$U$11:$U$800,0))</f>
        <v>변표</v>
      </c>
      <c r="Y227" s="113">
        <f>INDEX('배치점수 계산기'!$AB$11:$AB$800,MATCH('       가 군       '!$C227,'배치점수 계산기'!$U$11:$U$800,0))</f>
        <v>0.25</v>
      </c>
      <c r="Z227" s="73">
        <f>INDEX('배치점수 계산기'!$AC$11:$AC$800,MATCH('       가 군       '!$C227,'배치점수 계산기'!$U$11:$U$800,0))</f>
        <v>0.4375</v>
      </c>
      <c r="AA227" s="63">
        <f>INDEX('배치점수 계산기'!$AD$11:$AD$800,MATCH('       가 군       '!$C227,'배치점수 계산기'!$U$11:$U$800,0))</f>
        <v>0.3125</v>
      </c>
      <c r="AE227" s="7">
        <v>220</v>
      </c>
    </row>
    <row r="228" spans="3:31" x14ac:dyDescent="0.3">
      <c r="C228" s="7" t="s">
        <v>1131</v>
      </c>
      <c r="D228" s="41" t="str">
        <f>IFERROR(INDEX('배치점수 계산기'!V$11:V$1000,MATCH($C228,'배치점수 계산기'!$U$11:$U$1000,0)),"")</f>
        <v>건국 자연2</v>
      </c>
      <c r="E228" s="41">
        <f>IFERROR(INDEX('배치점수 계산기'!W$11:W$1000,MATCH($C228,'배치점수 계산기'!$U$11:$U$1000,0)),"")</f>
        <v>44</v>
      </c>
      <c r="F228" s="113" t="s">
        <v>276</v>
      </c>
      <c r="G228" s="41" t="s">
        <v>708</v>
      </c>
      <c r="H228" s="41" t="s">
        <v>429</v>
      </c>
      <c r="I228" s="41" t="s">
        <v>274</v>
      </c>
      <c r="J228" s="41" t="str">
        <f t="shared" si="9"/>
        <v>X</v>
      </c>
      <c r="K228" s="113">
        <f>IFERROR(INDEX(환산공식!CI$16:CI$301,MATCH($E228,환산공식!$A$16:$A$301,0)),"")</f>
        <v>200</v>
      </c>
      <c r="L228" s="41" t="str">
        <f>IFERROR(CONCATENATE(ROUND(INDEX(환산공식!CJ$16:CJ$301,MATCH(E228,환산공식!$A$16:$A$301,0)),1),"%"),"")</f>
        <v>100%</v>
      </c>
      <c r="M228" s="41">
        <f>IFERROR(INDEX(환산공식!CK$16:CK$301,MATCH(E228,환산공식!$A$16:$A$301,0)),"")</f>
        <v>200</v>
      </c>
      <c r="N228" s="113" t="str">
        <f t="shared" si="10"/>
        <v>1% 이하</v>
      </c>
      <c r="O228" s="119">
        <f>IFERROR(ROUND(INDEX(환산공식!$EF$16:$EF$301,MATCH(E228,환산공식!$A$16:$A$301,0)),3),"")</f>
        <v>0</v>
      </c>
      <c r="P228" s="119">
        <f>IFERROR(ROUND(INDEX('배치점수 계산기'!M$11:M$1000,MATCH($C228,'배치점수 계산기'!$U$11:$U$1000,0)),2),"")</f>
        <v>898.94</v>
      </c>
      <c r="Q228" s="41">
        <f>IFERROR(ROUND(INDEX('배치점수 계산기'!N$11:N$1000,MATCH($C228,'배치점수 계산기'!$U$11:$U$1000,0)),2),"")</f>
        <v>896.5</v>
      </c>
      <c r="R228" s="41">
        <f>IFERROR(ROUND(INDEX('배치점수 계산기'!O$11:O$1000,MATCH($C228,'배치점수 계산기'!$U$11:$U$1000,0)),2),"")</f>
        <v>894.33</v>
      </c>
      <c r="S228" s="41">
        <f>IFERROR(ROUND(INDEX('배치점수 계산기'!P$11:P$1000,MATCH($C228,'배치점수 계산기'!$U$11:$U$1000,0)),2),"")</f>
        <v>892.03</v>
      </c>
      <c r="T228" s="41">
        <f>IFERROR(ROUND(INDEX('배치점수 계산기'!Q$11:Q$1000,MATCH($C228,'배치점수 계산기'!$U$11:$U$1000,0)),2),"")</f>
        <v>889.26</v>
      </c>
      <c r="U228" s="41">
        <f>IFERROR(INDEX(환산공식!$DC$16:$DC$301,MATCH(E228,환산공식!$A$16:$A$301,0)),"")</f>
        <v>0</v>
      </c>
      <c r="V228" s="113">
        <f t="shared" si="11"/>
        <v>6</v>
      </c>
      <c r="W228" s="110" t="str">
        <f>INDEX('배치점수 계산기'!$AG$11:$AG$800,MATCH('       가 군       '!$C228,'배치점수 계산기'!$U$11:$U$800,0))</f>
        <v>표점</v>
      </c>
      <c r="X228" s="108" t="str">
        <f>INDEX('배치점수 계산기'!$AH$11:$AH$800,MATCH('       가 군       '!$C228,'배치점수 계산기'!$U$11:$U$800,0))</f>
        <v>변표</v>
      </c>
      <c r="Y228" s="113">
        <f>INDEX('배치점수 계산기'!$AB$11:$AB$800,MATCH('       가 군       '!$C228,'배치점수 계산기'!$U$11:$U$800,0))</f>
        <v>0.25</v>
      </c>
      <c r="Z228" s="73">
        <f>INDEX('배치점수 계산기'!$AC$11:$AC$800,MATCH('       가 군       '!$C228,'배치점수 계산기'!$U$11:$U$800,0))</f>
        <v>0.375</v>
      </c>
      <c r="AA228" s="63">
        <f>INDEX('배치점수 계산기'!$AD$11:$AD$800,MATCH('       가 군       '!$C228,'배치점수 계산기'!$U$11:$U$800,0))</f>
        <v>0.375</v>
      </c>
      <c r="AE228" s="7">
        <v>221</v>
      </c>
    </row>
    <row r="229" spans="3:31" x14ac:dyDescent="0.3">
      <c r="C229" s="7" t="s">
        <v>1133</v>
      </c>
      <c r="D229" s="41" t="str">
        <f>IFERROR(INDEX('배치점수 계산기'!V$11:V$1000,MATCH($C229,'배치점수 계산기'!$U$11:$U$1000,0)),"")</f>
        <v>건국 자연1</v>
      </c>
      <c r="E229" s="41">
        <f>IFERROR(INDEX('배치점수 계산기'!W$11:W$1000,MATCH($C229,'배치점수 계산기'!$U$11:$U$1000,0)),"")</f>
        <v>43</v>
      </c>
      <c r="F229" s="113" t="s">
        <v>276</v>
      </c>
      <c r="G229" s="41" t="s">
        <v>708</v>
      </c>
      <c r="H229" s="41" t="s">
        <v>780</v>
      </c>
      <c r="I229" s="41" t="s">
        <v>274</v>
      </c>
      <c r="J229" s="41" t="str">
        <f t="shared" si="9"/>
        <v>X</v>
      </c>
      <c r="K229" s="113">
        <f>IFERROR(INDEX(환산공식!CI$16:CI$301,MATCH($E229,환산공식!$A$16:$A$301,0)),"")</f>
        <v>200</v>
      </c>
      <c r="L229" s="41" t="str">
        <f>IFERROR(CONCATENATE(ROUND(INDEX(환산공식!CJ$16:CJ$301,MATCH(E229,환산공식!$A$16:$A$301,0)),1),"%"),"")</f>
        <v>100%</v>
      </c>
      <c r="M229" s="41">
        <f>IFERROR(INDEX(환산공식!CK$16:CK$301,MATCH(E229,환산공식!$A$16:$A$301,0)),"")</f>
        <v>200</v>
      </c>
      <c r="N229" s="113" t="str">
        <f t="shared" si="10"/>
        <v>1% 이하</v>
      </c>
      <c r="O229" s="119">
        <f>IFERROR(ROUND(INDEX(환산공식!$EF$16:$EF$301,MATCH(E229,환산공식!$A$16:$A$301,0)),3),"")</f>
        <v>0</v>
      </c>
      <c r="P229" s="119">
        <f>IFERROR(ROUND(INDEX('배치점수 계산기'!M$11:M$1000,MATCH($C229,'배치점수 계산기'!$U$11:$U$1000,0)),2),"")</f>
        <v>900.8</v>
      </c>
      <c r="Q229" s="41">
        <f>IFERROR(ROUND(INDEX('배치점수 계산기'!N$11:N$1000,MATCH($C229,'배치점수 계산기'!$U$11:$U$1000,0)),2),"")</f>
        <v>899.47</v>
      </c>
      <c r="R229" s="41">
        <f>IFERROR(ROUND(INDEX('배치점수 계산기'!O$11:O$1000,MATCH($C229,'배치점수 계산기'!$U$11:$U$1000,0)),2),"")</f>
        <v>895.99</v>
      </c>
      <c r="S229" s="41">
        <f>IFERROR(ROUND(INDEX('배치점수 계산기'!P$11:P$1000,MATCH($C229,'배치점수 계산기'!$U$11:$U$1000,0)),2),"")</f>
        <v>893.68</v>
      </c>
      <c r="T229" s="41">
        <f>IFERROR(ROUND(INDEX('배치점수 계산기'!Q$11:Q$1000,MATCH($C229,'배치점수 계산기'!$U$11:$U$1000,0)),2),"")</f>
        <v>890.34</v>
      </c>
      <c r="U229" s="41">
        <f>IFERROR(INDEX(환산공식!$DC$16:$DC$301,MATCH(E229,환산공식!$A$16:$A$301,0)),"")</f>
        <v>0</v>
      </c>
      <c r="V229" s="113">
        <f t="shared" si="11"/>
        <v>6</v>
      </c>
      <c r="W229" s="110" t="str">
        <f>INDEX('배치점수 계산기'!$AG$11:$AG$800,MATCH('       가 군       '!$C229,'배치점수 계산기'!$U$11:$U$800,0))</f>
        <v>표점</v>
      </c>
      <c r="X229" s="108" t="str">
        <f>INDEX('배치점수 계산기'!$AH$11:$AH$800,MATCH('       가 군       '!$C229,'배치점수 계산기'!$U$11:$U$800,0))</f>
        <v>변표</v>
      </c>
      <c r="Y229" s="113">
        <f>INDEX('배치점수 계산기'!$AB$11:$AB$800,MATCH('       가 군       '!$C229,'배치점수 계산기'!$U$11:$U$800,0))</f>
        <v>0.25</v>
      </c>
      <c r="Z229" s="73">
        <f>INDEX('배치점수 계산기'!$AC$11:$AC$800,MATCH('       가 군       '!$C229,'배치점수 계산기'!$U$11:$U$800,0))</f>
        <v>0.4375</v>
      </c>
      <c r="AA229" s="63">
        <f>INDEX('배치점수 계산기'!$AD$11:$AD$800,MATCH('       가 군       '!$C229,'배치점수 계산기'!$U$11:$U$800,0))</f>
        <v>0.3125</v>
      </c>
      <c r="AE229" s="7">
        <v>222</v>
      </c>
    </row>
    <row r="230" spans="3:31" x14ac:dyDescent="0.3">
      <c r="C230" s="7" t="s">
        <v>1134</v>
      </c>
      <c r="D230" s="41" t="str">
        <f>IFERROR(INDEX('배치점수 계산기'!V$11:V$1000,MATCH($C230,'배치점수 계산기'!$U$11:$U$1000,0)),"")</f>
        <v>건국 자연1</v>
      </c>
      <c r="E230" s="41">
        <f>IFERROR(INDEX('배치점수 계산기'!W$11:W$1000,MATCH($C230,'배치점수 계산기'!$U$11:$U$1000,0)),"")</f>
        <v>43</v>
      </c>
      <c r="F230" s="113" t="s">
        <v>276</v>
      </c>
      <c r="G230" s="41" t="s">
        <v>708</v>
      </c>
      <c r="H230" s="41" t="s">
        <v>789</v>
      </c>
      <c r="I230" s="41" t="s">
        <v>274</v>
      </c>
      <c r="J230" s="41" t="str">
        <f t="shared" si="9"/>
        <v>X</v>
      </c>
      <c r="K230" s="113">
        <f>IFERROR(INDEX(환산공식!CI$16:CI$301,MATCH($E230,환산공식!$A$16:$A$301,0)),"")</f>
        <v>200</v>
      </c>
      <c r="L230" s="41" t="str">
        <f>IFERROR(CONCATENATE(ROUND(INDEX(환산공식!CJ$16:CJ$301,MATCH(E230,환산공식!$A$16:$A$301,0)),1),"%"),"")</f>
        <v>100%</v>
      </c>
      <c r="M230" s="41">
        <f>IFERROR(INDEX(환산공식!CK$16:CK$301,MATCH(E230,환산공식!$A$16:$A$301,0)),"")</f>
        <v>200</v>
      </c>
      <c r="N230" s="113" t="str">
        <f t="shared" si="10"/>
        <v>1% 이하</v>
      </c>
      <c r="O230" s="119">
        <f>IFERROR(ROUND(INDEX(환산공식!$EF$16:$EF$301,MATCH(E230,환산공식!$A$16:$A$301,0)),3),"")</f>
        <v>0</v>
      </c>
      <c r="P230" s="119">
        <f>IFERROR(ROUND(INDEX('배치점수 계산기'!M$11:M$1000,MATCH($C230,'배치점수 계산기'!$U$11:$U$1000,0)),2),"")</f>
        <v>900.1</v>
      </c>
      <c r="Q230" s="41">
        <f>IFERROR(ROUND(INDEX('배치점수 계산기'!N$11:N$1000,MATCH($C230,'배치점수 계산기'!$U$11:$U$1000,0)),2),"")</f>
        <v>899.09</v>
      </c>
      <c r="R230" s="41">
        <f>IFERROR(ROUND(INDEX('배치점수 계산기'!O$11:O$1000,MATCH($C230,'배치점수 계산기'!$U$11:$U$1000,0)),2),"")</f>
        <v>896.78</v>
      </c>
      <c r="S230" s="41">
        <f>IFERROR(ROUND(INDEX('배치점수 계산기'!P$11:P$1000,MATCH($C230,'배치점수 계산기'!$U$11:$U$1000,0)),2),"")</f>
        <v>895.35</v>
      </c>
      <c r="T230" s="41">
        <f>IFERROR(ROUND(INDEX('배치점수 계산기'!Q$11:Q$1000,MATCH($C230,'배치점수 계산기'!$U$11:$U$1000,0)),2),"")</f>
        <v>891.23</v>
      </c>
      <c r="U230" s="41">
        <f>IFERROR(INDEX(환산공식!$DC$16:$DC$301,MATCH(E230,환산공식!$A$16:$A$301,0)),"")</f>
        <v>0</v>
      </c>
      <c r="V230" s="113">
        <f t="shared" si="11"/>
        <v>6</v>
      </c>
      <c r="W230" s="110" t="str">
        <f>INDEX('배치점수 계산기'!$AG$11:$AG$800,MATCH('       가 군       '!$C230,'배치점수 계산기'!$U$11:$U$800,0))</f>
        <v>표점</v>
      </c>
      <c r="X230" s="108" t="str">
        <f>INDEX('배치점수 계산기'!$AH$11:$AH$800,MATCH('       가 군       '!$C230,'배치점수 계산기'!$U$11:$U$800,0))</f>
        <v>변표</v>
      </c>
      <c r="Y230" s="113">
        <f>INDEX('배치점수 계산기'!$AB$11:$AB$800,MATCH('       가 군       '!$C230,'배치점수 계산기'!$U$11:$U$800,0))</f>
        <v>0.25</v>
      </c>
      <c r="Z230" s="73">
        <f>INDEX('배치점수 계산기'!$AC$11:$AC$800,MATCH('       가 군       '!$C230,'배치점수 계산기'!$U$11:$U$800,0))</f>
        <v>0.4375</v>
      </c>
      <c r="AA230" s="63">
        <f>INDEX('배치점수 계산기'!$AD$11:$AD$800,MATCH('       가 군       '!$C230,'배치점수 계산기'!$U$11:$U$800,0))</f>
        <v>0.3125</v>
      </c>
      <c r="AE230" s="7">
        <v>223</v>
      </c>
    </row>
    <row r="231" spans="3:31" x14ac:dyDescent="0.3">
      <c r="C231" s="7" t="s">
        <v>1135</v>
      </c>
      <c r="D231" s="41" t="str">
        <f>IFERROR(INDEX('배치점수 계산기'!V$11:V$1000,MATCH($C231,'배치점수 계산기'!$U$11:$U$1000,0)),"")</f>
        <v>건국 자연1</v>
      </c>
      <c r="E231" s="41">
        <f>IFERROR(INDEX('배치점수 계산기'!W$11:W$1000,MATCH($C231,'배치점수 계산기'!$U$11:$U$1000,0)),"")</f>
        <v>43</v>
      </c>
      <c r="F231" s="113" t="s">
        <v>276</v>
      </c>
      <c r="G231" s="41" t="s">
        <v>708</v>
      </c>
      <c r="H231" s="41" t="s">
        <v>288</v>
      </c>
      <c r="I231" s="41" t="s">
        <v>274</v>
      </c>
      <c r="J231" s="41" t="str">
        <f t="shared" si="9"/>
        <v>X</v>
      </c>
      <c r="K231" s="113">
        <f>IFERROR(INDEX(환산공식!CI$16:CI$301,MATCH($E231,환산공식!$A$16:$A$301,0)),"")</f>
        <v>200</v>
      </c>
      <c r="L231" s="41" t="str">
        <f>IFERROR(CONCATENATE(ROUND(INDEX(환산공식!CJ$16:CJ$301,MATCH(E231,환산공식!$A$16:$A$301,0)),1),"%"),"")</f>
        <v>100%</v>
      </c>
      <c r="M231" s="41">
        <f>IFERROR(INDEX(환산공식!CK$16:CK$301,MATCH(E231,환산공식!$A$16:$A$301,0)),"")</f>
        <v>200</v>
      </c>
      <c r="N231" s="113" t="str">
        <f t="shared" si="10"/>
        <v>1% 이하</v>
      </c>
      <c r="O231" s="119">
        <f>IFERROR(ROUND(INDEX(환산공식!$EF$16:$EF$301,MATCH(E231,환산공식!$A$16:$A$301,0)),3),"")</f>
        <v>0</v>
      </c>
      <c r="P231" s="119">
        <f>IFERROR(ROUND(INDEX('배치점수 계산기'!M$11:M$1000,MATCH($C231,'배치점수 계산기'!$U$11:$U$1000,0)),2),"")</f>
        <v>902.34</v>
      </c>
      <c r="Q231" s="41">
        <f>IFERROR(ROUND(INDEX('배치점수 계산기'!N$11:N$1000,MATCH($C231,'배치점수 계산기'!$U$11:$U$1000,0)),2),"")</f>
        <v>901.18</v>
      </c>
      <c r="R231" s="41">
        <f>IFERROR(ROUND(INDEX('배치점수 계산기'!O$11:O$1000,MATCH($C231,'배치점수 계산기'!$U$11:$U$1000,0)),2),"")</f>
        <v>899.85</v>
      </c>
      <c r="S231" s="41">
        <f>IFERROR(ROUND(INDEX('배치점수 계산기'!P$11:P$1000,MATCH($C231,'배치점수 계산기'!$U$11:$U$1000,0)),2),"")</f>
        <v>896.78</v>
      </c>
      <c r="T231" s="41">
        <f>IFERROR(ROUND(INDEX('배치점수 계산기'!Q$11:Q$1000,MATCH($C231,'배치점수 계산기'!$U$11:$U$1000,0)),2),"")</f>
        <v>895.35</v>
      </c>
      <c r="U231" s="41">
        <f>IFERROR(INDEX(환산공식!$DC$16:$DC$301,MATCH(E231,환산공식!$A$16:$A$301,0)),"")</f>
        <v>0</v>
      </c>
      <c r="V231" s="113">
        <f t="shared" si="11"/>
        <v>6</v>
      </c>
      <c r="W231" s="110" t="str">
        <f>INDEX('배치점수 계산기'!$AG$11:$AG$800,MATCH('       가 군       '!$C231,'배치점수 계산기'!$U$11:$U$800,0))</f>
        <v>표점</v>
      </c>
      <c r="X231" s="108" t="str">
        <f>INDEX('배치점수 계산기'!$AH$11:$AH$800,MATCH('       가 군       '!$C231,'배치점수 계산기'!$U$11:$U$800,0))</f>
        <v>변표</v>
      </c>
      <c r="Y231" s="113">
        <f>INDEX('배치점수 계산기'!$AB$11:$AB$800,MATCH('       가 군       '!$C231,'배치점수 계산기'!$U$11:$U$800,0))</f>
        <v>0.25</v>
      </c>
      <c r="Z231" s="73">
        <f>INDEX('배치점수 계산기'!$AC$11:$AC$800,MATCH('       가 군       '!$C231,'배치점수 계산기'!$U$11:$U$800,0))</f>
        <v>0.4375</v>
      </c>
      <c r="AA231" s="63">
        <f>INDEX('배치점수 계산기'!$AD$11:$AD$800,MATCH('       가 군       '!$C231,'배치점수 계산기'!$U$11:$U$800,0))</f>
        <v>0.3125</v>
      </c>
      <c r="AE231" s="7">
        <v>224</v>
      </c>
    </row>
    <row r="232" spans="3:31" x14ac:dyDescent="0.3">
      <c r="C232" s="7" t="s">
        <v>1136</v>
      </c>
      <c r="D232" s="41" t="str">
        <f>IFERROR(INDEX('배치점수 계산기'!V$11:V$1000,MATCH($C232,'배치점수 계산기'!$U$11:$U$1000,0)),"")</f>
        <v>건국 자연1</v>
      </c>
      <c r="E232" s="41">
        <f>IFERROR(INDEX('배치점수 계산기'!W$11:W$1000,MATCH($C232,'배치점수 계산기'!$U$11:$U$1000,0)),"")</f>
        <v>43</v>
      </c>
      <c r="F232" s="113" t="s">
        <v>276</v>
      </c>
      <c r="G232" s="41" t="s">
        <v>708</v>
      </c>
      <c r="H232" s="41" t="s">
        <v>252</v>
      </c>
      <c r="I232" s="41" t="s">
        <v>274</v>
      </c>
      <c r="J232" s="41" t="str">
        <f t="shared" si="9"/>
        <v>X</v>
      </c>
      <c r="K232" s="113">
        <f>IFERROR(INDEX(환산공식!CI$16:CI$301,MATCH($E232,환산공식!$A$16:$A$301,0)),"")</f>
        <v>200</v>
      </c>
      <c r="L232" s="41" t="str">
        <f>IFERROR(CONCATENATE(ROUND(INDEX(환산공식!CJ$16:CJ$301,MATCH(E232,환산공식!$A$16:$A$301,0)),1),"%"),"")</f>
        <v>100%</v>
      </c>
      <c r="M232" s="41">
        <f>IFERROR(INDEX(환산공식!CK$16:CK$301,MATCH(E232,환산공식!$A$16:$A$301,0)),"")</f>
        <v>200</v>
      </c>
      <c r="N232" s="113" t="str">
        <f t="shared" si="10"/>
        <v>1% 이하</v>
      </c>
      <c r="O232" s="119">
        <f>IFERROR(ROUND(INDEX(환산공식!$EF$16:$EF$301,MATCH(E232,환산공식!$A$16:$A$301,0)),3),"")</f>
        <v>0</v>
      </c>
      <c r="P232" s="119">
        <f>IFERROR(ROUND(INDEX('배치점수 계산기'!M$11:M$1000,MATCH($C232,'배치점수 계산기'!$U$11:$U$1000,0)),2),"")</f>
        <v>901.54</v>
      </c>
      <c r="Q232" s="41">
        <f>IFERROR(ROUND(INDEX('배치점수 계산기'!N$11:N$1000,MATCH($C232,'배치점수 계산기'!$U$11:$U$1000,0)),2),"")</f>
        <v>900.1</v>
      </c>
      <c r="R232" s="41">
        <f>IFERROR(ROUND(INDEX('배치점수 계산기'!O$11:O$1000,MATCH($C232,'배치점수 계산기'!$U$11:$U$1000,0)),2),"")</f>
        <v>898.32</v>
      </c>
      <c r="S232" s="41">
        <f>IFERROR(ROUND(INDEX('배치점수 계산기'!P$11:P$1000,MATCH($C232,'배치점수 계산기'!$U$11:$U$1000,0)),2),"")</f>
        <v>895.99</v>
      </c>
      <c r="T232" s="41">
        <f>IFERROR(ROUND(INDEX('배치점수 계산기'!Q$11:Q$1000,MATCH($C232,'배치점수 계산기'!$U$11:$U$1000,0)),2),"")</f>
        <v>890.95</v>
      </c>
      <c r="U232" s="41">
        <f>IFERROR(INDEX(환산공식!$DC$16:$DC$301,MATCH(E232,환산공식!$A$16:$A$301,0)),"")</f>
        <v>0</v>
      </c>
      <c r="V232" s="113">
        <f t="shared" si="11"/>
        <v>6</v>
      </c>
      <c r="W232" s="110" t="str">
        <f>INDEX('배치점수 계산기'!$AG$11:$AG$800,MATCH('       가 군       '!$C232,'배치점수 계산기'!$U$11:$U$800,0))</f>
        <v>표점</v>
      </c>
      <c r="X232" s="108" t="str">
        <f>INDEX('배치점수 계산기'!$AH$11:$AH$800,MATCH('       가 군       '!$C232,'배치점수 계산기'!$U$11:$U$800,0))</f>
        <v>변표</v>
      </c>
      <c r="Y232" s="113">
        <f>INDEX('배치점수 계산기'!$AB$11:$AB$800,MATCH('       가 군       '!$C232,'배치점수 계산기'!$U$11:$U$800,0))</f>
        <v>0.25</v>
      </c>
      <c r="Z232" s="73">
        <f>INDEX('배치점수 계산기'!$AC$11:$AC$800,MATCH('       가 군       '!$C232,'배치점수 계산기'!$U$11:$U$800,0))</f>
        <v>0.4375</v>
      </c>
      <c r="AA232" s="63">
        <f>INDEX('배치점수 계산기'!$AD$11:$AD$800,MATCH('       가 군       '!$C232,'배치점수 계산기'!$U$11:$U$800,0))</f>
        <v>0.3125</v>
      </c>
      <c r="AE232" s="7">
        <v>225</v>
      </c>
    </row>
    <row r="233" spans="3:31" x14ac:dyDescent="0.3">
      <c r="C233" s="7" t="s">
        <v>1137</v>
      </c>
      <c r="D233" s="41" t="str">
        <f>IFERROR(INDEX('배치점수 계산기'!V$11:V$1000,MATCH($C233,'배치점수 계산기'!$U$11:$U$1000,0)),"")</f>
        <v>건국 통합1</v>
      </c>
      <c r="E233" s="41">
        <f>IFERROR(INDEX('배치점수 계산기'!W$11:W$1000,MATCH($C233,'배치점수 계산기'!$U$11:$U$1000,0)),"")</f>
        <v>45</v>
      </c>
      <c r="F233" s="113" t="s">
        <v>276</v>
      </c>
      <c r="G233" s="41" t="s">
        <v>708</v>
      </c>
      <c r="H233" s="41" t="s">
        <v>377</v>
      </c>
      <c r="I233" s="41" t="s">
        <v>275</v>
      </c>
      <c r="J233" s="41" t="str">
        <f t="shared" si="9"/>
        <v>X</v>
      </c>
      <c r="K233" s="113">
        <f>IFERROR(INDEX(환산공식!CI$16:CI$301,MATCH($E233,환산공식!$A$16:$A$301,0)),"")</f>
        <v>200</v>
      </c>
      <c r="L233" s="41" t="str">
        <f>IFERROR(CONCATENATE(ROUND(INDEX(환산공식!CJ$16:CJ$301,MATCH(E233,환산공식!$A$16:$A$301,0)),1),"%"),"")</f>
        <v>100%</v>
      </c>
      <c r="M233" s="41">
        <f>IFERROR(INDEX(환산공식!CK$16:CK$301,MATCH(E233,환산공식!$A$16:$A$301,0)),"")</f>
        <v>200</v>
      </c>
      <c r="N233" s="113" t="str">
        <f t="shared" si="10"/>
        <v>1% 이하</v>
      </c>
      <c r="O233" s="119">
        <f>IFERROR(ROUND(INDEX(환산공식!$EF$16:$EF$301,MATCH(E233,환산공식!$A$16:$A$301,0)),3),"")</f>
        <v>0</v>
      </c>
      <c r="P233" s="119">
        <f>IFERROR(ROUND(INDEX('배치점수 계산기'!M$11:M$1000,MATCH($C233,'배치점수 계산기'!$U$11:$U$1000,0)),2),"")</f>
        <v>894.41</v>
      </c>
      <c r="Q233" s="41">
        <f>IFERROR(ROUND(INDEX('배치점수 계산기'!N$11:N$1000,MATCH($C233,'배치점수 계산기'!$U$11:$U$1000,0)),2),"")</f>
        <v>892.47</v>
      </c>
      <c r="R233" s="41">
        <f>IFERROR(ROUND(INDEX('배치점수 계산기'!O$11:O$1000,MATCH($C233,'배치점수 계산기'!$U$11:$U$1000,0)),2),"")</f>
        <v>891.11</v>
      </c>
      <c r="S233" s="41">
        <f>IFERROR(ROUND(INDEX('배치점수 계산기'!P$11:P$1000,MATCH($C233,'배치점수 계산기'!$U$11:$U$1000,0)),2),"")</f>
        <v>888.95</v>
      </c>
      <c r="T233" s="41">
        <f>IFERROR(ROUND(INDEX('배치점수 계산기'!Q$11:Q$1000,MATCH($C233,'배치점수 계산기'!$U$11:$U$1000,0)),2),"")</f>
        <v>881.82</v>
      </c>
      <c r="U233" s="41">
        <f>IFERROR(INDEX(환산공식!$DC$16:$DC$301,MATCH(E233,환산공식!$A$16:$A$301,0)),"")</f>
        <v>0</v>
      </c>
      <c r="V233" s="113">
        <f t="shared" si="11"/>
        <v>6</v>
      </c>
      <c r="W233" s="110" t="str">
        <f>INDEX('배치점수 계산기'!$AG$11:$AG$800,MATCH('       가 군       '!$C233,'배치점수 계산기'!$U$11:$U$800,0))</f>
        <v>표점</v>
      </c>
      <c r="X233" s="108" t="str">
        <f>INDEX('배치점수 계산기'!$AH$11:$AH$800,MATCH('       가 군       '!$C233,'배치점수 계산기'!$U$11:$U$800,0))</f>
        <v>변표</v>
      </c>
      <c r="Y233" s="113">
        <f>INDEX('배치점수 계산기'!$AB$11:$AB$800,MATCH('       가 군       '!$C233,'배치점수 계산기'!$U$11:$U$800,0))</f>
        <v>0.375</v>
      </c>
      <c r="Z233" s="73">
        <f>INDEX('배치점수 계산기'!$AC$11:$AC$800,MATCH('       가 군       '!$C233,'배치점수 계산기'!$U$11:$U$800,0))</f>
        <v>0.3125</v>
      </c>
      <c r="AA233" s="63">
        <f>INDEX('배치점수 계산기'!$AD$11:$AD$800,MATCH('       가 군       '!$C233,'배치점수 계산기'!$U$11:$U$800,0))</f>
        <v>0.3125</v>
      </c>
      <c r="AE233" s="7">
        <v>226</v>
      </c>
    </row>
    <row r="234" spans="3:31" x14ac:dyDescent="0.3">
      <c r="C234" s="7" t="s">
        <v>1139</v>
      </c>
      <c r="D234" s="41" t="str">
        <f>IFERROR(INDEX('배치점수 계산기'!V$11:V$1000,MATCH($C234,'배치점수 계산기'!$U$11:$U$1000,0)),"")</f>
        <v>건국 통합2</v>
      </c>
      <c r="E234" s="41">
        <f>IFERROR(INDEX('배치점수 계산기'!W$11:W$1000,MATCH($C234,'배치점수 계산기'!$U$11:$U$1000,0)),"")</f>
        <v>46</v>
      </c>
      <c r="F234" s="113" t="s">
        <v>276</v>
      </c>
      <c r="G234" s="41" t="s">
        <v>708</v>
      </c>
      <c r="H234" s="41" t="s">
        <v>794</v>
      </c>
      <c r="I234" s="41" t="s">
        <v>275</v>
      </c>
      <c r="J234" s="41" t="str">
        <f t="shared" si="9"/>
        <v>X</v>
      </c>
      <c r="K234" s="113">
        <f>IFERROR(INDEX(환산공식!CI$16:CI$301,MATCH($E234,환산공식!$A$16:$A$301,0)),"")</f>
        <v>200</v>
      </c>
      <c r="L234" s="41" t="str">
        <f>IFERROR(CONCATENATE(ROUND(INDEX(환산공식!CJ$16:CJ$301,MATCH(E234,환산공식!$A$16:$A$301,0)),1),"%"),"")</f>
        <v>100%</v>
      </c>
      <c r="M234" s="41">
        <f>IFERROR(INDEX(환산공식!CK$16:CK$301,MATCH(E234,환산공식!$A$16:$A$301,0)),"")</f>
        <v>200</v>
      </c>
      <c r="N234" s="113" t="str">
        <f t="shared" si="10"/>
        <v>1% 이하</v>
      </c>
      <c r="O234" s="119">
        <f>IFERROR(ROUND(INDEX(환산공식!$EF$16:$EF$301,MATCH(E234,환산공식!$A$16:$A$301,0)),3),"")</f>
        <v>0</v>
      </c>
      <c r="P234" s="119">
        <f>IFERROR(ROUND(INDEX('배치점수 계산기'!M$11:M$1000,MATCH($C234,'배치점수 계산기'!$U$11:$U$1000,0)),2),"")</f>
        <v>891.53</v>
      </c>
      <c r="Q234" s="41">
        <f>IFERROR(ROUND(INDEX('배치점수 계산기'!N$11:N$1000,MATCH($C234,'배치점수 계산기'!$U$11:$U$1000,0)),2),"")</f>
        <v>890.35</v>
      </c>
      <c r="R234" s="41">
        <f>IFERROR(ROUND(INDEX('배치점수 계산기'!O$11:O$1000,MATCH($C234,'배치점수 계산기'!$U$11:$U$1000,0)),2),"")</f>
        <v>889.17</v>
      </c>
      <c r="S234" s="41">
        <f>IFERROR(ROUND(INDEX('배치점수 계산기'!P$11:P$1000,MATCH($C234,'배치점수 계산기'!$U$11:$U$1000,0)),2),"")</f>
        <v>886.13</v>
      </c>
      <c r="T234" s="41">
        <f>IFERROR(ROUND(INDEX('배치점수 계산기'!Q$11:Q$1000,MATCH($C234,'배치점수 계산기'!$U$11:$U$1000,0)),2),"")</f>
        <v>879.48</v>
      </c>
      <c r="U234" s="41">
        <f>IFERROR(INDEX(환산공식!$DC$16:$DC$301,MATCH(E234,환산공식!$A$16:$A$301,0)),"")</f>
        <v>0</v>
      </c>
      <c r="V234" s="113">
        <f t="shared" si="11"/>
        <v>6</v>
      </c>
      <c r="W234" s="110" t="str">
        <f>INDEX('배치점수 계산기'!$AG$11:$AG$800,MATCH('       가 군       '!$C234,'배치점수 계산기'!$U$11:$U$800,0))</f>
        <v>표점</v>
      </c>
      <c r="X234" s="108" t="str">
        <f>INDEX('배치점수 계산기'!$AH$11:$AH$800,MATCH('       가 군       '!$C234,'배치점수 계산기'!$U$11:$U$800,0))</f>
        <v>변표</v>
      </c>
      <c r="Y234" s="113">
        <f>INDEX('배치점수 계산기'!$AB$11:$AB$800,MATCH('       가 군       '!$C234,'배치점수 계산기'!$U$11:$U$800,0))</f>
        <v>0.3125</v>
      </c>
      <c r="Z234" s="73">
        <f>INDEX('배치점수 계산기'!$AC$11:$AC$800,MATCH('       가 군       '!$C234,'배치점수 계산기'!$U$11:$U$800,0))</f>
        <v>0.375</v>
      </c>
      <c r="AA234" s="63">
        <f>INDEX('배치점수 계산기'!$AD$11:$AD$800,MATCH('       가 군       '!$C234,'배치점수 계산기'!$U$11:$U$800,0))</f>
        <v>0.3125</v>
      </c>
      <c r="AE234" s="7">
        <v>227</v>
      </c>
    </row>
    <row r="235" spans="3:31" x14ac:dyDescent="0.3">
      <c r="C235" s="7" t="s">
        <v>1141</v>
      </c>
      <c r="D235" s="41" t="str">
        <f>IFERROR(INDEX('배치점수 계산기'!V$11:V$1000,MATCH($C235,'배치점수 계산기'!$U$11:$U$1000,0)),"")</f>
        <v>건국 통합2</v>
      </c>
      <c r="E235" s="41">
        <f>IFERROR(INDEX('배치점수 계산기'!W$11:W$1000,MATCH($C235,'배치점수 계산기'!$U$11:$U$1000,0)),"")</f>
        <v>46</v>
      </c>
      <c r="F235" s="113" t="s">
        <v>276</v>
      </c>
      <c r="G235" s="41" t="s">
        <v>708</v>
      </c>
      <c r="H235" s="41" t="s">
        <v>795</v>
      </c>
      <c r="I235" s="41" t="s">
        <v>275</v>
      </c>
      <c r="J235" s="41" t="str">
        <f t="shared" si="9"/>
        <v>X</v>
      </c>
      <c r="K235" s="113">
        <f>IFERROR(INDEX(환산공식!CI$16:CI$301,MATCH($E235,환산공식!$A$16:$A$301,0)),"")</f>
        <v>200</v>
      </c>
      <c r="L235" s="41" t="str">
        <f>IFERROR(CONCATENATE(ROUND(INDEX(환산공식!CJ$16:CJ$301,MATCH(E235,환산공식!$A$16:$A$301,0)),1),"%"),"")</f>
        <v>100%</v>
      </c>
      <c r="M235" s="41">
        <f>IFERROR(INDEX(환산공식!CK$16:CK$301,MATCH(E235,환산공식!$A$16:$A$301,0)),"")</f>
        <v>200</v>
      </c>
      <c r="N235" s="113" t="str">
        <f t="shared" si="10"/>
        <v>1% 이하</v>
      </c>
      <c r="O235" s="119">
        <f>IFERROR(ROUND(INDEX(환산공식!$EF$16:$EF$301,MATCH(E235,환산공식!$A$16:$A$301,0)),3),"")</f>
        <v>0</v>
      </c>
      <c r="P235" s="119">
        <f>IFERROR(ROUND(INDEX('배치점수 계산기'!M$11:M$1000,MATCH($C235,'배치점수 계산기'!$U$11:$U$1000,0)),2),"")</f>
        <v>891.53</v>
      </c>
      <c r="Q235" s="41">
        <f>IFERROR(ROUND(INDEX('배치점수 계산기'!N$11:N$1000,MATCH($C235,'배치점수 계산기'!$U$11:$U$1000,0)),2),"")</f>
        <v>890.35</v>
      </c>
      <c r="R235" s="41">
        <f>IFERROR(ROUND(INDEX('배치점수 계산기'!O$11:O$1000,MATCH($C235,'배치점수 계산기'!$U$11:$U$1000,0)),2),"")</f>
        <v>889.17</v>
      </c>
      <c r="S235" s="41">
        <f>IFERROR(ROUND(INDEX('배치점수 계산기'!P$11:P$1000,MATCH($C235,'배치점수 계산기'!$U$11:$U$1000,0)),2),"")</f>
        <v>886.13</v>
      </c>
      <c r="T235" s="41">
        <f>IFERROR(ROUND(INDEX('배치점수 계산기'!Q$11:Q$1000,MATCH($C235,'배치점수 계산기'!$U$11:$U$1000,0)),2),"")</f>
        <v>879.48</v>
      </c>
      <c r="U235" s="41">
        <f>IFERROR(INDEX(환산공식!$DC$16:$DC$301,MATCH(E235,환산공식!$A$16:$A$301,0)),"")</f>
        <v>0</v>
      </c>
      <c r="V235" s="113">
        <f t="shared" si="11"/>
        <v>6</v>
      </c>
      <c r="W235" s="110" t="str">
        <f>INDEX('배치점수 계산기'!$AG$11:$AG$800,MATCH('       가 군       '!$C235,'배치점수 계산기'!$U$11:$U$800,0))</f>
        <v>표점</v>
      </c>
      <c r="X235" s="108" t="str">
        <f>INDEX('배치점수 계산기'!$AH$11:$AH$800,MATCH('       가 군       '!$C235,'배치점수 계산기'!$U$11:$U$800,0))</f>
        <v>변표</v>
      </c>
      <c r="Y235" s="113">
        <f>INDEX('배치점수 계산기'!$AB$11:$AB$800,MATCH('       가 군       '!$C235,'배치점수 계산기'!$U$11:$U$800,0))</f>
        <v>0.3125</v>
      </c>
      <c r="Z235" s="73">
        <f>INDEX('배치점수 계산기'!$AC$11:$AC$800,MATCH('       가 군       '!$C235,'배치점수 계산기'!$U$11:$U$800,0))</f>
        <v>0.375</v>
      </c>
      <c r="AA235" s="63">
        <f>INDEX('배치점수 계산기'!$AD$11:$AD$800,MATCH('       가 군       '!$C235,'배치점수 계산기'!$U$11:$U$800,0))</f>
        <v>0.3125</v>
      </c>
      <c r="AE235" s="7">
        <v>228</v>
      </c>
    </row>
    <row r="236" spans="3:31" x14ac:dyDescent="0.3">
      <c r="C236" s="7" t="s">
        <v>1142</v>
      </c>
      <c r="D236" s="41" t="str">
        <f>IFERROR(INDEX('배치점수 계산기'!V$11:V$1000,MATCH($C236,'배치점수 계산기'!$U$11:$U$1000,0)),"")</f>
        <v>건국 통합1</v>
      </c>
      <c r="E236" s="41">
        <f>IFERROR(INDEX('배치점수 계산기'!W$11:W$1000,MATCH($C236,'배치점수 계산기'!$U$11:$U$1000,0)),"")</f>
        <v>45</v>
      </c>
      <c r="F236" s="113" t="s">
        <v>276</v>
      </c>
      <c r="G236" s="41" t="s">
        <v>708</v>
      </c>
      <c r="H236" s="41" t="s">
        <v>797</v>
      </c>
      <c r="I236" s="41" t="s">
        <v>275</v>
      </c>
      <c r="J236" s="41" t="str">
        <f t="shared" si="9"/>
        <v>X</v>
      </c>
      <c r="K236" s="113">
        <f>IFERROR(INDEX(환산공식!CI$16:CI$301,MATCH($E236,환산공식!$A$16:$A$301,0)),"")</f>
        <v>200</v>
      </c>
      <c r="L236" s="41" t="str">
        <f>IFERROR(CONCATENATE(ROUND(INDEX(환산공식!CJ$16:CJ$301,MATCH(E236,환산공식!$A$16:$A$301,0)),1),"%"),"")</f>
        <v>100%</v>
      </c>
      <c r="M236" s="41">
        <f>IFERROR(INDEX(환산공식!CK$16:CK$301,MATCH(E236,환산공식!$A$16:$A$301,0)),"")</f>
        <v>200</v>
      </c>
      <c r="N236" s="113" t="str">
        <f t="shared" si="10"/>
        <v>1% 이하</v>
      </c>
      <c r="O236" s="119">
        <f>IFERROR(ROUND(INDEX(환산공식!$EF$16:$EF$301,MATCH(E236,환산공식!$A$16:$A$301,0)),3),"")</f>
        <v>0</v>
      </c>
      <c r="P236" s="119">
        <f>IFERROR(ROUND(INDEX('배치점수 계산기'!M$11:M$1000,MATCH($C236,'배치점수 계산기'!$U$11:$U$1000,0)),2),"")</f>
        <v>889.98</v>
      </c>
      <c r="Q236" s="41">
        <f>IFERROR(ROUND(INDEX('배치점수 계산기'!N$11:N$1000,MATCH($C236,'배치점수 계산기'!$U$11:$U$1000,0)),2),"")</f>
        <v>888.95</v>
      </c>
      <c r="R236" s="41">
        <f>IFERROR(ROUND(INDEX('배치점수 계산기'!O$11:O$1000,MATCH($C236,'배치점수 계산기'!$U$11:$U$1000,0)),2),"")</f>
        <v>884.66</v>
      </c>
      <c r="S236" s="41">
        <f>IFERROR(ROUND(INDEX('배치점수 계산기'!P$11:P$1000,MATCH($C236,'배치점수 계산기'!$U$11:$U$1000,0)),2),"")</f>
        <v>882.54</v>
      </c>
      <c r="T236" s="41">
        <f>IFERROR(ROUND(INDEX('배치점수 계산기'!Q$11:Q$1000,MATCH($C236,'배치점수 계산기'!$U$11:$U$1000,0)),2),"")</f>
        <v>879.82</v>
      </c>
      <c r="U236" s="41">
        <f>IFERROR(INDEX(환산공식!$DC$16:$DC$301,MATCH(E236,환산공식!$A$16:$A$301,0)),"")</f>
        <v>0</v>
      </c>
      <c r="V236" s="113">
        <f t="shared" si="11"/>
        <v>6</v>
      </c>
      <c r="W236" s="110" t="str">
        <f>INDEX('배치점수 계산기'!$AG$11:$AG$800,MATCH('       가 군       '!$C236,'배치점수 계산기'!$U$11:$U$800,0))</f>
        <v>표점</v>
      </c>
      <c r="X236" s="108" t="str">
        <f>INDEX('배치점수 계산기'!$AH$11:$AH$800,MATCH('       가 군       '!$C236,'배치점수 계산기'!$U$11:$U$800,0))</f>
        <v>변표</v>
      </c>
      <c r="Y236" s="113">
        <f>INDEX('배치점수 계산기'!$AB$11:$AB$800,MATCH('       가 군       '!$C236,'배치점수 계산기'!$U$11:$U$800,0))</f>
        <v>0.375</v>
      </c>
      <c r="Z236" s="73">
        <f>INDEX('배치점수 계산기'!$AC$11:$AC$800,MATCH('       가 군       '!$C236,'배치점수 계산기'!$U$11:$U$800,0))</f>
        <v>0.3125</v>
      </c>
      <c r="AA236" s="63">
        <f>INDEX('배치점수 계산기'!$AD$11:$AD$800,MATCH('       가 군       '!$C236,'배치점수 계산기'!$U$11:$U$800,0))</f>
        <v>0.3125</v>
      </c>
      <c r="AE236" s="7">
        <v>229</v>
      </c>
    </row>
    <row r="237" spans="3:31" x14ac:dyDescent="0.3">
      <c r="C237" s="7" t="s">
        <v>1143</v>
      </c>
      <c r="D237" s="41" t="str">
        <f>IFERROR(INDEX('배치점수 계산기'!V$11:V$1000,MATCH($C237,'배치점수 계산기'!$U$11:$U$1000,0)),"")</f>
        <v>건국 통합1</v>
      </c>
      <c r="E237" s="41">
        <f>IFERROR(INDEX('배치점수 계산기'!W$11:W$1000,MATCH($C237,'배치점수 계산기'!$U$11:$U$1000,0)),"")</f>
        <v>45</v>
      </c>
      <c r="F237" s="113" t="s">
        <v>276</v>
      </c>
      <c r="G237" s="41" t="s">
        <v>708</v>
      </c>
      <c r="H237" s="41" t="s">
        <v>800</v>
      </c>
      <c r="I237" s="41" t="s">
        <v>275</v>
      </c>
      <c r="J237" s="41" t="str">
        <f t="shared" si="9"/>
        <v>X</v>
      </c>
      <c r="K237" s="113">
        <f>IFERROR(INDEX(환산공식!CI$16:CI$301,MATCH($E237,환산공식!$A$16:$A$301,0)),"")</f>
        <v>200</v>
      </c>
      <c r="L237" s="41" t="str">
        <f>IFERROR(CONCATENATE(ROUND(INDEX(환산공식!CJ$16:CJ$301,MATCH(E237,환산공식!$A$16:$A$301,0)),1),"%"),"")</f>
        <v>100%</v>
      </c>
      <c r="M237" s="41">
        <f>IFERROR(INDEX(환산공식!CK$16:CK$301,MATCH(E237,환산공식!$A$16:$A$301,0)),"")</f>
        <v>200</v>
      </c>
      <c r="N237" s="113" t="str">
        <f t="shared" si="10"/>
        <v>1% 이하</v>
      </c>
      <c r="O237" s="119">
        <f>IFERROR(ROUND(INDEX(환산공식!$EF$16:$EF$301,MATCH(E237,환산공식!$A$16:$A$301,0)),3),"")</f>
        <v>0</v>
      </c>
      <c r="P237" s="119">
        <f>IFERROR(ROUND(INDEX('배치점수 계산기'!M$11:M$1000,MATCH($C237,'배치점수 계산기'!$U$11:$U$1000,0)),2),"")</f>
        <v>889.98</v>
      </c>
      <c r="Q237" s="41">
        <f>IFERROR(ROUND(INDEX('배치점수 계산기'!N$11:N$1000,MATCH($C237,'배치점수 계산기'!$U$11:$U$1000,0)),2),"")</f>
        <v>888.95</v>
      </c>
      <c r="R237" s="41">
        <f>IFERROR(ROUND(INDEX('배치점수 계산기'!O$11:O$1000,MATCH($C237,'배치점수 계산기'!$U$11:$U$1000,0)),2),"")</f>
        <v>886.01</v>
      </c>
      <c r="S237" s="41">
        <f>IFERROR(ROUND(INDEX('배치점수 계산기'!P$11:P$1000,MATCH($C237,'배치점수 계산기'!$U$11:$U$1000,0)),2),"")</f>
        <v>882.54</v>
      </c>
      <c r="T237" s="41">
        <f>IFERROR(ROUND(INDEX('배치점수 계산기'!Q$11:Q$1000,MATCH($C237,'배치점수 계산기'!$U$11:$U$1000,0)),2),"")</f>
        <v>880.52</v>
      </c>
      <c r="U237" s="41">
        <f>IFERROR(INDEX(환산공식!$DC$16:$DC$301,MATCH(E237,환산공식!$A$16:$A$301,0)),"")</f>
        <v>0</v>
      </c>
      <c r="V237" s="113">
        <f t="shared" si="11"/>
        <v>6</v>
      </c>
      <c r="W237" s="110" t="str">
        <f>INDEX('배치점수 계산기'!$AG$11:$AG$800,MATCH('       가 군       '!$C237,'배치점수 계산기'!$U$11:$U$800,0))</f>
        <v>표점</v>
      </c>
      <c r="X237" s="108" t="str">
        <f>INDEX('배치점수 계산기'!$AH$11:$AH$800,MATCH('       가 군       '!$C237,'배치점수 계산기'!$U$11:$U$800,0))</f>
        <v>변표</v>
      </c>
      <c r="Y237" s="113">
        <f>INDEX('배치점수 계산기'!$AB$11:$AB$800,MATCH('       가 군       '!$C237,'배치점수 계산기'!$U$11:$U$800,0))</f>
        <v>0.375</v>
      </c>
      <c r="Z237" s="73">
        <f>INDEX('배치점수 계산기'!$AC$11:$AC$800,MATCH('       가 군       '!$C237,'배치점수 계산기'!$U$11:$U$800,0))</f>
        <v>0.3125</v>
      </c>
      <c r="AA237" s="63">
        <f>INDEX('배치점수 계산기'!$AD$11:$AD$800,MATCH('       가 군       '!$C237,'배치점수 계산기'!$U$11:$U$800,0))</f>
        <v>0.3125</v>
      </c>
      <c r="AE237" s="7">
        <v>230</v>
      </c>
    </row>
    <row r="238" spans="3:31" x14ac:dyDescent="0.3">
      <c r="C238" s="7" t="s">
        <v>1144</v>
      </c>
      <c r="D238" s="41" t="str">
        <f>IFERROR(INDEX('배치점수 계산기'!V$11:V$1000,MATCH($C238,'배치점수 계산기'!$U$11:$U$1000,0)),"")</f>
        <v>동국 자연</v>
      </c>
      <c r="E238" s="41">
        <f>IFERROR(INDEX('배치점수 계산기'!W$11:W$1000,MATCH($C238,'배치점수 계산기'!$U$11:$U$1000,0)),"")</f>
        <v>48</v>
      </c>
      <c r="F238" s="113" t="s">
        <v>276</v>
      </c>
      <c r="G238" s="41" t="s">
        <v>801</v>
      </c>
      <c r="H238" s="41" t="s">
        <v>256</v>
      </c>
      <c r="I238" s="41" t="s">
        <v>274</v>
      </c>
      <c r="J238" s="41" t="str">
        <f t="shared" si="9"/>
        <v>X</v>
      </c>
      <c r="K238" s="113">
        <f>IFERROR(INDEX(환산공식!CI$16:CI$301,MATCH($E238,환산공식!$A$16:$A$301,0)),"")</f>
        <v>200</v>
      </c>
      <c r="L238" s="41" t="str">
        <f>IFERROR(CONCATENATE(ROUND(INDEX(환산공식!CJ$16:CJ$301,MATCH(E238,환산공식!$A$16:$A$301,0)),1),"%"),"")</f>
        <v>100%</v>
      </c>
      <c r="M238" s="41">
        <f>IFERROR(INDEX(환산공식!CK$16:CK$301,MATCH(E238,환산공식!$A$16:$A$301,0)),"")</f>
        <v>50</v>
      </c>
      <c r="N238" s="113" t="str">
        <f t="shared" si="10"/>
        <v>1% 이하</v>
      </c>
      <c r="O238" s="119">
        <f>IFERROR(ROUND(INDEX(환산공식!$EF$16:$EF$301,MATCH(E238,환산공식!$A$16:$A$301,0)),3),"")</f>
        <v>0</v>
      </c>
      <c r="P238" s="119">
        <f>IFERROR(ROUND(INDEX('배치점수 계산기'!M$11:M$1000,MATCH($C238,'배치점수 계산기'!$U$11:$U$1000,0)),2),"")</f>
        <v>711.32</v>
      </c>
      <c r="Q238" s="41">
        <f>IFERROR(ROUND(INDEX('배치점수 계산기'!N$11:N$1000,MATCH($C238,'배치점수 계산기'!$U$11:$U$1000,0)),2),"")</f>
        <v>710.2</v>
      </c>
      <c r="R238" s="41">
        <f>IFERROR(ROUND(INDEX('배치점수 계산기'!O$11:O$1000,MATCH($C238,'배치점수 계산기'!$U$11:$U$1000,0)),2),"")</f>
        <v>709.09</v>
      </c>
      <c r="S238" s="41">
        <f>IFERROR(ROUND(INDEX('배치점수 계산기'!P$11:P$1000,MATCH($C238,'배치점수 계산기'!$U$11:$U$1000,0)),2),"")</f>
        <v>708.34</v>
      </c>
      <c r="T238" s="41">
        <f>IFERROR(ROUND(INDEX('배치점수 계산기'!Q$11:Q$1000,MATCH($C238,'배치점수 계산기'!$U$11:$U$1000,0)),2),"")</f>
        <v>707.38</v>
      </c>
      <c r="U238" s="41">
        <f>IFERROR(INDEX(환산공식!$DC$16:$DC$301,MATCH(E238,환산공식!$A$16:$A$301,0)),"")</f>
        <v>0</v>
      </c>
      <c r="V238" s="113">
        <f t="shared" si="11"/>
        <v>6</v>
      </c>
      <c r="W238" s="110" t="str">
        <f>INDEX('배치점수 계산기'!$AG$11:$AG$800,MATCH('       가 군       '!$C238,'배치점수 계산기'!$U$11:$U$800,0))</f>
        <v>표점</v>
      </c>
      <c r="X238" s="108" t="str">
        <f>INDEX('배치점수 계산기'!$AH$11:$AH$800,MATCH('       가 군       '!$C238,'배치점수 계산기'!$U$11:$U$800,0))</f>
        <v>변표</v>
      </c>
      <c r="Y238" s="113">
        <f>INDEX('배치점수 계산기'!$AB$11:$AB$800,MATCH('       가 군       '!$C238,'배치점수 계산기'!$U$11:$U$800,0))</f>
        <v>0.33333333333333331</v>
      </c>
      <c r="Z238" s="73">
        <f>INDEX('배치점수 계산기'!$AC$11:$AC$800,MATCH('       가 군       '!$C238,'배치점수 계산기'!$U$11:$U$800,0))</f>
        <v>0.4</v>
      </c>
      <c r="AA238" s="63">
        <f>INDEX('배치점수 계산기'!$AD$11:$AD$800,MATCH('       가 군       '!$C238,'배치점수 계산기'!$U$11:$U$800,0))</f>
        <v>0.26666666666666666</v>
      </c>
      <c r="AE238" s="7">
        <v>231</v>
      </c>
    </row>
    <row r="239" spans="3:31" x14ac:dyDescent="0.3">
      <c r="C239" s="7" t="s">
        <v>1146</v>
      </c>
      <c r="D239" s="41" t="str">
        <f>IFERROR(INDEX('배치점수 계산기'!V$11:V$1000,MATCH($C239,'배치점수 계산기'!$U$11:$U$1000,0)),"")</f>
        <v>동국 자연</v>
      </c>
      <c r="E239" s="41">
        <f>IFERROR(INDEX('배치점수 계산기'!W$11:W$1000,MATCH($C239,'배치점수 계산기'!$U$11:$U$1000,0)),"")</f>
        <v>48</v>
      </c>
      <c r="F239" s="113" t="s">
        <v>276</v>
      </c>
      <c r="G239" s="41" t="s">
        <v>801</v>
      </c>
      <c r="H239" s="41" t="s">
        <v>803</v>
      </c>
      <c r="I239" s="41" t="s">
        <v>274</v>
      </c>
      <c r="J239" s="41" t="str">
        <f t="shared" si="9"/>
        <v>X</v>
      </c>
      <c r="K239" s="113">
        <f>IFERROR(INDEX(환산공식!CI$16:CI$301,MATCH($E239,환산공식!$A$16:$A$301,0)),"")</f>
        <v>200</v>
      </c>
      <c r="L239" s="41" t="str">
        <f>IFERROR(CONCATENATE(ROUND(INDEX(환산공식!CJ$16:CJ$301,MATCH(E239,환산공식!$A$16:$A$301,0)),1),"%"),"")</f>
        <v>100%</v>
      </c>
      <c r="M239" s="41">
        <f>IFERROR(INDEX(환산공식!CK$16:CK$301,MATCH(E239,환산공식!$A$16:$A$301,0)),"")</f>
        <v>50</v>
      </c>
      <c r="N239" s="113" t="str">
        <f t="shared" si="10"/>
        <v>1% 이하</v>
      </c>
      <c r="O239" s="119">
        <f>IFERROR(ROUND(INDEX(환산공식!$EF$16:$EF$301,MATCH(E239,환산공식!$A$16:$A$301,0)),3),"")</f>
        <v>0</v>
      </c>
      <c r="P239" s="119">
        <f>IFERROR(ROUND(INDEX('배치점수 계산기'!M$11:M$1000,MATCH($C239,'배치점수 계산기'!$U$11:$U$1000,0)),2),"")</f>
        <v>712.98</v>
      </c>
      <c r="Q239" s="41">
        <f>IFERROR(ROUND(INDEX('배치점수 계산기'!N$11:N$1000,MATCH($C239,'배치점수 계산기'!$U$11:$U$1000,0)),2),"")</f>
        <v>712.14</v>
      </c>
      <c r="R239" s="41">
        <f>IFERROR(ROUND(INDEX('배치점수 계산기'!O$11:O$1000,MATCH($C239,'배치점수 계산기'!$U$11:$U$1000,0)),2),"")</f>
        <v>710.83</v>
      </c>
      <c r="S239" s="41">
        <f>IFERROR(ROUND(INDEX('배치점수 계산기'!P$11:P$1000,MATCH($C239,'배치점수 계산기'!$U$11:$U$1000,0)),2),"")</f>
        <v>709.97</v>
      </c>
      <c r="T239" s="41">
        <f>IFERROR(ROUND(INDEX('배치점수 계산기'!Q$11:Q$1000,MATCH($C239,'배치점수 계산기'!$U$11:$U$1000,0)),2),"")</f>
        <v>708.55</v>
      </c>
      <c r="U239" s="41">
        <f>IFERROR(INDEX(환산공식!$DC$16:$DC$301,MATCH(E239,환산공식!$A$16:$A$301,0)),"")</f>
        <v>0</v>
      </c>
      <c r="V239" s="113">
        <f t="shared" si="11"/>
        <v>6</v>
      </c>
      <c r="W239" s="110" t="str">
        <f>INDEX('배치점수 계산기'!$AG$11:$AG$800,MATCH('       가 군       '!$C239,'배치점수 계산기'!$U$11:$U$800,0))</f>
        <v>표점</v>
      </c>
      <c r="X239" s="108" t="str">
        <f>INDEX('배치점수 계산기'!$AH$11:$AH$800,MATCH('       가 군       '!$C239,'배치점수 계산기'!$U$11:$U$800,0))</f>
        <v>변표</v>
      </c>
      <c r="Y239" s="113">
        <f>INDEX('배치점수 계산기'!$AB$11:$AB$800,MATCH('       가 군       '!$C239,'배치점수 계산기'!$U$11:$U$800,0))</f>
        <v>0.33333333333333331</v>
      </c>
      <c r="Z239" s="73">
        <f>INDEX('배치점수 계산기'!$AC$11:$AC$800,MATCH('       가 군       '!$C239,'배치점수 계산기'!$U$11:$U$800,0))</f>
        <v>0.4</v>
      </c>
      <c r="AA239" s="63">
        <f>INDEX('배치점수 계산기'!$AD$11:$AD$800,MATCH('       가 군       '!$C239,'배치점수 계산기'!$U$11:$U$800,0))</f>
        <v>0.26666666666666666</v>
      </c>
      <c r="AE239" s="7">
        <v>232</v>
      </c>
    </row>
    <row r="240" spans="3:31" x14ac:dyDescent="0.3">
      <c r="C240" s="7" t="s">
        <v>1147</v>
      </c>
      <c r="D240" s="41" t="str">
        <f>IFERROR(INDEX('배치점수 계산기'!V$11:V$1000,MATCH($C240,'배치점수 계산기'!$U$11:$U$1000,0)),"")</f>
        <v>동국 자연</v>
      </c>
      <c r="E240" s="41">
        <f>IFERROR(INDEX('배치점수 계산기'!W$11:W$1000,MATCH($C240,'배치점수 계산기'!$U$11:$U$1000,0)),"")</f>
        <v>48</v>
      </c>
      <c r="F240" s="113" t="s">
        <v>276</v>
      </c>
      <c r="G240" s="41" t="s">
        <v>801</v>
      </c>
      <c r="H240" s="41" t="s">
        <v>804</v>
      </c>
      <c r="I240" s="41" t="s">
        <v>274</v>
      </c>
      <c r="J240" s="41" t="str">
        <f t="shared" si="9"/>
        <v>X</v>
      </c>
      <c r="K240" s="113">
        <f>IFERROR(INDEX(환산공식!CI$16:CI$301,MATCH($E240,환산공식!$A$16:$A$301,0)),"")</f>
        <v>200</v>
      </c>
      <c r="L240" s="41" t="str">
        <f>IFERROR(CONCATENATE(ROUND(INDEX(환산공식!CJ$16:CJ$301,MATCH(E240,환산공식!$A$16:$A$301,0)),1),"%"),"")</f>
        <v>100%</v>
      </c>
      <c r="M240" s="41">
        <f>IFERROR(INDEX(환산공식!CK$16:CK$301,MATCH(E240,환산공식!$A$16:$A$301,0)),"")</f>
        <v>50</v>
      </c>
      <c r="N240" s="113" t="str">
        <f t="shared" si="10"/>
        <v>1% 이하</v>
      </c>
      <c r="O240" s="119">
        <f>IFERROR(ROUND(INDEX(환산공식!$EF$16:$EF$301,MATCH(E240,환산공식!$A$16:$A$301,0)),3),"")</f>
        <v>0</v>
      </c>
      <c r="P240" s="119">
        <f>IFERROR(ROUND(INDEX('배치점수 계산기'!M$11:M$1000,MATCH($C240,'배치점수 계산기'!$U$11:$U$1000,0)),2),"")</f>
        <v>712.98</v>
      </c>
      <c r="Q240" s="41">
        <f>IFERROR(ROUND(INDEX('배치점수 계산기'!N$11:N$1000,MATCH($C240,'배치점수 계산기'!$U$11:$U$1000,0)),2),"")</f>
        <v>712.14</v>
      </c>
      <c r="R240" s="41">
        <f>IFERROR(ROUND(INDEX('배치점수 계산기'!O$11:O$1000,MATCH($C240,'배치점수 계산기'!$U$11:$U$1000,0)),2),"")</f>
        <v>710.83</v>
      </c>
      <c r="S240" s="41">
        <f>IFERROR(ROUND(INDEX('배치점수 계산기'!P$11:P$1000,MATCH($C240,'배치점수 계산기'!$U$11:$U$1000,0)),2),"")</f>
        <v>709.97</v>
      </c>
      <c r="T240" s="41">
        <f>IFERROR(ROUND(INDEX('배치점수 계산기'!Q$11:Q$1000,MATCH($C240,'배치점수 계산기'!$U$11:$U$1000,0)),2),"")</f>
        <v>707.86</v>
      </c>
      <c r="U240" s="41">
        <f>IFERROR(INDEX(환산공식!$DC$16:$DC$301,MATCH(E240,환산공식!$A$16:$A$301,0)),"")</f>
        <v>0</v>
      </c>
      <c r="V240" s="113">
        <f t="shared" si="11"/>
        <v>6</v>
      </c>
      <c r="W240" s="110" t="str">
        <f>INDEX('배치점수 계산기'!$AG$11:$AG$800,MATCH('       가 군       '!$C240,'배치점수 계산기'!$U$11:$U$800,0))</f>
        <v>표점</v>
      </c>
      <c r="X240" s="108" t="str">
        <f>INDEX('배치점수 계산기'!$AH$11:$AH$800,MATCH('       가 군       '!$C240,'배치점수 계산기'!$U$11:$U$800,0))</f>
        <v>변표</v>
      </c>
      <c r="Y240" s="113">
        <f>INDEX('배치점수 계산기'!$AB$11:$AB$800,MATCH('       가 군       '!$C240,'배치점수 계산기'!$U$11:$U$800,0))</f>
        <v>0.33333333333333331</v>
      </c>
      <c r="Z240" s="73">
        <f>INDEX('배치점수 계산기'!$AC$11:$AC$800,MATCH('       가 군       '!$C240,'배치점수 계산기'!$U$11:$U$800,0))</f>
        <v>0.4</v>
      </c>
      <c r="AA240" s="63">
        <f>INDEX('배치점수 계산기'!$AD$11:$AD$800,MATCH('       가 군       '!$C240,'배치점수 계산기'!$U$11:$U$800,0))</f>
        <v>0.26666666666666666</v>
      </c>
      <c r="AE240" s="7">
        <v>233</v>
      </c>
    </row>
    <row r="241" spans="3:31" x14ac:dyDescent="0.3">
      <c r="C241" s="7" t="s">
        <v>1148</v>
      </c>
      <c r="D241" s="41" t="str">
        <f>IFERROR(INDEX('배치점수 계산기'!V$11:V$1000,MATCH($C241,'배치점수 계산기'!$U$11:$U$1000,0)),"")</f>
        <v>동국 자연</v>
      </c>
      <c r="E241" s="41">
        <f>IFERROR(INDEX('배치점수 계산기'!W$11:W$1000,MATCH($C241,'배치점수 계산기'!$U$11:$U$1000,0)),"")</f>
        <v>48</v>
      </c>
      <c r="F241" s="113" t="s">
        <v>276</v>
      </c>
      <c r="G241" s="41" t="s">
        <v>801</v>
      </c>
      <c r="H241" s="41" t="s">
        <v>281</v>
      </c>
      <c r="I241" s="41" t="s">
        <v>274</v>
      </c>
      <c r="J241" s="41" t="str">
        <f t="shared" si="9"/>
        <v>X</v>
      </c>
      <c r="K241" s="113">
        <f>IFERROR(INDEX(환산공식!CI$16:CI$301,MATCH($E241,환산공식!$A$16:$A$301,0)),"")</f>
        <v>200</v>
      </c>
      <c r="L241" s="41" t="str">
        <f>IFERROR(CONCATENATE(ROUND(INDEX(환산공식!CJ$16:CJ$301,MATCH(E241,환산공식!$A$16:$A$301,0)),1),"%"),"")</f>
        <v>100%</v>
      </c>
      <c r="M241" s="41">
        <f>IFERROR(INDEX(환산공식!CK$16:CK$301,MATCH(E241,환산공식!$A$16:$A$301,0)),"")</f>
        <v>50</v>
      </c>
      <c r="N241" s="113" t="str">
        <f t="shared" si="10"/>
        <v>1% 이하</v>
      </c>
      <c r="O241" s="119">
        <f>IFERROR(ROUND(INDEX(환산공식!$EF$16:$EF$301,MATCH(E241,환산공식!$A$16:$A$301,0)),3),"")</f>
        <v>0</v>
      </c>
      <c r="P241" s="119">
        <f>IFERROR(ROUND(INDEX('배치점수 계산기'!M$11:M$1000,MATCH($C241,'배치점수 계산기'!$U$11:$U$1000,0)),2),"")</f>
        <v>712.98</v>
      </c>
      <c r="Q241" s="41">
        <f>IFERROR(ROUND(INDEX('배치점수 계산기'!N$11:N$1000,MATCH($C241,'배치점수 계산기'!$U$11:$U$1000,0)),2),"")</f>
        <v>712.14</v>
      </c>
      <c r="R241" s="41">
        <f>IFERROR(ROUND(INDEX('배치점수 계산기'!O$11:O$1000,MATCH($C241,'배치점수 계산기'!$U$11:$U$1000,0)),2),"")</f>
        <v>710.83</v>
      </c>
      <c r="S241" s="41">
        <f>IFERROR(ROUND(INDEX('배치점수 계산기'!P$11:P$1000,MATCH($C241,'배치점수 계산기'!$U$11:$U$1000,0)),2),"")</f>
        <v>709.97</v>
      </c>
      <c r="T241" s="41">
        <f>IFERROR(ROUND(INDEX('배치점수 계산기'!Q$11:Q$1000,MATCH($C241,'배치점수 계산기'!$U$11:$U$1000,0)),2),"")</f>
        <v>708.55</v>
      </c>
      <c r="U241" s="41">
        <f>IFERROR(INDEX(환산공식!$DC$16:$DC$301,MATCH(E241,환산공식!$A$16:$A$301,0)),"")</f>
        <v>0</v>
      </c>
      <c r="V241" s="113">
        <f t="shared" si="11"/>
        <v>6</v>
      </c>
      <c r="W241" s="110" t="str">
        <f>INDEX('배치점수 계산기'!$AG$11:$AG$800,MATCH('       가 군       '!$C241,'배치점수 계산기'!$U$11:$U$800,0))</f>
        <v>표점</v>
      </c>
      <c r="X241" s="108" t="str">
        <f>INDEX('배치점수 계산기'!$AH$11:$AH$800,MATCH('       가 군       '!$C241,'배치점수 계산기'!$U$11:$U$800,0))</f>
        <v>변표</v>
      </c>
      <c r="Y241" s="113">
        <f>INDEX('배치점수 계산기'!$AB$11:$AB$800,MATCH('       가 군       '!$C241,'배치점수 계산기'!$U$11:$U$800,0))</f>
        <v>0.33333333333333331</v>
      </c>
      <c r="Z241" s="73">
        <f>INDEX('배치점수 계산기'!$AC$11:$AC$800,MATCH('       가 군       '!$C241,'배치점수 계산기'!$U$11:$U$800,0))</f>
        <v>0.4</v>
      </c>
      <c r="AA241" s="63">
        <f>INDEX('배치점수 계산기'!$AD$11:$AD$800,MATCH('       가 군       '!$C241,'배치점수 계산기'!$U$11:$U$800,0))</f>
        <v>0.26666666666666666</v>
      </c>
      <c r="AE241" s="7">
        <v>234</v>
      </c>
    </row>
    <row r="242" spans="3:31" x14ac:dyDescent="0.3">
      <c r="C242" s="7" t="s">
        <v>1149</v>
      </c>
      <c r="D242" s="41" t="str">
        <f>IFERROR(INDEX('배치점수 계산기'!V$11:V$1000,MATCH($C242,'배치점수 계산기'!$U$11:$U$1000,0)),"")</f>
        <v>동국 자연</v>
      </c>
      <c r="E242" s="41">
        <f>IFERROR(INDEX('배치점수 계산기'!W$11:W$1000,MATCH($C242,'배치점수 계산기'!$U$11:$U$1000,0)),"")</f>
        <v>48</v>
      </c>
      <c r="F242" s="113" t="s">
        <v>276</v>
      </c>
      <c r="G242" s="41" t="s">
        <v>801</v>
      </c>
      <c r="H242" s="41" t="s">
        <v>255</v>
      </c>
      <c r="I242" s="41" t="s">
        <v>274</v>
      </c>
      <c r="J242" s="41" t="str">
        <f t="shared" si="9"/>
        <v>X</v>
      </c>
      <c r="K242" s="113">
        <f>IFERROR(INDEX(환산공식!CI$16:CI$301,MATCH($E242,환산공식!$A$16:$A$301,0)),"")</f>
        <v>200</v>
      </c>
      <c r="L242" s="41" t="str">
        <f>IFERROR(CONCATENATE(ROUND(INDEX(환산공식!CJ$16:CJ$301,MATCH(E242,환산공식!$A$16:$A$301,0)),1),"%"),"")</f>
        <v>100%</v>
      </c>
      <c r="M242" s="41">
        <f>IFERROR(INDEX(환산공식!CK$16:CK$301,MATCH(E242,환산공식!$A$16:$A$301,0)),"")</f>
        <v>50</v>
      </c>
      <c r="N242" s="113" t="str">
        <f t="shared" si="10"/>
        <v>1% 이하</v>
      </c>
      <c r="O242" s="119">
        <f>IFERROR(ROUND(INDEX(환산공식!$EF$16:$EF$301,MATCH(E242,환산공식!$A$16:$A$301,0)),3),"")</f>
        <v>0</v>
      </c>
      <c r="P242" s="119">
        <f>IFERROR(ROUND(INDEX('배치점수 계산기'!M$11:M$1000,MATCH($C242,'배치점수 계산기'!$U$11:$U$1000,0)),2),"")</f>
        <v>712.14</v>
      </c>
      <c r="Q242" s="41">
        <f>IFERROR(ROUND(INDEX('배치점수 계산기'!N$11:N$1000,MATCH($C242,'배치점수 계산기'!$U$11:$U$1000,0)),2),"")</f>
        <v>710.83</v>
      </c>
      <c r="R242" s="41">
        <f>IFERROR(ROUND(INDEX('배치점수 계산기'!O$11:O$1000,MATCH($C242,'배치점수 계산기'!$U$11:$U$1000,0)),2),"")</f>
        <v>709.75</v>
      </c>
      <c r="S242" s="41">
        <f>IFERROR(ROUND(INDEX('배치점수 계산기'!P$11:P$1000,MATCH($C242,'배치점수 계산기'!$U$11:$U$1000,0)),2),"")</f>
        <v>708.82</v>
      </c>
      <c r="T242" s="41">
        <f>IFERROR(ROUND(INDEX('배치점수 계산기'!Q$11:Q$1000,MATCH($C242,'배치점수 계산기'!$U$11:$U$1000,0)),2),"")</f>
        <v>707.86</v>
      </c>
      <c r="U242" s="41">
        <f>IFERROR(INDEX(환산공식!$DC$16:$DC$301,MATCH(E242,환산공식!$A$16:$A$301,0)),"")</f>
        <v>0</v>
      </c>
      <c r="V242" s="113">
        <f t="shared" si="11"/>
        <v>6</v>
      </c>
      <c r="W242" s="110" t="str">
        <f>INDEX('배치점수 계산기'!$AG$11:$AG$800,MATCH('       가 군       '!$C242,'배치점수 계산기'!$U$11:$U$800,0))</f>
        <v>표점</v>
      </c>
      <c r="X242" s="108" t="str">
        <f>INDEX('배치점수 계산기'!$AH$11:$AH$800,MATCH('       가 군       '!$C242,'배치점수 계산기'!$U$11:$U$800,0))</f>
        <v>변표</v>
      </c>
      <c r="Y242" s="113">
        <f>INDEX('배치점수 계산기'!$AB$11:$AB$800,MATCH('       가 군       '!$C242,'배치점수 계산기'!$U$11:$U$800,0))</f>
        <v>0.33333333333333331</v>
      </c>
      <c r="Z242" s="73">
        <f>INDEX('배치점수 계산기'!$AC$11:$AC$800,MATCH('       가 군       '!$C242,'배치점수 계산기'!$U$11:$U$800,0))</f>
        <v>0.4</v>
      </c>
      <c r="AA242" s="63">
        <f>INDEX('배치점수 계산기'!$AD$11:$AD$800,MATCH('       가 군       '!$C242,'배치점수 계산기'!$U$11:$U$800,0))</f>
        <v>0.26666666666666666</v>
      </c>
      <c r="AE242" s="7">
        <v>235</v>
      </c>
    </row>
    <row r="243" spans="3:31" x14ac:dyDescent="0.3">
      <c r="C243" s="7" t="s">
        <v>1150</v>
      </c>
      <c r="D243" s="41" t="str">
        <f>IFERROR(INDEX('배치점수 계산기'!V$11:V$1000,MATCH($C243,'배치점수 계산기'!$U$11:$U$1000,0)),"")</f>
        <v>동국 자연</v>
      </c>
      <c r="E243" s="41">
        <f>IFERROR(INDEX('배치점수 계산기'!W$11:W$1000,MATCH($C243,'배치점수 계산기'!$U$11:$U$1000,0)),"")</f>
        <v>48</v>
      </c>
      <c r="F243" s="113" t="s">
        <v>276</v>
      </c>
      <c r="G243" s="41" t="s">
        <v>801</v>
      </c>
      <c r="H243" s="41" t="s">
        <v>805</v>
      </c>
      <c r="I243" s="41" t="s">
        <v>274</v>
      </c>
      <c r="J243" s="41" t="str">
        <f t="shared" si="9"/>
        <v>X</v>
      </c>
      <c r="K243" s="113">
        <f>IFERROR(INDEX(환산공식!CI$16:CI$301,MATCH($E243,환산공식!$A$16:$A$301,0)),"")</f>
        <v>200</v>
      </c>
      <c r="L243" s="41" t="str">
        <f>IFERROR(CONCATENATE(ROUND(INDEX(환산공식!CJ$16:CJ$301,MATCH(E243,환산공식!$A$16:$A$301,0)),1),"%"),"")</f>
        <v>100%</v>
      </c>
      <c r="M243" s="41">
        <f>IFERROR(INDEX(환산공식!CK$16:CK$301,MATCH(E243,환산공식!$A$16:$A$301,0)),"")</f>
        <v>50</v>
      </c>
      <c r="N243" s="113" t="str">
        <f t="shared" si="10"/>
        <v>1% 이하</v>
      </c>
      <c r="O243" s="119">
        <f>IFERROR(ROUND(INDEX(환산공식!$EF$16:$EF$301,MATCH(E243,환산공식!$A$16:$A$301,0)),3),"")</f>
        <v>0</v>
      </c>
      <c r="P243" s="119">
        <f>IFERROR(ROUND(INDEX('배치점수 계산기'!M$11:M$1000,MATCH($C243,'배치점수 계산기'!$U$11:$U$1000,0)),2),"")</f>
        <v>711.32</v>
      </c>
      <c r="Q243" s="41">
        <f>IFERROR(ROUND(INDEX('배치점수 계산기'!N$11:N$1000,MATCH($C243,'배치점수 계산기'!$U$11:$U$1000,0)),2),"")</f>
        <v>710.2</v>
      </c>
      <c r="R243" s="41">
        <f>IFERROR(ROUND(INDEX('배치점수 계산기'!O$11:O$1000,MATCH($C243,'배치점수 계산기'!$U$11:$U$1000,0)),2),"")</f>
        <v>709.09</v>
      </c>
      <c r="S243" s="41">
        <f>IFERROR(ROUND(INDEX('배치점수 계산기'!P$11:P$1000,MATCH($C243,'배치점수 계산기'!$U$11:$U$1000,0)),2),"")</f>
        <v>707.86</v>
      </c>
      <c r="T243" s="41">
        <f>IFERROR(ROUND(INDEX('배치점수 계산기'!Q$11:Q$1000,MATCH($C243,'배치점수 계산기'!$U$11:$U$1000,0)),2),"")</f>
        <v>706.77</v>
      </c>
      <c r="U243" s="41">
        <f>IFERROR(INDEX(환산공식!$DC$16:$DC$301,MATCH(E243,환산공식!$A$16:$A$301,0)),"")</f>
        <v>0</v>
      </c>
      <c r="V243" s="113">
        <f t="shared" si="11"/>
        <v>6</v>
      </c>
      <c r="W243" s="110" t="str">
        <f>INDEX('배치점수 계산기'!$AG$11:$AG$800,MATCH('       가 군       '!$C243,'배치점수 계산기'!$U$11:$U$800,0))</f>
        <v>표점</v>
      </c>
      <c r="X243" s="108" t="str">
        <f>INDEX('배치점수 계산기'!$AH$11:$AH$800,MATCH('       가 군       '!$C243,'배치점수 계산기'!$U$11:$U$800,0))</f>
        <v>변표</v>
      </c>
      <c r="Y243" s="113">
        <f>INDEX('배치점수 계산기'!$AB$11:$AB$800,MATCH('       가 군       '!$C243,'배치점수 계산기'!$U$11:$U$800,0))</f>
        <v>0.33333333333333331</v>
      </c>
      <c r="Z243" s="73">
        <f>INDEX('배치점수 계산기'!$AC$11:$AC$800,MATCH('       가 군       '!$C243,'배치점수 계산기'!$U$11:$U$800,0))</f>
        <v>0.4</v>
      </c>
      <c r="AA243" s="63">
        <f>INDEX('배치점수 계산기'!$AD$11:$AD$800,MATCH('       가 군       '!$C243,'배치점수 계산기'!$U$11:$U$800,0))</f>
        <v>0.26666666666666666</v>
      </c>
      <c r="AE243" s="7">
        <v>236</v>
      </c>
    </row>
    <row r="244" spans="3:31" x14ac:dyDescent="0.3">
      <c r="C244" s="7" t="s">
        <v>1151</v>
      </c>
      <c r="D244" s="41" t="str">
        <f>IFERROR(INDEX('배치점수 계산기'!V$11:V$1000,MATCH($C244,'배치점수 계산기'!$U$11:$U$1000,0)),"")</f>
        <v>동국 자연</v>
      </c>
      <c r="E244" s="41">
        <f>IFERROR(INDEX('배치점수 계산기'!W$11:W$1000,MATCH($C244,'배치점수 계산기'!$U$11:$U$1000,0)),"")</f>
        <v>48</v>
      </c>
      <c r="F244" s="113" t="s">
        <v>276</v>
      </c>
      <c r="G244" s="41" t="s">
        <v>801</v>
      </c>
      <c r="H244" s="41" t="s">
        <v>807</v>
      </c>
      <c r="I244" s="41" t="s">
        <v>274</v>
      </c>
      <c r="J244" s="41" t="str">
        <f t="shared" si="9"/>
        <v>X</v>
      </c>
      <c r="K244" s="113">
        <f>IFERROR(INDEX(환산공식!CI$16:CI$301,MATCH($E244,환산공식!$A$16:$A$301,0)),"")</f>
        <v>200</v>
      </c>
      <c r="L244" s="41" t="str">
        <f>IFERROR(CONCATENATE(ROUND(INDEX(환산공식!CJ$16:CJ$301,MATCH(E244,환산공식!$A$16:$A$301,0)),1),"%"),"")</f>
        <v>100%</v>
      </c>
      <c r="M244" s="41">
        <f>IFERROR(INDEX(환산공식!CK$16:CK$301,MATCH(E244,환산공식!$A$16:$A$301,0)),"")</f>
        <v>50</v>
      </c>
      <c r="N244" s="113" t="str">
        <f t="shared" si="10"/>
        <v>1% 이하</v>
      </c>
      <c r="O244" s="119">
        <f>IFERROR(ROUND(INDEX(환산공식!$EF$16:$EF$301,MATCH(E244,환산공식!$A$16:$A$301,0)),3),"")</f>
        <v>0</v>
      </c>
      <c r="P244" s="119">
        <f>IFERROR(ROUND(INDEX('배치점수 계산기'!M$11:M$1000,MATCH($C244,'배치점수 계산기'!$U$11:$U$1000,0)),2),"")</f>
        <v>712.14</v>
      </c>
      <c r="Q244" s="41">
        <f>IFERROR(ROUND(INDEX('배치점수 계산기'!N$11:N$1000,MATCH($C244,'배치점수 계산기'!$U$11:$U$1000,0)),2),"")</f>
        <v>710.83</v>
      </c>
      <c r="R244" s="41">
        <f>IFERROR(ROUND(INDEX('배치점수 계산기'!O$11:O$1000,MATCH($C244,'배치점수 계산기'!$U$11:$U$1000,0)),2),"")</f>
        <v>709.09</v>
      </c>
      <c r="S244" s="41">
        <f>IFERROR(ROUND(INDEX('배치점수 계산기'!P$11:P$1000,MATCH($C244,'배치점수 계산기'!$U$11:$U$1000,0)),2),"")</f>
        <v>707.86</v>
      </c>
      <c r="T244" s="41">
        <f>IFERROR(ROUND(INDEX('배치점수 계산기'!Q$11:Q$1000,MATCH($C244,'배치점수 계산기'!$U$11:$U$1000,0)),2),"")</f>
        <v>706.77</v>
      </c>
      <c r="U244" s="41">
        <f>IFERROR(INDEX(환산공식!$DC$16:$DC$301,MATCH(E244,환산공식!$A$16:$A$301,0)),"")</f>
        <v>0</v>
      </c>
      <c r="V244" s="113">
        <f t="shared" si="11"/>
        <v>6</v>
      </c>
      <c r="W244" s="110" t="str">
        <f>INDEX('배치점수 계산기'!$AG$11:$AG$800,MATCH('       가 군       '!$C244,'배치점수 계산기'!$U$11:$U$800,0))</f>
        <v>표점</v>
      </c>
      <c r="X244" s="108" t="str">
        <f>INDEX('배치점수 계산기'!$AH$11:$AH$800,MATCH('       가 군       '!$C244,'배치점수 계산기'!$U$11:$U$800,0))</f>
        <v>변표</v>
      </c>
      <c r="Y244" s="113">
        <f>INDEX('배치점수 계산기'!$AB$11:$AB$800,MATCH('       가 군       '!$C244,'배치점수 계산기'!$U$11:$U$800,0))</f>
        <v>0.33333333333333331</v>
      </c>
      <c r="Z244" s="73">
        <f>INDEX('배치점수 계산기'!$AC$11:$AC$800,MATCH('       가 군       '!$C244,'배치점수 계산기'!$U$11:$U$800,0))</f>
        <v>0.4</v>
      </c>
      <c r="AA244" s="63">
        <f>INDEX('배치점수 계산기'!$AD$11:$AD$800,MATCH('       가 군       '!$C244,'배치점수 계산기'!$U$11:$U$800,0))</f>
        <v>0.26666666666666666</v>
      </c>
      <c r="AE244" s="7">
        <v>237</v>
      </c>
    </row>
    <row r="245" spans="3:31" x14ac:dyDescent="0.3">
      <c r="C245" s="7" t="s">
        <v>1152</v>
      </c>
      <c r="D245" s="41" t="str">
        <f>IFERROR(INDEX('배치점수 계산기'!V$11:V$1000,MATCH($C245,'배치점수 계산기'!$U$11:$U$1000,0)),"")</f>
        <v>동국 자연</v>
      </c>
      <c r="E245" s="41">
        <f>IFERROR(INDEX('배치점수 계산기'!W$11:W$1000,MATCH($C245,'배치점수 계산기'!$U$11:$U$1000,0)),"")</f>
        <v>48</v>
      </c>
      <c r="F245" s="113" t="s">
        <v>276</v>
      </c>
      <c r="G245" s="41" t="s">
        <v>801</v>
      </c>
      <c r="H245" s="41" t="s">
        <v>809</v>
      </c>
      <c r="I245" s="41" t="s">
        <v>274</v>
      </c>
      <c r="J245" s="41" t="str">
        <f t="shared" si="9"/>
        <v>X</v>
      </c>
      <c r="K245" s="113">
        <f>IFERROR(INDEX(환산공식!CI$16:CI$301,MATCH($E245,환산공식!$A$16:$A$301,0)),"")</f>
        <v>200</v>
      </c>
      <c r="L245" s="41" t="str">
        <f>IFERROR(CONCATENATE(ROUND(INDEX(환산공식!CJ$16:CJ$301,MATCH(E245,환산공식!$A$16:$A$301,0)),1),"%"),"")</f>
        <v>100%</v>
      </c>
      <c r="M245" s="41">
        <f>IFERROR(INDEX(환산공식!CK$16:CK$301,MATCH(E245,환산공식!$A$16:$A$301,0)),"")</f>
        <v>50</v>
      </c>
      <c r="N245" s="113" t="str">
        <f t="shared" si="10"/>
        <v>1% 이하</v>
      </c>
      <c r="O245" s="119">
        <f>IFERROR(ROUND(INDEX(환산공식!$EF$16:$EF$301,MATCH(E245,환산공식!$A$16:$A$301,0)),3),"")</f>
        <v>0</v>
      </c>
      <c r="P245" s="119">
        <f>IFERROR(ROUND(INDEX('배치점수 계산기'!M$11:M$1000,MATCH($C245,'배치점수 계산기'!$U$11:$U$1000,0)),2),"")</f>
        <v>711.32</v>
      </c>
      <c r="Q245" s="41">
        <f>IFERROR(ROUND(INDEX('배치점수 계산기'!N$11:N$1000,MATCH($C245,'배치점수 계산기'!$U$11:$U$1000,0)),2),"")</f>
        <v>710.2</v>
      </c>
      <c r="R245" s="41">
        <f>IFERROR(ROUND(INDEX('배치점수 계산기'!O$11:O$1000,MATCH($C245,'배치점수 계산기'!$U$11:$U$1000,0)),2),"")</f>
        <v>709.09</v>
      </c>
      <c r="S245" s="41">
        <f>IFERROR(ROUND(INDEX('배치점수 계산기'!P$11:P$1000,MATCH($C245,'배치점수 계산기'!$U$11:$U$1000,0)),2),"")</f>
        <v>707.86</v>
      </c>
      <c r="T245" s="41">
        <f>IFERROR(ROUND(INDEX('배치점수 계산기'!Q$11:Q$1000,MATCH($C245,'배치점수 계산기'!$U$11:$U$1000,0)),2),"")</f>
        <v>706.77</v>
      </c>
      <c r="U245" s="41">
        <f>IFERROR(INDEX(환산공식!$DC$16:$DC$301,MATCH(E245,환산공식!$A$16:$A$301,0)),"")</f>
        <v>0</v>
      </c>
      <c r="V245" s="113">
        <f t="shared" si="11"/>
        <v>6</v>
      </c>
      <c r="W245" s="110" t="str">
        <f>INDEX('배치점수 계산기'!$AG$11:$AG$800,MATCH('       가 군       '!$C245,'배치점수 계산기'!$U$11:$U$800,0))</f>
        <v>표점</v>
      </c>
      <c r="X245" s="108" t="str">
        <f>INDEX('배치점수 계산기'!$AH$11:$AH$800,MATCH('       가 군       '!$C245,'배치점수 계산기'!$U$11:$U$800,0))</f>
        <v>변표</v>
      </c>
      <c r="Y245" s="113">
        <f>INDEX('배치점수 계산기'!$AB$11:$AB$800,MATCH('       가 군       '!$C245,'배치점수 계산기'!$U$11:$U$800,0))</f>
        <v>0.33333333333333331</v>
      </c>
      <c r="Z245" s="73">
        <f>INDEX('배치점수 계산기'!$AC$11:$AC$800,MATCH('       가 군       '!$C245,'배치점수 계산기'!$U$11:$U$800,0))</f>
        <v>0.4</v>
      </c>
      <c r="AA245" s="63">
        <f>INDEX('배치점수 계산기'!$AD$11:$AD$800,MATCH('       가 군       '!$C245,'배치점수 계산기'!$U$11:$U$800,0))</f>
        <v>0.26666666666666666</v>
      </c>
      <c r="AE245" s="7">
        <v>238</v>
      </c>
    </row>
    <row r="246" spans="3:31" x14ac:dyDescent="0.3">
      <c r="C246" s="7" t="s">
        <v>1153</v>
      </c>
      <c r="D246" s="41" t="str">
        <f>IFERROR(INDEX('배치점수 계산기'!V$11:V$1000,MATCH($C246,'배치점수 계산기'!$U$11:$U$1000,0)),"")</f>
        <v>동국 자연</v>
      </c>
      <c r="E246" s="41">
        <f>IFERROR(INDEX('배치점수 계산기'!W$11:W$1000,MATCH($C246,'배치점수 계산기'!$U$11:$U$1000,0)),"")</f>
        <v>48</v>
      </c>
      <c r="F246" s="113" t="s">
        <v>276</v>
      </c>
      <c r="G246" s="41" t="s">
        <v>801</v>
      </c>
      <c r="H246" s="41" t="s">
        <v>810</v>
      </c>
      <c r="I246" s="41" t="s">
        <v>274</v>
      </c>
      <c r="J246" s="41" t="str">
        <f t="shared" si="9"/>
        <v>X</v>
      </c>
      <c r="K246" s="113">
        <f>IFERROR(INDEX(환산공식!CI$16:CI$301,MATCH($E246,환산공식!$A$16:$A$301,0)),"")</f>
        <v>200</v>
      </c>
      <c r="L246" s="41" t="str">
        <f>IFERROR(CONCATENATE(ROUND(INDEX(환산공식!CJ$16:CJ$301,MATCH(E246,환산공식!$A$16:$A$301,0)),1),"%"),"")</f>
        <v>100%</v>
      </c>
      <c r="M246" s="41">
        <f>IFERROR(INDEX(환산공식!CK$16:CK$301,MATCH(E246,환산공식!$A$16:$A$301,0)),"")</f>
        <v>50</v>
      </c>
      <c r="N246" s="113" t="str">
        <f t="shared" si="10"/>
        <v>1% 이하</v>
      </c>
      <c r="O246" s="119">
        <f>IFERROR(ROUND(INDEX(환산공식!$EF$16:$EF$301,MATCH(E246,환산공식!$A$16:$A$301,0)),3),"")</f>
        <v>0</v>
      </c>
      <c r="P246" s="119">
        <f>IFERROR(ROUND(INDEX('배치점수 계산기'!M$11:M$1000,MATCH($C246,'배치점수 계산기'!$U$11:$U$1000,0)),2),"")</f>
        <v>712.98</v>
      </c>
      <c r="Q246" s="41">
        <f>IFERROR(ROUND(INDEX('배치점수 계산기'!N$11:N$1000,MATCH($C246,'배치점수 계산기'!$U$11:$U$1000,0)),2),"")</f>
        <v>712.14</v>
      </c>
      <c r="R246" s="41">
        <f>IFERROR(ROUND(INDEX('배치점수 계산기'!O$11:O$1000,MATCH($C246,'배치점수 계산기'!$U$11:$U$1000,0)),2),"")</f>
        <v>710.83</v>
      </c>
      <c r="S246" s="41">
        <f>IFERROR(ROUND(INDEX('배치점수 계산기'!P$11:P$1000,MATCH($C246,'배치점수 계산기'!$U$11:$U$1000,0)),2),"")</f>
        <v>709.97</v>
      </c>
      <c r="T246" s="41">
        <f>IFERROR(ROUND(INDEX('배치점수 계산기'!Q$11:Q$1000,MATCH($C246,'배치점수 계산기'!$U$11:$U$1000,0)),2),"")</f>
        <v>708.55</v>
      </c>
      <c r="U246" s="41">
        <f>IFERROR(INDEX(환산공식!$DC$16:$DC$301,MATCH(E246,환산공식!$A$16:$A$301,0)),"")</f>
        <v>0</v>
      </c>
      <c r="V246" s="113">
        <f t="shared" si="11"/>
        <v>6</v>
      </c>
      <c r="W246" s="110" t="str">
        <f>INDEX('배치점수 계산기'!$AG$11:$AG$800,MATCH('       가 군       '!$C246,'배치점수 계산기'!$U$11:$U$800,0))</f>
        <v>표점</v>
      </c>
      <c r="X246" s="108" t="str">
        <f>INDEX('배치점수 계산기'!$AH$11:$AH$800,MATCH('       가 군       '!$C246,'배치점수 계산기'!$U$11:$U$800,0))</f>
        <v>변표</v>
      </c>
      <c r="Y246" s="113">
        <f>INDEX('배치점수 계산기'!$AB$11:$AB$800,MATCH('       가 군       '!$C246,'배치점수 계산기'!$U$11:$U$800,0))</f>
        <v>0.33333333333333331</v>
      </c>
      <c r="Z246" s="73">
        <f>INDEX('배치점수 계산기'!$AC$11:$AC$800,MATCH('       가 군       '!$C246,'배치점수 계산기'!$U$11:$U$800,0))</f>
        <v>0.4</v>
      </c>
      <c r="AA246" s="63">
        <f>INDEX('배치점수 계산기'!$AD$11:$AD$800,MATCH('       가 군       '!$C246,'배치점수 계산기'!$U$11:$U$800,0))</f>
        <v>0.26666666666666666</v>
      </c>
      <c r="AE246" s="7">
        <v>239</v>
      </c>
    </row>
    <row r="247" spans="3:31" x14ac:dyDescent="0.3">
      <c r="C247" s="7" t="s">
        <v>1154</v>
      </c>
      <c r="D247" s="41" t="str">
        <f>IFERROR(INDEX('배치점수 계산기'!V$11:V$1000,MATCH($C247,'배치점수 계산기'!$U$11:$U$1000,0)),"")</f>
        <v>동국 통합</v>
      </c>
      <c r="E247" s="41">
        <f>IFERROR(INDEX('배치점수 계산기'!W$11:W$1000,MATCH($C247,'배치점수 계산기'!$U$11:$U$1000,0)),"")</f>
        <v>49</v>
      </c>
      <c r="F247" s="113" t="s">
        <v>276</v>
      </c>
      <c r="G247" s="41" t="s">
        <v>801</v>
      </c>
      <c r="H247" s="41" t="s">
        <v>811</v>
      </c>
      <c r="I247" s="41" t="s">
        <v>275</v>
      </c>
      <c r="J247" s="41" t="str">
        <f t="shared" si="9"/>
        <v>X</v>
      </c>
      <c r="K247" s="113">
        <f>IFERROR(INDEX(환산공식!CI$16:CI$301,MATCH($E247,환산공식!$A$16:$A$301,0)),"")</f>
        <v>200</v>
      </c>
      <c r="L247" s="41" t="str">
        <f>IFERROR(CONCATENATE(ROUND(INDEX(환산공식!CJ$16:CJ$301,MATCH(E247,환산공식!$A$16:$A$301,0)),1),"%"),"")</f>
        <v>100%</v>
      </c>
      <c r="M247" s="41">
        <f>IFERROR(INDEX(환산공식!CK$16:CK$301,MATCH(E247,환산공식!$A$16:$A$301,0)),"")</f>
        <v>50</v>
      </c>
      <c r="N247" s="113" t="str">
        <f t="shared" si="10"/>
        <v>1% 이하</v>
      </c>
      <c r="O247" s="119">
        <f>IFERROR(ROUND(INDEX(환산공식!$EF$16:$EF$301,MATCH(E247,환산공식!$A$16:$A$301,0)),3),"")</f>
        <v>0</v>
      </c>
      <c r="P247" s="119">
        <f>IFERROR(ROUND(INDEX('배치점수 계산기'!M$11:M$1000,MATCH($C247,'배치점수 계산기'!$U$11:$U$1000,0)),2),"")</f>
        <v>717.9</v>
      </c>
      <c r="Q247" s="41">
        <f>IFERROR(ROUND(INDEX('배치점수 계산기'!N$11:N$1000,MATCH($C247,'배치점수 계산기'!$U$11:$U$1000,0)),2),"")</f>
        <v>716.98</v>
      </c>
      <c r="R247" s="41">
        <f>IFERROR(ROUND(INDEX('배치점수 계산기'!O$11:O$1000,MATCH($C247,'배치점수 계산기'!$U$11:$U$1000,0)),2),"")</f>
        <v>714.3</v>
      </c>
      <c r="S247" s="41">
        <f>IFERROR(ROUND(INDEX('배치점수 계산기'!P$11:P$1000,MATCH($C247,'배치점수 계산기'!$U$11:$U$1000,0)),2),"")</f>
        <v>711.71</v>
      </c>
      <c r="T247" s="41">
        <f>IFERROR(ROUND(INDEX('배치점수 계산기'!Q$11:Q$1000,MATCH($C247,'배치점수 계산기'!$U$11:$U$1000,0)),2),"")</f>
        <v>706.9</v>
      </c>
      <c r="U247" s="41">
        <f>IFERROR(INDEX(환산공식!$DC$16:$DC$301,MATCH(E247,환산공식!$A$16:$A$301,0)),"")</f>
        <v>0</v>
      </c>
      <c r="V247" s="113">
        <f t="shared" si="11"/>
        <v>6</v>
      </c>
      <c r="W247" s="110" t="str">
        <f>INDEX('배치점수 계산기'!$AG$11:$AG$800,MATCH('       가 군       '!$C247,'배치점수 계산기'!$U$11:$U$800,0))</f>
        <v>표점</v>
      </c>
      <c r="X247" s="108" t="str">
        <f>INDEX('배치점수 계산기'!$AH$11:$AH$800,MATCH('       가 군       '!$C247,'배치점수 계산기'!$U$11:$U$800,0))</f>
        <v>변표</v>
      </c>
      <c r="Y247" s="113">
        <f>INDEX('배치점수 계산기'!$AB$11:$AB$800,MATCH('       가 군       '!$C247,'배치점수 계산기'!$U$11:$U$800,0))</f>
        <v>0.4</v>
      </c>
      <c r="Z247" s="73">
        <f>INDEX('배치점수 계산기'!$AC$11:$AC$800,MATCH('       가 군       '!$C247,'배치점수 계산기'!$U$11:$U$800,0))</f>
        <v>0.33333333333333331</v>
      </c>
      <c r="AA247" s="63">
        <f>INDEX('배치점수 계산기'!$AD$11:$AD$800,MATCH('       가 군       '!$C247,'배치점수 계산기'!$U$11:$U$800,0))</f>
        <v>0.26666666666666666</v>
      </c>
      <c r="AE247" s="7">
        <v>240</v>
      </c>
    </row>
    <row r="248" spans="3:31" x14ac:dyDescent="0.3">
      <c r="C248" s="7" t="s">
        <v>1156</v>
      </c>
      <c r="D248" s="41" t="str">
        <f>IFERROR(INDEX('배치점수 계산기'!V$11:V$1000,MATCH($C248,'배치점수 계산기'!$U$11:$U$1000,0)),"")</f>
        <v>동국 통합</v>
      </c>
      <c r="E248" s="41">
        <f>IFERROR(INDEX('배치점수 계산기'!W$11:W$1000,MATCH($C248,'배치점수 계산기'!$U$11:$U$1000,0)),"")</f>
        <v>49</v>
      </c>
      <c r="F248" s="113" t="s">
        <v>276</v>
      </c>
      <c r="G248" s="41" t="s">
        <v>801</v>
      </c>
      <c r="H248" s="41" t="s">
        <v>335</v>
      </c>
      <c r="I248" s="41" t="s">
        <v>275</v>
      </c>
      <c r="J248" s="41" t="str">
        <f t="shared" si="9"/>
        <v>X</v>
      </c>
      <c r="K248" s="113">
        <f>IFERROR(INDEX(환산공식!CI$16:CI$301,MATCH($E248,환산공식!$A$16:$A$301,0)),"")</f>
        <v>200</v>
      </c>
      <c r="L248" s="41" t="str">
        <f>IFERROR(CONCATENATE(ROUND(INDEX(환산공식!CJ$16:CJ$301,MATCH(E248,환산공식!$A$16:$A$301,0)),1),"%"),"")</f>
        <v>100%</v>
      </c>
      <c r="M248" s="41">
        <f>IFERROR(INDEX(환산공식!CK$16:CK$301,MATCH(E248,환산공식!$A$16:$A$301,0)),"")</f>
        <v>50</v>
      </c>
      <c r="N248" s="113" t="str">
        <f t="shared" si="10"/>
        <v>1% 이하</v>
      </c>
      <c r="O248" s="119">
        <f>IFERROR(ROUND(INDEX(환산공식!$EF$16:$EF$301,MATCH(E248,환산공식!$A$16:$A$301,0)),3),"")</f>
        <v>0</v>
      </c>
      <c r="P248" s="119">
        <f>IFERROR(ROUND(INDEX('배치점수 계산기'!M$11:M$1000,MATCH($C248,'배치점수 계산기'!$U$11:$U$1000,0)),2),"")</f>
        <v>708.14</v>
      </c>
      <c r="Q248" s="41">
        <f>IFERROR(ROUND(INDEX('배치점수 계산기'!N$11:N$1000,MATCH($C248,'배치점수 계산기'!$U$11:$U$1000,0)),2),"")</f>
        <v>707.22</v>
      </c>
      <c r="R248" s="41">
        <f>IFERROR(ROUND(INDEX('배치점수 계산기'!O$11:O$1000,MATCH($C248,'배치점수 계산기'!$U$11:$U$1000,0)),2),"")</f>
        <v>705.78</v>
      </c>
      <c r="S248" s="41">
        <f>IFERROR(ROUND(INDEX('배치점수 계산기'!P$11:P$1000,MATCH($C248,'배치점수 계산기'!$U$11:$U$1000,0)),2),"")</f>
        <v>702.09</v>
      </c>
      <c r="T248" s="41">
        <f>IFERROR(ROUND(INDEX('배치점수 계산기'!Q$11:Q$1000,MATCH($C248,'배치점수 계산기'!$U$11:$U$1000,0)),2),"")</f>
        <v>698.93</v>
      </c>
      <c r="U248" s="41">
        <f>IFERROR(INDEX(환산공식!$DC$16:$DC$301,MATCH(E248,환산공식!$A$16:$A$301,0)),"")</f>
        <v>0</v>
      </c>
      <c r="V248" s="113">
        <f t="shared" si="11"/>
        <v>6</v>
      </c>
      <c r="W248" s="110" t="str">
        <f>INDEX('배치점수 계산기'!$AG$11:$AG$800,MATCH('       가 군       '!$C248,'배치점수 계산기'!$U$11:$U$800,0))</f>
        <v>표점</v>
      </c>
      <c r="X248" s="108" t="str">
        <f>INDEX('배치점수 계산기'!$AH$11:$AH$800,MATCH('       가 군       '!$C248,'배치점수 계산기'!$U$11:$U$800,0))</f>
        <v>변표</v>
      </c>
      <c r="Y248" s="113">
        <f>INDEX('배치점수 계산기'!$AB$11:$AB$800,MATCH('       가 군       '!$C248,'배치점수 계산기'!$U$11:$U$800,0))</f>
        <v>0.4</v>
      </c>
      <c r="Z248" s="73">
        <f>INDEX('배치점수 계산기'!$AC$11:$AC$800,MATCH('       가 군       '!$C248,'배치점수 계산기'!$U$11:$U$800,0))</f>
        <v>0.33333333333333331</v>
      </c>
      <c r="AA248" s="63">
        <f>INDEX('배치점수 계산기'!$AD$11:$AD$800,MATCH('       가 군       '!$C248,'배치점수 계산기'!$U$11:$U$800,0))</f>
        <v>0.26666666666666666</v>
      </c>
      <c r="AE248" s="7">
        <v>241</v>
      </c>
    </row>
    <row r="249" spans="3:31" x14ac:dyDescent="0.3">
      <c r="C249" s="7" t="s">
        <v>1157</v>
      </c>
      <c r="D249" s="41" t="str">
        <f>IFERROR(INDEX('배치점수 계산기'!V$11:V$1000,MATCH($C249,'배치점수 계산기'!$U$11:$U$1000,0)),"")</f>
        <v>동국 통합</v>
      </c>
      <c r="E249" s="41">
        <f>IFERROR(INDEX('배치점수 계산기'!W$11:W$1000,MATCH($C249,'배치점수 계산기'!$U$11:$U$1000,0)),"")</f>
        <v>49</v>
      </c>
      <c r="F249" s="113" t="s">
        <v>276</v>
      </c>
      <c r="G249" s="41" t="s">
        <v>801</v>
      </c>
      <c r="H249" s="41" t="s">
        <v>261</v>
      </c>
      <c r="I249" s="41" t="s">
        <v>275</v>
      </c>
      <c r="J249" s="41" t="str">
        <f t="shared" si="9"/>
        <v>X</v>
      </c>
      <c r="K249" s="113">
        <f>IFERROR(INDEX(환산공식!CI$16:CI$301,MATCH($E249,환산공식!$A$16:$A$301,0)),"")</f>
        <v>200</v>
      </c>
      <c r="L249" s="41" t="str">
        <f>IFERROR(CONCATENATE(ROUND(INDEX(환산공식!CJ$16:CJ$301,MATCH(E249,환산공식!$A$16:$A$301,0)),1),"%"),"")</f>
        <v>100%</v>
      </c>
      <c r="M249" s="41">
        <f>IFERROR(INDEX(환산공식!CK$16:CK$301,MATCH(E249,환산공식!$A$16:$A$301,0)),"")</f>
        <v>50</v>
      </c>
      <c r="N249" s="113" t="str">
        <f t="shared" si="10"/>
        <v>1% 이하</v>
      </c>
      <c r="O249" s="119">
        <f>IFERROR(ROUND(INDEX(환산공식!$EF$16:$EF$301,MATCH(E249,환산공식!$A$16:$A$301,0)),3),"")</f>
        <v>0</v>
      </c>
      <c r="P249" s="119">
        <f>IFERROR(ROUND(INDEX('배치점수 계산기'!M$11:M$1000,MATCH($C249,'배치점수 계산기'!$U$11:$U$1000,0)),2),"")</f>
        <v>708.14</v>
      </c>
      <c r="Q249" s="41">
        <f>IFERROR(ROUND(INDEX('배치점수 계산기'!N$11:N$1000,MATCH($C249,'배치점수 계산기'!$U$11:$U$1000,0)),2),"")</f>
        <v>707.22</v>
      </c>
      <c r="R249" s="41">
        <f>IFERROR(ROUND(INDEX('배치점수 계산기'!O$11:O$1000,MATCH($C249,'배치점수 계산기'!$U$11:$U$1000,0)),2),"")</f>
        <v>705.78</v>
      </c>
      <c r="S249" s="41">
        <f>IFERROR(ROUND(INDEX('배치점수 계산기'!P$11:P$1000,MATCH($C249,'배치점수 계산기'!$U$11:$U$1000,0)),2),"")</f>
        <v>702.09</v>
      </c>
      <c r="T249" s="41">
        <f>IFERROR(ROUND(INDEX('배치점수 계산기'!Q$11:Q$1000,MATCH($C249,'배치점수 계산기'!$U$11:$U$1000,0)),2),"")</f>
        <v>700.21</v>
      </c>
      <c r="U249" s="41">
        <f>IFERROR(INDEX(환산공식!$DC$16:$DC$301,MATCH(E249,환산공식!$A$16:$A$301,0)),"")</f>
        <v>0</v>
      </c>
      <c r="V249" s="113">
        <f t="shared" si="11"/>
        <v>6</v>
      </c>
      <c r="W249" s="110" t="str">
        <f>INDEX('배치점수 계산기'!$AG$11:$AG$800,MATCH('       가 군       '!$C249,'배치점수 계산기'!$U$11:$U$800,0))</f>
        <v>표점</v>
      </c>
      <c r="X249" s="108" t="str">
        <f>INDEX('배치점수 계산기'!$AH$11:$AH$800,MATCH('       가 군       '!$C249,'배치점수 계산기'!$U$11:$U$800,0))</f>
        <v>변표</v>
      </c>
      <c r="Y249" s="113">
        <f>INDEX('배치점수 계산기'!$AB$11:$AB$800,MATCH('       가 군       '!$C249,'배치점수 계산기'!$U$11:$U$800,0))</f>
        <v>0.4</v>
      </c>
      <c r="Z249" s="73">
        <f>INDEX('배치점수 계산기'!$AC$11:$AC$800,MATCH('       가 군       '!$C249,'배치점수 계산기'!$U$11:$U$800,0))</f>
        <v>0.33333333333333331</v>
      </c>
      <c r="AA249" s="63">
        <f>INDEX('배치점수 계산기'!$AD$11:$AD$800,MATCH('       가 군       '!$C249,'배치점수 계산기'!$U$11:$U$800,0))</f>
        <v>0.26666666666666666</v>
      </c>
      <c r="AE249" s="7">
        <v>242</v>
      </c>
    </row>
    <row r="250" spans="3:31" x14ac:dyDescent="0.3">
      <c r="C250" s="7" t="s">
        <v>1158</v>
      </c>
      <c r="D250" s="41" t="str">
        <f>IFERROR(INDEX('배치점수 계산기'!V$11:V$1000,MATCH($C250,'배치점수 계산기'!$U$11:$U$1000,0)),"")</f>
        <v>동국 통합</v>
      </c>
      <c r="E250" s="41">
        <f>IFERROR(INDEX('배치점수 계산기'!W$11:W$1000,MATCH($C250,'배치점수 계산기'!$U$11:$U$1000,0)),"")</f>
        <v>49</v>
      </c>
      <c r="F250" s="113" t="s">
        <v>276</v>
      </c>
      <c r="G250" s="41" t="s">
        <v>801</v>
      </c>
      <c r="H250" s="41" t="s">
        <v>270</v>
      </c>
      <c r="I250" s="41" t="s">
        <v>275</v>
      </c>
      <c r="J250" s="41" t="str">
        <f t="shared" si="9"/>
        <v>X</v>
      </c>
      <c r="K250" s="113">
        <f>IFERROR(INDEX(환산공식!CI$16:CI$301,MATCH($E250,환산공식!$A$16:$A$301,0)),"")</f>
        <v>200</v>
      </c>
      <c r="L250" s="41" t="str">
        <f>IFERROR(CONCATENATE(ROUND(INDEX(환산공식!CJ$16:CJ$301,MATCH(E250,환산공식!$A$16:$A$301,0)),1),"%"),"")</f>
        <v>100%</v>
      </c>
      <c r="M250" s="41">
        <f>IFERROR(INDEX(환산공식!CK$16:CK$301,MATCH(E250,환산공식!$A$16:$A$301,0)),"")</f>
        <v>50</v>
      </c>
      <c r="N250" s="113" t="str">
        <f t="shared" si="10"/>
        <v>1% 이하</v>
      </c>
      <c r="O250" s="119">
        <f>IFERROR(ROUND(INDEX(환산공식!$EF$16:$EF$301,MATCH(E250,환산공식!$A$16:$A$301,0)),3),"")</f>
        <v>0</v>
      </c>
      <c r="P250" s="119">
        <f>IFERROR(ROUND(INDEX('배치점수 계산기'!M$11:M$1000,MATCH($C250,'배치점수 계산기'!$U$11:$U$1000,0)),2),"")</f>
        <v>705.78</v>
      </c>
      <c r="Q250" s="41">
        <f>IFERROR(ROUND(INDEX('배치점수 계산기'!N$11:N$1000,MATCH($C250,'배치점수 계산기'!$U$11:$U$1000,0)),2),"")</f>
        <v>704.01</v>
      </c>
      <c r="R250" s="41">
        <f>IFERROR(ROUND(INDEX('배치점수 계산기'!O$11:O$1000,MATCH($C250,'배치점수 계산기'!$U$11:$U$1000,0)),2),"")</f>
        <v>702.09</v>
      </c>
      <c r="S250" s="41">
        <f>IFERROR(ROUND(INDEX('배치점수 계산기'!P$11:P$1000,MATCH($C250,'배치점수 계산기'!$U$11:$U$1000,0)),2),"")</f>
        <v>700.21</v>
      </c>
      <c r="T250" s="41">
        <f>IFERROR(ROUND(INDEX('배치점수 계산기'!Q$11:Q$1000,MATCH($C250,'배치점수 계산기'!$U$11:$U$1000,0)),2),"")</f>
        <v>697.32</v>
      </c>
      <c r="U250" s="41">
        <f>IFERROR(INDEX(환산공식!$DC$16:$DC$301,MATCH(E250,환산공식!$A$16:$A$301,0)),"")</f>
        <v>0</v>
      </c>
      <c r="V250" s="113">
        <f t="shared" si="11"/>
        <v>6</v>
      </c>
      <c r="W250" s="110" t="str">
        <f>INDEX('배치점수 계산기'!$AG$11:$AG$800,MATCH('       가 군       '!$C250,'배치점수 계산기'!$U$11:$U$800,0))</f>
        <v>표점</v>
      </c>
      <c r="X250" s="108" t="str">
        <f>INDEX('배치점수 계산기'!$AH$11:$AH$800,MATCH('       가 군       '!$C250,'배치점수 계산기'!$U$11:$U$800,0))</f>
        <v>변표</v>
      </c>
      <c r="Y250" s="113">
        <f>INDEX('배치점수 계산기'!$AB$11:$AB$800,MATCH('       가 군       '!$C250,'배치점수 계산기'!$U$11:$U$800,0))</f>
        <v>0.4</v>
      </c>
      <c r="Z250" s="73">
        <f>INDEX('배치점수 계산기'!$AC$11:$AC$800,MATCH('       가 군       '!$C250,'배치점수 계산기'!$U$11:$U$800,0))</f>
        <v>0.33333333333333331</v>
      </c>
      <c r="AA250" s="63">
        <f>INDEX('배치점수 계산기'!$AD$11:$AD$800,MATCH('       가 군       '!$C250,'배치점수 계산기'!$U$11:$U$800,0))</f>
        <v>0.26666666666666666</v>
      </c>
      <c r="AE250" s="7">
        <v>243</v>
      </c>
    </row>
    <row r="251" spans="3:31" x14ac:dyDescent="0.3">
      <c r="C251" s="7" t="s">
        <v>1159</v>
      </c>
      <c r="D251" s="41" t="str">
        <f>IFERROR(INDEX('배치점수 계산기'!V$11:V$1000,MATCH($C251,'배치점수 계산기'!$U$11:$U$1000,0)),"")</f>
        <v>동국 통합</v>
      </c>
      <c r="E251" s="41">
        <f>IFERROR(INDEX('배치점수 계산기'!W$11:W$1000,MATCH($C251,'배치점수 계산기'!$U$11:$U$1000,0)),"")</f>
        <v>49</v>
      </c>
      <c r="F251" s="113" t="s">
        <v>276</v>
      </c>
      <c r="G251" s="41" t="s">
        <v>801</v>
      </c>
      <c r="H251" s="41" t="s">
        <v>438</v>
      </c>
      <c r="I251" s="41" t="s">
        <v>275</v>
      </c>
      <c r="J251" s="41" t="str">
        <f t="shared" si="9"/>
        <v>X</v>
      </c>
      <c r="K251" s="113">
        <f>IFERROR(INDEX(환산공식!CI$16:CI$301,MATCH($E251,환산공식!$A$16:$A$301,0)),"")</f>
        <v>200</v>
      </c>
      <c r="L251" s="41" t="str">
        <f>IFERROR(CONCATENATE(ROUND(INDEX(환산공식!CJ$16:CJ$301,MATCH(E251,환산공식!$A$16:$A$301,0)),1),"%"),"")</f>
        <v>100%</v>
      </c>
      <c r="M251" s="41">
        <f>IFERROR(INDEX(환산공식!CK$16:CK$301,MATCH(E251,환산공식!$A$16:$A$301,0)),"")</f>
        <v>50</v>
      </c>
      <c r="N251" s="113" t="str">
        <f t="shared" si="10"/>
        <v>1% 이하</v>
      </c>
      <c r="O251" s="119">
        <f>IFERROR(ROUND(INDEX(환산공식!$EF$16:$EF$301,MATCH(E251,환산공식!$A$16:$A$301,0)),3),"")</f>
        <v>0</v>
      </c>
      <c r="P251" s="119">
        <f>IFERROR(ROUND(INDEX('배치점수 계산기'!M$11:M$1000,MATCH($C251,'배치점수 계산기'!$U$11:$U$1000,0)),2),"")</f>
        <v>705.78</v>
      </c>
      <c r="Q251" s="41">
        <f>IFERROR(ROUND(INDEX('배치점수 계산기'!N$11:N$1000,MATCH($C251,'배치점수 계산기'!$U$11:$U$1000,0)),2),"")</f>
        <v>704.01</v>
      </c>
      <c r="R251" s="41">
        <f>IFERROR(ROUND(INDEX('배치점수 계산기'!O$11:O$1000,MATCH($C251,'배치점수 계산기'!$U$11:$U$1000,0)),2),"")</f>
        <v>702.09</v>
      </c>
      <c r="S251" s="41">
        <f>IFERROR(ROUND(INDEX('배치점수 계산기'!P$11:P$1000,MATCH($C251,'배치점수 계산기'!$U$11:$U$1000,0)),2),"")</f>
        <v>700.21</v>
      </c>
      <c r="T251" s="41">
        <f>IFERROR(ROUND(INDEX('배치점수 계산기'!Q$11:Q$1000,MATCH($C251,'배치점수 계산기'!$U$11:$U$1000,0)),2),"")</f>
        <v>697.32</v>
      </c>
      <c r="U251" s="41">
        <f>IFERROR(INDEX(환산공식!$DC$16:$DC$301,MATCH(E251,환산공식!$A$16:$A$301,0)),"")</f>
        <v>0</v>
      </c>
      <c r="V251" s="113">
        <f t="shared" si="11"/>
        <v>6</v>
      </c>
      <c r="W251" s="110" t="str">
        <f>INDEX('배치점수 계산기'!$AG$11:$AG$800,MATCH('       가 군       '!$C251,'배치점수 계산기'!$U$11:$U$800,0))</f>
        <v>표점</v>
      </c>
      <c r="X251" s="108" t="str">
        <f>INDEX('배치점수 계산기'!$AH$11:$AH$800,MATCH('       가 군       '!$C251,'배치점수 계산기'!$U$11:$U$800,0))</f>
        <v>변표</v>
      </c>
      <c r="Y251" s="113">
        <f>INDEX('배치점수 계산기'!$AB$11:$AB$800,MATCH('       가 군       '!$C251,'배치점수 계산기'!$U$11:$U$800,0))</f>
        <v>0.4</v>
      </c>
      <c r="Z251" s="73">
        <f>INDEX('배치점수 계산기'!$AC$11:$AC$800,MATCH('       가 군       '!$C251,'배치점수 계산기'!$U$11:$U$800,0))</f>
        <v>0.33333333333333331</v>
      </c>
      <c r="AA251" s="63">
        <f>INDEX('배치점수 계산기'!$AD$11:$AD$800,MATCH('       가 군       '!$C251,'배치점수 계산기'!$U$11:$U$800,0))</f>
        <v>0.26666666666666666</v>
      </c>
      <c r="AE251" s="7">
        <v>244</v>
      </c>
    </row>
    <row r="252" spans="3:31" x14ac:dyDescent="0.3">
      <c r="C252" s="7" t="s">
        <v>1160</v>
      </c>
      <c r="D252" s="41" t="str">
        <f>IFERROR(INDEX('배치점수 계산기'!V$11:V$1000,MATCH($C252,'배치점수 계산기'!$U$11:$U$1000,0)),"")</f>
        <v>동국 통합</v>
      </c>
      <c r="E252" s="41">
        <f>IFERROR(INDEX('배치점수 계산기'!W$11:W$1000,MATCH($C252,'배치점수 계산기'!$U$11:$U$1000,0)),"")</f>
        <v>49</v>
      </c>
      <c r="F252" s="113" t="s">
        <v>276</v>
      </c>
      <c r="G252" s="41" t="s">
        <v>801</v>
      </c>
      <c r="H252" s="41" t="s">
        <v>815</v>
      </c>
      <c r="I252" s="41" t="s">
        <v>275</v>
      </c>
      <c r="J252" s="41" t="str">
        <f t="shared" si="9"/>
        <v>X</v>
      </c>
      <c r="K252" s="113">
        <f>IFERROR(INDEX(환산공식!CI$16:CI$301,MATCH($E252,환산공식!$A$16:$A$301,0)),"")</f>
        <v>200</v>
      </c>
      <c r="L252" s="41" t="str">
        <f>IFERROR(CONCATENATE(ROUND(INDEX(환산공식!CJ$16:CJ$301,MATCH(E252,환산공식!$A$16:$A$301,0)),1),"%"),"")</f>
        <v>100%</v>
      </c>
      <c r="M252" s="41">
        <f>IFERROR(INDEX(환산공식!CK$16:CK$301,MATCH(E252,환산공식!$A$16:$A$301,0)),"")</f>
        <v>50</v>
      </c>
      <c r="N252" s="113" t="str">
        <f t="shared" si="10"/>
        <v>1% 이하</v>
      </c>
      <c r="O252" s="119">
        <f>IFERROR(ROUND(INDEX(환산공식!$EF$16:$EF$301,MATCH(E252,환산공식!$A$16:$A$301,0)),3),"")</f>
        <v>0</v>
      </c>
      <c r="P252" s="119">
        <f>IFERROR(ROUND(INDEX('배치점수 계산기'!M$11:M$1000,MATCH($C252,'배치점수 계산기'!$U$11:$U$1000,0)),2),"")</f>
        <v>705.78</v>
      </c>
      <c r="Q252" s="41">
        <f>IFERROR(ROUND(INDEX('배치점수 계산기'!N$11:N$1000,MATCH($C252,'배치점수 계산기'!$U$11:$U$1000,0)),2),"")</f>
        <v>704.01</v>
      </c>
      <c r="R252" s="41">
        <f>IFERROR(ROUND(INDEX('배치점수 계산기'!O$11:O$1000,MATCH($C252,'배치점수 계산기'!$U$11:$U$1000,0)),2),"")</f>
        <v>702.09</v>
      </c>
      <c r="S252" s="41">
        <f>IFERROR(ROUND(INDEX('배치점수 계산기'!P$11:P$1000,MATCH($C252,'배치점수 계산기'!$U$11:$U$1000,0)),2),"")</f>
        <v>700.21</v>
      </c>
      <c r="T252" s="41">
        <f>IFERROR(ROUND(INDEX('배치점수 계산기'!Q$11:Q$1000,MATCH($C252,'배치점수 계산기'!$U$11:$U$1000,0)),2),"")</f>
        <v>697.32</v>
      </c>
      <c r="U252" s="41">
        <f>IFERROR(INDEX(환산공식!$DC$16:$DC$301,MATCH(E252,환산공식!$A$16:$A$301,0)),"")</f>
        <v>0</v>
      </c>
      <c r="V252" s="113">
        <f t="shared" si="11"/>
        <v>6</v>
      </c>
      <c r="W252" s="110" t="str">
        <f>INDEX('배치점수 계산기'!$AG$11:$AG$800,MATCH('       가 군       '!$C252,'배치점수 계산기'!$U$11:$U$800,0))</f>
        <v>표점</v>
      </c>
      <c r="X252" s="108" t="str">
        <f>INDEX('배치점수 계산기'!$AH$11:$AH$800,MATCH('       가 군       '!$C252,'배치점수 계산기'!$U$11:$U$800,0))</f>
        <v>변표</v>
      </c>
      <c r="Y252" s="113">
        <f>INDEX('배치점수 계산기'!$AB$11:$AB$800,MATCH('       가 군       '!$C252,'배치점수 계산기'!$U$11:$U$800,0))</f>
        <v>0.4</v>
      </c>
      <c r="Z252" s="73">
        <f>INDEX('배치점수 계산기'!$AC$11:$AC$800,MATCH('       가 군       '!$C252,'배치점수 계산기'!$U$11:$U$800,0))</f>
        <v>0.33333333333333331</v>
      </c>
      <c r="AA252" s="63">
        <f>INDEX('배치점수 계산기'!$AD$11:$AD$800,MATCH('       가 군       '!$C252,'배치점수 계산기'!$U$11:$U$800,0))</f>
        <v>0.26666666666666666</v>
      </c>
      <c r="AE252" s="7">
        <v>245</v>
      </c>
    </row>
    <row r="253" spans="3:31" x14ac:dyDescent="0.3">
      <c r="C253" s="7" t="s">
        <v>1161</v>
      </c>
      <c r="D253" s="41" t="str">
        <f>IFERROR(INDEX('배치점수 계산기'!V$11:V$1000,MATCH($C253,'배치점수 계산기'!$U$11:$U$1000,0)),"")</f>
        <v>동국 통합</v>
      </c>
      <c r="E253" s="41">
        <f>IFERROR(INDEX('배치점수 계산기'!W$11:W$1000,MATCH($C253,'배치점수 계산기'!$U$11:$U$1000,0)),"")</f>
        <v>49</v>
      </c>
      <c r="F253" s="113" t="s">
        <v>276</v>
      </c>
      <c r="G253" s="41" t="s">
        <v>801</v>
      </c>
      <c r="H253" s="41" t="s">
        <v>816</v>
      </c>
      <c r="I253" s="41" t="s">
        <v>275</v>
      </c>
      <c r="J253" s="41" t="str">
        <f t="shared" si="9"/>
        <v>X</v>
      </c>
      <c r="K253" s="113">
        <f>IFERROR(INDEX(환산공식!CI$16:CI$301,MATCH($E253,환산공식!$A$16:$A$301,0)),"")</f>
        <v>200</v>
      </c>
      <c r="L253" s="41" t="str">
        <f>IFERROR(CONCATENATE(ROUND(INDEX(환산공식!CJ$16:CJ$301,MATCH(E253,환산공식!$A$16:$A$301,0)),1),"%"),"")</f>
        <v>100%</v>
      </c>
      <c r="M253" s="41">
        <f>IFERROR(INDEX(환산공식!CK$16:CK$301,MATCH(E253,환산공식!$A$16:$A$301,0)),"")</f>
        <v>50</v>
      </c>
      <c r="N253" s="113" t="str">
        <f t="shared" si="10"/>
        <v>1% 이하</v>
      </c>
      <c r="O253" s="119">
        <f>IFERROR(ROUND(INDEX(환산공식!$EF$16:$EF$301,MATCH(E253,환산공식!$A$16:$A$301,0)),3),"")</f>
        <v>0</v>
      </c>
      <c r="P253" s="119">
        <f>IFERROR(ROUND(INDEX('배치점수 계산기'!M$11:M$1000,MATCH($C253,'배치점수 계산기'!$U$11:$U$1000,0)),2),"")</f>
        <v>704.95</v>
      </c>
      <c r="Q253" s="41">
        <f>IFERROR(ROUND(INDEX('배치점수 계산기'!N$11:N$1000,MATCH($C253,'배치점수 계산기'!$U$11:$U$1000,0)),2),"")</f>
        <v>704.01</v>
      </c>
      <c r="R253" s="41">
        <f>IFERROR(ROUND(INDEX('배치점수 계산기'!O$11:O$1000,MATCH($C253,'배치점수 계산기'!$U$11:$U$1000,0)),2),"")</f>
        <v>702.09</v>
      </c>
      <c r="S253" s="41">
        <f>IFERROR(ROUND(INDEX('배치점수 계산기'!P$11:P$1000,MATCH($C253,'배치점수 계산기'!$U$11:$U$1000,0)),2),"")</f>
        <v>699.5</v>
      </c>
      <c r="T253" s="41">
        <f>IFERROR(ROUND(INDEX('배치점수 계산기'!Q$11:Q$1000,MATCH($C253,'배치점수 계산기'!$U$11:$U$1000,0)),2),"")</f>
        <v>696.77</v>
      </c>
      <c r="U253" s="41">
        <f>IFERROR(INDEX(환산공식!$DC$16:$DC$301,MATCH(E253,환산공식!$A$16:$A$301,0)),"")</f>
        <v>0</v>
      </c>
      <c r="V253" s="113">
        <f t="shared" si="11"/>
        <v>6</v>
      </c>
      <c r="W253" s="110" t="str">
        <f>INDEX('배치점수 계산기'!$AG$11:$AG$800,MATCH('       가 군       '!$C253,'배치점수 계산기'!$U$11:$U$800,0))</f>
        <v>표점</v>
      </c>
      <c r="X253" s="108" t="str">
        <f>INDEX('배치점수 계산기'!$AH$11:$AH$800,MATCH('       가 군       '!$C253,'배치점수 계산기'!$U$11:$U$800,0))</f>
        <v>변표</v>
      </c>
      <c r="Y253" s="113">
        <f>INDEX('배치점수 계산기'!$AB$11:$AB$800,MATCH('       가 군       '!$C253,'배치점수 계산기'!$U$11:$U$800,0))</f>
        <v>0.4</v>
      </c>
      <c r="Z253" s="73">
        <f>INDEX('배치점수 계산기'!$AC$11:$AC$800,MATCH('       가 군       '!$C253,'배치점수 계산기'!$U$11:$U$800,0))</f>
        <v>0.33333333333333331</v>
      </c>
      <c r="AA253" s="63">
        <f>INDEX('배치점수 계산기'!$AD$11:$AD$800,MATCH('       가 군       '!$C253,'배치점수 계산기'!$U$11:$U$800,0))</f>
        <v>0.26666666666666666</v>
      </c>
      <c r="AE253" s="7">
        <v>246</v>
      </c>
    </row>
    <row r="254" spans="3:31" x14ac:dyDescent="0.3">
      <c r="C254" s="7" t="s">
        <v>1162</v>
      </c>
      <c r="D254" s="41" t="str">
        <f>IFERROR(INDEX('배치점수 계산기'!V$11:V$1000,MATCH($C254,'배치점수 계산기'!$U$11:$U$1000,0)),"")</f>
        <v>동국 통합</v>
      </c>
      <c r="E254" s="41">
        <f>IFERROR(INDEX('배치점수 계산기'!W$11:W$1000,MATCH($C254,'배치점수 계산기'!$U$11:$U$1000,0)),"")</f>
        <v>49</v>
      </c>
      <c r="F254" s="113" t="s">
        <v>276</v>
      </c>
      <c r="G254" s="41" t="s">
        <v>801</v>
      </c>
      <c r="H254" s="41" t="s">
        <v>819</v>
      </c>
      <c r="I254" s="41" t="s">
        <v>275</v>
      </c>
      <c r="J254" s="41" t="str">
        <f t="shared" si="9"/>
        <v>X</v>
      </c>
      <c r="K254" s="113">
        <f>IFERROR(INDEX(환산공식!CI$16:CI$301,MATCH($E254,환산공식!$A$16:$A$301,0)),"")</f>
        <v>200</v>
      </c>
      <c r="L254" s="41" t="str">
        <f>IFERROR(CONCATENATE(ROUND(INDEX(환산공식!CJ$16:CJ$301,MATCH(E254,환산공식!$A$16:$A$301,0)),1),"%"),"")</f>
        <v>100%</v>
      </c>
      <c r="M254" s="41">
        <f>IFERROR(INDEX(환산공식!CK$16:CK$301,MATCH(E254,환산공식!$A$16:$A$301,0)),"")</f>
        <v>50</v>
      </c>
      <c r="N254" s="113" t="str">
        <f t="shared" si="10"/>
        <v>1% 이하</v>
      </c>
      <c r="O254" s="119">
        <f>IFERROR(ROUND(INDEX(환산공식!$EF$16:$EF$301,MATCH(E254,환산공식!$A$16:$A$301,0)),3),"")</f>
        <v>0</v>
      </c>
      <c r="P254" s="119">
        <f>IFERROR(ROUND(INDEX('배치점수 계산기'!M$11:M$1000,MATCH($C254,'배치점수 계산기'!$U$11:$U$1000,0)),2),"")</f>
        <v>705.78</v>
      </c>
      <c r="Q254" s="41">
        <f>IFERROR(ROUND(INDEX('배치점수 계산기'!N$11:N$1000,MATCH($C254,'배치점수 계산기'!$U$11:$U$1000,0)),2),"")</f>
        <v>704.01</v>
      </c>
      <c r="R254" s="41">
        <f>IFERROR(ROUND(INDEX('배치점수 계산기'!O$11:O$1000,MATCH($C254,'배치점수 계산기'!$U$11:$U$1000,0)),2),"")</f>
        <v>702.09</v>
      </c>
      <c r="S254" s="41">
        <f>IFERROR(ROUND(INDEX('배치점수 계산기'!P$11:P$1000,MATCH($C254,'배치점수 계산기'!$U$11:$U$1000,0)),2),"")</f>
        <v>700.88</v>
      </c>
      <c r="T254" s="41">
        <f>IFERROR(ROUND(INDEX('배치점수 계산기'!Q$11:Q$1000,MATCH($C254,'배치점수 계산기'!$U$11:$U$1000,0)),2),"")</f>
        <v>697.89</v>
      </c>
      <c r="U254" s="41">
        <f>IFERROR(INDEX(환산공식!$DC$16:$DC$301,MATCH(E254,환산공식!$A$16:$A$301,0)),"")</f>
        <v>0</v>
      </c>
      <c r="V254" s="113">
        <f t="shared" si="11"/>
        <v>6</v>
      </c>
      <c r="W254" s="110" t="str">
        <f>INDEX('배치점수 계산기'!$AG$11:$AG$800,MATCH('       가 군       '!$C254,'배치점수 계산기'!$U$11:$U$800,0))</f>
        <v>표점</v>
      </c>
      <c r="X254" s="108" t="str">
        <f>INDEX('배치점수 계산기'!$AH$11:$AH$800,MATCH('       가 군       '!$C254,'배치점수 계산기'!$U$11:$U$800,0))</f>
        <v>변표</v>
      </c>
      <c r="Y254" s="113">
        <f>INDEX('배치점수 계산기'!$AB$11:$AB$800,MATCH('       가 군       '!$C254,'배치점수 계산기'!$U$11:$U$800,0))</f>
        <v>0.4</v>
      </c>
      <c r="Z254" s="73">
        <f>INDEX('배치점수 계산기'!$AC$11:$AC$800,MATCH('       가 군       '!$C254,'배치점수 계산기'!$U$11:$U$800,0))</f>
        <v>0.33333333333333331</v>
      </c>
      <c r="AA254" s="63">
        <f>INDEX('배치점수 계산기'!$AD$11:$AD$800,MATCH('       가 군       '!$C254,'배치점수 계산기'!$U$11:$U$800,0))</f>
        <v>0.26666666666666666</v>
      </c>
      <c r="AE254" s="7">
        <v>247</v>
      </c>
    </row>
    <row r="255" spans="3:31" x14ac:dyDescent="0.3">
      <c r="C255" s="7" t="s">
        <v>1163</v>
      </c>
      <c r="D255" s="41" t="str">
        <f>IFERROR(INDEX('배치점수 계산기'!V$11:V$1000,MATCH($C255,'배치점수 계산기'!$U$11:$U$1000,0)),"")</f>
        <v>동국 통합</v>
      </c>
      <c r="E255" s="41">
        <f>IFERROR(INDEX('배치점수 계산기'!W$11:W$1000,MATCH($C255,'배치점수 계산기'!$U$11:$U$1000,0)),"")</f>
        <v>49</v>
      </c>
      <c r="F255" s="113" t="s">
        <v>276</v>
      </c>
      <c r="G255" s="41" t="s">
        <v>801</v>
      </c>
      <c r="H255" s="41" t="s">
        <v>820</v>
      </c>
      <c r="I255" s="41" t="s">
        <v>275</v>
      </c>
      <c r="J255" s="41" t="str">
        <f t="shared" si="9"/>
        <v>X</v>
      </c>
      <c r="K255" s="113">
        <f>IFERROR(INDEX(환산공식!CI$16:CI$301,MATCH($E255,환산공식!$A$16:$A$301,0)),"")</f>
        <v>200</v>
      </c>
      <c r="L255" s="41" t="str">
        <f>IFERROR(CONCATENATE(ROUND(INDEX(환산공식!CJ$16:CJ$301,MATCH(E255,환산공식!$A$16:$A$301,0)),1),"%"),"")</f>
        <v>100%</v>
      </c>
      <c r="M255" s="41">
        <f>IFERROR(INDEX(환산공식!CK$16:CK$301,MATCH(E255,환산공식!$A$16:$A$301,0)),"")</f>
        <v>50</v>
      </c>
      <c r="N255" s="113" t="str">
        <f t="shared" si="10"/>
        <v>1% 이하</v>
      </c>
      <c r="O255" s="119">
        <f>IFERROR(ROUND(INDEX(환산공식!$EF$16:$EF$301,MATCH(E255,환산공식!$A$16:$A$301,0)),3),"")</f>
        <v>0</v>
      </c>
      <c r="P255" s="119">
        <f>IFERROR(ROUND(INDEX('배치점수 계산기'!M$11:M$1000,MATCH($C255,'배치점수 계산기'!$U$11:$U$1000,0)),2),"")</f>
        <v>704.95</v>
      </c>
      <c r="Q255" s="41">
        <f>IFERROR(ROUND(INDEX('배치점수 계산기'!N$11:N$1000,MATCH($C255,'배치점수 계산기'!$U$11:$U$1000,0)),2),"")</f>
        <v>702.85</v>
      </c>
      <c r="R255" s="41">
        <f>IFERROR(ROUND(INDEX('배치점수 계산기'!O$11:O$1000,MATCH($C255,'배치점수 계산기'!$U$11:$U$1000,0)),2),"")</f>
        <v>701.37</v>
      </c>
      <c r="S255" s="41">
        <f>IFERROR(ROUND(INDEX('배치점수 계산기'!P$11:P$1000,MATCH($C255,'배치점수 계산기'!$U$11:$U$1000,0)),2),"")</f>
        <v>699.5</v>
      </c>
      <c r="T255" s="41">
        <f>IFERROR(ROUND(INDEX('배치점수 계산기'!Q$11:Q$1000,MATCH($C255,'배치점수 계산기'!$U$11:$U$1000,0)),2),"")</f>
        <v>696.77</v>
      </c>
      <c r="U255" s="41">
        <f>IFERROR(INDEX(환산공식!$DC$16:$DC$301,MATCH(E255,환산공식!$A$16:$A$301,0)),"")</f>
        <v>0</v>
      </c>
      <c r="V255" s="113">
        <f t="shared" si="11"/>
        <v>6</v>
      </c>
      <c r="W255" s="110" t="str">
        <f>INDEX('배치점수 계산기'!$AG$11:$AG$800,MATCH('       가 군       '!$C255,'배치점수 계산기'!$U$11:$U$800,0))</f>
        <v>표점</v>
      </c>
      <c r="X255" s="108" t="str">
        <f>INDEX('배치점수 계산기'!$AH$11:$AH$800,MATCH('       가 군       '!$C255,'배치점수 계산기'!$U$11:$U$800,0))</f>
        <v>변표</v>
      </c>
      <c r="Y255" s="113">
        <f>INDEX('배치점수 계산기'!$AB$11:$AB$800,MATCH('       가 군       '!$C255,'배치점수 계산기'!$U$11:$U$800,0))</f>
        <v>0.4</v>
      </c>
      <c r="Z255" s="73">
        <f>INDEX('배치점수 계산기'!$AC$11:$AC$800,MATCH('       가 군       '!$C255,'배치점수 계산기'!$U$11:$U$800,0))</f>
        <v>0.33333333333333331</v>
      </c>
      <c r="AA255" s="63">
        <f>INDEX('배치점수 계산기'!$AD$11:$AD$800,MATCH('       가 군       '!$C255,'배치점수 계산기'!$U$11:$U$800,0))</f>
        <v>0.26666666666666666</v>
      </c>
      <c r="AE255" s="7">
        <v>248</v>
      </c>
    </row>
    <row r="256" spans="3:31" x14ac:dyDescent="0.3">
      <c r="C256" s="7" t="s">
        <v>1164</v>
      </c>
      <c r="D256" s="41" t="str">
        <f>IFERROR(INDEX('배치점수 계산기'!V$11:V$1000,MATCH($C256,'배치점수 계산기'!$U$11:$U$1000,0)),"")</f>
        <v>동국 통합</v>
      </c>
      <c r="E256" s="41">
        <f>IFERROR(INDEX('배치점수 계산기'!W$11:W$1000,MATCH($C256,'배치점수 계산기'!$U$11:$U$1000,0)),"")</f>
        <v>49</v>
      </c>
      <c r="F256" s="113" t="s">
        <v>276</v>
      </c>
      <c r="G256" s="41" t="s">
        <v>801</v>
      </c>
      <c r="H256" s="41" t="s">
        <v>452</v>
      </c>
      <c r="I256" s="41" t="s">
        <v>275</v>
      </c>
      <c r="J256" s="41" t="str">
        <f t="shared" si="9"/>
        <v>X</v>
      </c>
      <c r="K256" s="113">
        <f>IFERROR(INDEX(환산공식!CI$16:CI$301,MATCH($E256,환산공식!$A$16:$A$301,0)),"")</f>
        <v>200</v>
      </c>
      <c r="L256" s="41" t="str">
        <f>IFERROR(CONCATENATE(ROUND(INDEX(환산공식!CJ$16:CJ$301,MATCH(E256,환산공식!$A$16:$A$301,0)),1),"%"),"")</f>
        <v>100%</v>
      </c>
      <c r="M256" s="41">
        <f>IFERROR(INDEX(환산공식!CK$16:CK$301,MATCH(E256,환산공식!$A$16:$A$301,0)),"")</f>
        <v>50</v>
      </c>
      <c r="N256" s="113" t="str">
        <f t="shared" si="10"/>
        <v>1% 이하</v>
      </c>
      <c r="O256" s="119">
        <f>IFERROR(ROUND(INDEX(환산공식!$EF$16:$EF$301,MATCH(E256,환산공식!$A$16:$A$301,0)),3),"")</f>
        <v>0</v>
      </c>
      <c r="P256" s="119">
        <f>IFERROR(ROUND(INDEX('배치점수 계산기'!M$11:M$1000,MATCH($C256,'배치점수 계산기'!$U$11:$U$1000,0)),2),"")</f>
        <v>705.78</v>
      </c>
      <c r="Q256" s="41">
        <f>IFERROR(ROUND(INDEX('배치점수 계산기'!N$11:N$1000,MATCH($C256,'배치점수 계산기'!$U$11:$U$1000,0)),2),"")</f>
        <v>704.01</v>
      </c>
      <c r="R256" s="41">
        <f>IFERROR(ROUND(INDEX('배치점수 계산기'!O$11:O$1000,MATCH($C256,'배치점수 계산기'!$U$11:$U$1000,0)),2),"")</f>
        <v>702.09</v>
      </c>
      <c r="S256" s="41">
        <f>IFERROR(ROUND(INDEX('배치점수 계산기'!P$11:P$1000,MATCH($C256,'배치점수 계산기'!$U$11:$U$1000,0)),2),"")</f>
        <v>700.21</v>
      </c>
      <c r="T256" s="41">
        <f>IFERROR(ROUND(INDEX('배치점수 계산기'!Q$11:Q$1000,MATCH($C256,'배치점수 계산기'!$U$11:$U$1000,0)),2),"")</f>
        <v>697.89</v>
      </c>
      <c r="U256" s="41">
        <f>IFERROR(INDEX(환산공식!$DC$16:$DC$301,MATCH(E256,환산공식!$A$16:$A$301,0)),"")</f>
        <v>0</v>
      </c>
      <c r="V256" s="113">
        <f t="shared" si="11"/>
        <v>6</v>
      </c>
      <c r="W256" s="110" t="str">
        <f>INDEX('배치점수 계산기'!$AG$11:$AG$800,MATCH('       가 군       '!$C256,'배치점수 계산기'!$U$11:$U$800,0))</f>
        <v>표점</v>
      </c>
      <c r="X256" s="108" t="str">
        <f>INDEX('배치점수 계산기'!$AH$11:$AH$800,MATCH('       가 군       '!$C256,'배치점수 계산기'!$U$11:$U$800,0))</f>
        <v>변표</v>
      </c>
      <c r="Y256" s="113">
        <f>INDEX('배치점수 계산기'!$AB$11:$AB$800,MATCH('       가 군       '!$C256,'배치점수 계산기'!$U$11:$U$800,0))</f>
        <v>0.4</v>
      </c>
      <c r="Z256" s="73">
        <f>INDEX('배치점수 계산기'!$AC$11:$AC$800,MATCH('       가 군       '!$C256,'배치점수 계산기'!$U$11:$U$800,0))</f>
        <v>0.33333333333333331</v>
      </c>
      <c r="AA256" s="63">
        <f>INDEX('배치점수 계산기'!$AD$11:$AD$800,MATCH('       가 군       '!$C256,'배치점수 계산기'!$U$11:$U$800,0))</f>
        <v>0.26666666666666666</v>
      </c>
      <c r="AE256" s="7">
        <v>249</v>
      </c>
    </row>
    <row r="257" spans="3:31" x14ac:dyDescent="0.3">
      <c r="C257" s="7" t="s">
        <v>1165</v>
      </c>
      <c r="D257" s="41" t="str">
        <f>IFERROR(INDEX('배치점수 계산기'!V$11:V$1000,MATCH($C257,'배치점수 계산기'!$U$11:$U$1000,0)),"")</f>
        <v>동국 통합</v>
      </c>
      <c r="E257" s="41">
        <f>IFERROR(INDEX('배치점수 계산기'!W$11:W$1000,MATCH($C257,'배치점수 계산기'!$U$11:$U$1000,0)),"")</f>
        <v>49</v>
      </c>
      <c r="F257" s="113" t="s">
        <v>276</v>
      </c>
      <c r="G257" s="41" t="s">
        <v>801</v>
      </c>
      <c r="H257" s="41" t="s">
        <v>821</v>
      </c>
      <c r="I257" s="41" t="s">
        <v>275</v>
      </c>
      <c r="J257" s="41" t="str">
        <f t="shared" si="9"/>
        <v>X</v>
      </c>
      <c r="K257" s="113">
        <f>IFERROR(INDEX(환산공식!CI$16:CI$301,MATCH($E257,환산공식!$A$16:$A$301,0)),"")</f>
        <v>200</v>
      </c>
      <c r="L257" s="41" t="str">
        <f>IFERROR(CONCATENATE(ROUND(INDEX(환산공식!CJ$16:CJ$301,MATCH(E257,환산공식!$A$16:$A$301,0)),1),"%"),"")</f>
        <v>100%</v>
      </c>
      <c r="M257" s="41">
        <f>IFERROR(INDEX(환산공식!CK$16:CK$301,MATCH(E257,환산공식!$A$16:$A$301,0)),"")</f>
        <v>50</v>
      </c>
      <c r="N257" s="113" t="str">
        <f t="shared" si="10"/>
        <v>1% 이하</v>
      </c>
      <c r="O257" s="119">
        <f>IFERROR(ROUND(INDEX(환산공식!$EF$16:$EF$301,MATCH(E257,환산공식!$A$16:$A$301,0)),3),"")</f>
        <v>0</v>
      </c>
      <c r="P257" s="119">
        <f>IFERROR(ROUND(INDEX('배치점수 계산기'!M$11:M$1000,MATCH($C257,'배치점수 계산기'!$U$11:$U$1000,0)),2),"")</f>
        <v>708.14</v>
      </c>
      <c r="Q257" s="41">
        <f>IFERROR(ROUND(INDEX('배치점수 계산기'!N$11:N$1000,MATCH($C257,'배치점수 계산기'!$U$11:$U$1000,0)),2),"")</f>
        <v>707.22</v>
      </c>
      <c r="R257" s="41">
        <f>IFERROR(ROUND(INDEX('배치점수 계산기'!O$11:O$1000,MATCH($C257,'배치점수 계산기'!$U$11:$U$1000,0)),2),"")</f>
        <v>705.78</v>
      </c>
      <c r="S257" s="41">
        <f>IFERROR(ROUND(INDEX('배치점수 계산기'!P$11:P$1000,MATCH($C257,'배치점수 계산기'!$U$11:$U$1000,0)),2),"")</f>
        <v>702.09</v>
      </c>
      <c r="T257" s="41">
        <f>IFERROR(ROUND(INDEX('배치점수 계산기'!Q$11:Q$1000,MATCH($C257,'배치점수 계산기'!$U$11:$U$1000,0)),2),"")</f>
        <v>700.21</v>
      </c>
      <c r="U257" s="41">
        <f>IFERROR(INDEX(환산공식!$DC$16:$DC$301,MATCH(E257,환산공식!$A$16:$A$301,0)),"")</f>
        <v>0</v>
      </c>
      <c r="V257" s="113">
        <f t="shared" si="11"/>
        <v>6</v>
      </c>
      <c r="W257" s="110" t="str">
        <f>INDEX('배치점수 계산기'!$AG$11:$AG$800,MATCH('       가 군       '!$C257,'배치점수 계산기'!$U$11:$U$800,0))</f>
        <v>표점</v>
      </c>
      <c r="X257" s="108" t="str">
        <f>INDEX('배치점수 계산기'!$AH$11:$AH$800,MATCH('       가 군       '!$C257,'배치점수 계산기'!$U$11:$U$800,0))</f>
        <v>변표</v>
      </c>
      <c r="Y257" s="113">
        <f>INDEX('배치점수 계산기'!$AB$11:$AB$800,MATCH('       가 군       '!$C257,'배치점수 계산기'!$U$11:$U$800,0))</f>
        <v>0.4</v>
      </c>
      <c r="Z257" s="73">
        <f>INDEX('배치점수 계산기'!$AC$11:$AC$800,MATCH('       가 군       '!$C257,'배치점수 계산기'!$U$11:$U$800,0))</f>
        <v>0.33333333333333331</v>
      </c>
      <c r="AA257" s="63">
        <f>INDEX('배치점수 계산기'!$AD$11:$AD$800,MATCH('       가 군       '!$C257,'배치점수 계산기'!$U$11:$U$800,0))</f>
        <v>0.26666666666666666</v>
      </c>
      <c r="AE257" s="7">
        <v>250</v>
      </c>
    </row>
    <row r="258" spans="3:31" x14ac:dyDescent="0.3">
      <c r="C258" s="7" t="s">
        <v>1166</v>
      </c>
      <c r="D258" s="41" t="str">
        <f>IFERROR(INDEX('배치점수 계산기'!V$11:V$1000,MATCH($C258,'배치점수 계산기'!$U$11:$U$1000,0)),"")</f>
        <v>동국 통합</v>
      </c>
      <c r="E258" s="41">
        <f>IFERROR(INDEX('배치점수 계산기'!W$11:W$1000,MATCH($C258,'배치점수 계산기'!$U$11:$U$1000,0)),"")</f>
        <v>49</v>
      </c>
      <c r="F258" s="113" t="s">
        <v>276</v>
      </c>
      <c r="G258" s="41" t="s">
        <v>801</v>
      </c>
      <c r="H258" s="41" t="s">
        <v>302</v>
      </c>
      <c r="I258" s="41" t="s">
        <v>275</v>
      </c>
      <c r="J258" s="41" t="str">
        <f t="shared" si="9"/>
        <v>X</v>
      </c>
      <c r="K258" s="113">
        <f>IFERROR(INDEX(환산공식!CI$16:CI$301,MATCH($E258,환산공식!$A$16:$A$301,0)),"")</f>
        <v>200</v>
      </c>
      <c r="L258" s="41" t="str">
        <f>IFERROR(CONCATENATE(ROUND(INDEX(환산공식!CJ$16:CJ$301,MATCH(E258,환산공식!$A$16:$A$301,0)),1),"%"),"")</f>
        <v>100%</v>
      </c>
      <c r="M258" s="41">
        <f>IFERROR(INDEX(환산공식!CK$16:CK$301,MATCH(E258,환산공식!$A$16:$A$301,0)),"")</f>
        <v>50</v>
      </c>
      <c r="N258" s="113" t="str">
        <f t="shared" si="10"/>
        <v>1% 이하</v>
      </c>
      <c r="O258" s="119">
        <f>IFERROR(ROUND(INDEX(환산공식!$EF$16:$EF$301,MATCH(E258,환산공식!$A$16:$A$301,0)),3),"")</f>
        <v>0</v>
      </c>
      <c r="P258" s="119">
        <f>IFERROR(ROUND(INDEX('배치점수 계산기'!M$11:M$1000,MATCH($C258,'배치점수 계산기'!$U$11:$U$1000,0)),2),"")</f>
        <v>705.78</v>
      </c>
      <c r="Q258" s="41">
        <f>IFERROR(ROUND(INDEX('배치점수 계산기'!N$11:N$1000,MATCH($C258,'배치점수 계산기'!$U$11:$U$1000,0)),2),"")</f>
        <v>704.01</v>
      </c>
      <c r="R258" s="41">
        <f>IFERROR(ROUND(INDEX('배치점수 계산기'!O$11:O$1000,MATCH($C258,'배치점수 계산기'!$U$11:$U$1000,0)),2),"")</f>
        <v>702.09</v>
      </c>
      <c r="S258" s="41">
        <f>IFERROR(ROUND(INDEX('배치점수 계산기'!P$11:P$1000,MATCH($C258,'배치점수 계산기'!$U$11:$U$1000,0)),2),"")</f>
        <v>700.21</v>
      </c>
      <c r="T258" s="41">
        <f>IFERROR(ROUND(INDEX('배치점수 계산기'!Q$11:Q$1000,MATCH($C258,'배치점수 계산기'!$U$11:$U$1000,0)),2),"")</f>
        <v>697.32</v>
      </c>
      <c r="U258" s="41">
        <f>IFERROR(INDEX(환산공식!$DC$16:$DC$301,MATCH(E258,환산공식!$A$16:$A$301,0)),"")</f>
        <v>0</v>
      </c>
      <c r="V258" s="113">
        <f t="shared" si="11"/>
        <v>6</v>
      </c>
      <c r="W258" s="110" t="str">
        <f>INDEX('배치점수 계산기'!$AG$11:$AG$800,MATCH('       가 군       '!$C258,'배치점수 계산기'!$U$11:$U$800,0))</f>
        <v>표점</v>
      </c>
      <c r="X258" s="108" t="str">
        <f>INDEX('배치점수 계산기'!$AH$11:$AH$800,MATCH('       가 군       '!$C258,'배치점수 계산기'!$U$11:$U$800,0))</f>
        <v>변표</v>
      </c>
      <c r="Y258" s="113">
        <f>INDEX('배치점수 계산기'!$AB$11:$AB$800,MATCH('       가 군       '!$C258,'배치점수 계산기'!$U$11:$U$800,0))</f>
        <v>0.4</v>
      </c>
      <c r="Z258" s="73">
        <f>INDEX('배치점수 계산기'!$AC$11:$AC$800,MATCH('       가 군       '!$C258,'배치점수 계산기'!$U$11:$U$800,0))</f>
        <v>0.33333333333333331</v>
      </c>
      <c r="AA258" s="63">
        <f>INDEX('배치점수 계산기'!$AD$11:$AD$800,MATCH('       가 군       '!$C258,'배치점수 계산기'!$U$11:$U$800,0))</f>
        <v>0.26666666666666666</v>
      </c>
      <c r="AE258" s="7">
        <v>251</v>
      </c>
    </row>
    <row r="259" spans="3:31" x14ac:dyDescent="0.3">
      <c r="C259" s="7" t="s">
        <v>1167</v>
      </c>
      <c r="D259" s="41" t="str">
        <f>IFERROR(INDEX('배치점수 계산기'!V$11:V$1000,MATCH($C259,'배치점수 계산기'!$U$11:$U$1000,0)),"")</f>
        <v>동국 융합</v>
      </c>
      <c r="E259" s="41">
        <f>IFERROR(INDEX('배치점수 계산기'!W$11:W$1000,MATCH($C259,'배치점수 계산기'!$U$11:$U$1000,0)),"")</f>
        <v>51</v>
      </c>
      <c r="F259" s="113" t="s">
        <v>276</v>
      </c>
      <c r="G259" s="41" t="s">
        <v>801</v>
      </c>
      <c r="H259" s="41" t="s">
        <v>822</v>
      </c>
      <c r="I259" s="41" t="s">
        <v>275</v>
      </c>
      <c r="J259" s="41" t="str">
        <f t="shared" si="9"/>
        <v>X</v>
      </c>
      <c r="K259" s="113">
        <f>IFERROR(INDEX(환산공식!CI$16:CI$301,MATCH($E259,환산공식!$A$16:$A$301,0)),"")</f>
        <v>200</v>
      </c>
      <c r="L259" s="41" t="str">
        <f>IFERROR(CONCATENATE(ROUND(INDEX(환산공식!CJ$16:CJ$301,MATCH(E259,환산공식!$A$16:$A$301,0)),1),"%"),"")</f>
        <v>100%</v>
      </c>
      <c r="M259" s="41">
        <f>IFERROR(INDEX(환산공식!CK$16:CK$301,MATCH(E259,환산공식!$A$16:$A$301,0)),"")</f>
        <v>50</v>
      </c>
      <c r="N259" s="113" t="str">
        <f t="shared" si="10"/>
        <v>1% 이하</v>
      </c>
      <c r="O259" s="119">
        <f>IFERROR(ROUND(INDEX(환산공식!$EF$16:$EF$301,MATCH(E259,환산공식!$A$16:$A$301,0)),3),"")</f>
        <v>0</v>
      </c>
      <c r="P259" s="119">
        <f>IFERROR(ROUND(INDEX('배치점수 계산기'!M$11:M$1000,MATCH($C259,'배치점수 계산기'!$U$11:$U$1000,0)),2),"")</f>
        <v>710.66</v>
      </c>
      <c r="Q259" s="41">
        <f>IFERROR(ROUND(INDEX('배치점수 계산기'!N$11:N$1000,MATCH($C259,'배치점수 계산기'!$U$11:$U$1000,0)),2),"")</f>
        <v>709.09</v>
      </c>
      <c r="R259" s="41">
        <f>IFERROR(ROUND(INDEX('배치점수 계산기'!O$11:O$1000,MATCH($C259,'배치점수 계산기'!$U$11:$U$1000,0)),2),"")</f>
        <v>707.23</v>
      </c>
      <c r="S259" s="41">
        <f>IFERROR(ROUND(INDEX('배치점수 계산기'!P$11:P$1000,MATCH($C259,'배치점수 계산기'!$U$11:$U$1000,0)),2),"")</f>
        <v>705.47</v>
      </c>
      <c r="T259" s="41">
        <f>IFERROR(ROUND(INDEX('배치점수 계산기'!Q$11:Q$1000,MATCH($C259,'배치점수 계산기'!$U$11:$U$1000,0)),2),"")</f>
        <v>702.48</v>
      </c>
      <c r="U259" s="41">
        <f>IFERROR(INDEX(환산공식!$DC$16:$DC$301,MATCH(E259,환산공식!$A$16:$A$301,0)),"")</f>
        <v>0</v>
      </c>
      <c r="V259" s="113">
        <f t="shared" si="11"/>
        <v>6</v>
      </c>
      <c r="W259" s="110" t="str">
        <f>INDEX('배치점수 계산기'!$AG$11:$AG$800,MATCH('       가 군       '!$C259,'배치점수 계산기'!$U$11:$U$800,0))</f>
        <v>표점</v>
      </c>
      <c r="X259" s="108" t="str">
        <f>INDEX('배치점수 계산기'!$AH$11:$AH$800,MATCH('       가 군       '!$C259,'배치점수 계산기'!$U$11:$U$800,0))</f>
        <v>변표</v>
      </c>
      <c r="Y259" s="113">
        <f>INDEX('배치점수 계산기'!$AB$11:$AB$800,MATCH('       가 군       '!$C259,'배치점수 계산기'!$U$11:$U$800,0))</f>
        <v>0.33333333333333331</v>
      </c>
      <c r="Z259" s="73">
        <f>INDEX('배치점수 계산기'!$AC$11:$AC$800,MATCH('       가 군       '!$C259,'배치점수 계산기'!$U$11:$U$800,0))</f>
        <v>0.4</v>
      </c>
      <c r="AA259" s="63">
        <f>INDEX('배치점수 계산기'!$AD$11:$AD$800,MATCH('       가 군       '!$C259,'배치점수 계산기'!$U$11:$U$800,0))</f>
        <v>0.26666666666666666</v>
      </c>
      <c r="AE259" s="7">
        <v>252</v>
      </c>
    </row>
    <row r="260" spans="3:31" x14ac:dyDescent="0.3">
      <c r="C260" s="7" t="s">
        <v>1168</v>
      </c>
      <c r="D260" s="41" t="str">
        <f>IFERROR(INDEX('배치점수 계산기'!V$11:V$1000,MATCH($C260,'배치점수 계산기'!$U$11:$U$1000,0)),"")</f>
        <v>동국 통합</v>
      </c>
      <c r="E260" s="41">
        <f>IFERROR(INDEX('배치점수 계산기'!W$11:W$1000,MATCH($C260,'배치점수 계산기'!$U$11:$U$1000,0)),"")</f>
        <v>49</v>
      </c>
      <c r="F260" s="113" t="s">
        <v>276</v>
      </c>
      <c r="G260" s="41" t="s">
        <v>801</v>
      </c>
      <c r="H260" s="41" t="s">
        <v>823</v>
      </c>
      <c r="I260" s="41" t="s">
        <v>275</v>
      </c>
      <c r="J260" s="41" t="str">
        <f t="shared" si="9"/>
        <v>X</v>
      </c>
      <c r="K260" s="113">
        <f>IFERROR(INDEX(환산공식!CI$16:CI$301,MATCH($E260,환산공식!$A$16:$A$301,0)),"")</f>
        <v>200</v>
      </c>
      <c r="L260" s="41" t="str">
        <f>IFERROR(CONCATENATE(ROUND(INDEX(환산공식!CJ$16:CJ$301,MATCH(E260,환산공식!$A$16:$A$301,0)),1),"%"),"")</f>
        <v>100%</v>
      </c>
      <c r="M260" s="41">
        <f>IFERROR(INDEX(환산공식!CK$16:CK$301,MATCH(E260,환산공식!$A$16:$A$301,0)),"")</f>
        <v>50</v>
      </c>
      <c r="N260" s="113" t="str">
        <f t="shared" si="10"/>
        <v>1% 이하</v>
      </c>
      <c r="O260" s="119">
        <f>IFERROR(ROUND(INDEX(환산공식!$EF$16:$EF$301,MATCH(E260,환산공식!$A$16:$A$301,0)),3),"")</f>
        <v>0</v>
      </c>
      <c r="P260" s="119">
        <f>IFERROR(ROUND(INDEX('배치점수 계산기'!M$11:M$1000,MATCH($C260,'배치점수 계산기'!$U$11:$U$1000,0)),2),"")</f>
        <v>704.95</v>
      </c>
      <c r="Q260" s="41">
        <f>IFERROR(ROUND(INDEX('배치점수 계산기'!N$11:N$1000,MATCH($C260,'배치점수 계산기'!$U$11:$U$1000,0)),2),"")</f>
        <v>702.85</v>
      </c>
      <c r="R260" s="41">
        <f>IFERROR(ROUND(INDEX('배치점수 계산기'!O$11:O$1000,MATCH($C260,'배치점수 계산기'!$U$11:$U$1000,0)),2),"")</f>
        <v>701.37</v>
      </c>
      <c r="S260" s="41">
        <f>IFERROR(ROUND(INDEX('배치점수 계산기'!P$11:P$1000,MATCH($C260,'배치점수 계산기'!$U$11:$U$1000,0)),2),"")</f>
        <v>699.5</v>
      </c>
      <c r="T260" s="41">
        <f>IFERROR(ROUND(INDEX('배치점수 계산기'!Q$11:Q$1000,MATCH($C260,'배치점수 계산기'!$U$11:$U$1000,0)),2),"")</f>
        <v>696.77</v>
      </c>
      <c r="U260" s="41">
        <f>IFERROR(INDEX(환산공식!$DC$16:$DC$301,MATCH(E260,환산공식!$A$16:$A$301,0)),"")</f>
        <v>0</v>
      </c>
      <c r="V260" s="113">
        <f t="shared" si="11"/>
        <v>6</v>
      </c>
      <c r="W260" s="110" t="str">
        <f>INDEX('배치점수 계산기'!$AG$11:$AG$800,MATCH('       가 군       '!$C260,'배치점수 계산기'!$U$11:$U$800,0))</f>
        <v>표점</v>
      </c>
      <c r="X260" s="108" t="str">
        <f>INDEX('배치점수 계산기'!$AH$11:$AH$800,MATCH('       가 군       '!$C260,'배치점수 계산기'!$U$11:$U$800,0))</f>
        <v>변표</v>
      </c>
      <c r="Y260" s="113">
        <f>INDEX('배치점수 계산기'!$AB$11:$AB$800,MATCH('       가 군       '!$C260,'배치점수 계산기'!$U$11:$U$800,0))</f>
        <v>0.4</v>
      </c>
      <c r="Z260" s="73">
        <f>INDEX('배치점수 계산기'!$AC$11:$AC$800,MATCH('       가 군       '!$C260,'배치점수 계산기'!$U$11:$U$800,0))</f>
        <v>0.33333333333333331</v>
      </c>
      <c r="AA260" s="63">
        <f>INDEX('배치점수 계산기'!$AD$11:$AD$800,MATCH('       가 군       '!$C260,'배치점수 계산기'!$U$11:$U$800,0))</f>
        <v>0.26666666666666666</v>
      </c>
      <c r="AE260" s="7">
        <v>253</v>
      </c>
    </row>
    <row r="261" spans="3:31" x14ac:dyDescent="0.3">
      <c r="C261" s="7" t="s">
        <v>1169</v>
      </c>
      <c r="D261" s="41" t="str">
        <f>IFERROR(INDEX('배치점수 계산기'!V$11:V$1000,MATCH($C261,'배치점수 계산기'!$U$11:$U$1000,0)),"")</f>
        <v>동국 통합</v>
      </c>
      <c r="E261" s="41">
        <f>IFERROR(INDEX('배치점수 계산기'!W$11:W$1000,MATCH($C261,'배치점수 계산기'!$U$11:$U$1000,0)),"")</f>
        <v>49</v>
      </c>
      <c r="F261" s="113" t="s">
        <v>276</v>
      </c>
      <c r="G261" s="41" t="s">
        <v>801</v>
      </c>
      <c r="H261" s="41" t="s">
        <v>824</v>
      </c>
      <c r="I261" s="41" t="s">
        <v>275</v>
      </c>
      <c r="J261" s="41" t="str">
        <f t="shared" si="9"/>
        <v>X</v>
      </c>
      <c r="K261" s="113">
        <f>IFERROR(INDEX(환산공식!CI$16:CI$301,MATCH($E261,환산공식!$A$16:$A$301,0)),"")</f>
        <v>200</v>
      </c>
      <c r="L261" s="41" t="str">
        <f>IFERROR(CONCATENATE(ROUND(INDEX(환산공식!CJ$16:CJ$301,MATCH(E261,환산공식!$A$16:$A$301,0)),1),"%"),"")</f>
        <v>100%</v>
      </c>
      <c r="M261" s="41">
        <f>IFERROR(INDEX(환산공식!CK$16:CK$301,MATCH(E261,환산공식!$A$16:$A$301,0)),"")</f>
        <v>50</v>
      </c>
      <c r="N261" s="113" t="str">
        <f t="shared" si="10"/>
        <v>1% 이하</v>
      </c>
      <c r="O261" s="119">
        <f>IFERROR(ROUND(INDEX(환산공식!$EF$16:$EF$301,MATCH(E261,환산공식!$A$16:$A$301,0)),3),"")</f>
        <v>0</v>
      </c>
      <c r="P261" s="119">
        <f>IFERROR(ROUND(INDEX('배치점수 계산기'!M$11:M$1000,MATCH($C261,'배치점수 계산기'!$U$11:$U$1000,0)),2),"")</f>
        <v>704.95</v>
      </c>
      <c r="Q261" s="41">
        <f>IFERROR(ROUND(INDEX('배치점수 계산기'!N$11:N$1000,MATCH($C261,'배치점수 계산기'!$U$11:$U$1000,0)),2),"")</f>
        <v>702.85</v>
      </c>
      <c r="R261" s="41">
        <f>IFERROR(ROUND(INDEX('배치점수 계산기'!O$11:O$1000,MATCH($C261,'배치점수 계산기'!$U$11:$U$1000,0)),2),"")</f>
        <v>701.37</v>
      </c>
      <c r="S261" s="41">
        <f>IFERROR(ROUND(INDEX('배치점수 계산기'!P$11:P$1000,MATCH($C261,'배치점수 계산기'!$U$11:$U$1000,0)),2),"")</f>
        <v>699.5</v>
      </c>
      <c r="T261" s="41">
        <f>IFERROR(ROUND(INDEX('배치점수 계산기'!Q$11:Q$1000,MATCH($C261,'배치점수 계산기'!$U$11:$U$1000,0)),2),"")</f>
        <v>696.21</v>
      </c>
      <c r="U261" s="41">
        <f>IFERROR(INDEX(환산공식!$DC$16:$DC$301,MATCH(E261,환산공식!$A$16:$A$301,0)),"")</f>
        <v>0</v>
      </c>
      <c r="V261" s="113">
        <f t="shared" si="11"/>
        <v>6</v>
      </c>
      <c r="W261" s="110" t="str">
        <f>INDEX('배치점수 계산기'!$AG$11:$AG$800,MATCH('       가 군       '!$C261,'배치점수 계산기'!$U$11:$U$800,0))</f>
        <v>표점</v>
      </c>
      <c r="X261" s="108" t="str">
        <f>INDEX('배치점수 계산기'!$AH$11:$AH$800,MATCH('       가 군       '!$C261,'배치점수 계산기'!$U$11:$U$800,0))</f>
        <v>변표</v>
      </c>
      <c r="Y261" s="113">
        <f>INDEX('배치점수 계산기'!$AB$11:$AB$800,MATCH('       가 군       '!$C261,'배치점수 계산기'!$U$11:$U$800,0))</f>
        <v>0.4</v>
      </c>
      <c r="Z261" s="73">
        <f>INDEX('배치점수 계산기'!$AC$11:$AC$800,MATCH('       가 군       '!$C261,'배치점수 계산기'!$U$11:$U$800,0))</f>
        <v>0.33333333333333331</v>
      </c>
      <c r="AA261" s="63">
        <f>INDEX('배치점수 계산기'!$AD$11:$AD$800,MATCH('       가 군       '!$C261,'배치점수 계산기'!$U$11:$U$800,0))</f>
        <v>0.26666666666666666</v>
      </c>
      <c r="AE261" s="7">
        <v>254</v>
      </c>
    </row>
    <row r="262" spans="3:31" x14ac:dyDescent="0.3">
      <c r="C262" s="7" t="s">
        <v>1170</v>
      </c>
      <c r="D262" s="41" t="str">
        <f>IFERROR(INDEX('배치점수 계산기'!V$11:V$1000,MATCH($C262,'배치점수 계산기'!$U$11:$U$1000,0)),"")</f>
        <v>동국 통합</v>
      </c>
      <c r="E262" s="41">
        <f>IFERROR(INDEX('배치점수 계산기'!W$11:W$1000,MATCH($C262,'배치점수 계산기'!$U$11:$U$1000,0)),"")</f>
        <v>49</v>
      </c>
      <c r="F262" s="113" t="s">
        <v>276</v>
      </c>
      <c r="G262" s="41" t="s">
        <v>801</v>
      </c>
      <c r="H262" s="41" t="s">
        <v>421</v>
      </c>
      <c r="I262" s="41" t="s">
        <v>275</v>
      </c>
      <c r="J262" s="41" t="str">
        <f t="shared" si="9"/>
        <v>X</v>
      </c>
      <c r="K262" s="113">
        <f>IFERROR(INDEX(환산공식!CI$16:CI$301,MATCH($E262,환산공식!$A$16:$A$301,0)),"")</f>
        <v>200</v>
      </c>
      <c r="L262" s="41" t="str">
        <f>IFERROR(CONCATENATE(ROUND(INDEX(환산공식!CJ$16:CJ$301,MATCH(E262,환산공식!$A$16:$A$301,0)),1),"%"),"")</f>
        <v>100%</v>
      </c>
      <c r="M262" s="41">
        <f>IFERROR(INDEX(환산공식!CK$16:CK$301,MATCH(E262,환산공식!$A$16:$A$301,0)),"")</f>
        <v>50</v>
      </c>
      <c r="N262" s="113" t="str">
        <f t="shared" si="10"/>
        <v>1% 이하</v>
      </c>
      <c r="O262" s="119">
        <f>IFERROR(ROUND(INDEX(환산공식!$EF$16:$EF$301,MATCH(E262,환산공식!$A$16:$A$301,0)),3),"")</f>
        <v>0</v>
      </c>
      <c r="P262" s="119">
        <f>IFERROR(ROUND(INDEX('배치점수 계산기'!M$11:M$1000,MATCH($C262,'배치점수 계산기'!$U$11:$U$1000,0)),2),"")</f>
        <v>704.95</v>
      </c>
      <c r="Q262" s="41">
        <f>IFERROR(ROUND(INDEX('배치점수 계산기'!N$11:N$1000,MATCH($C262,'배치점수 계산기'!$U$11:$U$1000,0)),2),"")</f>
        <v>702.85</v>
      </c>
      <c r="R262" s="41">
        <f>IFERROR(ROUND(INDEX('배치점수 계산기'!O$11:O$1000,MATCH($C262,'배치점수 계산기'!$U$11:$U$1000,0)),2),"")</f>
        <v>701.37</v>
      </c>
      <c r="S262" s="41">
        <f>IFERROR(ROUND(INDEX('배치점수 계산기'!P$11:P$1000,MATCH($C262,'배치점수 계산기'!$U$11:$U$1000,0)),2),"")</f>
        <v>699.5</v>
      </c>
      <c r="T262" s="41">
        <f>IFERROR(ROUND(INDEX('배치점수 계산기'!Q$11:Q$1000,MATCH($C262,'배치점수 계산기'!$U$11:$U$1000,0)),2),"")</f>
        <v>697.32</v>
      </c>
      <c r="U262" s="41">
        <f>IFERROR(INDEX(환산공식!$DC$16:$DC$301,MATCH(E262,환산공식!$A$16:$A$301,0)),"")</f>
        <v>0</v>
      </c>
      <c r="V262" s="113">
        <f t="shared" si="11"/>
        <v>6</v>
      </c>
      <c r="W262" s="110" t="str">
        <f>INDEX('배치점수 계산기'!$AG$11:$AG$800,MATCH('       가 군       '!$C262,'배치점수 계산기'!$U$11:$U$800,0))</f>
        <v>표점</v>
      </c>
      <c r="X262" s="108" t="str">
        <f>INDEX('배치점수 계산기'!$AH$11:$AH$800,MATCH('       가 군       '!$C262,'배치점수 계산기'!$U$11:$U$800,0))</f>
        <v>변표</v>
      </c>
      <c r="Y262" s="113">
        <f>INDEX('배치점수 계산기'!$AB$11:$AB$800,MATCH('       가 군       '!$C262,'배치점수 계산기'!$U$11:$U$800,0))</f>
        <v>0.4</v>
      </c>
      <c r="Z262" s="73">
        <f>INDEX('배치점수 계산기'!$AC$11:$AC$800,MATCH('       가 군       '!$C262,'배치점수 계산기'!$U$11:$U$800,0))</f>
        <v>0.33333333333333331</v>
      </c>
      <c r="AA262" s="63">
        <f>INDEX('배치점수 계산기'!$AD$11:$AD$800,MATCH('       가 군       '!$C262,'배치점수 계산기'!$U$11:$U$800,0))</f>
        <v>0.26666666666666666</v>
      </c>
      <c r="AE262" s="7">
        <v>255</v>
      </c>
    </row>
    <row r="263" spans="3:31" x14ac:dyDescent="0.3">
      <c r="C263" s="7" t="s">
        <v>1171</v>
      </c>
      <c r="D263" s="41" t="str">
        <f>IFERROR(INDEX('배치점수 계산기'!V$11:V$1000,MATCH($C263,'배치점수 계산기'!$U$11:$U$1000,0)),"")</f>
        <v>동국 통합</v>
      </c>
      <c r="E263" s="41">
        <f>IFERROR(INDEX('배치점수 계산기'!W$11:W$1000,MATCH($C263,'배치점수 계산기'!$U$11:$U$1000,0)),"")</f>
        <v>49</v>
      </c>
      <c r="F263" s="113" t="s">
        <v>276</v>
      </c>
      <c r="G263" s="41" t="s">
        <v>801</v>
      </c>
      <c r="H263" s="41" t="s">
        <v>825</v>
      </c>
      <c r="I263" s="41" t="s">
        <v>275</v>
      </c>
      <c r="J263" s="41" t="str">
        <f t="shared" si="9"/>
        <v>X</v>
      </c>
      <c r="K263" s="113">
        <f>IFERROR(INDEX(환산공식!CI$16:CI$301,MATCH($E263,환산공식!$A$16:$A$301,0)),"")</f>
        <v>200</v>
      </c>
      <c r="L263" s="41" t="str">
        <f>IFERROR(CONCATENATE(ROUND(INDEX(환산공식!CJ$16:CJ$301,MATCH(E263,환산공식!$A$16:$A$301,0)),1),"%"),"")</f>
        <v>100%</v>
      </c>
      <c r="M263" s="41">
        <f>IFERROR(INDEX(환산공식!CK$16:CK$301,MATCH(E263,환산공식!$A$16:$A$301,0)),"")</f>
        <v>50</v>
      </c>
      <c r="N263" s="113" t="str">
        <f t="shared" si="10"/>
        <v>1% 이하</v>
      </c>
      <c r="O263" s="119">
        <f>IFERROR(ROUND(INDEX(환산공식!$EF$16:$EF$301,MATCH(E263,환산공식!$A$16:$A$301,0)),3),"")</f>
        <v>0</v>
      </c>
      <c r="P263" s="119">
        <f>IFERROR(ROUND(INDEX('배치점수 계산기'!M$11:M$1000,MATCH($C263,'배치점수 계산기'!$U$11:$U$1000,0)),2),"")</f>
        <v>704.95</v>
      </c>
      <c r="Q263" s="41">
        <f>IFERROR(ROUND(INDEX('배치점수 계산기'!N$11:N$1000,MATCH($C263,'배치점수 계산기'!$U$11:$U$1000,0)),2),"")</f>
        <v>702.85</v>
      </c>
      <c r="R263" s="41">
        <f>IFERROR(ROUND(INDEX('배치점수 계산기'!O$11:O$1000,MATCH($C263,'배치점수 계산기'!$U$11:$U$1000,0)),2),"")</f>
        <v>701.37</v>
      </c>
      <c r="S263" s="41">
        <f>IFERROR(ROUND(INDEX('배치점수 계산기'!P$11:P$1000,MATCH($C263,'배치점수 계산기'!$U$11:$U$1000,0)),2),"")</f>
        <v>699.5</v>
      </c>
      <c r="T263" s="41">
        <f>IFERROR(ROUND(INDEX('배치점수 계산기'!Q$11:Q$1000,MATCH($C263,'배치점수 계산기'!$U$11:$U$1000,0)),2),"")</f>
        <v>696.77</v>
      </c>
      <c r="U263" s="41">
        <f>IFERROR(INDEX(환산공식!$DC$16:$DC$301,MATCH(E263,환산공식!$A$16:$A$301,0)),"")</f>
        <v>0</v>
      </c>
      <c r="V263" s="113">
        <f t="shared" si="11"/>
        <v>6</v>
      </c>
      <c r="W263" s="110" t="str">
        <f>INDEX('배치점수 계산기'!$AG$11:$AG$800,MATCH('       가 군       '!$C263,'배치점수 계산기'!$U$11:$U$800,0))</f>
        <v>표점</v>
      </c>
      <c r="X263" s="108" t="str">
        <f>INDEX('배치점수 계산기'!$AH$11:$AH$800,MATCH('       가 군       '!$C263,'배치점수 계산기'!$U$11:$U$800,0))</f>
        <v>변표</v>
      </c>
      <c r="Y263" s="113">
        <f>INDEX('배치점수 계산기'!$AB$11:$AB$800,MATCH('       가 군       '!$C263,'배치점수 계산기'!$U$11:$U$800,0))</f>
        <v>0.4</v>
      </c>
      <c r="Z263" s="73">
        <f>INDEX('배치점수 계산기'!$AC$11:$AC$800,MATCH('       가 군       '!$C263,'배치점수 계산기'!$U$11:$U$800,0))</f>
        <v>0.33333333333333331</v>
      </c>
      <c r="AA263" s="63">
        <f>INDEX('배치점수 계산기'!$AD$11:$AD$800,MATCH('       가 군       '!$C263,'배치점수 계산기'!$U$11:$U$800,0))</f>
        <v>0.26666666666666666</v>
      </c>
      <c r="AE263" s="7">
        <v>256</v>
      </c>
    </row>
    <row r="264" spans="3:31" x14ac:dyDescent="0.3">
      <c r="C264" s="7" t="s">
        <v>1172</v>
      </c>
      <c r="D264" s="41" t="str">
        <f>IFERROR(INDEX('배치점수 계산기'!V$11:V$1000,MATCH($C264,'배치점수 계산기'!$U$11:$U$1000,0)),"")</f>
        <v>동국 바이오</v>
      </c>
      <c r="E264" s="41">
        <f>IFERROR(INDEX('배치점수 계산기'!W$11:W$1000,MATCH($C264,'배치점수 계산기'!$U$11:$U$1000,0)),"")</f>
        <v>50</v>
      </c>
      <c r="F264" s="113" t="s">
        <v>276</v>
      </c>
      <c r="G264" s="41" t="s">
        <v>801</v>
      </c>
      <c r="H264" s="41" t="s">
        <v>368</v>
      </c>
      <c r="I264" s="41" t="s">
        <v>274</v>
      </c>
      <c r="J264" s="41" t="str">
        <f t="shared" ref="J264:J317" si="12">IFERROR(IF(U264=1,"O",IF(U264=0,"X","")),"")</f>
        <v>X</v>
      </c>
      <c r="K264" s="113">
        <f>IFERROR(INDEX(환산공식!CI$16:CI$301,MATCH($E264,환산공식!$A$16:$A$301,0)),"")</f>
        <v>200</v>
      </c>
      <c r="L264" s="41" t="str">
        <f>IFERROR(CONCATENATE(ROUND(INDEX(환산공식!CJ$16:CJ$301,MATCH(E264,환산공식!$A$16:$A$301,0)),1),"%"),"")</f>
        <v>100%</v>
      </c>
      <c r="M264" s="41">
        <f>IFERROR(INDEX(환산공식!CK$16:CK$301,MATCH(E264,환산공식!$A$16:$A$301,0)),"")</f>
        <v>50</v>
      </c>
      <c r="N264" s="113" t="str">
        <f t="shared" ref="N264:N317" si="13">IF(E264="","",IF(O264&gt;P264,"90% 이상",IF(O264&gt;Q264,CONCATENATE(ROUND(((O264-Q264)/(P264-Q264))*20+70,0),"%"),IF(O264&gt;R264,CONCATENATE(ROUND(((O264-R264)/(Q264-R264))*30+40,0),"%"),IF(O264&gt;S264,CONCATENATE(ROUND(((O264-S264)/(R264-S264))*30+10,0),"%"),IF(O264&gt;T264,CONCATENATE(ROUND(((O264-T264)/(S264-T264))*9+1,0),"%"),"1% 이하"))))))</f>
        <v>1% 이하</v>
      </c>
      <c r="O264" s="119">
        <f>IFERROR(ROUND(INDEX(환산공식!$EF$16:$EF$301,MATCH(E264,환산공식!$A$16:$A$301,0)),3),"")</f>
        <v>0</v>
      </c>
      <c r="P264" s="119">
        <f>IFERROR(ROUND(INDEX('배치점수 계산기'!M$11:M$1000,MATCH($C264,'배치점수 계산기'!$U$11:$U$1000,0)),2),"")</f>
        <v>709.75</v>
      </c>
      <c r="Q264" s="41">
        <f>IFERROR(ROUND(INDEX('배치점수 계산기'!N$11:N$1000,MATCH($C264,'배치점수 계산기'!$U$11:$U$1000,0)),2),"")</f>
        <v>709.09</v>
      </c>
      <c r="R264" s="41">
        <f>IFERROR(ROUND(INDEX('배치점수 계산기'!O$11:O$1000,MATCH($C264,'배치점수 계산기'!$U$11:$U$1000,0)),2),"")</f>
        <v>708.46</v>
      </c>
      <c r="S264" s="41">
        <f>IFERROR(ROUND(INDEX('배치점수 계산기'!P$11:P$1000,MATCH($C264,'배치점수 계산기'!$U$11:$U$1000,0)),2),"")</f>
        <v>706.77</v>
      </c>
      <c r="T264" s="41">
        <f>IFERROR(ROUND(INDEX('배치점수 계산기'!Q$11:Q$1000,MATCH($C264,'배치점수 계산기'!$U$11:$U$1000,0)),2),"")</f>
        <v>704.01</v>
      </c>
      <c r="U264" s="41">
        <f>IFERROR(INDEX(환산공식!$DC$16:$DC$301,MATCH(E264,환산공식!$A$16:$A$301,0)),"")</f>
        <v>0</v>
      </c>
      <c r="V264" s="113">
        <f t="shared" ref="V264:V317" si="14">IFERROR(IF(T264="","",IF(O264&gt;P264,1,IF(O264&gt;Q264,2,IF(O264&gt;R264,3,IF(O264&gt;S264,4,IF(O264&gt;=T264,5,IF(O264&lt;T264,6))))))),"")</f>
        <v>6</v>
      </c>
      <c r="W264" s="110" t="str">
        <f>INDEX('배치점수 계산기'!$AG$11:$AG$800,MATCH('       가 군       '!$C264,'배치점수 계산기'!$U$11:$U$800,0))</f>
        <v>표점</v>
      </c>
      <c r="X264" s="108" t="str">
        <f>INDEX('배치점수 계산기'!$AH$11:$AH$800,MATCH('       가 군       '!$C264,'배치점수 계산기'!$U$11:$U$800,0))</f>
        <v>변표</v>
      </c>
      <c r="Y264" s="113">
        <f>INDEX('배치점수 계산기'!$AB$11:$AB$800,MATCH('       가 군       '!$C264,'배치점수 계산기'!$U$11:$U$800,0))</f>
        <v>0.33333333333333331</v>
      </c>
      <c r="Z264" s="73">
        <f>INDEX('배치점수 계산기'!$AC$11:$AC$800,MATCH('       가 군       '!$C264,'배치점수 계산기'!$U$11:$U$800,0))</f>
        <v>0.4</v>
      </c>
      <c r="AA264" s="63">
        <f>INDEX('배치점수 계산기'!$AD$11:$AD$800,MATCH('       가 군       '!$C264,'배치점수 계산기'!$U$11:$U$800,0))</f>
        <v>0.26666666666666666</v>
      </c>
      <c r="AE264" s="7">
        <v>257</v>
      </c>
    </row>
    <row r="265" spans="3:31" x14ac:dyDescent="0.3">
      <c r="C265" s="7" t="s">
        <v>1173</v>
      </c>
      <c r="D265" s="41" t="str">
        <f>IFERROR(INDEX('배치점수 계산기'!V$11:V$1000,MATCH($C265,'배치점수 계산기'!$U$11:$U$1000,0)),"")</f>
        <v>동국 바이오</v>
      </c>
      <c r="E265" s="41">
        <f>IFERROR(INDEX('배치점수 계산기'!W$11:W$1000,MATCH($C265,'배치점수 계산기'!$U$11:$U$1000,0)),"")</f>
        <v>50</v>
      </c>
      <c r="F265" s="113" t="s">
        <v>276</v>
      </c>
      <c r="G265" s="41" t="s">
        <v>801</v>
      </c>
      <c r="H265" s="41" t="s">
        <v>826</v>
      </c>
      <c r="I265" s="41" t="s">
        <v>274</v>
      </c>
      <c r="J265" s="41" t="str">
        <f t="shared" si="12"/>
        <v>X</v>
      </c>
      <c r="K265" s="113">
        <f>IFERROR(INDEX(환산공식!CI$16:CI$301,MATCH($E265,환산공식!$A$16:$A$301,0)),"")</f>
        <v>200</v>
      </c>
      <c r="L265" s="41" t="str">
        <f>IFERROR(CONCATENATE(ROUND(INDEX(환산공식!CJ$16:CJ$301,MATCH(E265,환산공식!$A$16:$A$301,0)),1),"%"),"")</f>
        <v>100%</v>
      </c>
      <c r="M265" s="41">
        <f>IFERROR(INDEX(환산공식!CK$16:CK$301,MATCH(E265,환산공식!$A$16:$A$301,0)),"")</f>
        <v>50</v>
      </c>
      <c r="N265" s="113" t="str">
        <f t="shared" si="13"/>
        <v>1% 이하</v>
      </c>
      <c r="O265" s="119">
        <f>IFERROR(ROUND(INDEX(환산공식!$EF$16:$EF$301,MATCH(E265,환산공식!$A$16:$A$301,0)),3),"")</f>
        <v>0</v>
      </c>
      <c r="P265" s="119">
        <f>IFERROR(ROUND(INDEX('배치점수 계산기'!M$11:M$1000,MATCH($C265,'배치점수 계산기'!$U$11:$U$1000,0)),2),"")</f>
        <v>708.99</v>
      </c>
      <c r="Q265" s="41">
        <f>IFERROR(ROUND(INDEX('배치점수 계산기'!N$11:N$1000,MATCH($C265,'배치점수 계산기'!$U$11:$U$1000,0)),2),"")</f>
        <v>708.45</v>
      </c>
      <c r="R265" s="41">
        <f>IFERROR(ROUND(INDEX('배치점수 계산기'!O$11:O$1000,MATCH($C265,'배치점수 계산기'!$U$11:$U$1000,0)),2),"")</f>
        <v>707.76</v>
      </c>
      <c r="S265" s="41">
        <f>IFERROR(ROUND(INDEX('배치점수 계산기'!P$11:P$1000,MATCH($C265,'배치점수 계산기'!$U$11:$U$1000,0)),2),"")</f>
        <v>706.67</v>
      </c>
      <c r="T265" s="41">
        <f>IFERROR(ROUND(INDEX('배치점수 계산기'!Q$11:Q$1000,MATCH($C265,'배치점수 계산기'!$U$11:$U$1000,0)),2),"")</f>
        <v>703.91</v>
      </c>
      <c r="U265" s="41">
        <f>IFERROR(INDEX(환산공식!$DC$16:$DC$301,MATCH(E265,환산공식!$A$16:$A$301,0)),"")</f>
        <v>0</v>
      </c>
      <c r="V265" s="113">
        <f t="shared" si="14"/>
        <v>6</v>
      </c>
      <c r="W265" s="110" t="str">
        <f>INDEX('배치점수 계산기'!$AG$11:$AG$800,MATCH('       가 군       '!$C265,'배치점수 계산기'!$U$11:$U$800,0))</f>
        <v>표점</v>
      </c>
      <c r="X265" s="108" t="str">
        <f>INDEX('배치점수 계산기'!$AH$11:$AH$800,MATCH('       가 군       '!$C265,'배치점수 계산기'!$U$11:$U$800,0))</f>
        <v>변표</v>
      </c>
      <c r="Y265" s="113">
        <f>INDEX('배치점수 계산기'!$AB$11:$AB$800,MATCH('       가 군       '!$C265,'배치점수 계산기'!$U$11:$U$800,0))</f>
        <v>0.33333333333333331</v>
      </c>
      <c r="Z265" s="73">
        <f>INDEX('배치점수 계산기'!$AC$11:$AC$800,MATCH('       가 군       '!$C265,'배치점수 계산기'!$U$11:$U$800,0))</f>
        <v>0.4</v>
      </c>
      <c r="AA265" s="63">
        <f>INDEX('배치점수 계산기'!$AD$11:$AD$800,MATCH('       가 군       '!$C265,'배치점수 계산기'!$U$11:$U$800,0))</f>
        <v>0.26666666666666666</v>
      </c>
      <c r="AE265" s="7">
        <v>258</v>
      </c>
    </row>
    <row r="266" spans="3:31" x14ac:dyDescent="0.3">
      <c r="C266" s="7" t="s">
        <v>1174</v>
      </c>
      <c r="D266" s="41" t="str">
        <f>IFERROR(INDEX('배치점수 계산기'!V$11:V$1000,MATCH($C266,'배치점수 계산기'!$U$11:$U$1000,0)),"")</f>
        <v>가톨 의약</v>
      </c>
      <c r="E266" s="41">
        <f>IFERROR(INDEX('배치점수 계산기'!W$11:W$1000,MATCH($C266,'배치점수 계산기'!$U$11:$U$1000,0)),"")</f>
        <v>68</v>
      </c>
      <c r="F266" s="113" t="s">
        <v>276</v>
      </c>
      <c r="G266" s="41" t="s">
        <v>844</v>
      </c>
      <c r="H266" s="41" t="s">
        <v>845</v>
      </c>
      <c r="I266" s="41" t="s">
        <v>274</v>
      </c>
      <c r="J266" s="41" t="str">
        <f t="shared" si="12"/>
        <v>X</v>
      </c>
      <c r="K266" s="113">
        <f>IFERROR(INDEX(환산공식!CI$16:CI$301,MATCH($E266,환산공식!$A$16:$A$301,0)),"")</f>
        <v>10</v>
      </c>
      <c r="L266" s="41" t="str">
        <f>IFERROR(CONCATENATE(ROUND(INDEX(환산공식!CJ$16:CJ$301,MATCH(E266,환산공식!$A$16:$A$301,0)),1),"%"),"")</f>
        <v>100%</v>
      </c>
      <c r="M266" s="41">
        <f>IFERROR(INDEX(환산공식!CK$16:CK$301,MATCH(E266,환산공식!$A$16:$A$301,0)),"")</f>
        <v>10</v>
      </c>
      <c r="N266" s="113" t="str">
        <f t="shared" si="13"/>
        <v>1% 이하</v>
      </c>
      <c r="O266" s="119">
        <f>IFERROR(ROUND(INDEX(환산공식!$EF$16:$EF$301,MATCH(E266,환산공식!$A$16:$A$301,0)),3),"")</f>
        <v>0</v>
      </c>
      <c r="P266" s="119">
        <f>IFERROR(ROUND(INDEX('배치점수 계산기'!M$11:M$1000,MATCH($C266,'배치점수 계산기'!$U$11:$U$1000,0)),2),"")</f>
        <v>744.91</v>
      </c>
      <c r="Q266" s="41">
        <f>IFERROR(ROUND(INDEX('배치점수 계산기'!N$11:N$1000,MATCH($C266,'배치점수 계산기'!$U$11:$U$1000,0)),2),"")</f>
        <v>743.31</v>
      </c>
      <c r="R266" s="41">
        <f>IFERROR(ROUND(INDEX('배치점수 계산기'!O$11:O$1000,MATCH($C266,'배치점수 계산기'!$U$11:$U$1000,0)),2),"")</f>
        <v>742.59</v>
      </c>
      <c r="S266" s="41">
        <f>IFERROR(ROUND(INDEX('배치점수 계산기'!P$11:P$1000,MATCH($C266,'배치점수 계산기'!$U$11:$U$1000,0)),2),"")</f>
        <v>738.33</v>
      </c>
      <c r="T266" s="41">
        <f>IFERROR(ROUND(INDEX('배치점수 계산기'!Q$11:Q$1000,MATCH($C266,'배치점수 계산기'!$U$11:$U$1000,0)),2),"")</f>
        <v>736.39</v>
      </c>
      <c r="U266" s="41">
        <f>IFERROR(INDEX(환산공식!$DC$16:$DC$301,MATCH(E266,환산공식!$A$16:$A$301,0)),"")</f>
        <v>0</v>
      </c>
      <c r="V266" s="113">
        <f t="shared" si="14"/>
        <v>6</v>
      </c>
      <c r="W266" s="110" t="str">
        <f>INDEX('배치점수 계산기'!$AG$11:$AG$800,MATCH('       가 군       '!$C266,'배치점수 계산기'!$U$11:$U$800,0))</f>
        <v>표점</v>
      </c>
      <c r="X266" s="108" t="str">
        <f>INDEX('배치점수 계산기'!$AH$11:$AH$800,MATCH('       가 군       '!$C266,'배치점수 계산기'!$U$11:$U$800,0))</f>
        <v>변표</v>
      </c>
      <c r="Y266" s="113">
        <f>INDEX('배치점수 계산기'!$AB$11:$AB$800,MATCH('       가 군       '!$C266,'배치점수 계산기'!$U$11:$U$800,0))</f>
        <v>0.3</v>
      </c>
      <c r="Z266" s="73">
        <f>INDEX('배치점수 계산기'!$AC$11:$AC$800,MATCH('       가 군       '!$C266,'배치점수 계산기'!$U$11:$U$800,0))</f>
        <v>0.4</v>
      </c>
      <c r="AA266" s="63">
        <f>INDEX('배치점수 계산기'!$AD$11:$AD$800,MATCH('       가 군       '!$C266,'배치점수 계산기'!$U$11:$U$800,0))</f>
        <v>0.3</v>
      </c>
      <c r="AE266" s="7">
        <v>259</v>
      </c>
    </row>
    <row r="267" spans="3:31" x14ac:dyDescent="0.3">
      <c r="C267" s="7" t="s">
        <v>1175</v>
      </c>
      <c r="D267" s="41" t="str">
        <f>IFERROR(INDEX('배치점수 계산기'!V$11:V$1000,MATCH($C267,'배치점수 계산기'!$U$11:$U$1000,0)),"")</f>
        <v>성균 자연</v>
      </c>
      <c r="E267" s="41">
        <f>IFERROR(INDEX('배치점수 계산기'!W$11:W$1000,MATCH($C267,'배치점수 계산기'!$U$11:$U$1000,0)),"")</f>
        <v>25</v>
      </c>
      <c r="F267" s="113" t="s">
        <v>276</v>
      </c>
      <c r="G267" s="41" t="s">
        <v>342</v>
      </c>
      <c r="H267" s="41" t="s">
        <v>845</v>
      </c>
      <c r="I267" s="41" t="s">
        <v>274</v>
      </c>
      <c r="J267" s="41" t="str">
        <f t="shared" si="12"/>
        <v>X</v>
      </c>
      <c r="K267" s="113">
        <f>IFERROR(INDEX(환산공식!CI$16:CI$301,MATCH($E267,환산공식!$A$16:$A$301,0)),"")</f>
        <v>100</v>
      </c>
      <c r="L267" s="41" t="str">
        <f>IFERROR(CONCATENATE(ROUND(INDEX(환산공식!CJ$16:CJ$301,MATCH(E267,환산공식!$A$16:$A$301,0)),1),"%"),"")</f>
        <v>100%</v>
      </c>
      <c r="M267" s="41">
        <f>IFERROR(INDEX(환산공식!CK$16:CK$301,MATCH(E267,환산공식!$A$16:$A$301,0)),"")</f>
        <v>10</v>
      </c>
      <c r="N267" s="113" t="str">
        <f t="shared" si="13"/>
        <v>1% 이하</v>
      </c>
      <c r="O267" s="119">
        <f>IFERROR(ROUND(INDEX(환산공식!$EF$16:$EF$301,MATCH(E267,환산공식!$A$16:$A$301,0)),3),"")</f>
        <v>0</v>
      </c>
      <c r="P267" s="119">
        <f>IFERROR(ROUND(INDEX('배치점수 계산기'!M$11:M$1000,MATCH($C267,'배치점수 계산기'!$U$11:$U$1000,0)),2),"")</f>
        <v>834.22</v>
      </c>
      <c r="Q267" s="41">
        <f>IFERROR(ROUND(INDEX('배치점수 계산기'!N$11:N$1000,MATCH($C267,'배치점수 계산기'!$U$11:$U$1000,0)),2),"")</f>
        <v>832.36</v>
      </c>
      <c r="R267" s="41">
        <f>IFERROR(ROUND(INDEX('배치점수 계산기'!O$11:O$1000,MATCH($C267,'배치점수 계산기'!$U$11:$U$1000,0)),2),"")</f>
        <v>831.55</v>
      </c>
      <c r="S267" s="41">
        <f>IFERROR(ROUND(INDEX('배치점수 계산기'!P$11:P$1000,MATCH($C267,'배치점수 계산기'!$U$11:$U$1000,0)),2),"")</f>
        <v>827.55</v>
      </c>
      <c r="T267" s="41">
        <f>IFERROR(ROUND(INDEX('배치점수 계산기'!Q$11:Q$1000,MATCH($C267,'배치점수 계산기'!$U$11:$U$1000,0)),2),"")</f>
        <v>825.33</v>
      </c>
      <c r="U267" s="41">
        <f>IFERROR(INDEX(환산공식!$DC$16:$DC$301,MATCH(E267,환산공식!$A$16:$A$301,0)),"")</f>
        <v>0</v>
      </c>
      <c r="V267" s="113">
        <f t="shared" si="14"/>
        <v>6</v>
      </c>
      <c r="W267" s="110" t="str">
        <f>INDEX('배치점수 계산기'!$AG$11:$AG$800,MATCH('       가 군       '!$C267,'배치점수 계산기'!$U$11:$U$800,0))</f>
        <v>표점</v>
      </c>
      <c r="X267" s="108" t="str">
        <f>INDEX('배치점수 계산기'!$AH$11:$AH$800,MATCH('       가 군       '!$C267,'배치점수 계산기'!$U$11:$U$800,0))</f>
        <v>변표</v>
      </c>
      <c r="Y267" s="113">
        <f>INDEX('배치점수 계산기'!$AB$11:$AB$800,MATCH('       가 군       '!$C267,'배치점수 계산기'!$U$11:$U$800,0))</f>
        <v>0.25</v>
      </c>
      <c r="Z267" s="73">
        <f>INDEX('배치점수 계산기'!$AC$11:$AC$800,MATCH('       가 군       '!$C267,'배치점수 계산기'!$U$11:$U$800,0))</f>
        <v>0.4</v>
      </c>
      <c r="AA267" s="63">
        <f>INDEX('배치점수 계산기'!$AD$11:$AD$800,MATCH('       가 군       '!$C267,'배치점수 계산기'!$U$11:$U$800,0))</f>
        <v>0.35</v>
      </c>
      <c r="AE267" s="7">
        <v>260</v>
      </c>
    </row>
    <row r="268" spans="3:31" x14ac:dyDescent="0.3">
      <c r="C268" s="7" t="s">
        <v>1176</v>
      </c>
      <c r="D268" s="41" t="str">
        <f>IFERROR(INDEX('배치점수 계산기'!V$11:V$1000,MATCH($C268,'배치점수 계산기'!$U$11:$U$1000,0)),"")</f>
        <v>고려대 자연</v>
      </c>
      <c r="E268" s="41">
        <f>IFERROR(INDEX('배치점수 계산기'!W$11:W$1000,MATCH($C268,'배치점수 계산기'!$U$11:$U$1000,0)),"")</f>
        <v>23</v>
      </c>
      <c r="F268" s="113" t="s">
        <v>276</v>
      </c>
      <c r="G268" s="41" t="s">
        <v>317</v>
      </c>
      <c r="H268" s="41" t="s">
        <v>845</v>
      </c>
      <c r="I268" s="41" t="s">
        <v>274</v>
      </c>
      <c r="J268" s="41" t="str">
        <f t="shared" si="12"/>
        <v>X</v>
      </c>
      <c r="K268" s="113">
        <f>IFERROR(INDEX(환산공식!CI$16:CI$301,MATCH($E268,환산공식!$A$16:$A$301,0)),"")</f>
        <v>0</v>
      </c>
      <c r="L268" s="41" t="str">
        <f>IFERROR(CONCATENATE(ROUND(INDEX(환산공식!CJ$16:CJ$301,MATCH(E268,환산공식!$A$16:$A$301,0)),1),"%"),"")</f>
        <v/>
      </c>
      <c r="M268" s="41">
        <f>IFERROR(INDEX(환산공식!CK$16:CK$301,MATCH(E268,환산공식!$A$16:$A$301,0)),"")</f>
        <v>10</v>
      </c>
      <c r="N268" s="113" t="str">
        <f t="shared" si="13"/>
        <v>1% 이하</v>
      </c>
      <c r="O268" s="119">
        <f>IFERROR(ROUND(INDEX(환산공식!$EF$16:$EF$301,MATCH(E268,환산공식!$A$16:$A$301,0)),3),"")</f>
        <v>0</v>
      </c>
      <c r="P268" s="119">
        <f>IFERROR(ROUND(INDEX('배치점수 계산기'!M$11:M$1000,MATCH($C268,'배치점수 계산기'!$U$11:$U$1000,0)),2),"")</f>
        <v>732.82</v>
      </c>
      <c r="Q268" s="41">
        <f>IFERROR(ROUND(INDEX('배치점수 계산기'!N$11:N$1000,MATCH($C268,'배치점수 계산기'!$U$11:$U$1000,0)),2),"")</f>
        <v>732.82</v>
      </c>
      <c r="R268" s="41">
        <f>IFERROR(ROUND(INDEX('배치점수 계산기'!O$11:O$1000,MATCH($C268,'배치점수 계산기'!$U$11:$U$1000,0)),2),"")</f>
        <v>732.08</v>
      </c>
      <c r="S268" s="41">
        <f>IFERROR(ROUND(INDEX('배치점수 계산기'!P$11:P$1000,MATCH($C268,'배치점수 계산기'!$U$11:$U$1000,0)),2),"")</f>
        <v>727.63</v>
      </c>
      <c r="T268" s="41">
        <f>IFERROR(ROUND(INDEX('배치점수 계산기'!Q$11:Q$1000,MATCH($C268,'배치점수 계산기'!$U$11:$U$1000,0)),2),"")</f>
        <v>725.66</v>
      </c>
      <c r="U268" s="41">
        <f>IFERROR(INDEX(환산공식!$DC$16:$DC$301,MATCH(E268,환산공식!$A$16:$A$301,0)),"")</f>
        <v>0</v>
      </c>
      <c r="V268" s="113">
        <f t="shared" si="14"/>
        <v>6</v>
      </c>
      <c r="W268" s="110" t="str">
        <f>INDEX('배치점수 계산기'!$AG$11:$AG$800,MATCH('       가 군       '!$C268,'배치점수 계산기'!$U$11:$U$800,0))</f>
        <v>표점</v>
      </c>
      <c r="X268" s="108" t="str">
        <f>INDEX('배치점수 계산기'!$AH$11:$AH$800,MATCH('       가 군       '!$C268,'배치점수 계산기'!$U$11:$U$800,0))</f>
        <v>변표</v>
      </c>
      <c r="Y268" s="113">
        <f>INDEX('배치점수 계산기'!$AB$11:$AB$800,MATCH('       가 군       '!$C268,'배치점수 계산기'!$U$11:$U$800,0))</f>
        <v>0.3125</v>
      </c>
      <c r="Z268" s="73">
        <f>INDEX('배치점수 계산기'!$AC$11:$AC$800,MATCH('       가 군       '!$C268,'배치점수 계산기'!$U$11:$U$800,0))</f>
        <v>0.375</v>
      </c>
      <c r="AA268" s="63">
        <f>INDEX('배치점수 계산기'!$AD$11:$AD$800,MATCH('       가 군       '!$C268,'배치점수 계산기'!$U$11:$U$800,0))</f>
        <v>0.3125</v>
      </c>
      <c r="AE268" s="7">
        <v>261</v>
      </c>
    </row>
    <row r="269" spans="3:31" x14ac:dyDescent="0.3">
      <c r="C269" s="7" t="s">
        <v>1177</v>
      </c>
      <c r="D269" s="41" t="str">
        <f>IFERROR(INDEX('배치점수 계산기'!V$11:V$1000,MATCH($C269,'배치점수 계산기'!$U$11:$U$1000,0)),"")</f>
        <v>울산 의</v>
      </c>
      <c r="E269" s="41">
        <f>IFERROR(INDEX('배치점수 계산기'!W$11:W$1000,MATCH($C269,'배치점수 계산기'!$U$11:$U$1000,0)),"")</f>
        <v>110</v>
      </c>
      <c r="F269" s="113" t="s">
        <v>276</v>
      </c>
      <c r="G269" s="41" t="s">
        <v>846</v>
      </c>
      <c r="H269" s="41" t="s">
        <v>845</v>
      </c>
      <c r="I269" s="41" t="s">
        <v>274</v>
      </c>
      <c r="J269" s="41" t="str">
        <f t="shared" si="12"/>
        <v>X</v>
      </c>
      <c r="K269" s="113">
        <f>IFERROR(INDEX(환산공식!CI$16:CI$301,MATCH($E269,환산공식!$A$16:$A$301,0)),"")</f>
        <v>190</v>
      </c>
      <c r="L269" s="41" t="str">
        <f>IFERROR(CONCATENATE(ROUND(INDEX(환산공식!CJ$16:CJ$301,MATCH(E269,환산공식!$A$16:$A$301,0)),1),"%"),"")</f>
        <v>100%</v>
      </c>
      <c r="M269" s="41">
        <f>IFERROR(INDEX(환산공식!CK$16:CK$301,MATCH(E269,환산공식!$A$16:$A$301,0)),"")</f>
        <v>10</v>
      </c>
      <c r="N269" s="113" t="str">
        <f t="shared" si="13"/>
        <v>1% 이하</v>
      </c>
      <c r="O269" s="119">
        <f>IFERROR(ROUND(INDEX(환산공식!$EF$16:$EF$301,MATCH(E269,환산공식!$A$16:$A$301,0)),3),"")</f>
        <v>0</v>
      </c>
      <c r="P269" s="119">
        <f>IFERROR(ROUND(INDEX('배치점수 계산기'!M$11:M$1000,MATCH($C269,'배치점수 계산기'!$U$11:$U$1000,0)),2),"")</f>
        <v>986.07</v>
      </c>
      <c r="Q269" s="41">
        <f>IFERROR(ROUND(INDEX('배치점수 계산기'!N$11:N$1000,MATCH($C269,'배치점수 계산기'!$U$11:$U$1000,0)),2),"")</f>
        <v>983.83</v>
      </c>
      <c r="R269" s="41">
        <f>IFERROR(ROUND(INDEX('배치점수 계산기'!O$11:O$1000,MATCH($C269,'배치점수 계산기'!$U$11:$U$1000,0)),2),"")</f>
        <v>982.88</v>
      </c>
      <c r="S269" s="41">
        <f>IFERROR(ROUND(INDEX('배치점수 계산기'!P$11:P$1000,MATCH($C269,'배치점수 계산기'!$U$11:$U$1000,0)),2),"")</f>
        <v>978.39</v>
      </c>
      <c r="T269" s="41">
        <f>IFERROR(ROUND(INDEX('배치점수 계산기'!Q$11:Q$1000,MATCH($C269,'배치점수 계산기'!$U$11:$U$1000,0)),2),"")</f>
        <v>975.8</v>
      </c>
      <c r="U269" s="41">
        <f>IFERROR(INDEX(환산공식!$DC$16:$DC$301,MATCH(E269,환산공식!$A$16:$A$301,0)),"")</f>
        <v>0</v>
      </c>
      <c r="V269" s="113">
        <f t="shared" si="14"/>
        <v>6</v>
      </c>
      <c r="W269" s="110" t="str">
        <f>INDEX('배치점수 계산기'!$AG$11:$AG$800,MATCH('       가 군       '!$C269,'배치점수 계산기'!$U$11:$U$800,0))</f>
        <v>표점/만점</v>
      </c>
      <c r="X269" s="108" t="str">
        <f>INDEX('배치점수 계산기'!$AH$11:$AH$800,MATCH('       가 군       '!$C269,'배치점수 계산기'!$U$11:$U$800,0))</f>
        <v>변표/만점</v>
      </c>
      <c r="Y269" s="113">
        <f>INDEX('배치점수 계산기'!$AB$11:$AB$800,MATCH('       가 군       '!$C269,'배치점수 계산기'!$U$11:$U$800,0))</f>
        <v>0.24441062095095442</v>
      </c>
      <c r="Z269" s="73">
        <f>INDEX('배치점수 계산기'!$AC$11:$AC$800,MATCH('       가 군       '!$C269,'배치점수 계산기'!$U$11:$U$800,0))</f>
        <v>0.37160390328257353</v>
      </c>
      <c r="AA269" s="63">
        <f>INDEX('배치점수 계산기'!$AD$11:$AD$800,MATCH('       가 군       '!$C269,'배치점수 계산기'!$U$11:$U$800,0))</f>
        <v>0.38398547576647207</v>
      </c>
      <c r="AE269" s="7">
        <v>262</v>
      </c>
    </row>
    <row r="270" spans="3:31" x14ac:dyDescent="0.3">
      <c r="C270" s="7" t="s">
        <v>1178</v>
      </c>
      <c r="D270" s="41" t="str">
        <f>IFERROR(INDEX('배치점수 계산기'!V$11:V$1000,MATCH($C270,'배치점수 계산기'!$U$11:$U$1000,0)),"")</f>
        <v>연세대 의</v>
      </c>
      <c r="E270" s="41">
        <f>IFERROR(INDEX('배치점수 계산기'!W$11:W$1000,MATCH($C270,'배치점수 계산기'!$U$11:$U$1000,0)),"")</f>
        <v>21</v>
      </c>
      <c r="F270" s="113" t="s">
        <v>276</v>
      </c>
      <c r="G270" s="41" t="s">
        <v>277</v>
      </c>
      <c r="H270" s="41" t="s">
        <v>845</v>
      </c>
      <c r="I270" s="41" t="s">
        <v>274</v>
      </c>
      <c r="J270" s="41" t="str">
        <f t="shared" si="12"/>
        <v>X</v>
      </c>
      <c r="K270" s="113">
        <f>IFERROR(INDEX(환산공식!CI$16:CI$301,MATCH($E270,환산공식!$A$16:$A$301,0)),"")</f>
        <v>100</v>
      </c>
      <c r="L270" s="41" t="str">
        <f>IFERROR(CONCATENATE(ROUND(INDEX(환산공식!CJ$16:CJ$301,MATCH(E270,환산공식!$A$16:$A$301,0)),1),"%"),"")</f>
        <v>100%</v>
      </c>
      <c r="M270" s="41">
        <f>IFERROR(INDEX(환산공식!CK$16:CK$301,MATCH(E270,환산공식!$A$16:$A$301,0)),"")</f>
        <v>10</v>
      </c>
      <c r="N270" s="113" t="str">
        <f t="shared" si="13"/>
        <v>1% 이하</v>
      </c>
      <c r="O270" s="119">
        <f>IFERROR(ROUND(INDEX(환산공식!$EF$16:$EF$301,MATCH(E270,환산공식!$A$16:$A$301,0)),3),"")</f>
        <v>0</v>
      </c>
      <c r="P270" s="119">
        <f>IFERROR(ROUND(INDEX('배치점수 계산기'!M$11:M$1000,MATCH($C270,'배치점수 계산기'!$U$11:$U$1000,0)),2),"")</f>
        <v>687.6</v>
      </c>
      <c r="Q270" s="41">
        <f>IFERROR(ROUND(INDEX('배치점수 계산기'!N$11:N$1000,MATCH($C270,'배치점수 계산기'!$U$11:$U$1000,0)),2),"")</f>
        <v>686.87</v>
      </c>
      <c r="R270" s="41">
        <f>IFERROR(ROUND(INDEX('배치점수 계산기'!O$11:O$1000,MATCH($C270,'배치점수 계산기'!$U$11:$U$1000,0)),2),"")</f>
        <v>683.8</v>
      </c>
      <c r="S270" s="41">
        <f>IFERROR(ROUND(INDEX('배치점수 계산기'!P$11:P$1000,MATCH($C270,'배치점수 계산기'!$U$11:$U$1000,0)),2),"")</f>
        <v>682.27</v>
      </c>
      <c r="T270" s="41">
        <f>IFERROR(ROUND(INDEX('배치점수 계산기'!Q$11:Q$1000,MATCH($C270,'배치점수 계산기'!$U$11:$U$1000,0)),2),"")</f>
        <v>681.12</v>
      </c>
      <c r="U270" s="41">
        <f>IFERROR(INDEX(환산공식!$DC$16:$DC$301,MATCH(E270,환산공식!$A$16:$A$301,0)),"")</f>
        <v>0</v>
      </c>
      <c r="V270" s="113">
        <f t="shared" si="14"/>
        <v>6</v>
      </c>
      <c r="W270" s="110" t="str">
        <f>INDEX('배치점수 계산기'!$AG$11:$AG$800,MATCH('       가 군       '!$C270,'배치점수 계산기'!$U$11:$U$800,0))</f>
        <v>표점</v>
      </c>
      <c r="X270" s="108" t="str">
        <f>INDEX('배치점수 계산기'!$AH$11:$AH$800,MATCH('       가 군       '!$C270,'배치점수 계산기'!$U$11:$U$800,0))</f>
        <v>표점</v>
      </c>
      <c r="Y270" s="113">
        <f>INDEX('배치점수 계산기'!$AB$11:$AB$800,MATCH('       가 군       '!$C270,'배치점수 계산기'!$U$11:$U$800,0))</f>
        <v>0.25</v>
      </c>
      <c r="Z270" s="73">
        <f>INDEX('배치점수 계산기'!$AC$11:$AC$800,MATCH('       가 군       '!$C270,'배치점수 계산기'!$U$11:$U$800,0))</f>
        <v>0.375</v>
      </c>
      <c r="AA270" s="63">
        <f>INDEX('배치점수 계산기'!$AD$11:$AD$800,MATCH('       가 군       '!$C270,'배치점수 계산기'!$U$11:$U$800,0))</f>
        <v>0.375</v>
      </c>
      <c r="AE270" s="7">
        <v>263</v>
      </c>
    </row>
    <row r="271" spans="3:31" x14ac:dyDescent="0.3">
      <c r="C271" s="7" t="s">
        <v>1179</v>
      </c>
      <c r="D271" s="41" t="str">
        <f>IFERROR(INDEX('배치점수 계산기'!V$11:V$1000,MATCH($C271,'배치점수 계산기'!$U$11:$U$1000,0)),"")</f>
        <v>한양 자연</v>
      </c>
      <c r="E271" s="41">
        <f>IFERROR(INDEX('배치점수 계산기'!W$11:W$1000,MATCH($C271,'배치점수 계산기'!$U$11:$U$1000,0)),"")</f>
        <v>27</v>
      </c>
      <c r="F271" s="113" t="s">
        <v>276</v>
      </c>
      <c r="G271" s="41" t="s">
        <v>359</v>
      </c>
      <c r="H271" s="41" t="s">
        <v>845</v>
      </c>
      <c r="I271" s="41" t="s">
        <v>274</v>
      </c>
      <c r="J271" s="41" t="str">
        <f t="shared" si="12"/>
        <v>X</v>
      </c>
      <c r="K271" s="113">
        <f>IFERROR(INDEX(환산공식!CI$16:CI$301,MATCH($E271,환산공식!$A$16:$A$301,0)),"")</f>
        <v>100</v>
      </c>
      <c r="L271" s="41" t="str">
        <f>IFERROR(CONCATENATE(ROUND(INDEX(환산공식!CJ$16:CJ$301,MATCH(E271,환산공식!$A$16:$A$301,0)),1),"%"),"")</f>
        <v>100%</v>
      </c>
      <c r="M271" s="41">
        <f>IFERROR(INDEX(환산공식!CK$16:CK$301,MATCH(E271,환산공식!$A$16:$A$301,0)),"")</f>
        <v>0</v>
      </c>
      <c r="N271" s="113" t="str">
        <f t="shared" si="13"/>
        <v>1% 이하</v>
      </c>
      <c r="O271" s="119">
        <f>IFERROR(ROUND(INDEX(환산공식!$EF$16:$EF$301,MATCH(E271,환산공식!$A$16:$A$301,0)),3),"")</f>
        <v>0</v>
      </c>
      <c r="P271" s="119">
        <f>IFERROR(ROUND(INDEX('배치점수 계산기'!M$11:M$1000,MATCH($C271,'배치점수 계산기'!$U$11:$U$1000,0)),2),"")</f>
        <v>980.63</v>
      </c>
      <c r="Q271" s="41">
        <f>IFERROR(ROUND(INDEX('배치점수 계산기'!N$11:N$1000,MATCH($C271,'배치점수 계산기'!$U$11:$U$1000,0)),2),"")</f>
        <v>974.3</v>
      </c>
      <c r="R271" s="41">
        <f>IFERROR(ROUND(INDEX('배치점수 계산기'!O$11:O$1000,MATCH($C271,'배치점수 계산기'!$U$11:$U$1000,0)),2),"")</f>
        <v>973.52</v>
      </c>
      <c r="S271" s="41">
        <f>IFERROR(ROUND(INDEX('배치점수 계산기'!P$11:P$1000,MATCH($C271,'배치점수 계산기'!$U$11:$U$1000,0)),2),"")</f>
        <v>971.86</v>
      </c>
      <c r="T271" s="41">
        <f>IFERROR(ROUND(INDEX('배치점수 계산기'!Q$11:Q$1000,MATCH($C271,'배치점수 계산기'!$U$11:$U$1000,0)),2),"")</f>
        <v>970.09</v>
      </c>
      <c r="U271" s="41">
        <f>IFERROR(INDEX(환산공식!$DC$16:$DC$301,MATCH(E271,환산공식!$A$16:$A$301,0)),"")</f>
        <v>0</v>
      </c>
      <c r="V271" s="113">
        <f t="shared" si="14"/>
        <v>6</v>
      </c>
      <c r="W271" s="110" t="str">
        <f>INDEX('배치점수 계산기'!$AG$11:$AG$800,MATCH('       가 군       '!$C271,'배치점수 계산기'!$U$11:$U$800,0))</f>
        <v>표점/만점</v>
      </c>
      <c r="X271" s="108" t="str">
        <f>INDEX('배치점수 계산기'!$AH$11:$AH$800,MATCH('       가 군       '!$C271,'배치점수 계산기'!$U$11:$U$800,0))</f>
        <v>변표/만점</v>
      </c>
      <c r="Y271" s="113">
        <f>INDEX('배치점수 계산기'!$AB$11:$AB$800,MATCH('       가 군       '!$C271,'배치점수 계산기'!$U$11:$U$800,0))</f>
        <v>0.21707413571547685</v>
      </c>
      <c r="Z271" s="73">
        <f>INDEX('배치점수 계산기'!$AC$11:$AC$800,MATCH('       가 군       '!$C271,'배치점수 계산기'!$U$11:$U$800,0))</f>
        <v>0.38504816930483388</v>
      </c>
      <c r="AA271" s="63">
        <f>INDEX('배치점수 계산기'!$AD$11:$AD$800,MATCH('       가 군       '!$C271,'배치점수 계산기'!$U$11:$U$800,0))</f>
        <v>0.39787769497968917</v>
      </c>
      <c r="AE271" s="7">
        <v>264</v>
      </c>
    </row>
    <row r="272" spans="3:31" x14ac:dyDescent="0.3">
      <c r="C272" s="7" t="s">
        <v>1180</v>
      </c>
      <c r="D272" s="41" t="str">
        <f>IFERROR(INDEX('배치점수 계산기'!V$11:V$1000,MATCH($C272,'배치점수 계산기'!$U$11:$U$1000,0)),"")</f>
        <v>가천 의약</v>
      </c>
      <c r="E272" s="41">
        <f>IFERROR(INDEX('배치점수 계산기'!W$11:W$1000,MATCH($C272,'배치점수 계산기'!$U$11:$U$1000,0)),"")</f>
        <v>66</v>
      </c>
      <c r="F272" s="113" t="s">
        <v>276</v>
      </c>
      <c r="G272" s="41" t="s">
        <v>679</v>
      </c>
      <c r="H272" s="41" t="s">
        <v>845</v>
      </c>
      <c r="I272" s="41" t="s">
        <v>274</v>
      </c>
      <c r="J272" s="41" t="str">
        <f t="shared" si="12"/>
        <v>X</v>
      </c>
      <c r="K272" s="113">
        <f>IFERROR(INDEX(환산공식!CI$16:CI$301,MATCH($E272,환산공식!$A$16:$A$301,0)),"")</f>
        <v>78.400000000000006</v>
      </c>
      <c r="L272" s="41" t="str">
        <f>IFERROR(CONCATENATE(ROUND(INDEX(환산공식!CJ$16:CJ$301,MATCH(E272,환산공식!$A$16:$A$301,0)),1),"%"),"")</f>
        <v>100%</v>
      </c>
      <c r="M272" s="41">
        <f>IFERROR(INDEX(환산공식!CK$16:CK$301,MATCH(E272,환산공식!$A$16:$A$301,0)),"")</f>
        <v>0</v>
      </c>
      <c r="N272" s="113" t="str">
        <f t="shared" si="13"/>
        <v>1% 이하</v>
      </c>
      <c r="O272" s="119">
        <f>IFERROR(ROUND(INDEX(환산공식!$EF$16:$EF$301,MATCH(E272,환산공식!$A$16:$A$301,0)),3),"")</f>
        <v>0</v>
      </c>
      <c r="P272" s="119">
        <f>IFERROR(ROUND(INDEX('배치점수 계산기'!M$11:M$1000,MATCH($C272,'배치점수 계산기'!$U$11:$U$1000,0)),2),"")</f>
        <v>397.15</v>
      </c>
      <c r="Q272" s="41">
        <f>IFERROR(ROUND(INDEX('배치점수 계산기'!N$11:N$1000,MATCH($C272,'배치점수 계산기'!$U$11:$U$1000,0)),2),"")</f>
        <v>396.86</v>
      </c>
      <c r="R272" s="41">
        <f>IFERROR(ROUND(INDEX('배치점수 계산기'!O$11:O$1000,MATCH($C272,'배치점수 계산기'!$U$11:$U$1000,0)),2),"")</f>
        <v>396.74</v>
      </c>
      <c r="S272" s="41">
        <f>IFERROR(ROUND(INDEX('배치점수 계산기'!P$11:P$1000,MATCH($C272,'배치점수 계산기'!$U$11:$U$1000,0)),2),"")</f>
        <v>395.91</v>
      </c>
      <c r="T272" s="41">
        <f>IFERROR(ROUND(INDEX('배치점수 계산기'!Q$11:Q$1000,MATCH($C272,'배치점수 계산기'!$U$11:$U$1000,0)),2),"")</f>
        <v>395.05</v>
      </c>
      <c r="U272" s="41">
        <f>IFERROR(INDEX(환산공식!$DC$16:$DC$301,MATCH(E272,환산공식!$A$16:$A$301,0)),"")</f>
        <v>0</v>
      </c>
      <c r="V272" s="113">
        <f t="shared" si="14"/>
        <v>6</v>
      </c>
      <c r="W272" s="110" t="str">
        <f>INDEX('배치점수 계산기'!$AG$11:$AG$800,MATCH('       가 군       '!$C272,'배치점수 계산기'!$U$11:$U$800,0))</f>
        <v>백분위</v>
      </c>
      <c r="X272" s="108" t="str">
        <f>INDEX('배치점수 계산기'!$AH$11:$AH$800,MATCH('       가 군       '!$C272,'배치점수 계산기'!$U$11:$U$800,0))</f>
        <v>백분위</v>
      </c>
      <c r="Y272" s="113">
        <f>INDEX('배치점수 계산기'!$AB$11:$AB$800,MATCH('       가 군       '!$C272,'배치점수 계산기'!$U$11:$U$800,0))</f>
        <v>0.3125</v>
      </c>
      <c r="Z272" s="73">
        <f>INDEX('배치점수 계산기'!$AC$11:$AC$800,MATCH('       가 군       '!$C272,'배치점수 계산기'!$U$11:$U$800,0))</f>
        <v>0.37499999999999994</v>
      </c>
      <c r="AA272" s="63">
        <f>INDEX('배치점수 계산기'!$AD$11:$AD$800,MATCH('       가 군       '!$C272,'배치점수 계산기'!$U$11:$U$800,0))</f>
        <v>0.3125</v>
      </c>
      <c r="AE272" s="7">
        <v>265</v>
      </c>
    </row>
    <row r="273" spans="3:31" x14ac:dyDescent="0.3">
      <c r="C273" s="7" t="s">
        <v>1181</v>
      </c>
      <c r="D273" s="41" t="str">
        <f>IFERROR(INDEX('배치점수 계산기'!V$11:V$1000,MATCH($C273,'배치점수 계산기'!$U$11:$U$1000,0)),"")</f>
        <v>아주 의</v>
      </c>
      <c r="E273" s="41">
        <f>IFERROR(INDEX('배치점수 계산기'!W$11:W$1000,MATCH($C273,'배치점수 계산기'!$U$11:$U$1000,0)),"")</f>
        <v>104</v>
      </c>
      <c r="F273" s="113" t="s">
        <v>276</v>
      </c>
      <c r="G273" s="41" t="s">
        <v>712</v>
      </c>
      <c r="H273" s="41" t="s">
        <v>845</v>
      </c>
      <c r="I273" s="41" t="s">
        <v>274</v>
      </c>
      <c r="J273" s="41" t="str">
        <f t="shared" si="12"/>
        <v>X</v>
      </c>
      <c r="K273" s="113">
        <f>IFERROR(INDEX(환산공식!CI$16:CI$301,MATCH($E273,환산공식!$A$16:$A$301,0)),"")</f>
        <v>100</v>
      </c>
      <c r="L273" s="41" t="str">
        <f>IFERROR(CONCATENATE(ROUND(INDEX(환산공식!CJ$16:CJ$301,MATCH(E273,환산공식!$A$16:$A$301,0)),1),"%"),"")</f>
        <v>100%</v>
      </c>
      <c r="M273" s="41">
        <f>IFERROR(INDEX(환산공식!CK$16:CK$301,MATCH(E273,환산공식!$A$16:$A$301,0)),"")</f>
        <v>0</v>
      </c>
      <c r="N273" s="113" t="str">
        <f t="shared" si="13"/>
        <v>1% 이하</v>
      </c>
      <c r="O273" s="119">
        <f>IFERROR(ROUND(INDEX(환산공식!$EF$16:$EF$301,MATCH(E273,환산공식!$A$16:$A$301,0)),3),"")</f>
        <v>0</v>
      </c>
      <c r="P273" s="119">
        <f>IFERROR(ROUND(INDEX('배치점수 계산기'!M$11:M$1000,MATCH($C273,'배치점수 계산기'!$U$11:$U$1000,0)),2),"")</f>
        <v>974.46</v>
      </c>
      <c r="Q273" s="41">
        <f>IFERROR(ROUND(INDEX('배치점수 계산기'!N$11:N$1000,MATCH($C273,'배치점수 계산기'!$U$11:$U$1000,0)),2),"")</f>
        <v>973.65</v>
      </c>
      <c r="R273" s="41">
        <f>IFERROR(ROUND(INDEX('배치점수 계산기'!O$11:O$1000,MATCH($C273,'배치점수 계산기'!$U$11:$U$1000,0)),2),"")</f>
        <v>972.14</v>
      </c>
      <c r="S273" s="41">
        <f>IFERROR(ROUND(INDEX('배치점수 계산기'!P$11:P$1000,MATCH($C273,'배치점수 계산기'!$U$11:$U$1000,0)),2),"")</f>
        <v>970.38</v>
      </c>
      <c r="T273" s="41">
        <f>IFERROR(ROUND(INDEX('배치점수 계산기'!Q$11:Q$1000,MATCH($C273,'배치점수 계산기'!$U$11:$U$1000,0)),2),"")</f>
        <v>965.36</v>
      </c>
      <c r="U273" s="41">
        <f>IFERROR(INDEX(환산공식!$DC$16:$DC$301,MATCH(E273,환산공식!$A$16:$A$301,0)),"")</f>
        <v>0</v>
      </c>
      <c r="V273" s="113">
        <f t="shared" si="14"/>
        <v>6</v>
      </c>
      <c r="W273" s="110" t="str">
        <f>INDEX('배치점수 계산기'!$AG$11:$AG$800,MATCH('       가 군       '!$C273,'배치점수 계산기'!$U$11:$U$800,0))</f>
        <v>표점/만점</v>
      </c>
      <c r="X273" s="108" t="str">
        <f>INDEX('배치점수 계산기'!$AH$11:$AH$800,MATCH('       가 군       '!$C273,'배치점수 계산기'!$U$11:$U$800,0))</f>
        <v>변표/만점</v>
      </c>
      <c r="Y273" s="113">
        <f>INDEX('배치점수 계산기'!$AB$11:$AB$800,MATCH('       가 군       '!$C273,'배치점수 계산기'!$U$11:$U$800,0))</f>
        <v>0.21747271740283403</v>
      </c>
      <c r="Z273" s="73">
        <f>INDEX('배치점수 계산기'!$AC$11:$AC$800,MATCH('       가 군       '!$C273,'배치점수 계산기'!$U$11:$U$800,0))</f>
        <v>0.44086305976901047</v>
      </c>
      <c r="AA273" s="63">
        <f>INDEX('배치점수 계산기'!$AD$11:$AD$800,MATCH('       가 군       '!$C273,'배치점수 계산기'!$U$11:$U$800,0))</f>
        <v>0.34166422282815556</v>
      </c>
      <c r="AE273" s="7">
        <v>266</v>
      </c>
    </row>
    <row r="274" spans="3:31" x14ac:dyDescent="0.3">
      <c r="C274" s="7" t="s">
        <v>1182</v>
      </c>
      <c r="D274" s="41" t="str">
        <f>IFERROR(INDEX('배치점수 계산기'!V$11:V$1000,MATCH($C274,'배치점수 계산기'!$U$11:$U$1000,0)),"")</f>
        <v>인제 의</v>
      </c>
      <c r="E274" s="41">
        <f>IFERROR(INDEX('배치점수 계산기'!W$11:W$1000,MATCH($C274,'배치점수 계산기'!$U$11:$U$1000,0)),"")</f>
        <v>114</v>
      </c>
      <c r="F274" s="113" t="s">
        <v>276</v>
      </c>
      <c r="G274" s="41" t="s">
        <v>847</v>
      </c>
      <c r="H274" s="41" t="s">
        <v>845</v>
      </c>
      <c r="I274" s="41" t="s">
        <v>274</v>
      </c>
      <c r="J274" s="41" t="str">
        <f t="shared" si="12"/>
        <v>X</v>
      </c>
      <c r="K274" s="113">
        <f>IFERROR(INDEX(환산공식!CI$16:CI$301,MATCH($E274,환산공식!$A$16:$A$301,0)),"")</f>
        <v>135</v>
      </c>
      <c r="L274" s="41" t="str">
        <f>IFERROR(CONCATENATE(ROUND(INDEX(환산공식!CJ$16:CJ$301,MATCH(E274,환산공식!$A$16:$A$301,0)),1),"%"),"")</f>
        <v>100%</v>
      </c>
      <c r="M274" s="41">
        <f>IFERROR(INDEX(환산공식!CK$16:CK$301,MATCH(E274,환산공식!$A$16:$A$301,0)),"")</f>
        <v>0</v>
      </c>
      <c r="N274" s="113" t="str">
        <f t="shared" si="13"/>
        <v>1% 이하</v>
      </c>
      <c r="O274" s="119">
        <f>IFERROR(ROUND(INDEX(환산공식!$EF$16:$EF$301,MATCH(E274,환산공식!$A$16:$A$301,0)),3),"")</f>
        <v>0</v>
      </c>
      <c r="P274" s="119">
        <f>IFERROR(ROUND(INDEX('배치점수 계산기'!M$11:M$1000,MATCH($C274,'배치점수 계산기'!$U$11:$U$1000,0)),2),"")</f>
        <v>563.4</v>
      </c>
      <c r="Q274" s="41">
        <f>IFERROR(ROUND(INDEX('배치점수 계산기'!N$11:N$1000,MATCH($C274,'배치점수 계산기'!$U$11:$U$1000,0)),2),"")</f>
        <v>560.5</v>
      </c>
      <c r="R274" s="41">
        <f>IFERROR(ROUND(INDEX('배치점수 계산기'!O$11:O$1000,MATCH($C274,'배치점수 계산기'!$U$11:$U$1000,0)),2),"")</f>
        <v>560.29999999999995</v>
      </c>
      <c r="S274" s="41">
        <f>IFERROR(ROUND(INDEX('배치점수 계산기'!P$11:P$1000,MATCH($C274,'배치점수 계산기'!$U$11:$U$1000,0)),2),"")</f>
        <v>558.4</v>
      </c>
      <c r="T274" s="41">
        <f>IFERROR(ROUND(INDEX('배치점수 계산기'!Q$11:Q$1000,MATCH($C274,'배치점수 계산기'!$U$11:$U$1000,0)),2),"")</f>
        <v>556.6</v>
      </c>
      <c r="U274" s="41">
        <f>IFERROR(INDEX(환산공식!$DC$16:$DC$301,MATCH(E274,환산공식!$A$16:$A$301,0)),"")</f>
        <v>0</v>
      </c>
      <c r="V274" s="113">
        <f t="shared" si="14"/>
        <v>6</v>
      </c>
      <c r="W274" s="110" t="str">
        <f>INDEX('배치점수 계산기'!$AG$11:$AG$800,MATCH('       가 군       '!$C274,'배치점수 계산기'!$U$11:$U$800,0))</f>
        <v>표점</v>
      </c>
      <c r="X274" s="108" t="str">
        <f>INDEX('배치점수 계산기'!$AH$11:$AH$800,MATCH('       가 군       '!$C274,'배치점수 계산기'!$U$11:$U$800,0))</f>
        <v>표점</v>
      </c>
      <c r="Y274" s="113">
        <f>INDEX('배치점수 계산기'!$AB$11:$AB$800,MATCH('       가 군       '!$C274,'배치점수 계산기'!$U$11:$U$800,0))</f>
        <v>0.33333333333333331</v>
      </c>
      <c r="Z274" s="73">
        <f>INDEX('배치점수 계산기'!$AC$11:$AC$800,MATCH('       가 군       '!$C274,'배치점수 계산기'!$U$11:$U$800,0))</f>
        <v>0.33333333333333331</v>
      </c>
      <c r="AA274" s="63">
        <f>INDEX('배치점수 계산기'!$AD$11:$AD$800,MATCH('       가 군       '!$C274,'배치점수 계산기'!$U$11:$U$800,0))</f>
        <v>0.33333333333333331</v>
      </c>
      <c r="AE274" s="7">
        <v>267</v>
      </c>
    </row>
    <row r="275" spans="3:31" x14ac:dyDescent="0.3">
      <c r="C275" s="7" t="s">
        <v>1183</v>
      </c>
      <c r="D275" s="41" t="str">
        <f>IFERROR(INDEX('배치점수 계산기'!V$11:V$1000,MATCH($C275,'배치점수 계산기'!$U$11:$U$1000,0)),"")</f>
        <v>경북 의치약수</v>
      </c>
      <c r="E275" s="41">
        <f>IFERROR(INDEX('배치점수 계산기'!W$11:W$1000,MATCH($C275,'배치점수 계산기'!$U$11:$U$1000,0)),"")</f>
        <v>73</v>
      </c>
      <c r="F275" s="113" t="s">
        <v>276</v>
      </c>
      <c r="G275" s="41" t="s">
        <v>706</v>
      </c>
      <c r="H275" s="41" t="s">
        <v>845</v>
      </c>
      <c r="I275" s="41" t="s">
        <v>274</v>
      </c>
      <c r="J275" s="41" t="str">
        <f t="shared" si="12"/>
        <v>X</v>
      </c>
      <c r="K275" s="113">
        <f>IFERROR(INDEX(환산공식!CI$16:CI$301,MATCH($E275,환산공식!$A$16:$A$301,0)),"")</f>
        <v>125</v>
      </c>
      <c r="L275" s="41" t="str">
        <f>IFERROR(CONCATENATE(ROUND(INDEX(환산공식!CJ$16:CJ$301,MATCH(E275,환산공식!$A$16:$A$301,0)),1),"%"),"")</f>
        <v>100%</v>
      </c>
      <c r="M275" s="41">
        <f>IFERROR(INDEX(환산공식!CK$16:CK$301,MATCH(E275,환산공식!$A$16:$A$301,0)),"")</f>
        <v>10</v>
      </c>
      <c r="N275" s="113" t="str">
        <f t="shared" si="13"/>
        <v>1% 이하</v>
      </c>
      <c r="O275" s="119">
        <f>IFERROR(ROUND(INDEX(환산공식!$EF$16:$EF$301,MATCH(E275,환산공식!$A$16:$A$301,0)),3),"")</f>
        <v>0</v>
      </c>
      <c r="P275" s="119">
        <f>IFERROR(ROUND(INDEX('배치점수 계산기'!M$11:M$1000,MATCH($C275,'배치점수 계산기'!$U$11:$U$1000,0)),2),"")</f>
        <v>758.55</v>
      </c>
      <c r="Q275" s="41">
        <f>IFERROR(ROUND(INDEX('배치점수 계산기'!N$11:N$1000,MATCH($C275,'배치점수 계산기'!$U$11:$U$1000,0)),2),"")</f>
        <v>756.9</v>
      </c>
      <c r="R275" s="41">
        <f>IFERROR(ROUND(INDEX('배치점수 계산기'!O$11:O$1000,MATCH($C275,'배치점수 계산기'!$U$11:$U$1000,0)),2),"")</f>
        <v>754.29</v>
      </c>
      <c r="S275" s="41">
        <f>IFERROR(ROUND(INDEX('배치점수 계산기'!P$11:P$1000,MATCH($C275,'배치점수 계산기'!$U$11:$U$1000,0)),2),"")</f>
        <v>751.27</v>
      </c>
      <c r="T275" s="41">
        <f>IFERROR(ROUND(INDEX('배치점수 계산기'!Q$11:Q$1000,MATCH($C275,'배치점수 계산기'!$U$11:$U$1000,0)),2),"")</f>
        <v>748.42</v>
      </c>
      <c r="U275" s="41">
        <f>IFERROR(INDEX(환산공식!$DC$16:$DC$301,MATCH(E275,환산공식!$A$16:$A$301,0)),"")</f>
        <v>0</v>
      </c>
      <c r="V275" s="113">
        <f t="shared" si="14"/>
        <v>6</v>
      </c>
      <c r="W275" s="110" t="str">
        <f>INDEX('배치점수 계산기'!$AG$11:$AG$800,MATCH('       가 군       '!$C275,'배치점수 계산기'!$U$11:$U$800,0))</f>
        <v>표점</v>
      </c>
      <c r="X275" s="108" t="str">
        <f>INDEX('배치점수 계산기'!$AH$11:$AH$800,MATCH('       가 군       '!$C275,'배치점수 계산기'!$U$11:$U$800,0))</f>
        <v>변표</v>
      </c>
      <c r="Y275" s="113">
        <f>INDEX('배치점수 계산기'!$AB$11:$AB$800,MATCH('       가 군       '!$C275,'배치점수 계산기'!$U$11:$U$800,0))</f>
        <v>0.2857142857142857</v>
      </c>
      <c r="Z275" s="73">
        <f>INDEX('배치점수 계산기'!$AC$11:$AC$800,MATCH('       가 군       '!$C275,'배치점수 계산기'!$U$11:$U$800,0))</f>
        <v>0.42857142857142855</v>
      </c>
      <c r="AA275" s="63">
        <f>INDEX('배치점수 계산기'!$AD$11:$AD$800,MATCH('       가 군       '!$C275,'배치점수 계산기'!$U$11:$U$800,0))</f>
        <v>0.2857142857142857</v>
      </c>
      <c r="AE275" s="7">
        <v>268</v>
      </c>
    </row>
    <row r="276" spans="3:31" x14ac:dyDescent="0.3">
      <c r="C276" s="7" t="s">
        <v>1184</v>
      </c>
      <c r="D276" s="41" t="str">
        <f>IFERROR(INDEX('배치점수 계산기'!V$11:V$1000,MATCH($C276,'배치점수 계산기'!$U$11:$U$1000,0)),"")</f>
        <v>충남 의약수</v>
      </c>
      <c r="E276" s="41">
        <f>IFERROR(INDEX('배치점수 계산기'!W$11:W$1000,MATCH($C276,'배치점수 계산기'!$U$11:$U$1000,0)),"")</f>
        <v>125</v>
      </c>
      <c r="F276" s="113" t="s">
        <v>276</v>
      </c>
      <c r="G276" s="41" t="s">
        <v>707</v>
      </c>
      <c r="H276" s="41" t="s">
        <v>845</v>
      </c>
      <c r="I276" s="41" t="s">
        <v>274</v>
      </c>
      <c r="J276" s="41" t="str">
        <f t="shared" si="12"/>
        <v>X</v>
      </c>
      <c r="K276" s="113">
        <f>IFERROR(INDEX(환산공식!CI$16:CI$301,MATCH($E276,환산공식!$A$16:$A$301,0)),"")</f>
        <v>0</v>
      </c>
      <c r="L276" s="41" t="str">
        <f>IFERROR(CONCATENATE(ROUND(INDEX(환산공식!CJ$16:CJ$301,MATCH(E276,환산공식!$A$16:$A$301,0)),1),"%"),"")</f>
        <v/>
      </c>
      <c r="M276" s="41">
        <f>IFERROR(INDEX(환산공식!CK$16:CK$301,MATCH(E276,환산공식!$A$16:$A$301,0)),"")</f>
        <v>0</v>
      </c>
      <c r="N276" s="113" t="str">
        <f t="shared" si="13"/>
        <v>1% 이하</v>
      </c>
      <c r="O276" s="119">
        <f>IFERROR(ROUND(INDEX(환산공식!$EF$16:$EF$301,MATCH(E276,환산공식!$A$16:$A$301,0)),3),"")</f>
        <v>0</v>
      </c>
      <c r="P276" s="119">
        <f>IFERROR(ROUND(INDEX('배치점수 계산기'!M$11:M$1000,MATCH($C276,'배치점수 계산기'!$U$11:$U$1000,0)),2),"")</f>
        <v>213.83</v>
      </c>
      <c r="Q276" s="41">
        <f>IFERROR(ROUND(INDEX('배치점수 계산기'!N$11:N$1000,MATCH($C276,'배치점수 계산기'!$U$11:$U$1000,0)),2),"")</f>
        <v>213.24</v>
      </c>
      <c r="R276" s="41">
        <f>IFERROR(ROUND(INDEX('배치점수 계산기'!O$11:O$1000,MATCH($C276,'배치점수 계산기'!$U$11:$U$1000,0)),2),"")</f>
        <v>212.34</v>
      </c>
      <c r="S276" s="41">
        <f>IFERROR(ROUND(INDEX('배치점수 계산기'!P$11:P$1000,MATCH($C276,'배치점수 계산기'!$U$11:$U$1000,0)),2),"")</f>
        <v>211.29</v>
      </c>
      <c r="T276" s="41">
        <f>IFERROR(ROUND(INDEX('배치점수 계산기'!Q$11:Q$1000,MATCH($C276,'배치점수 계산기'!$U$11:$U$1000,0)),2),"")</f>
        <v>210.33</v>
      </c>
      <c r="U276" s="41">
        <f>IFERROR(INDEX(환산공식!$DC$16:$DC$301,MATCH(E276,환산공식!$A$16:$A$301,0)),"")</f>
        <v>0</v>
      </c>
      <c r="V276" s="113">
        <f t="shared" si="14"/>
        <v>6</v>
      </c>
      <c r="W276" s="110" t="str">
        <f>INDEX('배치점수 계산기'!$AG$11:$AG$800,MATCH('       가 군       '!$C276,'배치점수 계산기'!$U$11:$U$800,0))</f>
        <v>표점</v>
      </c>
      <c r="X276" s="108" t="str">
        <f>INDEX('배치점수 계산기'!$AH$11:$AH$800,MATCH('       가 군       '!$C276,'배치점수 계산기'!$U$11:$U$800,0))</f>
        <v>변표</v>
      </c>
      <c r="Y276" s="113">
        <f>INDEX('배치점수 계산기'!$AB$11:$AB$800,MATCH('       가 군       '!$C276,'배치점수 계산기'!$U$11:$U$800,0))</f>
        <v>0.25</v>
      </c>
      <c r="Z276" s="73">
        <f>INDEX('배치점수 계산기'!$AC$11:$AC$800,MATCH('       가 군       '!$C276,'배치점수 계산기'!$U$11:$U$800,0))</f>
        <v>0.45</v>
      </c>
      <c r="AA276" s="63">
        <f>INDEX('배치점수 계산기'!$AD$11:$AD$800,MATCH('       가 군       '!$C276,'배치점수 계산기'!$U$11:$U$800,0))</f>
        <v>0.3</v>
      </c>
      <c r="AE276" s="7">
        <v>269</v>
      </c>
    </row>
    <row r="277" spans="3:31" x14ac:dyDescent="0.3">
      <c r="C277" s="7" t="s">
        <v>1186</v>
      </c>
      <c r="D277" s="41" t="str">
        <f>IFERROR(INDEX('배치점수 계산기'!V$11:V$1000,MATCH($C277,'배치점수 계산기'!$U$11:$U$1000,0)),"")</f>
        <v>전남 의치약수</v>
      </c>
      <c r="E277" s="41">
        <f>IFERROR(INDEX('배치점수 계산기'!W$11:W$1000,MATCH($C277,'배치점수 계산기'!$U$11:$U$1000,0)),"")</f>
        <v>120</v>
      </c>
      <c r="F277" s="113" t="s">
        <v>276</v>
      </c>
      <c r="G277" s="41" t="s">
        <v>702</v>
      </c>
      <c r="H277" s="41" t="s">
        <v>845</v>
      </c>
      <c r="I277" s="41" t="s">
        <v>274</v>
      </c>
      <c r="J277" s="41" t="str">
        <f t="shared" si="12"/>
        <v>X</v>
      </c>
      <c r="K277" s="113">
        <f>IFERROR(INDEX(환산공식!CI$16:CI$301,MATCH($E277,환산공식!$A$16:$A$301,0)),"")</f>
        <v>200</v>
      </c>
      <c r="L277" s="41" t="str">
        <f>IFERROR(CONCATENATE(ROUND(INDEX(환산공식!CJ$16:CJ$301,MATCH(E277,환산공식!$A$16:$A$301,0)),1),"%"),"")</f>
        <v>100%</v>
      </c>
      <c r="M277" s="41">
        <f>IFERROR(INDEX(환산공식!CK$16:CK$301,MATCH(E277,환산공식!$A$16:$A$301,0)),"")</f>
        <v>10</v>
      </c>
      <c r="N277" s="113" t="str">
        <f t="shared" si="13"/>
        <v>1% 이하</v>
      </c>
      <c r="O277" s="119">
        <f>IFERROR(ROUND(INDEX(환산공식!$EF$16:$EF$301,MATCH(E277,환산공식!$A$16:$A$301,0)),3),"")</f>
        <v>0</v>
      </c>
      <c r="P277" s="119">
        <f>IFERROR(ROUND(INDEX('배치점수 계산기'!M$11:M$1000,MATCH($C277,'배치점수 계산기'!$U$11:$U$1000,0)),2),"")</f>
        <v>972.13</v>
      </c>
      <c r="Q277" s="41">
        <f>IFERROR(ROUND(INDEX('배치점수 계산기'!N$11:N$1000,MATCH($C277,'배치점수 계산기'!$U$11:$U$1000,0)),2),"")</f>
        <v>967.78</v>
      </c>
      <c r="R277" s="41">
        <f>IFERROR(ROUND(INDEX('배치점수 계산기'!O$11:O$1000,MATCH($C277,'배치점수 계산기'!$U$11:$U$1000,0)),2),"")</f>
        <v>964.45</v>
      </c>
      <c r="S277" s="41">
        <f>IFERROR(ROUND(INDEX('배치점수 계산기'!P$11:P$1000,MATCH($C277,'배치점수 계산기'!$U$11:$U$1000,0)),2),"")</f>
        <v>960.5</v>
      </c>
      <c r="T277" s="41">
        <f>IFERROR(ROUND(INDEX('배치점수 계산기'!Q$11:Q$1000,MATCH($C277,'배치점수 계산기'!$U$11:$U$1000,0)),2),"")</f>
        <v>955.29</v>
      </c>
      <c r="U277" s="41">
        <f>IFERROR(INDEX(환산공식!$DC$16:$DC$301,MATCH(E277,환산공식!$A$16:$A$301,0)),"")</f>
        <v>0</v>
      </c>
      <c r="V277" s="113">
        <f t="shared" si="14"/>
        <v>6</v>
      </c>
      <c r="W277" s="110" t="str">
        <f>INDEX('배치점수 계산기'!$AG$11:$AG$800,MATCH('       가 군       '!$C277,'배치점수 계산기'!$U$11:$U$800,0))</f>
        <v>표점/만점</v>
      </c>
      <c r="X277" s="108" t="str">
        <f>INDEX('배치점수 계산기'!$AH$11:$AH$800,MATCH('       가 군       '!$C277,'배치점수 계산기'!$U$11:$U$800,0))</f>
        <v>변표/만점</v>
      </c>
      <c r="Y277" s="113">
        <f>INDEX('배치점수 계산기'!$AB$11:$AB$800,MATCH('       가 군       '!$C277,'배치점수 계산기'!$U$11:$U$800,0))</f>
        <v>0.2942169917529503</v>
      </c>
      <c r="Z277" s="73">
        <f>INDEX('배치점수 계산기'!$AC$11:$AC$800,MATCH('       가 군       '!$C277,'배치점수 계산기'!$U$11:$U$800,0))</f>
        <v>0.39762659202893064</v>
      </c>
      <c r="AA277" s="63">
        <f>INDEX('배치점수 계산기'!$AD$11:$AD$800,MATCH('       가 군       '!$C277,'배치점수 계산기'!$U$11:$U$800,0))</f>
        <v>0.30815641621811896</v>
      </c>
      <c r="AE277" s="7">
        <v>270</v>
      </c>
    </row>
    <row r="278" spans="3:31" x14ac:dyDescent="0.3">
      <c r="C278" s="7" t="s">
        <v>1188</v>
      </c>
      <c r="D278" s="41" t="str">
        <f>IFERROR(INDEX('배치점수 계산기'!V$11:V$1000,MATCH($C278,'배치점수 계산기'!$U$11:$U$1000,0)),"")</f>
        <v>강원 의약수</v>
      </c>
      <c r="E278" s="41">
        <f>IFERROR(INDEX('배치점수 계산기'!W$11:W$1000,MATCH($C278,'배치점수 계산기'!$U$11:$U$1000,0)),"")</f>
        <v>70</v>
      </c>
      <c r="F278" s="113" t="s">
        <v>276</v>
      </c>
      <c r="G278" s="41" t="s">
        <v>684</v>
      </c>
      <c r="H278" s="41" t="s">
        <v>845</v>
      </c>
      <c r="I278" s="41" t="s">
        <v>274</v>
      </c>
      <c r="J278" s="41" t="str">
        <f t="shared" si="12"/>
        <v>X</v>
      </c>
      <c r="K278" s="113">
        <f>IFERROR(INDEX(환산공식!CI$16:CI$301,MATCH($E278,환산공식!$A$16:$A$301,0)),"")</f>
        <v>100</v>
      </c>
      <c r="L278" s="41" t="str">
        <f>IFERROR(CONCATENATE(ROUND(INDEX(환산공식!CJ$16:CJ$301,MATCH(E278,환산공식!$A$16:$A$301,0)),1),"%"),"")</f>
        <v>100%</v>
      </c>
      <c r="M278" s="41">
        <f>IFERROR(INDEX(환산공식!CK$16:CK$301,MATCH(E278,환산공식!$A$16:$A$301,0)),"")</f>
        <v>1.5</v>
      </c>
      <c r="N278" s="113" t="str">
        <f t="shared" si="13"/>
        <v>1% 이하</v>
      </c>
      <c r="O278" s="119">
        <f>IFERROR(ROUND(INDEX(환산공식!$EF$16:$EF$301,MATCH(E278,환산공식!$A$16:$A$301,0)),3),"")</f>
        <v>0</v>
      </c>
      <c r="P278" s="119">
        <f>IFERROR(ROUND(INDEX('배치점수 계산기'!M$11:M$1000,MATCH($C278,'배치점수 계산기'!$U$11:$U$1000,0)),2),"")</f>
        <v>524.83000000000004</v>
      </c>
      <c r="Q278" s="41">
        <f>IFERROR(ROUND(INDEX('배치점수 계산기'!N$11:N$1000,MATCH($C278,'배치점수 계산기'!$U$11:$U$1000,0)),2),"")</f>
        <v>524.45000000000005</v>
      </c>
      <c r="R278" s="41">
        <f>IFERROR(ROUND(INDEX('배치점수 계산기'!O$11:O$1000,MATCH($C278,'배치점수 계산기'!$U$11:$U$1000,0)),2),"")</f>
        <v>523.04999999999995</v>
      </c>
      <c r="S278" s="41">
        <f>IFERROR(ROUND(INDEX('배치점수 계산기'!P$11:P$1000,MATCH($C278,'배치점수 계산기'!$U$11:$U$1000,0)),2),"")</f>
        <v>522.1</v>
      </c>
      <c r="T278" s="41">
        <f>IFERROR(ROUND(INDEX('배치점수 계산기'!Q$11:Q$1000,MATCH($C278,'배치점수 계산기'!$U$11:$U$1000,0)),2),"")</f>
        <v>521.5</v>
      </c>
      <c r="U278" s="41">
        <f>IFERROR(INDEX(환산공식!$DC$16:$DC$301,MATCH(E278,환산공식!$A$16:$A$301,0)),"")</f>
        <v>0</v>
      </c>
      <c r="V278" s="113">
        <f t="shared" si="14"/>
        <v>6</v>
      </c>
      <c r="W278" s="110" t="str">
        <f>INDEX('배치점수 계산기'!$AG$11:$AG$800,MATCH('       가 군       '!$C278,'배치점수 계산기'!$U$11:$U$800,0))</f>
        <v>백분위</v>
      </c>
      <c r="X278" s="108" t="str">
        <f>INDEX('배치점수 계산기'!$AH$11:$AH$800,MATCH('       가 군       '!$C278,'배치점수 계산기'!$U$11:$U$800,0))</f>
        <v>백분위</v>
      </c>
      <c r="Y278" s="113">
        <f>INDEX('배치점수 계산기'!$AB$11:$AB$800,MATCH('       가 군       '!$C278,'배치점수 계산기'!$U$11:$U$800,0))</f>
        <v>0.25</v>
      </c>
      <c r="Z278" s="73">
        <f>INDEX('배치점수 계산기'!$AC$11:$AC$800,MATCH('       가 군       '!$C278,'배치점수 계산기'!$U$11:$U$800,0))</f>
        <v>0.375</v>
      </c>
      <c r="AA278" s="63">
        <f>INDEX('배치점수 계산기'!$AD$11:$AD$800,MATCH('       가 군       '!$C278,'배치점수 계산기'!$U$11:$U$800,0))</f>
        <v>0.375</v>
      </c>
      <c r="AE278" s="7">
        <v>271</v>
      </c>
    </row>
    <row r="279" spans="3:31" x14ac:dyDescent="0.3">
      <c r="C279" s="7" t="s">
        <v>1189</v>
      </c>
      <c r="D279" s="41" t="str">
        <f>IFERROR(INDEX('배치점수 계산기'!V$11:V$1000,MATCH($C279,'배치점수 계산기'!$U$11:$U$1000,0)),"")</f>
        <v>동아 의</v>
      </c>
      <c r="E279" s="41">
        <f>IFERROR(INDEX('배치점수 계산기'!W$11:W$1000,MATCH($C279,'배치점수 계산기'!$U$11:$U$1000,0)),"")</f>
        <v>92</v>
      </c>
      <c r="F279" s="113" t="s">
        <v>276</v>
      </c>
      <c r="G279" s="41" t="s">
        <v>848</v>
      </c>
      <c r="H279" s="41" t="s">
        <v>845</v>
      </c>
      <c r="I279" s="41" t="s">
        <v>274</v>
      </c>
      <c r="J279" s="41" t="str">
        <f t="shared" si="12"/>
        <v>X</v>
      </c>
      <c r="K279" s="113">
        <f>IFERROR(INDEX(환산공식!CI$16:CI$301,MATCH($E279,환산공식!$A$16:$A$301,0)),"")</f>
        <v>200</v>
      </c>
      <c r="L279" s="41" t="str">
        <f>IFERROR(CONCATENATE(ROUND(INDEX(환산공식!CJ$16:CJ$301,MATCH(E279,환산공식!$A$16:$A$301,0)),1),"%"),"")</f>
        <v>100%</v>
      </c>
      <c r="M279" s="41">
        <f>IFERROR(INDEX(환산공식!CK$16:CK$301,MATCH(E279,환산공식!$A$16:$A$301,0)),"")</f>
        <v>1</v>
      </c>
      <c r="N279" s="113" t="str">
        <f t="shared" si="13"/>
        <v>1% 이하</v>
      </c>
      <c r="O279" s="119">
        <f>IFERROR(ROUND(INDEX(환산공식!$EF$16:$EF$301,MATCH(E279,환산공식!$A$16:$A$301,0)),3),"")</f>
        <v>0</v>
      </c>
      <c r="P279" s="119">
        <f>IFERROR(ROUND(INDEX('배치점수 계산기'!M$11:M$1000,MATCH($C279,'배치점수 계산기'!$U$11:$U$1000,0)),2),"")</f>
        <v>619.1</v>
      </c>
      <c r="Q279" s="41">
        <f>IFERROR(ROUND(INDEX('배치점수 계산기'!N$11:N$1000,MATCH($C279,'배치점수 계산기'!$U$11:$U$1000,0)),2),"")</f>
        <v>617.9</v>
      </c>
      <c r="R279" s="41">
        <f>IFERROR(ROUND(INDEX('배치점수 계산기'!O$11:O$1000,MATCH($C279,'배치점수 계산기'!$U$11:$U$1000,0)),2),"")</f>
        <v>616.20000000000005</v>
      </c>
      <c r="S279" s="41">
        <f>IFERROR(ROUND(INDEX('배치점수 계산기'!P$11:P$1000,MATCH($C279,'배치점수 계산기'!$U$11:$U$1000,0)),2),"")</f>
        <v>614.5</v>
      </c>
      <c r="T279" s="41">
        <f>IFERROR(ROUND(INDEX('배치점수 계산기'!Q$11:Q$1000,MATCH($C279,'배치점수 계산기'!$U$11:$U$1000,0)),2),"")</f>
        <v>613</v>
      </c>
      <c r="U279" s="41">
        <f>IFERROR(INDEX(환산공식!$DC$16:$DC$301,MATCH(E279,환산공식!$A$16:$A$301,0)),"")</f>
        <v>0</v>
      </c>
      <c r="V279" s="113">
        <f t="shared" si="14"/>
        <v>6</v>
      </c>
      <c r="W279" s="110" t="str">
        <f>INDEX('배치점수 계산기'!$AG$11:$AG$800,MATCH('       가 군       '!$C279,'배치점수 계산기'!$U$11:$U$800,0))</f>
        <v>표점</v>
      </c>
      <c r="X279" s="108" t="str">
        <f>INDEX('배치점수 계산기'!$AH$11:$AH$800,MATCH('       가 군       '!$C279,'배치점수 계산기'!$U$11:$U$800,0))</f>
        <v>표점</v>
      </c>
      <c r="Y279" s="113">
        <f>INDEX('배치점수 계산기'!$AB$11:$AB$800,MATCH('       가 군       '!$C279,'배치점수 계산기'!$U$11:$U$800,0))</f>
        <v>0.33333333333333331</v>
      </c>
      <c r="Z279" s="73">
        <f>INDEX('배치점수 계산기'!$AC$11:$AC$800,MATCH('       가 군       '!$C279,'배치점수 계산기'!$U$11:$U$800,0))</f>
        <v>0.33333333333333331</v>
      </c>
      <c r="AA279" s="63">
        <f>INDEX('배치점수 계산기'!$AD$11:$AD$800,MATCH('       가 군       '!$C279,'배치점수 계산기'!$U$11:$U$800,0))</f>
        <v>0.33333333333333331</v>
      </c>
      <c r="AE279" s="7">
        <v>272</v>
      </c>
    </row>
    <row r="280" spans="3:31" x14ac:dyDescent="0.3">
      <c r="C280" s="7" t="s">
        <v>1190</v>
      </c>
      <c r="D280" s="41" t="str">
        <f>IFERROR(INDEX('배치점수 계산기'!V$11:V$1000,MATCH($C280,'배치점수 계산기'!$U$11:$U$1000,0)),"")</f>
        <v>건양 의</v>
      </c>
      <c r="E280" s="41">
        <f>IFERROR(INDEX('배치점수 계산기'!W$11:W$1000,MATCH($C280,'배치점수 계산기'!$U$11:$U$1000,0)),"")</f>
        <v>72</v>
      </c>
      <c r="F280" s="113" t="s">
        <v>276</v>
      </c>
      <c r="G280" s="41" t="s">
        <v>849</v>
      </c>
      <c r="H280" s="41" t="s">
        <v>845</v>
      </c>
      <c r="I280" s="41" t="s">
        <v>274</v>
      </c>
      <c r="J280" s="41" t="str">
        <f t="shared" si="12"/>
        <v>X</v>
      </c>
      <c r="K280" s="113">
        <f>IFERROR(INDEX(환산공식!CI$16:CI$301,MATCH($E280,환산공식!$A$16:$A$301,0)),"")</f>
        <v>200</v>
      </c>
      <c r="L280" s="41" t="str">
        <f>IFERROR(CONCATENATE(ROUND(INDEX(환산공식!CJ$16:CJ$301,MATCH(E280,환산공식!$A$16:$A$301,0)),1),"%"),"")</f>
        <v>100%</v>
      </c>
      <c r="M280" s="41">
        <f>IFERROR(INDEX(환산공식!CK$16:CK$301,MATCH(E280,환산공식!$A$16:$A$301,0)),"")</f>
        <v>0</v>
      </c>
      <c r="N280" s="113" t="str">
        <f t="shared" si="13"/>
        <v>1% 이하</v>
      </c>
      <c r="O280" s="119">
        <f>IFERROR(ROUND(INDEX(환산공식!$EF$16:$EF$301,MATCH(E280,환산공식!$A$16:$A$301,0)),3),"")</f>
        <v>0</v>
      </c>
      <c r="P280" s="119">
        <f>IFERROR(ROUND(INDEX('배치점수 계산기'!M$11:M$1000,MATCH($C280,'배치점수 계산기'!$U$11:$U$1000,0)),2),"")</f>
        <v>987.1</v>
      </c>
      <c r="Q280" s="41">
        <f>IFERROR(ROUND(INDEX('배치점수 계산기'!N$11:N$1000,MATCH($C280,'배치점수 계산기'!$U$11:$U$1000,0)),2),"")</f>
        <v>985.2</v>
      </c>
      <c r="R280" s="41">
        <f>IFERROR(ROUND(INDEX('배치점수 계산기'!O$11:O$1000,MATCH($C280,'배치점수 계산기'!$U$11:$U$1000,0)),2),"")</f>
        <v>982.7</v>
      </c>
      <c r="S280" s="41">
        <f>IFERROR(ROUND(INDEX('배치점수 계산기'!P$11:P$1000,MATCH($C280,'배치점수 계산기'!$U$11:$U$1000,0)),2),"")</f>
        <v>981.8</v>
      </c>
      <c r="T280" s="41">
        <f>IFERROR(ROUND(INDEX('배치점수 계산기'!Q$11:Q$1000,MATCH($C280,'배치점수 계산기'!$U$11:$U$1000,0)),2),"")</f>
        <v>980.3</v>
      </c>
      <c r="U280" s="41">
        <f>IFERROR(INDEX(환산공식!$DC$16:$DC$301,MATCH(E280,환산공식!$A$16:$A$301,0)),"")</f>
        <v>0</v>
      </c>
      <c r="V280" s="113">
        <f t="shared" si="14"/>
        <v>6</v>
      </c>
      <c r="W280" s="110" t="str">
        <f>INDEX('배치점수 계산기'!$AG$11:$AG$800,MATCH('       가 군       '!$C280,'배치점수 계산기'!$U$11:$U$800,0))</f>
        <v>백분위</v>
      </c>
      <c r="X280" s="108" t="str">
        <f>INDEX('배치점수 계산기'!$AH$11:$AH$800,MATCH('       가 군       '!$C280,'배치점수 계산기'!$U$11:$U$800,0))</f>
        <v>백분위</v>
      </c>
      <c r="Y280" s="113">
        <f>INDEX('배치점수 계산기'!$AB$11:$AB$800,MATCH('       가 군       '!$C280,'배치점수 계산기'!$U$11:$U$800,0))</f>
        <v>0.25</v>
      </c>
      <c r="Z280" s="73">
        <f>INDEX('배치점수 계산기'!$AC$11:$AC$800,MATCH('       가 군       '!$C280,'배치점수 계산기'!$U$11:$U$800,0))</f>
        <v>0.375</v>
      </c>
      <c r="AA280" s="63">
        <f>INDEX('배치점수 계산기'!$AD$11:$AD$800,MATCH('       가 군       '!$C280,'배치점수 계산기'!$U$11:$U$800,0))</f>
        <v>0.375</v>
      </c>
      <c r="AE280" s="7">
        <v>273</v>
      </c>
    </row>
    <row r="281" spans="3:31" x14ac:dyDescent="0.3">
      <c r="C281" s="7" t="s">
        <v>1191</v>
      </c>
      <c r="D281" s="41" t="str">
        <f>IFERROR(INDEX('배치점수 계산기'!V$11:V$1000,MATCH($C281,'배치점수 계산기'!$U$11:$U$1000,0)),"")</f>
        <v>경상 의약수</v>
      </c>
      <c r="E281" s="41">
        <f>IFERROR(INDEX('배치점수 계산기'!W$11:W$1000,MATCH($C281,'배치점수 계산기'!$U$11:$U$1000,0)),"")</f>
        <v>74</v>
      </c>
      <c r="F281" s="113" t="s">
        <v>276</v>
      </c>
      <c r="G281" s="41" t="s">
        <v>704</v>
      </c>
      <c r="H281" s="41" t="s">
        <v>845</v>
      </c>
      <c r="I281" s="41" t="s">
        <v>274</v>
      </c>
      <c r="J281" s="41" t="str">
        <f t="shared" si="12"/>
        <v>X</v>
      </c>
      <c r="K281" s="113">
        <f>IFERROR(INDEX(환산공식!CI$16:CI$301,MATCH($E281,환산공식!$A$16:$A$301,0)),"")</f>
        <v>200</v>
      </c>
      <c r="L281" s="41" t="str">
        <f>IFERROR(CONCATENATE(ROUND(INDEX(환산공식!CJ$16:CJ$301,MATCH(E281,환산공식!$A$16:$A$301,0)),1),"%"),"")</f>
        <v>100%</v>
      </c>
      <c r="M281" s="41">
        <f>IFERROR(INDEX(환산공식!CK$16:CK$301,MATCH(E281,환산공식!$A$16:$A$301,0)),"")</f>
        <v>0</v>
      </c>
      <c r="N281" s="113" t="str">
        <f t="shared" si="13"/>
        <v>1% 이하</v>
      </c>
      <c r="O281" s="119">
        <f>IFERROR(ROUND(INDEX(환산공식!$EF$16:$EF$301,MATCH(E281,환산공식!$A$16:$A$301,0)),3),"")</f>
        <v>0</v>
      </c>
      <c r="P281" s="119">
        <f>IFERROR(ROUND(INDEX('배치점수 계산기'!M$11:M$1000,MATCH($C281,'배치점수 계산기'!$U$11:$U$1000,0)),2),"")</f>
        <v>983.97</v>
      </c>
      <c r="Q281" s="41">
        <f>IFERROR(ROUND(INDEX('배치점수 계산기'!N$11:N$1000,MATCH($C281,'배치점수 계산기'!$U$11:$U$1000,0)),2),"")</f>
        <v>982.03</v>
      </c>
      <c r="R281" s="41">
        <f>IFERROR(ROUND(INDEX('배치점수 계산기'!O$11:O$1000,MATCH($C281,'배치점수 계산기'!$U$11:$U$1000,0)),2),"")</f>
        <v>979.78</v>
      </c>
      <c r="S281" s="41">
        <f>IFERROR(ROUND(INDEX('배치점수 계산기'!P$11:P$1000,MATCH($C281,'배치점수 계산기'!$U$11:$U$1000,0)),2),"")</f>
        <v>973.82</v>
      </c>
      <c r="T281" s="41">
        <f>IFERROR(ROUND(INDEX('배치점수 계산기'!Q$11:Q$1000,MATCH($C281,'배치점수 계산기'!$U$11:$U$1000,0)),2),"")</f>
        <v>969.4</v>
      </c>
      <c r="U281" s="41">
        <f>IFERROR(INDEX(환산공식!$DC$16:$DC$301,MATCH(E281,환산공식!$A$16:$A$301,0)),"")</f>
        <v>0</v>
      </c>
      <c r="V281" s="113">
        <f t="shared" si="14"/>
        <v>6</v>
      </c>
      <c r="W281" s="110" t="str">
        <f>INDEX('배치점수 계산기'!$AG$11:$AG$800,MATCH('       가 군       '!$C281,'배치점수 계산기'!$U$11:$U$800,0))</f>
        <v>표점/만점</v>
      </c>
      <c r="X281" s="108" t="str">
        <f>INDEX('배치점수 계산기'!$AH$11:$AH$800,MATCH('       가 군       '!$C281,'배치점수 계산기'!$U$11:$U$800,0))</f>
        <v>표점/만점</v>
      </c>
      <c r="Y281" s="113">
        <f>INDEX('배치점수 계산기'!$AB$11:$AB$800,MATCH('       가 군       '!$C281,'배치점수 계산기'!$U$11:$U$800,0))</f>
        <v>0.29848352235219072</v>
      </c>
      <c r="Z281" s="73">
        <f>INDEX('배치점수 계산기'!$AC$11:$AC$800,MATCH('       가 군       '!$C281,'배치점수 계산기'!$U$11:$U$800,0))</f>
        <v>0.36305342718756256</v>
      </c>
      <c r="AA281" s="63">
        <f>INDEX('배치점수 계산기'!$AD$11:$AD$800,MATCH('       가 군       '!$C281,'배치점수 계산기'!$U$11:$U$800,0))</f>
        <v>0.33846305046024672</v>
      </c>
      <c r="AE281" s="7">
        <v>274</v>
      </c>
    </row>
    <row r="282" spans="3:31" x14ac:dyDescent="0.3">
      <c r="C282" s="7" t="s">
        <v>1192</v>
      </c>
      <c r="D282" s="41" t="str">
        <f>IFERROR(INDEX('배치점수 계산기'!V$11:V$1000,MATCH($C282,'배치점수 계산기'!$U$11:$U$1000,0)),"")</f>
        <v>전북 의치약수</v>
      </c>
      <c r="E282" s="41">
        <f>IFERROR(INDEX('배치점수 계산기'!W$11:W$1000,MATCH($C282,'배치점수 계산기'!$U$11:$U$1000,0)),"")</f>
        <v>121</v>
      </c>
      <c r="F282" s="113" t="s">
        <v>276</v>
      </c>
      <c r="G282" s="41" t="s">
        <v>701</v>
      </c>
      <c r="H282" s="41" t="s">
        <v>845</v>
      </c>
      <c r="I282" s="41" t="s">
        <v>274</v>
      </c>
      <c r="J282" s="41" t="str">
        <f t="shared" si="12"/>
        <v>X</v>
      </c>
      <c r="K282" s="113">
        <f>IFERROR(INDEX(환산공식!CI$16:CI$301,MATCH($E282,환산공식!$A$16:$A$301,0)),"")</f>
        <v>30</v>
      </c>
      <c r="L282" s="41" t="str">
        <f>IFERROR(CONCATENATE(ROUND(INDEX(환산공식!CJ$16:CJ$301,MATCH(E282,환산공식!$A$16:$A$301,0)),1),"%"),"")</f>
        <v>100%</v>
      </c>
      <c r="M282" s="41">
        <f>IFERROR(INDEX(환산공식!CK$16:CK$301,MATCH(E282,환산공식!$A$16:$A$301,0)),"")</f>
        <v>5</v>
      </c>
      <c r="N282" s="113" t="str">
        <f t="shared" si="13"/>
        <v>1% 이하</v>
      </c>
      <c r="O282" s="119">
        <f>IFERROR(ROUND(INDEX(환산공식!$EF$16:$EF$301,MATCH(E282,환산공식!$A$16:$A$301,0)),3),"")</f>
        <v>0</v>
      </c>
      <c r="P282" s="119">
        <f>IFERROR(ROUND(INDEX('배치점수 계산기'!M$11:M$1000,MATCH($C282,'배치점수 계산기'!$U$11:$U$1000,0)),2),"")</f>
        <v>382.78</v>
      </c>
      <c r="Q282" s="41">
        <f>IFERROR(ROUND(INDEX('배치점수 계산기'!N$11:N$1000,MATCH($C282,'배치점수 계산기'!$U$11:$U$1000,0)),2),"")</f>
        <v>382.09</v>
      </c>
      <c r="R282" s="41">
        <f>IFERROR(ROUND(INDEX('배치점수 계산기'!O$11:O$1000,MATCH($C282,'배치점수 계산기'!$U$11:$U$1000,0)),2),"")</f>
        <v>379.68</v>
      </c>
      <c r="S282" s="41">
        <f>IFERROR(ROUND(INDEX('배치점수 계산기'!P$11:P$1000,MATCH($C282,'배치점수 계산기'!$U$11:$U$1000,0)),2),"")</f>
        <v>377.37</v>
      </c>
      <c r="T282" s="41">
        <f>IFERROR(ROUND(INDEX('배치점수 계산기'!Q$11:Q$1000,MATCH($C282,'배치점수 계산기'!$U$11:$U$1000,0)),2),"")</f>
        <v>376.45</v>
      </c>
      <c r="U282" s="41">
        <f>IFERROR(INDEX(환산공식!$DC$16:$DC$301,MATCH(E282,환산공식!$A$16:$A$301,0)),"")</f>
        <v>0</v>
      </c>
      <c r="V282" s="113">
        <f t="shared" si="14"/>
        <v>6</v>
      </c>
      <c r="W282" s="110" t="str">
        <f>INDEX('배치점수 계산기'!$AG$11:$AG$800,MATCH('       가 군       '!$C282,'배치점수 계산기'!$U$11:$U$800,0))</f>
        <v>표점</v>
      </c>
      <c r="X282" s="108" t="str">
        <f>INDEX('배치점수 계산기'!$AH$11:$AH$800,MATCH('       가 군       '!$C282,'배치점수 계산기'!$U$11:$U$800,0))</f>
        <v>변표</v>
      </c>
      <c r="Y282" s="113">
        <f>INDEX('배치점수 계산기'!$AB$11:$AB$800,MATCH('       가 군       '!$C282,'배치점수 계산기'!$U$11:$U$800,0))</f>
        <v>0.3</v>
      </c>
      <c r="Z282" s="73">
        <f>INDEX('배치점수 계산기'!$AC$11:$AC$800,MATCH('       가 군       '!$C282,'배치점수 계산기'!$U$11:$U$800,0))</f>
        <v>0.4</v>
      </c>
      <c r="AA282" s="63">
        <f>INDEX('배치점수 계산기'!$AD$11:$AD$800,MATCH('       가 군       '!$C282,'배치점수 계산기'!$U$11:$U$800,0))</f>
        <v>0.3</v>
      </c>
      <c r="AE282" s="7">
        <v>275</v>
      </c>
    </row>
    <row r="283" spans="3:31" x14ac:dyDescent="0.3">
      <c r="C283" s="7" t="s">
        <v>1194</v>
      </c>
      <c r="D283" s="41" t="str">
        <f>IFERROR(INDEX('배치점수 계산기'!V$11:V$1000,MATCH($C283,'배치점수 계산기'!$U$11:$U$1000,0)),"")</f>
        <v>조선 의치약</v>
      </c>
      <c r="E283" s="41">
        <f>IFERROR(INDEX('배치점수 계산기'!W$11:W$1000,MATCH($C283,'배치점수 계산기'!$U$11:$U$1000,0)),"")</f>
        <v>123</v>
      </c>
      <c r="F283" s="113" t="s">
        <v>276</v>
      </c>
      <c r="G283" s="41" t="s">
        <v>850</v>
      </c>
      <c r="H283" s="41" t="s">
        <v>845</v>
      </c>
      <c r="I283" s="41" t="s">
        <v>274</v>
      </c>
      <c r="J283" s="41" t="str">
        <f t="shared" si="12"/>
        <v>X</v>
      </c>
      <c r="K283" s="113">
        <f>IFERROR(INDEX(환산공식!CI$16:CI$301,MATCH($E283,환산공식!$A$16:$A$301,0)),"")</f>
        <v>200</v>
      </c>
      <c r="L283" s="41" t="str">
        <f>IFERROR(CONCATENATE(ROUND(INDEX(환산공식!CJ$16:CJ$301,MATCH(E283,환산공식!$A$16:$A$301,0)),1),"%"),"")</f>
        <v>100%</v>
      </c>
      <c r="M283" s="41">
        <f>IFERROR(INDEX(환산공식!CK$16:CK$301,MATCH(E283,환산공식!$A$16:$A$301,0)),"")</f>
        <v>10</v>
      </c>
      <c r="N283" s="113" t="str">
        <f t="shared" si="13"/>
        <v>1% 이하</v>
      </c>
      <c r="O283" s="119">
        <f>IFERROR(ROUND(INDEX(환산공식!$EF$16:$EF$301,MATCH(E283,환산공식!$A$16:$A$301,0)),3),"")</f>
        <v>0</v>
      </c>
      <c r="P283" s="119">
        <f>IFERROR(ROUND(INDEX('배치점수 계산기'!M$11:M$1000,MATCH($C283,'배치점수 계산기'!$U$11:$U$1000,0)),2),"")</f>
        <v>800.28</v>
      </c>
      <c r="Q283" s="41">
        <f>IFERROR(ROUND(INDEX('배치점수 계산기'!N$11:N$1000,MATCH($C283,'배치점수 계산기'!$U$11:$U$1000,0)),2),"")</f>
        <v>799.92</v>
      </c>
      <c r="R283" s="41">
        <f>IFERROR(ROUND(INDEX('배치점수 계산기'!O$11:O$1000,MATCH($C283,'배치점수 계산기'!$U$11:$U$1000,0)),2),"")</f>
        <v>799.56</v>
      </c>
      <c r="S283" s="41">
        <f>IFERROR(ROUND(INDEX('배치점수 계산기'!P$11:P$1000,MATCH($C283,'배치점수 계산기'!$U$11:$U$1000,0)),2),"")</f>
        <v>798.96</v>
      </c>
      <c r="T283" s="41">
        <f>IFERROR(ROUND(INDEX('배치점수 계산기'!Q$11:Q$1000,MATCH($C283,'배치점수 계산기'!$U$11:$U$1000,0)),2),"")</f>
        <v>797.32</v>
      </c>
      <c r="U283" s="41">
        <f>IFERROR(INDEX(환산공식!$DC$16:$DC$301,MATCH(E283,환산공식!$A$16:$A$301,0)),"")</f>
        <v>0</v>
      </c>
      <c r="V283" s="113">
        <f t="shared" si="14"/>
        <v>6</v>
      </c>
      <c r="W283" s="110" t="str">
        <f>INDEX('배치점수 계산기'!$AG$11:$AG$800,MATCH('       가 군       '!$C283,'배치점수 계산기'!$U$11:$U$800,0))</f>
        <v>백분위</v>
      </c>
      <c r="X283" s="108" t="str">
        <f>INDEX('배치점수 계산기'!$AH$11:$AH$800,MATCH('       가 군       '!$C283,'배치점수 계산기'!$U$11:$U$800,0))</f>
        <v>백분위</v>
      </c>
      <c r="Y283" s="113">
        <f>INDEX('배치점수 계산기'!$AB$11:$AB$800,MATCH('       가 군       '!$C283,'배치점수 계산기'!$U$11:$U$800,0))</f>
        <v>0.33333333333333331</v>
      </c>
      <c r="Z283" s="73">
        <f>INDEX('배치점수 계산기'!$AC$11:$AC$800,MATCH('       가 군       '!$C283,'배치점수 계산기'!$U$11:$U$800,0))</f>
        <v>0.46666666666666662</v>
      </c>
      <c r="AA283" s="63">
        <f>INDEX('배치점수 계산기'!$AD$11:$AD$800,MATCH('       가 군       '!$C283,'배치점수 계산기'!$U$11:$U$800,0))</f>
        <v>0.19999999999999998</v>
      </c>
      <c r="AE283" s="7">
        <v>276</v>
      </c>
    </row>
    <row r="284" spans="3:31" x14ac:dyDescent="0.3">
      <c r="C284" s="7" t="s">
        <v>1195</v>
      </c>
      <c r="D284" s="41" t="str">
        <f>IFERROR(INDEX('배치점수 계산기'!V$11:V$1000,MATCH($C284,'배치점수 계산기'!$U$11:$U$1000,0)),"")</f>
        <v>연세대 자연</v>
      </c>
      <c r="E284" s="41">
        <f>IFERROR(INDEX('배치점수 계산기'!W$11:W$1000,MATCH($C284,'배치점수 계산기'!$U$11:$U$1000,0)),"")</f>
        <v>19</v>
      </c>
      <c r="F284" s="113" t="s">
        <v>276</v>
      </c>
      <c r="G284" s="41" t="s">
        <v>277</v>
      </c>
      <c r="H284" s="41" t="s">
        <v>860</v>
      </c>
      <c r="I284" s="41" t="s">
        <v>274</v>
      </c>
      <c r="J284" s="41" t="str">
        <f t="shared" si="12"/>
        <v>X</v>
      </c>
      <c r="K284" s="113">
        <f>IFERROR(INDEX(환산공식!CI$16:CI$301,MATCH($E284,환산공식!$A$16:$A$301,0)),"")</f>
        <v>111.1</v>
      </c>
      <c r="L284" s="41" t="str">
        <f>IFERROR(CONCATENATE(ROUND(INDEX(환산공식!CJ$16:CJ$301,MATCH(E284,환산공식!$A$16:$A$301,0)),1),"%"),"")</f>
        <v>100%</v>
      </c>
      <c r="M284" s="41">
        <f>IFERROR(INDEX(환산공식!CK$16:CK$301,MATCH(E284,환산공식!$A$16:$A$301,0)),"")</f>
        <v>10</v>
      </c>
      <c r="N284" s="113" t="str">
        <f t="shared" si="13"/>
        <v>1% 이하</v>
      </c>
      <c r="O284" s="119">
        <f>IFERROR(ROUND(INDEX(환산공식!$EF$16:$EF$301,MATCH(E284,환산공식!$A$16:$A$301,0)),3),"")</f>
        <v>0</v>
      </c>
      <c r="P284" s="119">
        <f>IFERROR(ROUND(INDEX('배치점수 계산기'!M$11:M$1000,MATCH($C284,'배치점수 계산기'!$U$11:$U$1000,0)),2),"")</f>
        <v>755.69</v>
      </c>
      <c r="Q284" s="41">
        <f>IFERROR(ROUND(INDEX('배치점수 계산기'!N$11:N$1000,MATCH($C284,'배치점수 계산기'!$U$11:$U$1000,0)),2),"")</f>
        <v>752.72</v>
      </c>
      <c r="R284" s="41">
        <f>IFERROR(ROUND(INDEX('배치점수 계산기'!O$11:O$1000,MATCH($C284,'배치점수 계산기'!$U$11:$U$1000,0)),2),"")</f>
        <v>751.07</v>
      </c>
      <c r="S284" s="41">
        <f>IFERROR(ROUND(INDEX('배치점수 계산기'!P$11:P$1000,MATCH($C284,'배치점수 계산기'!$U$11:$U$1000,0)),2),"")</f>
        <v>750.7</v>
      </c>
      <c r="T284" s="41">
        <f>IFERROR(ROUND(INDEX('배치점수 계산기'!Q$11:Q$1000,MATCH($C284,'배치점수 계산기'!$U$11:$U$1000,0)),2),"")</f>
        <v>746.78</v>
      </c>
      <c r="U284" s="41">
        <f>IFERROR(INDEX(환산공식!$DC$16:$DC$301,MATCH(E284,환산공식!$A$16:$A$301,0)),"")</f>
        <v>0</v>
      </c>
      <c r="V284" s="113">
        <f t="shared" si="14"/>
        <v>6</v>
      </c>
      <c r="W284" s="110" t="str">
        <f>INDEX('배치점수 계산기'!$AG$11:$AG$800,MATCH('       가 군       '!$C284,'배치점수 계산기'!$U$11:$U$800,0))</f>
        <v>표점</v>
      </c>
      <c r="X284" s="108" t="str">
        <f>INDEX('배치점수 계산기'!$AH$11:$AH$800,MATCH('       가 군       '!$C284,'배치점수 계산기'!$U$11:$U$800,0))</f>
        <v>표점</v>
      </c>
      <c r="Y284" s="113">
        <f>INDEX('배치점수 계산기'!$AB$11:$AB$800,MATCH('       가 군       '!$C284,'배치점수 계산기'!$U$11:$U$800,0))</f>
        <v>0.24999999999999994</v>
      </c>
      <c r="Z284" s="73">
        <f>INDEX('배치점수 계산기'!$AC$11:$AC$800,MATCH('       가 군       '!$C284,'배치점수 계산기'!$U$11:$U$800,0))</f>
        <v>0.37499999999999994</v>
      </c>
      <c r="AA284" s="63">
        <f>INDEX('배치점수 계산기'!$AD$11:$AD$800,MATCH('       가 군       '!$C284,'배치점수 계산기'!$U$11:$U$800,0))</f>
        <v>0.37499999999999994</v>
      </c>
      <c r="AE284" s="7">
        <v>277</v>
      </c>
    </row>
    <row r="285" spans="3:31" x14ac:dyDescent="0.3">
      <c r="C285" s="7" t="s">
        <v>1196</v>
      </c>
      <c r="D285" s="41" t="str">
        <f>IFERROR(INDEX('배치점수 계산기'!V$11:V$1000,MATCH($C285,'배치점수 계산기'!$U$11:$U$1000,0)),"")</f>
        <v>경북 의치약수</v>
      </c>
      <c r="E285" s="41">
        <f>IFERROR(INDEX('배치점수 계산기'!W$11:W$1000,MATCH($C285,'배치점수 계산기'!$U$11:$U$1000,0)),"")</f>
        <v>73</v>
      </c>
      <c r="F285" s="113" t="s">
        <v>276</v>
      </c>
      <c r="G285" s="41" t="s">
        <v>706</v>
      </c>
      <c r="H285" s="41" t="s">
        <v>860</v>
      </c>
      <c r="I285" s="41" t="s">
        <v>274</v>
      </c>
      <c r="J285" s="41" t="str">
        <f t="shared" si="12"/>
        <v>X</v>
      </c>
      <c r="K285" s="113">
        <f>IFERROR(INDEX(환산공식!CI$16:CI$301,MATCH($E285,환산공식!$A$16:$A$301,0)),"")</f>
        <v>125</v>
      </c>
      <c r="L285" s="41" t="str">
        <f>IFERROR(CONCATENATE(ROUND(INDEX(환산공식!CJ$16:CJ$301,MATCH(E285,환산공식!$A$16:$A$301,0)),1),"%"),"")</f>
        <v>100%</v>
      </c>
      <c r="M285" s="41">
        <f>IFERROR(INDEX(환산공식!CK$16:CK$301,MATCH(E285,환산공식!$A$16:$A$301,0)),"")</f>
        <v>10</v>
      </c>
      <c r="N285" s="113" t="str">
        <f t="shared" si="13"/>
        <v>1% 이하</v>
      </c>
      <c r="O285" s="119">
        <f>IFERROR(ROUND(INDEX(환산공식!$EF$16:$EF$301,MATCH(E285,환산공식!$A$16:$A$301,0)),3),"")</f>
        <v>0</v>
      </c>
      <c r="P285" s="119">
        <f>IFERROR(ROUND(INDEX('배치점수 계산기'!M$11:M$1000,MATCH($C285,'배치점수 계산기'!$U$11:$U$1000,0)),2),"")</f>
        <v>739.25</v>
      </c>
      <c r="Q285" s="41">
        <f>IFERROR(ROUND(INDEX('배치점수 계산기'!N$11:N$1000,MATCH($C285,'배치점수 계산기'!$U$11:$U$1000,0)),2),"")</f>
        <v>738.39</v>
      </c>
      <c r="R285" s="41">
        <f>IFERROR(ROUND(INDEX('배치점수 계산기'!O$11:O$1000,MATCH($C285,'배치점수 계산기'!$U$11:$U$1000,0)),2),"")</f>
        <v>735.2</v>
      </c>
      <c r="S285" s="41">
        <f>IFERROR(ROUND(INDEX('배치점수 계산기'!P$11:P$1000,MATCH($C285,'배치점수 계산기'!$U$11:$U$1000,0)),2),"")</f>
        <v>732.56</v>
      </c>
      <c r="T285" s="41">
        <f>IFERROR(ROUND(INDEX('배치점수 계산기'!Q$11:Q$1000,MATCH($C285,'배치점수 계산기'!$U$11:$U$1000,0)),2),"")</f>
        <v>731.01</v>
      </c>
      <c r="U285" s="41">
        <f>IFERROR(INDEX(환산공식!$DC$16:$DC$301,MATCH(E285,환산공식!$A$16:$A$301,0)),"")</f>
        <v>0</v>
      </c>
      <c r="V285" s="113">
        <f t="shared" si="14"/>
        <v>6</v>
      </c>
      <c r="W285" s="110" t="str">
        <f>INDEX('배치점수 계산기'!$AG$11:$AG$800,MATCH('       가 군       '!$C285,'배치점수 계산기'!$U$11:$U$800,0))</f>
        <v>표점</v>
      </c>
      <c r="X285" s="108" t="str">
        <f>INDEX('배치점수 계산기'!$AH$11:$AH$800,MATCH('       가 군       '!$C285,'배치점수 계산기'!$U$11:$U$800,0))</f>
        <v>변표</v>
      </c>
      <c r="Y285" s="113">
        <f>INDEX('배치점수 계산기'!$AB$11:$AB$800,MATCH('       가 군       '!$C285,'배치점수 계산기'!$U$11:$U$800,0))</f>
        <v>0.2857142857142857</v>
      </c>
      <c r="Z285" s="73">
        <f>INDEX('배치점수 계산기'!$AC$11:$AC$800,MATCH('       가 군       '!$C285,'배치점수 계산기'!$U$11:$U$800,0))</f>
        <v>0.42857142857142855</v>
      </c>
      <c r="AA285" s="63">
        <f>INDEX('배치점수 계산기'!$AD$11:$AD$800,MATCH('       가 군       '!$C285,'배치점수 계산기'!$U$11:$U$800,0))</f>
        <v>0.2857142857142857</v>
      </c>
      <c r="AE285" s="7">
        <v>278</v>
      </c>
    </row>
    <row r="286" spans="3:31" x14ac:dyDescent="0.3">
      <c r="C286" s="7" t="s">
        <v>1197</v>
      </c>
      <c r="D286" s="41" t="str">
        <f>IFERROR(INDEX('배치점수 계산기'!V$11:V$1000,MATCH($C286,'배치점수 계산기'!$U$11:$U$1000,0)),"")</f>
        <v>부산 의치약한</v>
      </c>
      <c r="E286" s="41">
        <f>IFERROR(INDEX('배치점수 계산기'!W$11:W$1000,MATCH($C286,'배치점수 계산기'!$U$11:$U$1000,0)),"")</f>
        <v>96</v>
      </c>
      <c r="F286" s="113" t="s">
        <v>276</v>
      </c>
      <c r="G286" s="41" t="s">
        <v>699</v>
      </c>
      <c r="H286" s="41" t="s">
        <v>860</v>
      </c>
      <c r="I286" s="41" t="s">
        <v>274</v>
      </c>
      <c r="J286" s="41" t="str">
        <f t="shared" si="12"/>
        <v>X</v>
      </c>
      <c r="K286" s="113">
        <f>IFERROR(INDEX(환산공식!CI$16:CI$301,MATCH($E286,환산공식!$A$16:$A$301,0)),"")</f>
        <v>200</v>
      </c>
      <c r="L286" s="41" t="str">
        <f>IFERROR(CONCATENATE(ROUND(INDEX(환산공식!CJ$16:CJ$301,MATCH(E286,환산공식!$A$16:$A$301,0)),1),"%"),"")</f>
        <v>100%</v>
      </c>
      <c r="M286" s="41">
        <f>IFERROR(INDEX(환산공식!CK$16:CK$301,MATCH(E286,환산공식!$A$16:$A$301,0)),"")</f>
        <v>10</v>
      </c>
      <c r="N286" s="113" t="str">
        <f t="shared" si="13"/>
        <v>1% 이하</v>
      </c>
      <c r="O286" s="119">
        <f>IFERROR(ROUND(INDEX(환산공식!$EF$16:$EF$301,MATCH(E286,환산공식!$A$16:$A$301,0)),3),"")</f>
        <v>0</v>
      </c>
      <c r="P286" s="119">
        <f>IFERROR(ROUND(INDEX('배치점수 계산기'!M$11:M$1000,MATCH($C286,'배치점수 계산기'!$U$11:$U$1000,0)),2),"")</f>
        <v>759.1</v>
      </c>
      <c r="Q286" s="41">
        <f>IFERROR(ROUND(INDEX('배치점수 계산기'!N$11:N$1000,MATCH($C286,'배치점수 계산기'!$U$11:$U$1000,0)),2),"")</f>
        <v>758.28</v>
      </c>
      <c r="R286" s="41">
        <f>IFERROR(ROUND(INDEX('배치점수 계산기'!O$11:O$1000,MATCH($C286,'배치점수 계산기'!$U$11:$U$1000,0)),2),"")</f>
        <v>755.59</v>
      </c>
      <c r="S286" s="41">
        <f>IFERROR(ROUND(INDEX('배치점수 계산기'!P$11:P$1000,MATCH($C286,'배치점수 계산기'!$U$11:$U$1000,0)),2),"")</f>
        <v>754.15</v>
      </c>
      <c r="T286" s="41">
        <f>IFERROR(ROUND(INDEX('배치점수 계산기'!Q$11:Q$1000,MATCH($C286,'배치점수 계산기'!$U$11:$U$1000,0)),2),"")</f>
        <v>752.14</v>
      </c>
      <c r="U286" s="41">
        <f>IFERROR(INDEX(환산공식!$DC$16:$DC$301,MATCH(E286,환산공식!$A$16:$A$301,0)),"")</f>
        <v>0</v>
      </c>
      <c r="V286" s="113">
        <f t="shared" si="14"/>
        <v>6</v>
      </c>
      <c r="W286" s="110" t="str">
        <f>INDEX('배치점수 계산기'!$AG$11:$AG$800,MATCH('       가 군       '!$C286,'배치점수 계산기'!$U$11:$U$800,0))</f>
        <v>표점</v>
      </c>
      <c r="X286" s="108" t="str">
        <f>INDEX('배치점수 계산기'!$AH$11:$AH$800,MATCH('       가 군       '!$C286,'배치점수 계산기'!$U$11:$U$800,0))</f>
        <v>변표</v>
      </c>
      <c r="Y286" s="113">
        <f>INDEX('배치점수 계산기'!$AB$11:$AB$800,MATCH('       가 군       '!$C286,'배치점수 계산기'!$U$11:$U$800,0))</f>
        <v>0.25</v>
      </c>
      <c r="Z286" s="73">
        <f>INDEX('배치점수 계산기'!$AC$11:$AC$800,MATCH('       가 군       '!$C286,'배치점수 계산기'!$U$11:$U$800,0))</f>
        <v>0.375</v>
      </c>
      <c r="AA286" s="63">
        <f>INDEX('배치점수 계산기'!$AD$11:$AD$800,MATCH('       가 군       '!$C286,'배치점수 계산기'!$U$11:$U$800,0))</f>
        <v>0.375</v>
      </c>
      <c r="AE286" s="7">
        <v>279</v>
      </c>
    </row>
    <row r="287" spans="3:31" x14ac:dyDescent="0.3">
      <c r="C287" s="7" t="s">
        <v>1199</v>
      </c>
      <c r="D287" s="41" t="str">
        <f>IFERROR(INDEX('배치점수 계산기'!V$11:V$1000,MATCH($C287,'배치점수 계산기'!$U$11:$U$1000,0)),"")</f>
        <v>전북 의치약수</v>
      </c>
      <c r="E287" s="41">
        <f>IFERROR(INDEX('배치점수 계산기'!W$11:W$1000,MATCH($C287,'배치점수 계산기'!$U$11:$U$1000,0)),"")</f>
        <v>121</v>
      </c>
      <c r="F287" s="113" t="s">
        <v>276</v>
      </c>
      <c r="G287" s="41" t="s">
        <v>701</v>
      </c>
      <c r="H287" s="41" t="s">
        <v>860</v>
      </c>
      <c r="I287" s="41" t="s">
        <v>274</v>
      </c>
      <c r="J287" s="41" t="str">
        <f t="shared" si="12"/>
        <v>X</v>
      </c>
      <c r="K287" s="113">
        <f>IFERROR(INDEX(환산공식!CI$16:CI$301,MATCH($E287,환산공식!$A$16:$A$301,0)),"")</f>
        <v>30</v>
      </c>
      <c r="L287" s="41" t="str">
        <f>IFERROR(CONCATENATE(ROUND(INDEX(환산공식!CJ$16:CJ$301,MATCH(E287,환산공식!$A$16:$A$301,0)),1),"%"),"")</f>
        <v>100%</v>
      </c>
      <c r="M287" s="41">
        <f>IFERROR(INDEX(환산공식!CK$16:CK$301,MATCH(E287,환산공식!$A$16:$A$301,0)),"")</f>
        <v>5</v>
      </c>
      <c r="N287" s="113" t="str">
        <f t="shared" si="13"/>
        <v>1% 이하</v>
      </c>
      <c r="O287" s="119">
        <f>IFERROR(ROUND(INDEX(환산공식!$EF$16:$EF$301,MATCH(E287,환산공식!$A$16:$A$301,0)),3),"")</f>
        <v>0</v>
      </c>
      <c r="P287" s="119">
        <f>IFERROR(ROUND(INDEX('배치점수 계산기'!M$11:M$1000,MATCH($C287,'배치점수 계산기'!$U$11:$U$1000,0)),2),"")</f>
        <v>378.24</v>
      </c>
      <c r="Q287" s="41">
        <f>IFERROR(ROUND(INDEX('배치점수 계산기'!N$11:N$1000,MATCH($C287,'배치점수 계산기'!$U$11:$U$1000,0)),2),"")</f>
        <v>376.53</v>
      </c>
      <c r="R287" s="41">
        <f>IFERROR(ROUND(INDEX('배치점수 계산기'!O$11:O$1000,MATCH($C287,'배치점수 계산기'!$U$11:$U$1000,0)),2),"")</f>
        <v>375.85</v>
      </c>
      <c r="S287" s="41">
        <f>IFERROR(ROUND(INDEX('배치점수 계산기'!P$11:P$1000,MATCH($C287,'배치점수 계산기'!$U$11:$U$1000,0)),2),"")</f>
        <v>375.08</v>
      </c>
      <c r="T287" s="41">
        <f>IFERROR(ROUND(INDEX('배치점수 계산기'!Q$11:Q$1000,MATCH($C287,'배치점수 계산기'!$U$11:$U$1000,0)),2),"")</f>
        <v>374.34</v>
      </c>
      <c r="U287" s="41">
        <f>IFERROR(INDEX(환산공식!$DC$16:$DC$301,MATCH(E287,환산공식!$A$16:$A$301,0)),"")</f>
        <v>0</v>
      </c>
      <c r="V287" s="113">
        <f t="shared" si="14"/>
        <v>6</v>
      </c>
      <c r="W287" s="110" t="str">
        <f>INDEX('배치점수 계산기'!$AG$11:$AG$800,MATCH('       가 군       '!$C287,'배치점수 계산기'!$U$11:$U$800,0))</f>
        <v>표점</v>
      </c>
      <c r="X287" s="108" t="str">
        <f>INDEX('배치점수 계산기'!$AH$11:$AH$800,MATCH('       가 군       '!$C287,'배치점수 계산기'!$U$11:$U$800,0))</f>
        <v>변표</v>
      </c>
      <c r="Y287" s="113">
        <f>INDEX('배치점수 계산기'!$AB$11:$AB$800,MATCH('       가 군       '!$C287,'배치점수 계산기'!$U$11:$U$800,0))</f>
        <v>0.3</v>
      </c>
      <c r="Z287" s="73">
        <f>INDEX('배치점수 계산기'!$AC$11:$AC$800,MATCH('       가 군       '!$C287,'배치점수 계산기'!$U$11:$U$800,0))</f>
        <v>0.4</v>
      </c>
      <c r="AA287" s="63">
        <f>INDEX('배치점수 계산기'!$AD$11:$AD$800,MATCH('       가 군       '!$C287,'배치점수 계산기'!$U$11:$U$800,0))</f>
        <v>0.3</v>
      </c>
      <c r="AE287" s="7">
        <v>280</v>
      </c>
    </row>
    <row r="288" spans="3:31" x14ac:dyDescent="0.3">
      <c r="C288" s="7" t="s">
        <v>1200</v>
      </c>
      <c r="D288" s="41" t="str">
        <f>IFERROR(INDEX('배치점수 계산기'!V$11:V$1000,MATCH($C288,'배치점수 계산기'!$U$11:$U$1000,0)),"")</f>
        <v>조선 의치약</v>
      </c>
      <c r="E288" s="41">
        <f>IFERROR(INDEX('배치점수 계산기'!W$11:W$1000,MATCH($C288,'배치점수 계산기'!$U$11:$U$1000,0)),"")</f>
        <v>123</v>
      </c>
      <c r="F288" s="113" t="s">
        <v>276</v>
      </c>
      <c r="G288" s="41" t="s">
        <v>850</v>
      </c>
      <c r="H288" s="41" t="s">
        <v>860</v>
      </c>
      <c r="I288" s="41" t="s">
        <v>274</v>
      </c>
      <c r="J288" s="41" t="str">
        <f t="shared" si="12"/>
        <v>X</v>
      </c>
      <c r="K288" s="113">
        <f>IFERROR(INDEX(환산공식!CI$16:CI$301,MATCH($E288,환산공식!$A$16:$A$301,0)),"")</f>
        <v>200</v>
      </c>
      <c r="L288" s="41" t="str">
        <f>IFERROR(CONCATENATE(ROUND(INDEX(환산공식!CJ$16:CJ$301,MATCH(E288,환산공식!$A$16:$A$301,0)),1),"%"),"")</f>
        <v>100%</v>
      </c>
      <c r="M288" s="41">
        <f>IFERROR(INDEX(환산공식!CK$16:CK$301,MATCH(E288,환산공식!$A$16:$A$301,0)),"")</f>
        <v>10</v>
      </c>
      <c r="N288" s="113" t="str">
        <f t="shared" si="13"/>
        <v>1% 이하</v>
      </c>
      <c r="O288" s="119">
        <f>IFERROR(ROUND(INDEX(환산공식!$EF$16:$EF$301,MATCH(E288,환산공식!$A$16:$A$301,0)),3),"")</f>
        <v>0</v>
      </c>
      <c r="P288" s="119">
        <f>IFERROR(ROUND(INDEX('배치점수 계산기'!M$11:M$1000,MATCH($C288,'배치점수 계산기'!$U$11:$U$1000,0)),2),"")</f>
        <v>799.56</v>
      </c>
      <c r="Q288" s="41">
        <f>IFERROR(ROUND(INDEX('배치점수 계산기'!N$11:N$1000,MATCH($C288,'배치점수 계산기'!$U$11:$U$1000,0)),2),"")</f>
        <v>799.2</v>
      </c>
      <c r="R288" s="41">
        <f>IFERROR(ROUND(INDEX('배치점수 계산기'!O$11:O$1000,MATCH($C288,'배치점수 계산기'!$U$11:$U$1000,0)),2),"")</f>
        <v>798.4</v>
      </c>
      <c r="S288" s="41">
        <f>IFERROR(ROUND(INDEX('배치점수 계산기'!P$11:P$1000,MATCH($C288,'배치점수 계산기'!$U$11:$U$1000,0)),2),"")</f>
        <v>797.08</v>
      </c>
      <c r="T288" s="41">
        <f>IFERROR(ROUND(INDEX('배치점수 계산기'!Q$11:Q$1000,MATCH($C288,'배치점수 계산기'!$U$11:$U$1000,0)),2),"")</f>
        <v>795.88</v>
      </c>
      <c r="U288" s="41">
        <f>IFERROR(INDEX(환산공식!$DC$16:$DC$301,MATCH(E288,환산공식!$A$16:$A$301,0)),"")</f>
        <v>0</v>
      </c>
      <c r="V288" s="113">
        <f t="shared" si="14"/>
        <v>6</v>
      </c>
      <c r="W288" s="110" t="str">
        <f>INDEX('배치점수 계산기'!$AG$11:$AG$800,MATCH('       가 군       '!$C288,'배치점수 계산기'!$U$11:$U$800,0))</f>
        <v>백분위</v>
      </c>
      <c r="X288" s="108" t="str">
        <f>INDEX('배치점수 계산기'!$AH$11:$AH$800,MATCH('       가 군       '!$C288,'배치점수 계산기'!$U$11:$U$800,0))</f>
        <v>백분위</v>
      </c>
      <c r="Y288" s="113">
        <f>INDEX('배치점수 계산기'!$AB$11:$AB$800,MATCH('       가 군       '!$C288,'배치점수 계산기'!$U$11:$U$800,0))</f>
        <v>0.33333333333333331</v>
      </c>
      <c r="Z288" s="73">
        <f>INDEX('배치점수 계산기'!$AC$11:$AC$800,MATCH('       가 군       '!$C288,'배치점수 계산기'!$U$11:$U$800,0))</f>
        <v>0.46666666666666662</v>
      </c>
      <c r="AA288" s="63">
        <f>INDEX('배치점수 계산기'!$AD$11:$AD$800,MATCH('       가 군       '!$C288,'배치점수 계산기'!$U$11:$U$800,0))</f>
        <v>0.19999999999999998</v>
      </c>
      <c r="AE288" s="7">
        <v>281</v>
      </c>
    </row>
    <row r="289" spans="3:31" x14ac:dyDescent="0.3">
      <c r="C289" s="7" t="s">
        <v>1201</v>
      </c>
      <c r="D289" s="41" t="str">
        <f>IFERROR(INDEX('배치점수 계산기'!V$11:V$1000,MATCH($C289,'배치점수 계산기'!$U$11:$U$1000,0)),"")</f>
        <v>전남 의치약수</v>
      </c>
      <c r="E289" s="41">
        <f>IFERROR(INDEX('배치점수 계산기'!W$11:W$1000,MATCH($C289,'배치점수 계산기'!$U$11:$U$1000,0)),"")</f>
        <v>120</v>
      </c>
      <c r="F289" s="113" t="s">
        <v>276</v>
      </c>
      <c r="G289" s="41" t="s">
        <v>702</v>
      </c>
      <c r="H289" s="41" t="s">
        <v>860</v>
      </c>
      <c r="I289" s="41" t="s">
        <v>274</v>
      </c>
      <c r="J289" s="41" t="str">
        <f t="shared" si="12"/>
        <v>X</v>
      </c>
      <c r="K289" s="113">
        <f>IFERROR(INDEX(환산공식!CI$16:CI$301,MATCH($E289,환산공식!$A$16:$A$301,0)),"")</f>
        <v>200</v>
      </c>
      <c r="L289" s="41" t="str">
        <f>IFERROR(CONCATENATE(ROUND(INDEX(환산공식!CJ$16:CJ$301,MATCH(E289,환산공식!$A$16:$A$301,0)),1),"%"),"")</f>
        <v>100%</v>
      </c>
      <c r="M289" s="41">
        <f>IFERROR(INDEX(환산공식!CK$16:CK$301,MATCH(E289,환산공식!$A$16:$A$301,0)),"")</f>
        <v>10</v>
      </c>
      <c r="N289" s="113" t="str">
        <f t="shared" si="13"/>
        <v>1% 이하</v>
      </c>
      <c r="O289" s="119">
        <f>IFERROR(ROUND(INDEX(환산공식!$EF$16:$EF$301,MATCH(E289,환산공식!$A$16:$A$301,0)),3),"")</f>
        <v>0</v>
      </c>
      <c r="P289" s="119">
        <f>IFERROR(ROUND(INDEX('배치점수 계산기'!M$11:M$1000,MATCH($C289,'배치점수 계산기'!$U$11:$U$1000,0)),2),"")</f>
        <v>952.19</v>
      </c>
      <c r="Q289" s="41">
        <f>IFERROR(ROUND(INDEX('배치점수 계산기'!N$11:N$1000,MATCH($C289,'배치점수 계산기'!$U$11:$U$1000,0)),2),"")</f>
        <v>948.35</v>
      </c>
      <c r="R289" s="41">
        <f>IFERROR(ROUND(INDEX('배치점수 계산기'!O$11:O$1000,MATCH($C289,'배치점수 계산기'!$U$11:$U$1000,0)),2),"")</f>
        <v>946.29</v>
      </c>
      <c r="S289" s="41">
        <f>IFERROR(ROUND(INDEX('배치점수 계산기'!P$11:P$1000,MATCH($C289,'배치점수 계산기'!$U$11:$U$1000,0)),2),"")</f>
        <v>945.12</v>
      </c>
      <c r="T289" s="41">
        <f>IFERROR(ROUND(INDEX('배치점수 계산기'!Q$11:Q$1000,MATCH($C289,'배치점수 계산기'!$U$11:$U$1000,0)),2),"")</f>
        <v>943.2</v>
      </c>
      <c r="U289" s="41">
        <f>IFERROR(INDEX(환산공식!$DC$16:$DC$301,MATCH(E289,환산공식!$A$16:$A$301,0)),"")</f>
        <v>0</v>
      </c>
      <c r="V289" s="113">
        <f t="shared" si="14"/>
        <v>6</v>
      </c>
      <c r="W289" s="110" t="str">
        <f>INDEX('배치점수 계산기'!$AG$11:$AG$800,MATCH('       가 군       '!$C289,'배치점수 계산기'!$U$11:$U$800,0))</f>
        <v>표점/만점</v>
      </c>
      <c r="X289" s="108" t="str">
        <f>INDEX('배치점수 계산기'!$AH$11:$AH$800,MATCH('       가 군       '!$C289,'배치점수 계산기'!$U$11:$U$800,0))</f>
        <v>변표/만점</v>
      </c>
      <c r="Y289" s="113">
        <f>INDEX('배치점수 계산기'!$AB$11:$AB$800,MATCH('       가 군       '!$C289,'배치점수 계산기'!$U$11:$U$800,0))</f>
        <v>0.2942169917529503</v>
      </c>
      <c r="Z289" s="73">
        <f>INDEX('배치점수 계산기'!$AC$11:$AC$800,MATCH('       가 군       '!$C289,'배치점수 계산기'!$U$11:$U$800,0))</f>
        <v>0.39762659202893064</v>
      </c>
      <c r="AA289" s="63">
        <f>INDEX('배치점수 계산기'!$AD$11:$AD$800,MATCH('       가 군       '!$C289,'배치점수 계산기'!$U$11:$U$800,0))</f>
        <v>0.30815641621811896</v>
      </c>
      <c r="AE289" s="7">
        <v>282</v>
      </c>
    </row>
    <row r="290" spans="3:31" x14ac:dyDescent="0.3">
      <c r="C290" s="7" t="s">
        <v>1202</v>
      </c>
      <c r="D290" s="41" t="str">
        <f>IFERROR(INDEX('배치점수 계산기'!V$11:V$1000,MATCH($C290,'배치점수 계산기'!$U$11:$U$1000,0)),"")</f>
        <v>연세대 자연</v>
      </c>
      <c r="E290" s="41">
        <f>IFERROR(INDEX('배치점수 계산기'!W$11:W$1000,MATCH($C290,'배치점수 계산기'!$U$11:$U$1000,0)),"")</f>
        <v>19</v>
      </c>
      <c r="F290" s="113" t="s">
        <v>276</v>
      </c>
      <c r="G290" s="41" t="s">
        <v>277</v>
      </c>
      <c r="H290" s="41" t="s">
        <v>685</v>
      </c>
      <c r="I290" s="41" t="s">
        <v>274</v>
      </c>
      <c r="J290" s="41" t="str">
        <f t="shared" si="12"/>
        <v>X</v>
      </c>
      <c r="K290" s="113">
        <f>IFERROR(INDEX(환산공식!CI$16:CI$301,MATCH($E290,환산공식!$A$16:$A$301,0)),"")</f>
        <v>111.1</v>
      </c>
      <c r="L290" s="41" t="str">
        <f>IFERROR(CONCATENATE(ROUND(INDEX(환산공식!CJ$16:CJ$301,MATCH(E290,환산공식!$A$16:$A$301,0)),1),"%"),"")</f>
        <v>100%</v>
      </c>
      <c r="M290" s="41">
        <f>IFERROR(INDEX(환산공식!CK$16:CK$301,MATCH(E290,환산공식!$A$16:$A$301,0)),"")</f>
        <v>10</v>
      </c>
      <c r="N290" s="113" t="str">
        <f t="shared" si="13"/>
        <v>1% 이하</v>
      </c>
      <c r="O290" s="119">
        <f>IFERROR(ROUND(INDEX(환산공식!$EF$16:$EF$301,MATCH(E290,환산공식!$A$16:$A$301,0)),3),"")</f>
        <v>0</v>
      </c>
      <c r="P290" s="119">
        <f>IFERROR(ROUND(INDEX('배치점수 계산기'!M$11:M$1000,MATCH($C290,'배치점수 계산기'!$U$11:$U$1000,0)),2),"")</f>
        <v>735.11</v>
      </c>
      <c r="Q290" s="41">
        <f>IFERROR(ROUND(INDEX('배치점수 계산기'!N$11:N$1000,MATCH($C290,'배치점수 계산기'!$U$11:$U$1000,0)),2),"")</f>
        <v>732.56</v>
      </c>
      <c r="R290" s="41">
        <f>IFERROR(ROUND(INDEX('배치점수 계산기'!O$11:O$1000,MATCH($C290,'배치점수 계산기'!$U$11:$U$1000,0)),2),"")</f>
        <v>729.83</v>
      </c>
      <c r="S290" s="41">
        <f>IFERROR(ROUND(INDEX('배치점수 계산기'!P$11:P$1000,MATCH($C290,'배치점수 계산기'!$U$11:$U$1000,0)),2),"")</f>
        <v>727.7</v>
      </c>
      <c r="T290" s="41">
        <f>IFERROR(ROUND(INDEX('배치점수 계산기'!Q$11:Q$1000,MATCH($C290,'배치점수 계산기'!$U$11:$U$1000,0)),2),"")</f>
        <v>725.61</v>
      </c>
      <c r="U290" s="41">
        <f>IFERROR(INDEX(환산공식!$DC$16:$DC$301,MATCH(E290,환산공식!$A$16:$A$301,0)),"")</f>
        <v>0</v>
      </c>
      <c r="V290" s="113">
        <f t="shared" si="14"/>
        <v>6</v>
      </c>
      <c r="W290" s="110" t="str">
        <f>INDEX('배치점수 계산기'!$AG$11:$AG$800,MATCH('       가 군       '!$C290,'배치점수 계산기'!$U$11:$U$800,0))</f>
        <v>표점</v>
      </c>
      <c r="X290" s="108" t="str">
        <f>INDEX('배치점수 계산기'!$AH$11:$AH$800,MATCH('       가 군       '!$C290,'배치점수 계산기'!$U$11:$U$800,0))</f>
        <v>표점</v>
      </c>
      <c r="Y290" s="113">
        <f>INDEX('배치점수 계산기'!$AB$11:$AB$800,MATCH('       가 군       '!$C290,'배치점수 계산기'!$U$11:$U$800,0))</f>
        <v>0.24999999999999994</v>
      </c>
      <c r="Z290" s="73">
        <f>INDEX('배치점수 계산기'!$AC$11:$AC$800,MATCH('       가 군       '!$C290,'배치점수 계산기'!$U$11:$U$800,0))</f>
        <v>0.37499999999999994</v>
      </c>
      <c r="AA290" s="63">
        <f>INDEX('배치점수 계산기'!$AD$11:$AD$800,MATCH('       가 군       '!$C290,'배치점수 계산기'!$U$11:$U$800,0))</f>
        <v>0.37499999999999994</v>
      </c>
      <c r="AE290" s="7">
        <v>283</v>
      </c>
    </row>
    <row r="291" spans="3:31" x14ac:dyDescent="0.3">
      <c r="C291" s="7" t="s">
        <v>1203</v>
      </c>
      <c r="D291" s="41" t="str">
        <f>IFERROR(INDEX('배치점수 계산기'!V$11:V$1000,MATCH($C291,'배치점수 계산기'!$U$11:$U$1000,0)),"")</f>
        <v>중앙 자연</v>
      </c>
      <c r="E291" s="41">
        <f>IFERROR(INDEX('배치점수 계산기'!W$11:W$1000,MATCH($C291,'배치점수 계산기'!$U$11:$U$1000,0)),"")</f>
        <v>29</v>
      </c>
      <c r="F291" s="113" t="s">
        <v>276</v>
      </c>
      <c r="G291" s="41" t="s">
        <v>747</v>
      </c>
      <c r="H291" s="41" t="s">
        <v>685</v>
      </c>
      <c r="I291" s="41" t="s">
        <v>274</v>
      </c>
      <c r="J291" s="41" t="str">
        <f t="shared" si="12"/>
        <v>X</v>
      </c>
      <c r="K291" s="113">
        <f>IFERROR(INDEX(환산공식!CI$16:CI$301,MATCH($E291,환산공식!$A$16:$A$301,0)),"")</f>
        <v>100</v>
      </c>
      <c r="L291" s="41" t="str">
        <f>IFERROR(CONCATENATE(ROUND(INDEX(환산공식!CJ$16:CJ$301,MATCH(E291,환산공식!$A$16:$A$301,0)),1),"%"),"")</f>
        <v>100%</v>
      </c>
      <c r="M291" s="41">
        <f>IFERROR(INDEX(환산공식!CK$16:CK$301,MATCH(E291,환산공식!$A$16:$A$301,0)),"")</f>
        <v>10</v>
      </c>
      <c r="N291" s="113" t="str">
        <f t="shared" si="13"/>
        <v>1% 이하</v>
      </c>
      <c r="O291" s="119">
        <f>IFERROR(ROUND(INDEX(환산공식!$EF$16:$EF$301,MATCH(E291,환산공식!$A$16:$A$301,0)),3),"")</f>
        <v>0</v>
      </c>
      <c r="P291" s="119">
        <f>IFERROR(ROUND(INDEX('배치점수 계산기'!M$11:M$1000,MATCH($C291,'배치점수 계산기'!$U$11:$U$1000,0)),2),"")</f>
        <v>793.54</v>
      </c>
      <c r="Q291" s="41">
        <f>IFERROR(ROUND(INDEX('배치점수 계산기'!N$11:N$1000,MATCH($C291,'배치점수 계산기'!$U$11:$U$1000,0)),2),"")</f>
        <v>792.8</v>
      </c>
      <c r="R291" s="41">
        <f>IFERROR(ROUND(INDEX('배치점수 계산기'!O$11:O$1000,MATCH($C291,'배치점수 계산기'!$U$11:$U$1000,0)),2),"")</f>
        <v>791.6</v>
      </c>
      <c r="S291" s="41">
        <f>IFERROR(ROUND(INDEX('배치점수 계산기'!P$11:P$1000,MATCH($C291,'배치점수 계산기'!$U$11:$U$1000,0)),2),"")</f>
        <v>789.81</v>
      </c>
      <c r="T291" s="41">
        <f>IFERROR(ROUND(INDEX('배치점수 계산기'!Q$11:Q$1000,MATCH($C291,'배치점수 계산기'!$U$11:$U$1000,0)),2),"")</f>
        <v>788.73</v>
      </c>
      <c r="U291" s="41">
        <f>IFERROR(INDEX(환산공식!$DC$16:$DC$301,MATCH(E291,환산공식!$A$16:$A$301,0)),"")</f>
        <v>0</v>
      </c>
      <c r="V291" s="113">
        <f t="shared" si="14"/>
        <v>6</v>
      </c>
      <c r="W291" s="110" t="str">
        <f>INDEX('배치점수 계산기'!$AG$11:$AG$800,MATCH('       가 군       '!$C291,'배치점수 계산기'!$U$11:$U$800,0))</f>
        <v>표점</v>
      </c>
      <c r="X291" s="108" t="str">
        <f>INDEX('배치점수 계산기'!$AH$11:$AH$800,MATCH('       가 군       '!$C291,'배치점수 계산기'!$U$11:$U$800,0))</f>
        <v>변표</v>
      </c>
      <c r="Y291" s="113">
        <f>INDEX('배치점수 계산기'!$AB$11:$AB$800,MATCH('       가 군       '!$C291,'배치점수 계산기'!$U$11:$U$800,0))</f>
        <v>0.25</v>
      </c>
      <c r="Z291" s="73">
        <f>INDEX('배치점수 계산기'!$AC$11:$AC$800,MATCH('       가 군       '!$C291,'배치점수 계산기'!$U$11:$U$800,0))</f>
        <v>0.4</v>
      </c>
      <c r="AA291" s="63">
        <f>INDEX('배치점수 계산기'!$AD$11:$AD$800,MATCH('       가 군       '!$C291,'배치점수 계산기'!$U$11:$U$800,0))</f>
        <v>0.35</v>
      </c>
      <c r="AE291" s="7">
        <v>284</v>
      </c>
    </row>
    <row r="292" spans="3:31" x14ac:dyDescent="0.3">
      <c r="C292" s="7" t="s">
        <v>1204</v>
      </c>
      <c r="D292" s="41" t="str">
        <f>IFERROR(INDEX('배치점수 계산기'!V$11:V$1000,MATCH($C292,'배치점수 계산기'!$U$11:$U$1000,0)),"")</f>
        <v>성균 자연</v>
      </c>
      <c r="E292" s="41">
        <f>IFERROR(INDEX('배치점수 계산기'!W$11:W$1000,MATCH($C292,'배치점수 계산기'!$U$11:$U$1000,0)),"")</f>
        <v>25</v>
      </c>
      <c r="F292" s="113" t="s">
        <v>276</v>
      </c>
      <c r="G292" s="41" t="s">
        <v>342</v>
      </c>
      <c r="H292" s="41" t="s">
        <v>685</v>
      </c>
      <c r="I292" s="41" t="s">
        <v>274</v>
      </c>
      <c r="J292" s="41" t="str">
        <f t="shared" si="12"/>
        <v>X</v>
      </c>
      <c r="K292" s="113">
        <f>IFERROR(INDEX(환산공식!CI$16:CI$301,MATCH($E292,환산공식!$A$16:$A$301,0)),"")</f>
        <v>100</v>
      </c>
      <c r="L292" s="41" t="str">
        <f>IFERROR(CONCATENATE(ROUND(INDEX(환산공식!CJ$16:CJ$301,MATCH(E292,환산공식!$A$16:$A$301,0)),1),"%"),"")</f>
        <v>100%</v>
      </c>
      <c r="M292" s="41">
        <f>IFERROR(INDEX(환산공식!CK$16:CK$301,MATCH(E292,환산공식!$A$16:$A$301,0)),"")</f>
        <v>10</v>
      </c>
      <c r="N292" s="113" t="str">
        <f t="shared" si="13"/>
        <v>1% 이하</v>
      </c>
      <c r="O292" s="119">
        <f>IFERROR(ROUND(INDEX(환산공식!$EF$16:$EF$301,MATCH(E292,환산공식!$A$16:$A$301,0)),3),"")</f>
        <v>0</v>
      </c>
      <c r="P292" s="119">
        <f>IFERROR(ROUND(INDEX('배치점수 계산기'!M$11:M$1000,MATCH($C292,'배치점수 계산기'!$U$11:$U$1000,0)),2),"")</f>
        <v>793.54</v>
      </c>
      <c r="Q292" s="41">
        <f>IFERROR(ROUND(INDEX('배치점수 계산기'!N$11:N$1000,MATCH($C292,'배치점수 계산기'!$U$11:$U$1000,0)),2),"")</f>
        <v>792.8</v>
      </c>
      <c r="R292" s="41">
        <f>IFERROR(ROUND(INDEX('배치점수 계산기'!O$11:O$1000,MATCH($C292,'배치점수 계산기'!$U$11:$U$1000,0)),2),"")</f>
        <v>790.5</v>
      </c>
      <c r="S292" s="41">
        <f>IFERROR(ROUND(INDEX('배치점수 계산기'!P$11:P$1000,MATCH($C292,'배치점수 계산기'!$U$11:$U$1000,0)),2),"")</f>
        <v>789.81</v>
      </c>
      <c r="T292" s="41">
        <f>IFERROR(ROUND(INDEX('배치점수 계산기'!Q$11:Q$1000,MATCH($C292,'배치점수 계산기'!$U$11:$U$1000,0)),2),"")</f>
        <v>787.59</v>
      </c>
      <c r="U292" s="41">
        <f>IFERROR(INDEX(환산공식!$DC$16:$DC$301,MATCH(E292,환산공식!$A$16:$A$301,0)),"")</f>
        <v>0</v>
      </c>
      <c r="V292" s="113">
        <f t="shared" si="14"/>
        <v>6</v>
      </c>
      <c r="W292" s="110" t="str">
        <f>INDEX('배치점수 계산기'!$AG$11:$AG$800,MATCH('       가 군       '!$C292,'배치점수 계산기'!$U$11:$U$800,0))</f>
        <v>표점</v>
      </c>
      <c r="X292" s="108" t="str">
        <f>INDEX('배치점수 계산기'!$AH$11:$AH$800,MATCH('       가 군       '!$C292,'배치점수 계산기'!$U$11:$U$800,0))</f>
        <v>변표</v>
      </c>
      <c r="Y292" s="113">
        <f>INDEX('배치점수 계산기'!$AB$11:$AB$800,MATCH('       가 군       '!$C292,'배치점수 계산기'!$U$11:$U$800,0))</f>
        <v>0.25</v>
      </c>
      <c r="Z292" s="73">
        <f>INDEX('배치점수 계산기'!$AC$11:$AC$800,MATCH('       가 군       '!$C292,'배치점수 계산기'!$U$11:$U$800,0))</f>
        <v>0.4</v>
      </c>
      <c r="AA292" s="63">
        <f>INDEX('배치점수 계산기'!$AD$11:$AD$800,MATCH('       가 군       '!$C292,'배치점수 계산기'!$U$11:$U$800,0))</f>
        <v>0.35</v>
      </c>
      <c r="AE292" s="7">
        <v>285</v>
      </c>
    </row>
    <row r="293" spans="3:31" x14ac:dyDescent="0.3">
      <c r="C293" s="7" t="s">
        <v>1205</v>
      </c>
      <c r="D293" s="41" t="str">
        <f>IFERROR(INDEX('배치점수 계산기'!V$11:V$1000,MATCH($C293,'배치점수 계산기'!$U$11:$U$1000,0)),"")</f>
        <v>경희 자연</v>
      </c>
      <c r="E293" s="41">
        <f>IFERROR(INDEX('배치점수 계산기'!W$11:W$1000,MATCH($C293,'배치점수 계산기'!$U$11:$U$1000,0)),"")</f>
        <v>33</v>
      </c>
      <c r="F293" s="113" t="s">
        <v>276</v>
      </c>
      <c r="G293" s="41" t="s">
        <v>380</v>
      </c>
      <c r="H293" s="41" t="s">
        <v>685</v>
      </c>
      <c r="I293" s="41" t="s">
        <v>274</v>
      </c>
      <c r="J293" s="41" t="str">
        <f t="shared" si="12"/>
        <v>X</v>
      </c>
      <c r="K293" s="113">
        <f>IFERROR(INDEX(환산공식!CI$16:CI$301,MATCH($E293,환산공식!$A$16:$A$301,0)),"")</f>
        <v>120</v>
      </c>
      <c r="L293" s="41" t="str">
        <f>IFERROR(CONCATENATE(ROUND(INDEX(환산공식!CJ$16:CJ$301,MATCH(E293,환산공식!$A$16:$A$301,0)),1),"%"),"")</f>
        <v>100%</v>
      </c>
      <c r="M293" s="41">
        <f>IFERROR(INDEX(환산공식!CK$16:CK$301,MATCH(E293,환산공식!$A$16:$A$301,0)),"")</f>
        <v>40</v>
      </c>
      <c r="N293" s="113" t="str">
        <f t="shared" si="13"/>
        <v>1% 이하</v>
      </c>
      <c r="O293" s="119">
        <f>IFERROR(ROUND(INDEX(환산공식!$EF$16:$EF$301,MATCH(E293,환산공식!$A$16:$A$301,0)),3),"")</f>
        <v>0</v>
      </c>
      <c r="P293" s="119">
        <f>IFERROR(ROUND(INDEX('배치점수 계산기'!M$11:M$1000,MATCH($C293,'배치점수 계산기'!$U$11:$U$1000,0)),2),"")</f>
        <v>598.36</v>
      </c>
      <c r="Q293" s="41">
        <f>IFERROR(ROUND(INDEX('배치점수 계산기'!N$11:N$1000,MATCH($C293,'배치점수 계산기'!$U$11:$U$1000,0)),2),"")</f>
        <v>597.58000000000004</v>
      </c>
      <c r="R293" s="41">
        <f>IFERROR(ROUND(INDEX('배치점수 계산기'!O$11:O$1000,MATCH($C293,'배치점수 계산기'!$U$11:$U$1000,0)),2),"")</f>
        <v>596.41999999999996</v>
      </c>
      <c r="S293" s="41">
        <f>IFERROR(ROUND(INDEX('배치점수 계산기'!P$11:P$1000,MATCH($C293,'배치점수 계산기'!$U$11:$U$1000,0)),2),"")</f>
        <v>595.72</v>
      </c>
      <c r="T293" s="41">
        <f>IFERROR(ROUND(INDEX('배치점수 계산기'!Q$11:Q$1000,MATCH($C293,'배치점수 계산기'!$U$11:$U$1000,0)),2),"")</f>
        <v>594.63</v>
      </c>
      <c r="U293" s="41">
        <f>IFERROR(INDEX(환산공식!$DC$16:$DC$301,MATCH(E293,환산공식!$A$16:$A$301,0)),"")</f>
        <v>0</v>
      </c>
      <c r="V293" s="113">
        <f t="shared" si="14"/>
        <v>6</v>
      </c>
      <c r="W293" s="110" t="str">
        <f>INDEX('배치점수 계산기'!$AG$11:$AG$800,MATCH('       가 군       '!$C293,'배치점수 계산기'!$U$11:$U$800,0))</f>
        <v>표점</v>
      </c>
      <c r="X293" s="108" t="str">
        <f>INDEX('배치점수 계산기'!$AH$11:$AH$800,MATCH('       가 군       '!$C293,'배치점수 계산기'!$U$11:$U$800,0))</f>
        <v>변표</v>
      </c>
      <c r="Y293" s="113">
        <f>INDEX('배치점수 계산기'!$AB$11:$AB$800,MATCH('       가 군       '!$C293,'배치점수 계산기'!$U$11:$U$800,0))</f>
        <v>0.25</v>
      </c>
      <c r="Z293" s="73">
        <f>INDEX('배치점수 계산기'!$AC$11:$AC$800,MATCH('       가 군       '!$C293,'배치점수 계산기'!$U$11:$U$800,0))</f>
        <v>0.43749999999999994</v>
      </c>
      <c r="AA293" s="63">
        <f>INDEX('배치점수 계산기'!$AD$11:$AD$800,MATCH('       가 군       '!$C293,'배치점수 계산기'!$U$11:$U$800,0))</f>
        <v>0.3125</v>
      </c>
      <c r="AE293" s="7">
        <v>286</v>
      </c>
    </row>
    <row r="294" spans="3:31" x14ac:dyDescent="0.3">
      <c r="C294" s="7" t="s">
        <v>1206</v>
      </c>
      <c r="D294" s="41" t="str">
        <f>IFERROR(INDEX('배치점수 계산기'!V$11:V$1000,MATCH($C294,'배치점수 계산기'!$U$11:$U$1000,0)),"")</f>
        <v>동국 자연</v>
      </c>
      <c r="E294" s="41">
        <f>IFERROR(INDEX('배치점수 계산기'!W$11:W$1000,MATCH($C294,'배치점수 계산기'!$U$11:$U$1000,0)),"")</f>
        <v>48</v>
      </c>
      <c r="F294" s="113" t="s">
        <v>276</v>
      </c>
      <c r="G294" s="41" t="s">
        <v>801</v>
      </c>
      <c r="H294" s="41" t="s">
        <v>685</v>
      </c>
      <c r="I294" s="41" t="s">
        <v>274</v>
      </c>
      <c r="J294" s="41" t="str">
        <f t="shared" si="12"/>
        <v>X</v>
      </c>
      <c r="K294" s="113">
        <f>IFERROR(INDEX(환산공식!CI$16:CI$301,MATCH($E294,환산공식!$A$16:$A$301,0)),"")</f>
        <v>200</v>
      </c>
      <c r="L294" s="41" t="str">
        <f>IFERROR(CONCATENATE(ROUND(INDEX(환산공식!CJ$16:CJ$301,MATCH(E294,환산공식!$A$16:$A$301,0)),1),"%"),"")</f>
        <v>100%</v>
      </c>
      <c r="M294" s="41">
        <f>IFERROR(INDEX(환산공식!CK$16:CK$301,MATCH(E294,환산공식!$A$16:$A$301,0)),"")</f>
        <v>50</v>
      </c>
      <c r="N294" s="113" t="str">
        <f t="shared" si="13"/>
        <v>1% 이하</v>
      </c>
      <c r="O294" s="119">
        <f>IFERROR(ROUND(INDEX(환산공식!$EF$16:$EF$301,MATCH(E294,환산공식!$A$16:$A$301,0)),3),"")</f>
        <v>0</v>
      </c>
      <c r="P294" s="119">
        <f>IFERROR(ROUND(INDEX('배치점수 계산기'!M$11:M$1000,MATCH($C294,'배치점수 계산기'!$U$11:$U$1000,0)),2),"")</f>
        <v>760.4</v>
      </c>
      <c r="Q294" s="41">
        <f>IFERROR(ROUND(INDEX('배치점수 계산기'!N$11:N$1000,MATCH($C294,'배치점수 계산기'!$U$11:$U$1000,0)),2),"")</f>
        <v>759.45</v>
      </c>
      <c r="R294" s="41">
        <f>IFERROR(ROUND(INDEX('배치점수 계산기'!O$11:O$1000,MATCH($C294,'배치점수 계산기'!$U$11:$U$1000,0)),2),"")</f>
        <v>758.72</v>
      </c>
      <c r="S294" s="41">
        <f>IFERROR(ROUND(INDEX('배치점수 계산기'!P$11:P$1000,MATCH($C294,'배치점수 계산기'!$U$11:$U$1000,0)),2),"")</f>
        <v>757.99</v>
      </c>
      <c r="T294" s="41">
        <f>IFERROR(ROUND(INDEX('배치점수 계산기'!Q$11:Q$1000,MATCH($C294,'배치점수 계산기'!$U$11:$U$1000,0)),2),"")</f>
        <v>756.15</v>
      </c>
      <c r="U294" s="41">
        <f>IFERROR(INDEX(환산공식!$DC$16:$DC$301,MATCH(E294,환산공식!$A$16:$A$301,0)),"")</f>
        <v>0</v>
      </c>
      <c r="V294" s="113">
        <f t="shared" si="14"/>
        <v>6</v>
      </c>
      <c r="W294" s="110" t="str">
        <f>INDEX('배치점수 계산기'!$AG$11:$AG$800,MATCH('       가 군       '!$C294,'배치점수 계산기'!$U$11:$U$800,0))</f>
        <v>표점</v>
      </c>
      <c r="X294" s="108" t="str">
        <f>INDEX('배치점수 계산기'!$AH$11:$AH$800,MATCH('       가 군       '!$C294,'배치점수 계산기'!$U$11:$U$800,0))</f>
        <v>변표</v>
      </c>
      <c r="Y294" s="113">
        <f>INDEX('배치점수 계산기'!$AB$11:$AB$800,MATCH('       가 군       '!$C294,'배치점수 계산기'!$U$11:$U$800,0))</f>
        <v>0.33333333333333331</v>
      </c>
      <c r="Z294" s="73">
        <f>INDEX('배치점수 계산기'!$AC$11:$AC$800,MATCH('       가 군       '!$C294,'배치점수 계산기'!$U$11:$U$800,0))</f>
        <v>0.4</v>
      </c>
      <c r="AA294" s="63">
        <f>INDEX('배치점수 계산기'!$AD$11:$AD$800,MATCH('       가 군       '!$C294,'배치점수 계산기'!$U$11:$U$800,0))</f>
        <v>0.26666666666666666</v>
      </c>
      <c r="AE294" s="7">
        <v>287</v>
      </c>
    </row>
    <row r="295" spans="3:31" x14ac:dyDescent="0.3">
      <c r="C295" s="7" t="s">
        <v>1207</v>
      </c>
      <c r="D295" s="41" t="str">
        <f>IFERROR(INDEX('배치점수 계산기'!V$11:V$1000,MATCH($C295,'배치점수 계산기'!$U$11:$U$1000,0)),"")</f>
        <v>가톨 의약</v>
      </c>
      <c r="E295" s="41">
        <f>IFERROR(INDEX('배치점수 계산기'!W$11:W$1000,MATCH($C295,'배치점수 계산기'!$U$11:$U$1000,0)),"")</f>
        <v>68</v>
      </c>
      <c r="F295" s="113" t="s">
        <v>276</v>
      </c>
      <c r="G295" s="41" t="s">
        <v>844</v>
      </c>
      <c r="H295" s="41" t="s">
        <v>685</v>
      </c>
      <c r="I295" s="41" t="s">
        <v>274</v>
      </c>
      <c r="J295" s="41" t="str">
        <f t="shared" si="12"/>
        <v>X</v>
      </c>
      <c r="K295" s="113">
        <f>IFERROR(INDEX(환산공식!CI$16:CI$301,MATCH($E295,환산공식!$A$16:$A$301,0)),"")</f>
        <v>10</v>
      </c>
      <c r="L295" s="41" t="str">
        <f>IFERROR(CONCATENATE(ROUND(INDEX(환산공식!CJ$16:CJ$301,MATCH(E295,환산공식!$A$16:$A$301,0)),1),"%"),"")</f>
        <v>100%</v>
      </c>
      <c r="M295" s="41">
        <f>IFERROR(INDEX(환산공식!CK$16:CK$301,MATCH(E295,환산공식!$A$16:$A$301,0)),"")</f>
        <v>10</v>
      </c>
      <c r="N295" s="113" t="str">
        <f t="shared" si="13"/>
        <v>1% 이하</v>
      </c>
      <c r="O295" s="119">
        <f>IFERROR(ROUND(INDEX(환산공식!$EF$16:$EF$301,MATCH(E295,환산공식!$A$16:$A$301,0)),3),"")</f>
        <v>0</v>
      </c>
      <c r="P295" s="119">
        <f>IFERROR(ROUND(INDEX('배치점수 계산기'!M$11:M$1000,MATCH($C295,'배치점수 계산기'!$U$11:$U$1000,0)),2),"")</f>
        <v>699.84</v>
      </c>
      <c r="Q295" s="41">
        <f>IFERROR(ROUND(INDEX('배치점수 계산기'!N$11:N$1000,MATCH($C295,'배치점수 계산기'!$U$11:$U$1000,0)),2),"")</f>
        <v>698.63</v>
      </c>
      <c r="R295" s="41">
        <f>IFERROR(ROUND(INDEX('배치점수 계산기'!O$11:O$1000,MATCH($C295,'배치점수 계산기'!$U$11:$U$1000,0)),2),"")</f>
        <v>697.66</v>
      </c>
      <c r="S295" s="41">
        <f>IFERROR(ROUND(INDEX('배치점수 계산기'!P$11:P$1000,MATCH($C295,'배치점수 계산기'!$U$11:$U$1000,0)),2),"")</f>
        <v>696.71</v>
      </c>
      <c r="T295" s="41">
        <f>IFERROR(ROUND(INDEX('배치점수 계산기'!Q$11:Q$1000,MATCH($C295,'배치점수 계산기'!$U$11:$U$1000,0)),2),"")</f>
        <v>694.35</v>
      </c>
      <c r="U295" s="41">
        <f>IFERROR(INDEX(환산공식!$DC$16:$DC$301,MATCH(E295,환산공식!$A$16:$A$301,0)),"")</f>
        <v>0</v>
      </c>
      <c r="V295" s="113">
        <f t="shared" si="14"/>
        <v>6</v>
      </c>
      <c r="W295" s="110" t="str">
        <f>INDEX('배치점수 계산기'!$AG$11:$AG$800,MATCH('       가 군       '!$C295,'배치점수 계산기'!$U$11:$U$800,0))</f>
        <v>표점</v>
      </c>
      <c r="X295" s="108" t="str">
        <f>INDEX('배치점수 계산기'!$AH$11:$AH$800,MATCH('       가 군       '!$C295,'배치점수 계산기'!$U$11:$U$800,0))</f>
        <v>변표</v>
      </c>
      <c r="Y295" s="113">
        <f>INDEX('배치점수 계산기'!$AB$11:$AB$800,MATCH('       가 군       '!$C295,'배치점수 계산기'!$U$11:$U$800,0))</f>
        <v>0.3</v>
      </c>
      <c r="Z295" s="73">
        <f>INDEX('배치점수 계산기'!$AC$11:$AC$800,MATCH('       가 군       '!$C295,'배치점수 계산기'!$U$11:$U$800,0))</f>
        <v>0.4</v>
      </c>
      <c r="AA295" s="63">
        <f>INDEX('배치점수 계산기'!$AD$11:$AD$800,MATCH('       가 군       '!$C295,'배치점수 계산기'!$U$11:$U$800,0))</f>
        <v>0.3</v>
      </c>
      <c r="AE295" s="7">
        <v>288</v>
      </c>
    </row>
    <row r="296" spans="3:31" x14ac:dyDescent="0.3">
      <c r="C296" s="7" t="s">
        <v>1208</v>
      </c>
      <c r="D296" s="41" t="str">
        <f>IFERROR(INDEX('배치점수 계산기'!V$11:V$1000,MATCH($C296,'배치점수 계산기'!$U$11:$U$1000,0)),"")</f>
        <v>가천 의약</v>
      </c>
      <c r="E296" s="41">
        <f>IFERROR(INDEX('배치점수 계산기'!W$11:W$1000,MATCH($C296,'배치점수 계산기'!$U$11:$U$1000,0)),"")</f>
        <v>66</v>
      </c>
      <c r="F296" s="113" t="s">
        <v>276</v>
      </c>
      <c r="G296" s="41" t="s">
        <v>679</v>
      </c>
      <c r="H296" s="41" t="s">
        <v>685</v>
      </c>
      <c r="I296" s="41" t="s">
        <v>274</v>
      </c>
      <c r="J296" s="41" t="str">
        <f t="shared" si="12"/>
        <v>X</v>
      </c>
      <c r="K296" s="113">
        <f>IFERROR(INDEX(환산공식!CI$16:CI$301,MATCH($E296,환산공식!$A$16:$A$301,0)),"")</f>
        <v>78.400000000000006</v>
      </c>
      <c r="L296" s="41" t="str">
        <f>IFERROR(CONCATENATE(ROUND(INDEX(환산공식!CJ$16:CJ$301,MATCH(E296,환산공식!$A$16:$A$301,0)),1),"%"),"")</f>
        <v>100%</v>
      </c>
      <c r="M296" s="41">
        <f>IFERROR(INDEX(환산공식!CK$16:CK$301,MATCH(E296,환산공식!$A$16:$A$301,0)),"")</f>
        <v>0</v>
      </c>
      <c r="N296" s="113" t="str">
        <f t="shared" si="13"/>
        <v>1% 이하</v>
      </c>
      <c r="O296" s="119">
        <f>IFERROR(ROUND(INDEX(환산공식!$EF$16:$EF$301,MATCH(E296,환산공식!$A$16:$A$301,0)),3),"")</f>
        <v>0</v>
      </c>
      <c r="P296" s="119">
        <f>IFERROR(ROUND(INDEX('배치점수 계산기'!M$11:M$1000,MATCH($C296,'배치점수 계산기'!$U$11:$U$1000,0)),2),"")</f>
        <v>388.82</v>
      </c>
      <c r="Q296" s="41">
        <f>IFERROR(ROUND(INDEX('배치점수 계산기'!N$11:N$1000,MATCH($C296,'배치점수 계산기'!$U$11:$U$1000,0)),2),"")</f>
        <v>387.86</v>
      </c>
      <c r="R296" s="41">
        <f>IFERROR(ROUND(INDEX('배치점수 계산기'!O$11:O$1000,MATCH($C296,'배치점수 계산기'!$U$11:$U$1000,0)),2),"")</f>
        <v>387.46</v>
      </c>
      <c r="S296" s="41">
        <f>IFERROR(ROUND(INDEX('배치점수 계산기'!P$11:P$1000,MATCH($C296,'배치점수 계산기'!$U$11:$U$1000,0)),2),"")</f>
        <v>387.26</v>
      </c>
      <c r="T296" s="41">
        <f>IFERROR(ROUND(INDEX('배치점수 계산기'!Q$11:Q$1000,MATCH($C296,'배치점수 계산기'!$U$11:$U$1000,0)),2),"")</f>
        <v>386.86</v>
      </c>
      <c r="U296" s="41">
        <f>IFERROR(INDEX(환산공식!$DC$16:$DC$301,MATCH(E296,환산공식!$A$16:$A$301,0)),"")</f>
        <v>0</v>
      </c>
      <c r="V296" s="113">
        <f t="shared" si="14"/>
        <v>6</v>
      </c>
      <c r="W296" s="110" t="str">
        <f>INDEX('배치점수 계산기'!$AG$11:$AG$800,MATCH('       가 군       '!$C296,'배치점수 계산기'!$U$11:$U$800,0))</f>
        <v>백분위</v>
      </c>
      <c r="X296" s="108" t="str">
        <f>INDEX('배치점수 계산기'!$AH$11:$AH$800,MATCH('       가 군       '!$C296,'배치점수 계산기'!$U$11:$U$800,0))</f>
        <v>백분위</v>
      </c>
      <c r="Y296" s="113">
        <f>INDEX('배치점수 계산기'!$AB$11:$AB$800,MATCH('       가 군       '!$C296,'배치점수 계산기'!$U$11:$U$800,0))</f>
        <v>0.3125</v>
      </c>
      <c r="Z296" s="73">
        <f>INDEX('배치점수 계산기'!$AC$11:$AC$800,MATCH('       가 군       '!$C296,'배치점수 계산기'!$U$11:$U$800,0))</f>
        <v>0.37499999999999994</v>
      </c>
      <c r="AA296" s="63">
        <f>INDEX('배치점수 계산기'!$AD$11:$AD$800,MATCH('       가 군       '!$C296,'배치점수 계산기'!$U$11:$U$800,0))</f>
        <v>0.3125</v>
      </c>
      <c r="AE296" s="7">
        <v>289</v>
      </c>
    </row>
    <row r="297" spans="3:31" x14ac:dyDescent="0.3">
      <c r="C297" s="7" t="s">
        <v>1209</v>
      </c>
      <c r="D297" s="41" t="str">
        <f>IFERROR(INDEX('배치점수 계산기'!V$11:V$1000,MATCH($C297,'배치점수 계산기'!$U$11:$U$1000,0)),"")</f>
        <v>강원 의약수</v>
      </c>
      <c r="E297" s="41">
        <f>IFERROR(INDEX('배치점수 계산기'!W$11:W$1000,MATCH($C297,'배치점수 계산기'!$U$11:$U$1000,0)),"")</f>
        <v>70</v>
      </c>
      <c r="F297" s="113" t="s">
        <v>276</v>
      </c>
      <c r="G297" s="41" t="s">
        <v>684</v>
      </c>
      <c r="H297" s="41" t="s">
        <v>685</v>
      </c>
      <c r="I297" s="41" t="s">
        <v>274</v>
      </c>
      <c r="J297" s="41" t="str">
        <f t="shared" si="12"/>
        <v>X</v>
      </c>
      <c r="K297" s="113">
        <f>IFERROR(INDEX(환산공식!CI$16:CI$301,MATCH($E297,환산공식!$A$16:$A$301,0)),"")</f>
        <v>100</v>
      </c>
      <c r="L297" s="41" t="str">
        <f>IFERROR(CONCATENATE(ROUND(INDEX(환산공식!CJ$16:CJ$301,MATCH(E297,환산공식!$A$16:$A$301,0)),1),"%"),"")</f>
        <v>100%</v>
      </c>
      <c r="M297" s="41">
        <f>IFERROR(INDEX(환산공식!CK$16:CK$301,MATCH(E297,환산공식!$A$16:$A$301,0)),"")</f>
        <v>1.5</v>
      </c>
      <c r="N297" s="113" t="str">
        <f t="shared" si="13"/>
        <v>1% 이하</v>
      </c>
      <c r="O297" s="119">
        <f>IFERROR(ROUND(INDEX(환산공식!$EF$16:$EF$301,MATCH(E297,환산공식!$A$16:$A$301,0)),3),"")</f>
        <v>0</v>
      </c>
      <c r="P297" s="119">
        <f>IFERROR(ROUND(INDEX('배치점수 계산기'!M$11:M$1000,MATCH($C297,'배치점수 계산기'!$U$11:$U$1000,0)),2),"")</f>
        <v>515.54999999999995</v>
      </c>
      <c r="Q297" s="41">
        <f>IFERROR(ROUND(INDEX('배치점수 계산기'!N$11:N$1000,MATCH($C297,'배치점수 계산기'!$U$11:$U$1000,0)),2),"")</f>
        <v>515.25</v>
      </c>
      <c r="R297" s="41">
        <f>IFERROR(ROUND(INDEX('배치점수 계산기'!O$11:O$1000,MATCH($C297,'배치점수 계산기'!$U$11:$U$1000,0)),2),"")</f>
        <v>514.20000000000005</v>
      </c>
      <c r="S297" s="41">
        <f>IFERROR(ROUND(INDEX('배치점수 계산기'!P$11:P$1000,MATCH($C297,'배치점수 계산기'!$U$11:$U$1000,0)),2),"")</f>
        <v>512.9</v>
      </c>
      <c r="T297" s="41">
        <f>IFERROR(ROUND(INDEX('배치점수 계산기'!Q$11:Q$1000,MATCH($C297,'배치점수 계산기'!$U$11:$U$1000,0)),2),"")</f>
        <v>510.25</v>
      </c>
      <c r="U297" s="41">
        <f>IFERROR(INDEX(환산공식!$DC$16:$DC$301,MATCH(E297,환산공식!$A$16:$A$301,0)),"")</f>
        <v>0</v>
      </c>
      <c r="V297" s="113">
        <f t="shared" si="14"/>
        <v>6</v>
      </c>
      <c r="W297" s="110" t="str">
        <f>INDEX('배치점수 계산기'!$AG$11:$AG$800,MATCH('       가 군       '!$C297,'배치점수 계산기'!$U$11:$U$800,0))</f>
        <v>백분위</v>
      </c>
      <c r="X297" s="108" t="str">
        <f>INDEX('배치점수 계산기'!$AH$11:$AH$800,MATCH('       가 군       '!$C297,'배치점수 계산기'!$U$11:$U$800,0))</f>
        <v>백분위</v>
      </c>
      <c r="Y297" s="113">
        <f>INDEX('배치점수 계산기'!$AB$11:$AB$800,MATCH('       가 군       '!$C297,'배치점수 계산기'!$U$11:$U$800,0))</f>
        <v>0.25</v>
      </c>
      <c r="Z297" s="73">
        <f>INDEX('배치점수 계산기'!$AC$11:$AC$800,MATCH('       가 군       '!$C297,'배치점수 계산기'!$U$11:$U$800,0))</f>
        <v>0.375</v>
      </c>
      <c r="AA297" s="63">
        <f>INDEX('배치점수 계산기'!$AD$11:$AD$800,MATCH('       가 군       '!$C297,'배치점수 계산기'!$U$11:$U$800,0))</f>
        <v>0.375</v>
      </c>
      <c r="AE297" s="7">
        <v>290</v>
      </c>
    </row>
    <row r="298" spans="3:31" x14ac:dyDescent="0.3">
      <c r="C298" s="7" t="s">
        <v>1210</v>
      </c>
      <c r="D298" s="41" t="str">
        <f>IFERROR(INDEX('배치점수 계산기'!V$11:V$1000,MATCH($C298,'배치점수 계산기'!$U$11:$U$1000,0)),"")</f>
        <v>충북 의약수</v>
      </c>
      <c r="E298" s="41">
        <f>IFERROR(INDEX('배치점수 계산기'!W$11:W$1000,MATCH($C298,'배치점수 계산기'!$U$11:$U$1000,0)),"")</f>
        <v>126</v>
      </c>
      <c r="F298" s="113" t="s">
        <v>276</v>
      </c>
      <c r="G298" s="41" t="s">
        <v>705</v>
      </c>
      <c r="H298" s="41" t="s">
        <v>685</v>
      </c>
      <c r="I298" s="41" t="s">
        <v>274</v>
      </c>
      <c r="J298" s="41" t="str">
        <f t="shared" si="12"/>
        <v>X</v>
      </c>
      <c r="K298" s="113">
        <f>IFERROR(INDEX(환산공식!CI$16:CI$301,MATCH($E298,환산공식!$A$16:$A$301,0)),"")</f>
        <v>40</v>
      </c>
      <c r="L298" s="41" t="str">
        <f>IFERROR(CONCATENATE(ROUND(INDEX(환산공식!CJ$16:CJ$301,MATCH(E298,환산공식!$A$16:$A$301,0)),1),"%"),"")</f>
        <v>100%</v>
      </c>
      <c r="M298" s="41">
        <f>IFERROR(INDEX(환산공식!CK$16:CK$301,MATCH(E298,환산공식!$A$16:$A$301,0)),"")</f>
        <v>0</v>
      </c>
      <c r="N298" s="113" t="str">
        <f t="shared" si="13"/>
        <v>1% 이하</v>
      </c>
      <c r="O298" s="119">
        <f>IFERROR(ROUND(INDEX(환산공식!$EF$16:$EF$301,MATCH(E298,환산공식!$A$16:$A$301,0)),3),"")</f>
        <v>800</v>
      </c>
      <c r="P298" s="119">
        <f>IFERROR(ROUND(INDEX('배치점수 계산기'!M$11:M$1000,MATCH($C298,'배치점수 계산기'!$U$11:$U$1000,0)),2),"")</f>
        <v>986.49</v>
      </c>
      <c r="Q298" s="41">
        <f>IFERROR(ROUND(INDEX('배치점수 계산기'!N$11:N$1000,MATCH($C298,'배치점수 계산기'!$U$11:$U$1000,0)),2),"")</f>
        <v>986.29</v>
      </c>
      <c r="R298" s="41">
        <f>IFERROR(ROUND(INDEX('배치점수 계산기'!O$11:O$1000,MATCH($C298,'배치점수 계산기'!$U$11:$U$1000,0)),2),"")</f>
        <v>985.86</v>
      </c>
      <c r="S298" s="41">
        <f>IFERROR(ROUND(INDEX('배치점수 계산기'!P$11:P$1000,MATCH($C298,'배치점수 계산기'!$U$11:$U$1000,0)),2),"")</f>
        <v>985.52</v>
      </c>
      <c r="T298" s="41">
        <f>IFERROR(ROUND(INDEX('배치점수 계산기'!Q$11:Q$1000,MATCH($C298,'배치점수 계산기'!$U$11:$U$1000,0)),2),"")</f>
        <v>985.27</v>
      </c>
      <c r="U298" s="41">
        <f>IFERROR(INDEX(환산공식!$DC$16:$DC$301,MATCH(E298,환산공식!$A$16:$A$301,0)),"")</f>
        <v>0</v>
      </c>
      <c r="V298" s="113">
        <f t="shared" si="14"/>
        <v>6</v>
      </c>
      <c r="W298" s="110" t="str">
        <f>INDEX('배치점수 계산기'!$AG$11:$AG$800,MATCH('       가 군       '!$C298,'배치점수 계산기'!$U$11:$U$800,0))</f>
        <v>표점/만점</v>
      </c>
      <c r="X298" s="108" t="str">
        <f>INDEX('배치점수 계산기'!$AH$11:$AH$800,MATCH('       가 군       '!$C298,'배치점수 계산기'!$U$11:$U$800,0))</f>
        <v>표점/만점</v>
      </c>
      <c r="Y298" s="113">
        <f>INDEX('배치점수 계산기'!$AB$11:$AB$800,MATCH('       가 군       '!$C298,'배치점수 계산기'!$U$11:$U$800,0))</f>
        <v>0.24423890341716833</v>
      </c>
      <c r="Z298" s="73">
        <f>INDEX('배치점수 계산기'!$AC$11:$AC$800,MATCH('       가 군       '!$C298,'배치점수 계산기'!$U$11:$U$800,0))</f>
        <v>0.37134282254242945</v>
      </c>
      <c r="AA298" s="63">
        <f>INDEX('배치점수 계산기'!$AD$11:$AD$800,MATCH('       가 군       '!$C298,'배치점수 계산기'!$U$11:$U$800,0))</f>
        <v>0.3844182740404023</v>
      </c>
      <c r="AE298" s="7">
        <v>291</v>
      </c>
    </row>
    <row r="299" spans="3:31" x14ac:dyDescent="0.3">
      <c r="C299" s="7" t="s">
        <v>1212</v>
      </c>
      <c r="D299" s="41" t="str">
        <f>IFERROR(INDEX('배치점수 계산기'!V$11:V$1000,MATCH($C299,'배치점수 계산기'!$U$11:$U$1000,0)),"")</f>
        <v>숙명 약</v>
      </c>
      <c r="E299" s="41">
        <f>IFERROR(INDEX('배치점수 계산기'!W$11:W$1000,MATCH($C299,'배치점수 계산기'!$U$11:$U$1000,0)),"")</f>
        <v>101</v>
      </c>
      <c r="F299" s="113" t="s">
        <v>276</v>
      </c>
      <c r="G299" s="41" t="s">
        <v>863</v>
      </c>
      <c r="H299" s="41" t="s">
        <v>685</v>
      </c>
      <c r="I299" s="41" t="s">
        <v>274</v>
      </c>
      <c r="J299" s="41" t="str">
        <f t="shared" si="12"/>
        <v>X</v>
      </c>
      <c r="K299" s="113">
        <f>IFERROR(INDEX(환산공식!CI$16:CI$301,MATCH($E299,환산공식!$A$16:$A$301,0)),"")</f>
        <v>200</v>
      </c>
      <c r="L299" s="41" t="str">
        <f>IFERROR(CONCATENATE(ROUND(INDEX(환산공식!CJ$16:CJ$301,MATCH(E299,환산공식!$A$16:$A$301,0)),1),"%"),"")</f>
        <v>100%</v>
      </c>
      <c r="M299" s="41">
        <f>IFERROR(INDEX(환산공식!CK$16:CK$301,MATCH(E299,환산공식!$A$16:$A$301,0)),"")</f>
        <v>3</v>
      </c>
      <c r="N299" s="113" t="str">
        <f t="shared" si="13"/>
        <v>1% 이하</v>
      </c>
      <c r="O299" s="119">
        <f>IFERROR(ROUND(INDEX(환산공식!$EF$16:$EF$301,MATCH(E299,환산공식!$A$16:$A$301,0)),3),"")</f>
        <v>0</v>
      </c>
      <c r="P299" s="119">
        <f>IFERROR(ROUND(INDEX('배치점수 계산기'!M$11:M$1000,MATCH($C299,'배치점수 계산기'!$U$11:$U$1000,0)),2),"")</f>
        <v>934.3</v>
      </c>
      <c r="Q299" s="41">
        <f>IFERROR(ROUND(INDEX('배치점수 계산기'!N$11:N$1000,MATCH($C299,'배치점수 계산기'!$U$11:$U$1000,0)),2),"")</f>
        <v>933.42</v>
      </c>
      <c r="R299" s="41">
        <f>IFERROR(ROUND(INDEX('배치점수 계산기'!O$11:O$1000,MATCH($C299,'배치점수 계산기'!$U$11:$U$1000,0)),2),"")</f>
        <v>931.08</v>
      </c>
      <c r="S299" s="41">
        <f>IFERROR(ROUND(INDEX('배치점수 계산기'!P$11:P$1000,MATCH($C299,'배치점수 계산기'!$U$11:$U$1000,0)),2),"")</f>
        <v>929.35</v>
      </c>
      <c r="T299" s="41">
        <f>IFERROR(ROUND(INDEX('배치점수 계산기'!Q$11:Q$1000,MATCH($C299,'배치점수 계산기'!$U$11:$U$1000,0)),2),"")</f>
        <v>927.97</v>
      </c>
      <c r="U299" s="41">
        <f>IFERROR(INDEX(환산공식!$DC$16:$DC$301,MATCH(E299,환산공식!$A$16:$A$301,0)),"")</f>
        <v>0</v>
      </c>
      <c r="V299" s="113">
        <f t="shared" si="14"/>
        <v>6</v>
      </c>
      <c r="W299" s="110" t="str">
        <f>INDEX('배치점수 계산기'!$AG$11:$AG$800,MATCH('       가 군       '!$C299,'배치점수 계산기'!$U$11:$U$800,0))</f>
        <v>표점/만점</v>
      </c>
      <c r="X299" s="108" t="str">
        <f>INDEX('배치점수 계산기'!$AH$11:$AH$800,MATCH('       가 군       '!$C299,'배치점수 계산기'!$U$11:$U$800,0))</f>
        <v>변표/만점</v>
      </c>
      <c r="Y299" s="113">
        <f>INDEX('배치점수 계산기'!$AB$11:$AB$800,MATCH('       가 군       '!$C299,'배치점수 계산기'!$U$11:$U$800,0))</f>
        <v>0.30703571877844293</v>
      </c>
      <c r="Z299" s="73">
        <f>INDEX('배치점수 계산기'!$AC$11:$AC$800,MATCH('       가 군       '!$C299,'배치점수 계산기'!$U$11:$U$800,0))</f>
        <v>0.4356983056951238</v>
      </c>
      <c r="AA299" s="63">
        <f>INDEX('배치점수 계산기'!$AD$11:$AD$800,MATCH('       가 군       '!$C299,'배치점수 계산기'!$U$11:$U$800,0))</f>
        <v>0.25726597552643332</v>
      </c>
      <c r="AE299" s="7">
        <v>292</v>
      </c>
    </row>
    <row r="300" spans="3:31" x14ac:dyDescent="0.3">
      <c r="C300" s="7" t="s">
        <v>1213</v>
      </c>
      <c r="D300" s="41" t="str">
        <f>IFERROR(INDEX('배치점수 계산기'!V$11:V$1000,MATCH($C300,'배치점수 계산기'!$U$11:$U$1000,0)),"")</f>
        <v>경북 의치약수</v>
      </c>
      <c r="E300" s="41">
        <f>IFERROR(INDEX('배치점수 계산기'!W$11:W$1000,MATCH($C300,'배치점수 계산기'!$U$11:$U$1000,0)),"")</f>
        <v>73</v>
      </c>
      <c r="F300" s="113" t="s">
        <v>276</v>
      </c>
      <c r="G300" s="41" t="s">
        <v>706</v>
      </c>
      <c r="H300" s="41" t="s">
        <v>685</v>
      </c>
      <c r="I300" s="41" t="s">
        <v>274</v>
      </c>
      <c r="J300" s="41" t="str">
        <f t="shared" si="12"/>
        <v>X</v>
      </c>
      <c r="K300" s="113">
        <f>IFERROR(INDEX(환산공식!CI$16:CI$301,MATCH($E300,환산공식!$A$16:$A$301,0)),"")</f>
        <v>125</v>
      </c>
      <c r="L300" s="41" t="str">
        <f>IFERROR(CONCATENATE(ROUND(INDEX(환산공식!CJ$16:CJ$301,MATCH(E300,환산공식!$A$16:$A$301,0)),1),"%"),"")</f>
        <v>100%</v>
      </c>
      <c r="M300" s="41">
        <f>IFERROR(INDEX(환산공식!CK$16:CK$301,MATCH(E300,환산공식!$A$16:$A$301,0)),"")</f>
        <v>10</v>
      </c>
      <c r="N300" s="113" t="str">
        <f t="shared" si="13"/>
        <v>1% 이하</v>
      </c>
      <c r="O300" s="119">
        <f>IFERROR(ROUND(INDEX(환산공식!$EF$16:$EF$301,MATCH(E300,환산공식!$A$16:$A$301,0)),3),"")</f>
        <v>0</v>
      </c>
      <c r="P300" s="119">
        <f>IFERROR(ROUND(INDEX('배치점수 계산기'!M$11:M$1000,MATCH($C300,'배치점수 계산기'!$U$11:$U$1000,0)),2),"")</f>
        <v>727.91</v>
      </c>
      <c r="Q300" s="41">
        <f>IFERROR(ROUND(INDEX('배치점수 계산기'!N$11:N$1000,MATCH($C300,'배치점수 계산기'!$U$11:$U$1000,0)),2),"")</f>
        <v>725.89</v>
      </c>
      <c r="R300" s="41">
        <f>IFERROR(ROUND(INDEX('배치점수 계산기'!O$11:O$1000,MATCH($C300,'배치점수 계산기'!$U$11:$U$1000,0)),2),"")</f>
        <v>725.02</v>
      </c>
      <c r="S300" s="41">
        <f>IFERROR(ROUND(INDEX('배치점수 계산기'!P$11:P$1000,MATCH($C300,'배치점수 계산기'!$U$11:$U$1000,0)),2),"")</f>
        <v>724.11</v>
      </c>
      <c r="T300" s="41">
        <f>IFERROR(ROUND(INDEX('배치점수 계산기'!Q$11:Q$1000,MATCH($C300,'배치점수 계산기'!$U$11:$U$1000,0)),2),"")</f>
        <v>723.14</v>
      </c>
      <c r="U300" s="41">
        <f>IFERROR(INDEX(환산공식!$DC$16:$DC$301,MATCH(E300,환산공식!$A$16:$A$301,0)),"")</f>
        <v>0</v>
      </c>
      <c r="V300" s="113">
        <f t="shared" si="14"/>
        <v>6</v>
      </c>
      <c r="W300" s="110" t="str">
        <f>INDEX('배치점수 계산기'!$AG$11:$AG$800,MATCH('       가 군       '!$C300,'배치점수 계산기'!$U$11:$U$800,0))</f>
        <v>표점</v>
      </c>
      <c r="X300" s="108" t="str">
        <f>INDEX('배치점수 계산기'!$AH$11:$AH$800,MATCH('       가 군       '!$C300,'배치점수 계산기'!$U$11:$U$800,0))</f>
        <v>변표</v>
      </c>
      <c r="Y300" s="113">
        <f>INDEX('배치점수 계산기'!$AB$11:$AB$800,MATCH('       가 군       '!$C300,'배치점수 계산기'!$U$11:$U$800,0))</f>
        <v>0.2857142857142857</v>
      </c>
      <c r="Z300" s="73">
        <f>INDEX('배치점수 계산기'!$AC$11:$AC$800,MATCH('       가 군       '!$C300,'배치점수 계산기'!$U$11:$U$800,0))</f>
        <v>0.42857142857142855</v>
      </c>
      <c r="AA300" s="63">
        <f>INDEX('배치점수 계산기'!$AD$11:$AD$800,MATCH('       가 군       '!$C300,'배치점수 계산기'!$U$11:$U$800,0))</f>
        <v>0.2857142857142857</v>
      </c>
      <c r="AE300" s="7">
        <v>293</v>
      </c>
    </row>
    <row r="301" spans="3:31" x14ac:dyDescent="0.3">
      <c r="C301" s="7" t="s">
        <v>1214</v>
      </c>
      <c r="D301" s="41" t="str">
        <f>IFERROR(INDEX('배치점수 계산기'!V$11:V$1000,MATCH($C301,'배치점수 계산기'!$U$11:$U$1000,0)),"")</f>
        <v>덕성 약</v>
      </c>
      <c r="E301" s="41">
        <f>IFERROR(INDEX('배치점수 계산기'!W$11:W$1000,MATCH($C301,'배치점수 계산기'!$U$11:$U$1000,0)),"")</f>
        <v>86</v>
      </c>
      <c r="F301" s="113" t="s">
        <v>276</v>
      </c>
      <c r="G301" s="41" t="s">
        <v>864</v>
      </c>
      <c r="H301" s="41" t="s">
        <v>685</v>
      </c>
      <c r="I301" s="41" t="s">
        <v>274</v>
      </c>
      <c r="J301" s="41" t="str">
        <f t="shared" si="12"/>
        <v>X</v>
      </c>
      <c r="K301" s="113">
        <f>IFERROR(INDEX(환산공식!CI$16:CI$301,MATCH($E301,환산공식!$A$16:$A$301,0)),"")</f>
        <v>250</v>
      </c>
      <c r="L301" s="41" t="str">
        <f>IFERROR(CONCATENATE(ROUND(INDEX(환산공식!CJ$16:CJ$301,MATCH(E301,환산공식!$A$16:$A$301,0)),1),"%"),"")</f>
        <v>100%</v>
      </c>
      <c r="M301" s="41">
        <f>IFERROR(INDEX(환산공식!CK$16:CK$301,MATCH(E301,환산공식!$A$16:$A$301,0)),"")</f>
        <v>10</v>
      </c>
      <c r="N301" s="113" t="str">
        <f t="shared" si="13"/>
        <v>1% 이하</v>
      </c>
      <c r="O301" s="119">
        <f>IFERROR(ROUND(INDEX(환산공식!$EF$16:$EF$301,MATCH(E301,환산공식!$A$16:$A$301,0)),3),"")</f>
        <v>0</v>
      </c>
      <c r="P301" s="119">
        <f>IFERROR(ROUND(INDEX('배치점수 계산기'!M$11:M$1000,MATCH($C301,'배치점수 계산기'!$U$11:$U$1000,0)),2),"")</f>
        <v>983.75</v>
      </c>
      <c r="Q301" s="41">
        <f>IFERROR(ROUND(INDEX('배치점수 계산기'!N$11:N$1000,MATCH($C301,'배치점수 계산기'!$U$11:$U$1000,0)),2),"")</f>
        <v>982.75</v>
      </c>
      <c r="R301" s="41">
        <f>IFERROR(ROUND(INDEX('배치점수 계산기'!O$11:O$1000,MATCH($C301,'배치점수 계산기'!$U$11:$U$1000,0)),2),"")</f>
        <v>981.25</v>
      </c>
      <c r="S301" s="41">
        <f>IFERROR(ROUND(INDEX('배치점수 계산기'!P$11:P$1000,MATCH($C301,'배치점수 계산기'!$U$11:$U$1000,0)),2),"")</f>
        <v>980.15</v>
      </c>
      <c r="T301" s="41">
        <f>IFERROR(ROUND(INDEX('배치점수 계산기'!Q$11:Q$1000,MATCH($C301,'배치점수 계산기'!$U$11:$U$1000,0)),2),"")</f>
        <v>978.85</v>
      </c>
      <c r="U301" s="41">
        <f>IFERROR(INDEX(환산공식!$DC$16:$DC$301,MATCH(E301,환산공식!$A$16:$A$301,0)),"")</f>
        <v>0</v>
      </c>
      <c r="V301" s="113">
        <f t="shared" si="14"/>
        <v>6</v>
      </c>
      <c r="W301" s="110" t="str">
        <f>INDEX('배치점수 계산기'!$AG$11:$AG$800,MATCH('       가 군       '!$C301,'배치점수 계산기'!$U$11:$U$800,0))</f>
        <v>백분위</v>
      </c>
      <c r="X301" s="108" t="str">
        <f>INDEX('배치점수 계산기'!$AH$11:$AH$800,MATCH('       가 군       '!$C301,'배치점수 계산기'!$U$11:$U$800,0))</f>
        <v>백분위</v>
      </c>
      <c r="Y301" s="113">
        <f>INDEX('배치점수 계산기'!$AB$11:$AB$800,MATCH('       가 군       '!$C301,'배치점수 계산기'!$U$11:$U$800,0))</f>
        <v>0.26666666666666666</v>
      </c>
      <c r="Z301" s="73">
        <f>INDEX('배치점수 계산기'!$AC$11:$AC$800,MATCH('       가 군       '!$C301,'배치점수 계산기'!$U$11:$U$800,0))</f>
        <v>0.4</v>
      </c>
      <c r="AA301" s="63">
        <f>INDEX('배치점수 계산기'!$AD$11:$AD$800,MATCH('       가 군       '!$C301,'배치점수 계산기'!$U$11:$U$800,0))</f>
        <v>0.33333333333333331</v>
      </c>
      <c r="AE301" s="7">
        <v>294</v>
      </c>
    </row>
    <row r="302" spans="3:31" x14ac:dyDescent="0.3">
      <c r="C302" s="7" t="s">
        <v>1215</v>
      </c>
      <c r="D302" s="41" t="str">
        <f>IFERROR(INDEX('배치점수 계산기'!V$11:V$1000,MATCH($C302,'배치점수 계산기'!$U$11:$U$1000,0)),"")</f>
        <v>인제 약문</v>
      </c>
      <c r="E302" s="41">
        <f>IFERROR(INDEX('배치점수 계산기'!W$11:W$1000,MATCH($C302,'배치점수 계산기'!$U$11:$U$1000,0)),"")</f>
        <v>116</v>
      </c>
      <c r="F302" s="113" t="s">
        <v>276</v>
      </c>
      <c r="G302" s="41" t="s">
        <v>847</v>
      </c>
      <c r="H302" s="41" t="s">
        <v>865</v>
      </c>
      <c r="I302" s="41" t="s">
        <v>343</v>
      </c>
      <c r="J302" s="41" t="str">
        <f t="shared" si="12"/>
        <v>X</v>
      </c>
      <c r="K302" s="113">
        <f>IFERROR(INDEX(환산공식!CI$16:CI$301,MATCH($E302,환산공식!$A$16:$A$301,0)),"")</f>
        <v>135</v>
      </c>
      <c r="L302" s="41" t="str">
        <f>IFERROR(CONCATENATE(ROUND(INDEX(환산공식!CJ$16:CJ$301,MATCH(E302,환산공식!$A$16:$A$301,0)),1),"%"),"")</f>
        <v>100%</v>
      </c>
      <c r="M302" s="41">
        <f>IFERROR(INDEX(환산공식!CK$16:CK$301,MATCH(E302,환산공식!$A$16:$A$301,0)),"")</f>
        <v>0</v>
      </c>
      <c r="N302" s="113" t="str">
        <f t="shared" si="13"/>
        <v>1% 이하</v>
      </c>
      <c r="O302" s="119">
        <f>IFERROR(ROUND(INDEX(환산공식!$EF$16:$EF$301,MATCH(E302,환산공식!$A$16:$A$301,0)),3),"")</f>
        <v>0</v>
      </c>
      <c r="P302" s="119">
        <f>IFERROR(ROUND(INDEX('배치점수 계산기'!M$11:M$1000,MATCH($C302,'배치점수 계산기'!$U$11:$U$1000,0)),2),"")</f>
        <v>536.9</v>
      </c>
      <c r="Q302" s="41">
        <f>IFERROR(ROUND(INDEX('배치점수 계산기'!N$11:N$1000,MATCH($C302,'배치점수 계산기'!$U$11:$U$1000,0)),2),"")</f>
        <v>533.6</v>
      </c>
      <c r="R302" s="41">
        <f>IFERROR(ROUND(INDEX('배치점수 계산기'!O$11:O$1000,MATCH($C302,'배치점수 계산기'!$U$11:$U$1000,0)),2),"")</f>
        <v>532.20000000000005</v>
      </c>
      <c r="S302" s="41">
        <f>IFERROR(ROUND(INDEX('배치점수 계산기'!P$11:P$1000,MATCH($C302,'배치점수 계산기'!$U$11:$U$1000,0)),2),"")</f>
        <v>531.9</v>
      </c>
      <c r="T302" s="41">
        <f>IFERROR(ROUND(INDEX('배치점수 계산기'!Q$11:Q$1000,MATCH($C302,'배치점수 계산기'!$U$11:$U$1000,0)),2),"")</f>
        <v>531.5</v>
      </c>
      <c r="U302" s="41">
        <f>IFERROR(INDEX(환산공식!$DC$16:$DC$301,MATCH(E302,환산공식!$A$16:$A$301,0)),"")</f>
        <v>0</v>
      </c>
      <c r="V302" s="113">
        <f t="shared" si="14"/>
        <v>6</v>
      </c>
      <c r="W302" s="110" t="str">
        <f>INDEX('배치점수 계산기'!$AG$11:$AG$800,MATCH('       가 군       '!$C302,'배치점수 계산기'!$U$11:$U$800,0))</f>
        <v>표점</v>
      </c>
      <c r="X302" s="108" t="str">
        <f>INDEX('배치점수 계산기'!$AH$11:$AH$800,MATCH('       가 군       '!$C302,'배치점수 계산기'!$U$11:$U$800,0))</f>
        <v>표점</v>
      </c>
      <c r="Y302" s="113">
        <f>INDEX('배치점수 계산기'!$AB$11:$AB$800,MATCH('       가 군       '!$C302,'배치점수 계산기'!$U$11:$U$800,0))</f>
        <v>0.33333333333333331</v>
      </c>
      <c r="Z302" s="73">
        <f>INDEX('배치점수 계산기'!$AC$11:$AC$800,MATCH('       가 군       '!$C302,'배치점수 계산기'!$U$11:$U$800,0))</f>
        <v>0.33333333333333331</v>
      </c>
      <c r="AA302" s="63">
        <f>INDEX('배치점수 계산기'!$AD$11:$AD$800,MATCH('       가 군       '!$C302,'배치점수 계산기'!$U$11:$U$800,0))</f>
        <v>0.33333333333333331</v>
      </c>
      <c r="AE302" s="7">
        <v>295</v>
      </c>
    </row>
    <row r="303" spans="3:31" x14ac:dyDescent="0.3">
      <c r="C303" s="7" t="s">
        <v>1216</v>
      </c>
      <c r="D303" s="41" t="str">
        <f>IFERROR(INDEX('배치점수 계산기'!V$11:V$1000,MATCH($C303,'배치점수 계산기'!$U$11:$U$1000,0)),"")</f>
        <v>단국 의치약</v>
      </c>
      <c r="E303" s="41">
        <f>IFERROR(INDEX('배치점수 계산기'!W$11:W$1000,MATCH($C303,'배치점수 계산기'!$U$11:$U$1000,0)),"")</f>
        <v>80</v>
      </c>
      <c r="F303" s="113" t="s">
        <v>276</v>
      </c>
      <c r="G303" s="41" t="s">
        <v>858</v>
      </c>
      <c r="H303" s="41" t="s">
        <v>685</v>
      </c>
      <c r="I303" s="41" t="s">
        <v>274</v>
      </c>
      <c r="J303" s="41" t="str">
        <f t="shared" si="12"/>
        <v>X</v>
      </c>
      <c r="K303" s="113">
        <f>IFERROR(INDEX(환산공식!CI$16:CI$301,MATCH($E303,환산공식!$A$16:$A$301,0)),"")</f>
        <v>150</v>
      </c>
      <c r="L303" s="41" t="str">
        <f>IFERROR(CONCATENATE(ROUND(INDEX(환산공식!CJ$16:CJ$301,MATCH(E303,환산공식!$A$16:$A$301,0)),1),"%"),"")</f>
        <v>100%</v>
      </c>
      <c r="M303" s="41">
        <f>IFERROR(INDEX(환산공식!CK$16:CK$301,MATCH(E303,환산공식!$A$16:$A$301,0)),"")</f>
        <v>5</v>
      </c>
      <c r="N303" s="113" t="str">
        <f t="shared" si="13"/>
        <v>1% 이하</v>
      </c>
      <c r="O303" s="119">
        <f>IFERROR(ROUND(INDEX(환산공식!$EF$16:$EF$301,MATCH(E303,환산공식!$A$16:$A$301,0)),3),"")</f>
        <v>0</v>
      </c>
      <c r="P303" s="119">
        <f>IFERROR(ROUND(INDEX('배치점수 계산기'!M$11:M$1000,MATCH($C303,'배치점수 계산기'!$U$11:$U$1000,0)),2),"")</f>
        <v>936.84</v>
      </c>
      <c r="Q303" s="41">
        <f>IFERROR(ROUND(INDEX('배치점수 계산기'!N$11:N$1000,MATCH($C303,'배치점수 계산기'!$U$11:$U$1000,0)),2),"")</f>
        <v>934.38</v>
      </c>
      <c r="R303" s="41">
        <f>IFERROR(ROUND(INDEX('배치점수 계산기'!O$11:O$1000,MATCH($C303,'배치점수 계산기'!$U$11:$U$1000,0)),2),"")</f>
        <v>932.55</v>
      </c>
      <c r="S303" s="41">
        <f>IFERROR(ROUND(INDEX('배치점수 계산기'!P$11:P$1000,MATCH($C303,'배치점수 계산기'!$U$11:$U$1000,0)),2),"")</f>
        <v>929.42</v>
      </c>
      <c r="T303" s="41">
        <f>IFERROR(ROUND(INDEX('배치점수 계산기'!Q$11:Q$1000,MATCH($C303,'배치점수 계산기'!$U$11:$U$1000,0)),2),"")</f>
        <v>923.99</v>
      </c>
      <c r="U303" s="41">
        <f>IFERROR(INDEX(환산공식!$DC$16:$DC$301,MATCH(E303,환산공식!$A$16:$A$301,0)),"")</f>
        <v>0</v>
      </c>
      <c r="V303" s="113">
        <f t="shared" si="14"/>
        <v>6</v>
      </c>
      <c r="W303" s="110" t="str">
        <f>INDEX('배치점수 계산기'!$AG$11:$AG$800,MATCH('       가 군       '!$C303,'배치점수 계산기'!$U$11:$U$800,0))</f>
        <v>표점/만점</v>
      </c>
      <c r="X303" s="108" t="str">
        <f>INDEX('배치점수 계산기'!$AH$11:$AH$800,MATCH('       가 군       '!$C303,'배치점수 계산기'!$U$11:$U$800,0))</f>
        <v>백분위</v>
      </c>
      <c r="Y303" s="113">
        <f>INDEX('배치점수 계산기'!$AB$11:$AB$800,MATCH('       가 군       '!$C303,'배치점수 계산기'!$U$11:$U$800,0))</f>
        <v>0.20451106898770499</v>
      </c>
      <c r="Z303" s="73">
        <f>INDEX('배치점수 계산기'!$AC$11:$AC$800,MATCH('       가 군       '!$C303,'배치점수 계산기'!$U$11:$U$800,0))</f>
        <v>0.41458706502269443</v>
      </c>
      <c r="AA303" s="63">
        <f>INDEX('배치점수 계산기'!$AD$11:$AD$800,MATCH('       가 군       '!$C303,'배치점수 계산기'!$U$11:$U$800,0))</f>
        <v>0.38090186598960052</v>
      </c>
      <c r="AE303" s="7">
        <v>296</v>
      </c>
    </row>
    <row r="304" spans="3:31" x14ac:dyDescent="0.3">
      <c r="C304" s="7" t="s">
        <v>1217</v>
      </c>
      <c r="D304" s="41" t="str">
        <f>IFERROR(INDEX('배치점수 계산기'!V$11:V$1000,MATCH($C304,'배치점수 계산기'!$U$11:$U$1000,0)),"")</f>
        <v>경성 약</v>
      </c>
      <c r="E304" s="41">
        <f>IFERROR(INDEX('배치점수 계산기'!W$11:W$1000,MATCH($C304,'배치점수 계산기'!$U$11:$U$1000,0)),"")</f>
        <v>75</v>
      </c>
      <c r="F304" s="113" t="s">
        <v>276</v>
      </c>
      <c r="G304" s="41" t="s">
        <v>866</v>
      </c>
      <c r="H304" s="41" t="s">
        <v>685</v>
      </c>
      <c r="I304" s="41" t="s">
        <v>274</v>
      </c>
      <c r="J304" s="41" t="str">
        <f t="shared" si="12"/>
        <v>X</v>
      </c>
      <c r="K304" s="113">
        <f>IFERROR(INDEX(환산공식!CI$16:CI$301,MATCH($E304,환산공식!$A$16:$A$301,0)),"")</f>
        <v>108</v>
      </c>
      <c r="L304" s="41" t="str">
        <f>IFERROR(CONCATENATE(ROUND(INDEX(환산공식!CJ$16:CJ$301,MATCH(E304,환산공식!$A$16:$A$301,0)),1),"%"),"")</f>
        <v>100%</v>
      </c>
      <c r="M304" s="41">
        <f>IFERROR(INDEX(환산공식!CK$16:CK$301,MATCH(E304,환산공식!$A$16:$A$301,0)),"")</f>
        <v>0</v>
      </c>
      <c r="N304" s="113" t="str">
        <f t="shared" si="13"/>
        <v>1% 이하</v>
      </c>
      <c r="O304" s="119">
        <f>IFERROR(ROUND(INDEX(환산공식!$EF$16:$EF$301,MATCH(E304,환산공식!$A$16:$A$301,0)),3),"")</f>
        <v>0</v>
      </c>
      <c r="P304" s="119">
        <f>IFERROR(ROUND(INDEX('배치점수 계산기'!M$11:M$1000,MATCH($C304,'배치점수 계산기'!$U$11:$U$1000,0)),2),"")</f>
        <v>536.01</v>
      </c>
      <c r="Q304" s="41">
        <f>IFERROR(ROUND(INDEX('배치점수 계산기'!N$11:N$1000,MATCH($C304,'배치점수 계산기'!$U$11:$U$1000,0)),2),"")</f>
        <v>535.04</v>
      </c>
      <c r="R304" s="41">
        <f>IFERROR(ROUND(INDEX('배치점수 계산기'!O$11:O$1000,MATCH($C304,'배치점수 계산기'!$U$11:$U$1000,0)),2),"")</f>
        <v>533.65</v>
      </c>
      <c r="S304" s="41">
        <f>IFERROR(ROUND(INDEX('배치점수 계산기'!P$11:P$1000,MATCH($C304,'배치점수 계산기'!$U$11:$U$1000,0)),2),"")</f>
        <v>531.54999999999995</v>
      </c>
      <c r="T304" s="41">
        <f>IFERROR(ROUND(INDEX('배치점수 계산기'!Q$11:Q$1000,MATCH($C304,'배치점수 계산기'!$U$11:$U$1000,0)),2),"")</f>
        <v>530.24</v>
      </c>
      <c r="U304" s="41">
        <f>IFERROR(INDEX(환산공식!$DC$16:$DC$301,MATCH(E304,환산공식!$A$16:$A$301,0)),"")</f>
        <v>0</v>
      </c>
      <c r="V304" s="113">
        <f t="shared" si="14"/>
        <v>6</v>
      </c>
      <c r="W304" s="110" t="str">
        <f>INDEX('배치점수 계산기'!$AG$11:$AG$800,MATCH('       가 군       '!$C304,'배치점수 계산기'!$U$11:$U$800,0))</f>
        <v>표점</v>
      </c>
      <c r="X304" s="108" t="str">
        <f>INDEX('배치점수 계산기'!$AH$11:$AH$800,MATCH('       가 군       '!$C304,'배치점수 계산기'!$U$11:$U$800,0))</f>
        <v>변표</v>
      </c>
      <c r="Y304" s="113">
        <f>INDEX('배치점수 계산기'!$AB$11:$AB$800,MATCH('       가 군       '!$C304,'배치점수 계산기'!$U$11:$U$800,0))</f>
        <v>0.3125</v>
      </c>
      <c r="Z304" s="73">
        <f>INDEX('배치점수 계산기'!$AC$11:$AC$800,MATCH('       가 군       '!$C304,'배치점수 계산기'!$U$11:$U$800,0))</f>
        <v>0.37499999999999994</v>
      </c>
      <c r="AA304" s="63">
        <f>INDEX('배치점수 계산기'!$AD$11:$AD$800,MATCH('       가 군       '!$C304,'배치점수 계산기'!$U$11:$U$800,0))</f>
        <v>0.3125</v>
      </c>
      <c r="AE304" s="7">
        <v>297</v>
      </c>
    </row>
    <row r="305" spans="3:31" x14ac:dyDescent="0.3">
      <c r="C305" s="7" t="s">
        <v>1218</v>
      </c>
      <c r="D305" s="41" t="str">
        <f>IFERROR(INDEX('배치점수 계산기'!V$11:V$1000,MATCH($C305,'배치점수 계산기'!$U$11:$U$1000,0)),"")</f>
        <v>인제 약</v>
      </c>
      <c r="E305" s="41">
        <f>IFERROR(INDEX('배치점수 계산기'!W$11:W$1000,MATCH($C305,'배치점수 계산기'!$U$11:$U$1000,0)),"")</f>
        <v>115</v>
      </c>
      <c r="F305" s="113" t="s">
        <v>276</v>
      </c>
      <c r="G305" s="41" t="s">
        <v>847</v>
      </c>
      <c r="H305" s="41" t="s">
        <v>685</v>
      </c>
      <c r="I305" s="41" t="s">
        <v>274</v>
      </c>
      <c r="J305" s="41" t="str">
        <f t="shared" si="12"/>
        <v>X</v>
      </c>
      <c r="K305" s="113">
        <f>IFERROR(INDEX(환산공식!CI$16:CI$301,MATCH($E305,환산공식!$A$16:$A$301,0)),"")</f>
        <v>135</v>
      </c>
      <c r="L305" s="41" t="str">
        <f>IFERROR(CONCATENATE(ROUND(INDEX(환산공식!CJ$16:CJ$301,MATCH(E305,환산공식!$A$16:$A$301,0)),1),"%"),"")</f>
        <v>100%</v>
      </c>
      <c r="M305" s="41">
        <f>IFERROR(INDEX(환산공식!CK$16:CK$301,MATCH(E305,환산공식!$A$16:$A$301,0)),"")</f>
        <v>0</v>
      </c>
      <c r="N305" s="113" t="str">
        <f t="shared" si="13"/>
        <v>1% 이하</v>
      </c>
      <c r="O305" s="119">
        <f>IFERROR(ROUND(INDEX(환산공식!$EF$16:$EF$301,MATCH(E305,환산공식!$A$16:$A$301,0)),3),"")</f>
        <v>0</v>
      </c>
      <c r="P305" s="119">
        <f>IFERROR(ROUND(INDEX('배치점수 계산기'!M$11:M$1000,MATCH($C305,'배치점수 계산기'!$U$11:$U$1000,0)),2),"")</f>
        <v>535</v>
      </c>
      <c r="Q305" s="41">
        <f>IFERROR(ROUND(INDEX('배치점수 계산기'!N$11:N$1000,MATCH($C305,'배치점수 계산기'!$U$11:$U$1000,0)),2),"")</f>
        <v>534.1</v>
      </c>
      <c r="R305" s="41">
        <f>IFERROR(ROUND(INDEX('배치점수 계산기'!O$11:O$1000,MATCH($C305,'배치점수 계산기'!$U$11:$U$1000,0)),2),"")</f>
        <v>532.79999999999995</v>
      </c>
      <c r="S305" s="41">
        <f>IFERROR(ROUND(INDEX('배치점수 계산기'!P$11:P$1000,MATCH($C305,'배치점수 계산기'!$U$11:$U$1000,0)),2),"")</f>
        <v>531.4</v>
      </c>
      <c r="T305" s="41">
        <f>IFERROR(ROUND(INDEX('배치점수 계산기'!Q$11:Q$1000,MATCH($C305,'배치점수 계산기'!$U$11:$U$1000,0)),2),"")</f>
        <v>530.29999999999995</v>
      </c>
      <c r="U305" s="41">
        <f>IFERROR(INDEX(환산공식!$DC$16:$DC$301,MATCH(E305,환산공식!$A$16:$A$301,0)),"")</f>
        <v>0</v>
      </c>
      <c r="V305" s="113">
        <f t="shared" si="14"/>
        <v>6</v>
      </c>
      <c r="W305" s="110" t="str">
        <f>INDEX('배치점수 계산기'!$AG$11:$AG$800,MATCH('       가 군       '!$C305,'배치점수 계산기'!$U$11:$U$800,0))</f>
        <v>표점</v>
      </c>
      <c r="X305" s="108" t="str">
        <f>INDEX('배치점수 계산기'!$AH$11:$AH$800,MATCH('       가 군       '!$C305,'배치점수 계산기'!$U$11:$U$800,0))</f>
        <v>표점</v>
      </c>
      <c r="Y305" s="113">
        <f>INDEX('배치점수 계산기'!$AB$11:$AB$800,MATCH('       가 군       '!$C305,'배치점수 계산기'!$U$11:$U$800,0))</f>
        <v>0.33333333333333331</v>
      </c>
      <c r="Z305" s="73">
        <f>INDEX('배치점수 계산기'!$AC$11:$AC$800,MATCH('       가 군       '!$C305,'배치점수 계산기'!$U$11:$U$800,0))</f>
        <v>0.33333333333333331</v>
      </c>
      <c r="AA305" s="63">
        <f>INDEX('배치점수 계산기'!$AD$11:$AD$800,MATCH('       가 군       '!$C305,'배치점수 계산기'!$U$11:$U$800,0))</f>
        <v>0.33333333333333331</v>
      </c>
      <c r="AE305" s="7">
        <v>298</v>
      </c>
    </row>
    <row r="306" spans="3:31" x14ac:dyDescent="0.3">
      <c r="C306" s="7" t="s">
        <v>1219</v>
      </c>
      <c r="D306" s="41" t="str">
        <f>IFERROR(INDEX('배치점수 계산기'!V$11:V$1000,MATCH($C306,'배치점수 계산기'!$U$11:$U$1000,0)),"")</f>
        <v>경상 의약수</v>
      </c>
      <c r="E306" s="41">
        <f>IFERROR(INDEX('배치점수 계산기'!W$11:W$1000,MATCH($C306,'배치점수 계산기'!$U$11:$U$1000,0)),"")</f>
        <v>74</v>
      </c>
      <c r="F306" s="113" t="s">
        <v>276</v>
      </c>
      <c r="G306" s="41" t="s">
        <v>704</v>
      </c>
      <c r="H306" s="41" t="s">
        <v>685</v>
      </c>
      <c r="I306" s="41" t="s">
        <v>274</v>
      </c>
      <c r="J306" s="41" t="str">
        <f t="shared" si="12"/>
        <v>X</v>
      </c>
      <c r="K306" s="113">
        <f>IFERROR(INDEX(환산공식!CI$16:CI$301,MATCH($E306,환산공식!$A$16:$A$301,0)),"")</f>
        <v>200</v>
      </c>
      <c r="L306" s="41" t="str">
        <f>IFERROR(CONCATENATE(ROUND(INDEX(환산공식!CJ$16:CJ$301,MATCH(E306,환산공식!$A$16:$A$301,0)),1),"%"),"")</f>
        <v>100%</v>
      </c>
      <c r="M306" s="41">
        <f>IFERROR(INDEX(환산공식!CK$16:CK$301,MATCH(E306,환산공식!$A$16:$A$301,0)),"")</f>
        <v>0</v>
      </c>
      <c r="N306" s="113" t="str">
        <f t="shared" si="13"/>
        <v>1% 이하</v>
      </c>
      <c r="O306" s="119">
        <f>IFERROR(ROUND(INDEX(환산공식!$EF$16:$EF$301,MATCH(E306,환산공식!$A$16:$A$301,0)),3),"")</f>
        <v>0</v>
      </c>
      <c r="P306" s="119">
        <f>IFERROR(ROUND(INDEX('배치점수 계산기'!M$11:M$1000,MATCH($C306,'배치점수 계산기'!$U$11:$U$1000,0)),2),"")</f>
        <v>952.86</v>
      </c>
      <c r="Q306" s="41">
        <f>IFERROR(ROUND(INDEX('배치점수 계산기'!N$11:N$1000,MATCH($C306,'배치점수 계산기'!$U$11:$U$1000,0)),2),"")</f>
        <v>950.68</v>
      </c>
      <c r="R306" s="41">
        <f>IFERROR(ROUND(INDEX('배치점수 계산기'!O$11:O$1000,MATCH($C306,'배치점수 계산기'!$U$11:$U$1000,0)),2),"")</f>
        <v>946.1</v>
      </c>
      <c r="S306" s="41">
        <f>IFERROR(ROUND(INDEX('배치점수 계산기'!P$11:P$1000,MATCH($C306,'배치점수 계산기'!$U$11:$U$1000,0)),2),"")</f>
        <v>945.75</v>
      </c>
      <c r="T306" s="41">
        <f>IFERROR(ROUND(INDEX('배치점수 계산기'!Q$11:Q$1000,MATCH($C306,'배치점수 계산기'!$U$11:$U$1000,0)),2),"")</f>
        <v>943.83</v>
      </c>
      <c r="U306" s="41">
        <f>IFERROR(INDEX(환산공식!$DC$16:$DC$301,MATCH(E306,환산공식!$A$16:$A$301,0)),"")</f>
        <v>0</v>
      </c>
      <c r="V306" s="113">
        <f t="shared" si="14"/>
        <v>6</v>
      </c>
      <c r="W306" s="110" t="str">
        <f>INDEX('배치점수 계산기'!$AG$11:$AG$800,MATCH('       가 군       '!$C306,'배치점수 계산기'!$U$11:$U$800,0))</f>
        <v>표점/만점</v>
      </c>
      <c r="X306" s="108" t="str">
        <f>INDEX('배치점수 계산기'!$AH$11:$AH$800,MATCH('       가 군       '!$C306,'배치점수 계산기'!$U$11:$U$800,0))</f>
        <v>표점/만점</v>
      </c>
      <c r="Y306" s="113">
        <f>INDEX('배치점수 계산기'!$AB$11:$AB$800,MATCH('       가 군       '!$C306,'배치점수 계산기'!$U$11:$U$800,0))</f>
        <v>0.29848352235219072</v>
      </c>
      <c r="Z306" s="73">
        <f>INDEX('배치점수 계산기'!$AC$11:$AC$800,MATCH('       가 군       '!$C306,'배치점수 계산기'!$U$11:$U$800,0))</f>
        <v>0.36305342718756256</v>
      </c>
      <c r="AA306" s="63">
        <f>INDEX('배치점수 계산기'!$AD$11:$AD$800,MATCH('       가 군       '!$C306,'배치점수 계산기'!$U$11:$U$800,0))</f>
        <v>0.33846305046024672</v>
      </c>
      <c r="AE306" s="7">
        <v>299</v>
      </c>
    </row>
    <row r="307" spans="3:31" x14ac:dyDescent="0.3">
      <c r="C307" s="7" t="s">
        <v>1220</v>
      </c>
      <c r="D307" s="41" t="str">
        <f>IFERROR(INDEX('배치점수 계산기'!V$11:V$1000,MATCH($C307,'배치점수 계산기'!$U$11:$U$1000,0)),"")</f>
        <v>조선 의치약</v>
      </c>
      <c r="E307" s="41">
        <f>IFERROR(INDEX('배치점수 계산기'!W$11:W$1000,MATCH($C307,'배치점수 계산기'!$U$11:$U$1000,0)),"")</f>
        <v>123</v>
      </c>
      <c r="F307" s="113" t="s">
        <v>276</v>
      </c>
      <c r="G307" s="41" t="s">
        <v>850</v>
      </c>
      <c r="H307" s="41" t="s">
        <v>685</v>
      </c>
      <c r="I307" s="41" t="s">
        <v>274</v>
      </c>
      <c r="J307" s="41" t="str">
        <f t="shared" si="12"/>
        <v>X</v>
      </c>
      <c r="K307" s="113">
        <f>IFERROR(INDEX(환산공식!CI$16:CI$301,MATCH($E307,환산공식!$A$16:$A$301,0)),"")</f>
        <v>200</v>
      </c>
      <c r="L307" s="41" t="str">
        <f>IFERROR(CONCATENATE(ROUND(INDEX(환산공식!CJ$16:CJ$301,MATCH(E307,환산공식!$A$16:$A$301,0)),1),"%"),"")</f>
        <v>100%</v>
      </c>
      <c r="M307" s="41">
        <f>IFERROR(INDEX(환산공식!CK$16:CK$301,MATCH(E307,환산공식!$A$16:$A$301,0)),"")</f>
        <v>10</v>
      </c>
      <c r="N307" s="113" t="str">
        <f t="shared" si="13"/>
        <v>1% 이하</v>
      </c>
      <c r="O307" s="119">
        <f>IFERROR(ROUND(INDEX(환산공식!$EF$16:$EF$301,MATCH(E307,환산공식!$A$16:$A$301,0)),3),"")</f>
        <v>0</v>
      </c>
      <c r="P307" s="119">
        <f>IFERROR(ROUND(INDEX('배치점수 계산기'!M$11:M$1000,MATCH($C307,'배치점수 계산기'!$U$11:$U$1000,0)),2),"")</f>
        <v>787.24</v>
      </c>
      <c r="Q307" s="41">
        <f>IFERROR(ROUND(INDEX('배치점수 계산기'!N$11:N$1000,MATCH($C307,'배치점수 계산기'!$U$11:$U$1000,0)),2),"")</f>
        <v>783.2</v>
      </c>
      <c r="R307" s="41">
        <f>IFERROR(ROUND(INDEX('배치점수 계산기'!O$11:O$1000,MATCH($C307,'배치점수 계산기'!$U$11:$U$1000,0)),2),"")</f>
        <v>782.36</v>
      </c>
      <c r="S307" s="41">
        <f>IFERROR(ROUND(INDEX('배치점수 계산기'!P$11:P$1000,MATCH($C307,'배치점수 계산기'!$U$11:$U$1000,0)),2),"")</f>
        <v>781.84</v>
      </c>
      <c r="T307" s="41">
        <f>IFERROR(ROUND(INDEX('배치점수 계산기'!Q$11:Q$1000,MATCH($C307,'배치점수 계산기'!$U$11:$U$1000,0)),2),"")</f>
        <v>780.56</v>
      </c>
      <c r="U307" s="41">
        <f>IFERROR(INDEX(환산공식!$DC$16:$DC$301,MATCH(E307,환산공식!$A$16:$A$301,0)),"")</f>
        <v>0</v>
      </c>
      <c r="V307" s="113">
        <f t="shared" si="14"/>
        <v>6</v>
      </c>
      <c r="W307" s="110" t="str">
        <f>INDEX('배치점수 계산기'!$AG$11:$AG$800,MATCH('       가 군       '!$C307,'배치점수 계산기'!$U$11:$U$800,0))</f>
        <v>백분위</v>
      </c>
      <c r="X307" s="108" t="str">
        <f>INDEX('배치점수 계산기'!$AH$11:$AH$800,MATCH('       가 군       '!$C307,'배치점수 계산기'!$U$11:$U$800,0))</f>
        <v>백분위</v>
      </c>
      <c r="Y307" s="113">
        <f>INDEX('배치점수 계산기'!$AB$11:$AB$800,MATCH('       가 군       '!$C307,'배치점수 계산기'!$U$11:$U$800,0))</f>
        <v>0.33333333333333331</v>
      </c>
      <c r="Z307" s="73">
        <f>INDEX('배치점수 계산기'!$AC$11:$AC$800,MATCH('       가 군       '!$C307,'배치점수 계산기'!$U$11:$U$800,0))</f>
        <v>0.46666666666666662</v>
      </c>
      <c r="AA307" s="63">
        <f>INDEX('배치점수 계산기'!$AD$11:$AD$800,MATCH('       가 군       '!$C307,'배치점수 계산기'!$U$11:$U$800,0))</f>
        <v>0.19999999999999998</v>
      </c>
      <c r="AE307" s="7">
        <v>300</v>
      </c>
    </row>
    <row r="308" spans="3:31" x14ac:dyDescent="0.3">
      <c r="C308" s="7" t="s">
        <v>1221</v>
      </c>
      <c r="D308" s="41" t="str">
        <f>IFERROR(INDEX('배치점수 계산기'!V$11:V$1000,MATCH($C308,'배치점수 계산기'!$U$11:$U$1000,0)),"")</f>
        <v>목포 약</v>
      </c>
      <c r="E308" s="41">
        <f>IFERROR(INDEX('배치점수 계산기'!W$11:W$1000,MATCH($C308,'배치점수 계산기'!$U$11:$U$1000,0)),"")</f>
        <v>95</v>
      </c>
      <c r="F308" s="113" t="s">
        <v>276</v>
      </c>
      <c r="G308" s="41" t="s">
        <v>722</v>
      </c>
      <c r="H308" s="41" t="s">
        <v>685</v>
      </c>
      <c r="I308" s="41" t="s">
        <v>274</v>
      </c>
      <c r="J308" s="41" t="str">
        <f t="shared" si="12"/>
        <v>X</v>
      </c>
      <c r="K308" s="113">
        <f>IFERROR(INDEX(환산공식!CI$16:CI$301,MATCH($E308,환산공식!$A$16:$A$301,0)),"")</f>
        <v>300</v>
      </c>
      <c r="L308" s="41" t="str">
        <f>IFERROR(CONCATENATE(ROUND(INDEX(환산공식!CJ$16:CJ$301,MATCH(E308,환산공식!$A$16:$A$301,0)),1),"%"),"")</f>
        <v>100%</v>
      </c>
      <c r="M308" s="41">
        <f>IFERROR(INDEX(환산공식!CK$16:CK$301,MATCH(E308,환산공식!$A$16:$A$301,0)),"")</f>
        <v>0</v>
      </c>
      <c r="N308" s="113" t="str">
        <f t="shared" si="13"/>
        <v>1% 이하</v>
      </c>
      <c r="O308" s="119">
        <f>IFERROR(ROUND(INDEX(환산공식!$EF$16:$EF$301,MATCH(E308,환산공식!$A$16:$A$301,0)),3),"")</f>
        <v>0</v>
      </c>
      <c r="P308" s="119">
        <f>IFERROR(ROUND(INDEX('배치점수 계산기'!M$11:M$1000,MATCH($C308,'배치점수 계산기'!$U$11:$U$1000,0)),2),"")</f>
        <v>1020.85</v>
      </c>
      <c r="Q308" s="41">
        <f>IFERROR(ROUND(INDEX('배치점수 계산기'!N$11:N$1000,MATCH($C308,'배치점수 계산기'!$U$11:$U$1000,0)),2),"")</f>
        <v>1020.25</v>
      </c>
      <c r="R308" s="41">
        <f>IFERROR(ROUND(INDEX('배치점수 계산기'!O$11:O$1000,MATCH($C308,'배치점수 계산기'!$U$11:$U$1000,0)),2),"")</f>
        <v>1017.65</v>
      </c>
      <c r="S308" s="41">
        <f>IFERROR(ROUND(INDEX('배치점수 계산기'!P$11:P$1000,MATCH($C308,'배치점수 계산기'!$U$11:$U$1000,0)),2),"")</f>
        <v>1014.5</v>
      </c>
      <c r="T308" s="41">
        <f>IFERROR(ROUND(INDEX('배치점수 계산기'!Q$11:Q$1000,MATCH($C308,'배치점수 계산기'!$U$11:$U$1000,0)),2),"")</f>
        <v>1014.5</v>
      </c>
      <c r="U308" s="41">
        <f>IFERROR(INDEX(환산공식!$DC$16:$DC$301,MATCH(E308,환산공식!$A$16:$A$301,0)),"")</f>
        <v>0</v>
      </c>
      <c r="V308" s="113">
        <f t="shared" si="14"/>
        <v>6</v>
      </c>
      <c r="W308" s="110" t="str">
        <f>INDEX('배치점수 계산기'!$AG$11:$AG$800,MATCH('       가 군       '!$C308,'배치점수 계산기'!$U$11:$U$800,0))</f>
        <v>백분위</v>
      </c>
      <c r="X308" s="108" t="str">
        <f>INDEX('배치점수 계산기'!$AH$11:$AH$800,MATCH('       가 군       '!$C308,'배치점수 계산기'!$U$11:$U$800,0))</f>
        <v>백분위</v>
      </c>
      <c r="Y308" s="113">
        <f>INDEX('배치점수 계산기'!$AB$11:$AB$800,MATCH('       가 군       '!$C308,'배치점수 계산기'!$U$11:$U$800,0))</f>
        <v>0.3</v>
      </c>
      <c r="Z308" s="73">
        <f>INDEX('배치점수 계산기'!$AC$11:$AC$800,MATCH('       가 군       '!$C308,'배치점수 계산기'!$U$11:$U$800,0))</f>
        <v>0.4</v>
      </c>
      <c r="AA308" s="63">
        <f>INDEX('배치점수 계산기'!$AD$11:$AD$800,MATCH('       가 군       '!$C308,'배치점수 계산기'!$U$11:$U$800,0))</f>
        <v>0.3</v>
      </c>
      <c r="AE308" s="7">
        <v>301</v>
      </c>
    </row>
    <row r="309" spans="3:31" x14ac:dyDescent="0.3">
      <c r="C309" s="7" t="s">
        <v>1222</v>
      </c>
      <c r="D309" s="41" t="str">
        <f>IFERROR(INDEX('배치점수 계산기'!V$11:V$1000,MATCH($C309,'배치점수 계산기'!$U$11:$U$1000,0)),"")</f>
        <v>가천 한</v>
      </c>
      <c r="E309" s="41">
        <f>IFERROR(INDEX('배치점수 계산기'!W$11:W$1000,MATCH($C309,'배치점수 계산기'!$U$11:$U$1000,0)),"")</f>
        <v>67</v>
      </c>
      <c r="F309" s="113" t="s">
        <v>276</v>
      </c>
      <c r="G309" s="41" t="s">
        <v>679</v>
      </c>
      <c r="H309" s="41" t="s">
        <v>695</v>
      </c>
      <c r="I309" s="41" t="s">
        <v>274</v>
      </c>
      <c r="J309" s="41" t="str">
        <f t="shared" si="12"/>
        <v>X</v>
      </c>
      <c r="K309" s="113">
        <f>IFERROR(INDEX(환산공식!CI$16:CI$301,MATCH($E309,환산공식!$A$16:$A$301,0)),"")</f>
        <v>78.400000000000006</v>
      </c>
      <c r="L309" s="41" t="str">
        <f>IFERROR(CONCATENATE(ROUND(INDEX(환산공식!CJ$16:CJ$301,MATCH(E309,환산공식!$A$16:$A$301,0)),1),"%"),"")</f>
        <v>100%</v>
      </c>
      <c r="M309" s="41">
        <f>IFERROR(INDEX(환산공식!CK$16:CK$301,MATCH(E309,환산공식!$A$16:$A$301,0)),"")</f>
        <v>0</v>
      </c>
      <c r="N309" s="113" t="str">
        <f t="shared" si="13"/>
        <v>1% 이하</v>
      </c>
      <c r="O309" s="119">
        <f>IFERROR(ROUND(INDEX(환산공식!$EF$16:$EF$301,MATCH(E309,환산공식!$A$16:$A$301,0)),3),"")</f>
        <v>0</v>
      </c>
      <c r="P309" s="119">
        <f>IFERROR(ROUND(INDEX('배치점수 계산기'!M$11:M$1000,MATCH($C309,'배치점수 계산기'!$U$11:$U$1000,0)),2),"")</f>
        <v>396.84</v>
      </c>
      <c r="Q309" s="41">
        <f>IFERROR(ROUND(INDEX('배치점수 계산기'!N$11:N$1000,MATCH($C309,'배치점수 계산기'!$U$11:$U$1000,0)),2),"")</f>
        <v>395.98</v>
      </c>
      <c r="R309" s="41">
        <f>IFERROR(ROUND(INDEX('배치점수 계산기'!O$11:O$1000,MATCH($C309,'배치점수 계산기'!$U$11:$U$1000,0)),2),"")</f>
        <v>395.18</v>
      </c>
      <c r="S309" s="41">
        <f>IFERROR(ROUND(INDEX('배치점수 계산기'!P$11:P$1000,MATCH($C309,'배치점수 계산기'!$U$11:$U$1000,0)),2),"")</f>
        <v>394.98</v>
      </c>
      <c r="T309" s="41">
        <f>IFERROR(ROUND(INDEX('배치점수 계산기'!Q$11:Q$1000,MATCH($C309,'배치점수 계산기'!$U$11:$U$1000,0)),2),"")</f>
        <v>394.25</v>
      </c>
      <c r="U309" s="41">
        <f>IFERROR(INDEX(환산공식!$DC$16:$DC$301,MATCH(E309,환산공식!$A$16:$A$301,0)),"")</f>
        <v>0</v>
      </c>
      <c r="V309" s="113">
        <f t="shared" si="14"/>
        <v>6</v>
      </c>
      <c r="W309" s="110" t="str">
        <f>INDEX('배치점수 계산기'!$AG$11:$AG$800,MATCH('       가 군       '!$C309,'배치점수 계산기'!$U$11:$U$800,0))</f>
        <v>백분위</v>
      </c>
      <c r="X309" s="108" t="str">
        <f>INDEX('배치점수 계산기'!$AH$11:$AH$800,MATCH('       가 군       '!$C309,'배치점수 계산기'!$U$11:$U$800,0))</f>
        <v>백분위</v>
      </c>
      <c r="Y309" s="113">
        <f>INDEX('배치점수 계산기'!$AB$11:$AB$800,MATCH('       가 군       '!$C309,'배치점수 계산기'!$U$11:$U$800,0))</f>
        <v>0.3125</v>
      </c>
      <c r="Z309" s="73">
        <f>INDEX('배치점수 계산기'!$AC$11:$AC$800,MATCH('       가 군       '!$C309,'배치점수 계산기'!$U$11:$U$800,0))</f>
        <v>0.37499999999999994</v>
      </c>
      <c r="AA309" s="63">
        <f>INDEX('배치점수 계산기'!$AD$11:$AD$800,MATCH('       가 군       '!$C309,'배치점수 계산기'!$U$11:$U$800,0))</f>
        <v>0.3125</v>
      </c>
      <c r="AE309" s="7">
        <v>302</v>
      </c>
    </row>
    <row r="310" spans="3:31" x14ac:dyDescent="0.3">
      <c r="C310" s="7" t="s">
        <v>1223</v>
      </c>
      <c r="D310" s="41" t="str">
        <f>IFERROR(INDEX('배치점수 계산기'!V$11:V$1000,MATCH($C310,'배치점수 계산기'!$U$11:$U$1000,0)),"")</f>
        <v>동신 한</v>
      </c>
      <c r="E310" s="41">
        <f>IFERROR(INDEX('배치점수 계산기'!W$11:W$1000,MATCH($C310,'배치점수 계산기'!$U$11:$U$1000,0)),"")</f>
        <v>91</v>
      </c>
      <c r="F310" s="113" t="s">
        <v>276</v>
      </c>
      <c r="G310" s="41" t="s">
        <v>697</v>
      </c>
      <c r="H310" s="41" t="s">
        <v>695</v>
      </c>
      <c r="I310" s="41" t="s">
        <v>274</v>
      </c>
      <c r="J310" s="41" t="str">
        <f t="shared" si="12"/>
        <v>X</v>
      </c>
      <c r="K310" s="113">
        <f>IFERROR(INDEX(환산공식!CI$16:CI$301,MATCH($E310,환산공식!$A$16:$A$301,0)),"")</f>
        <v>200</v>
      </c>
      <c r="L310" s="41" t="str">
        <f>IFERROR(CONCATENATE(ROUND(INDEX(환산공식!CJ$16:CJ$301,MATCH(E310,환산공식!$A$16:$A$301,0)),1),"%"),"")</f>
        <v>100%</v>
      </c>
      <c r="M310" s="41">
        <f>IFERROR(INDEX(환산공식!CK$16:CK$301,MATCH(E310,환산공식!$A$16:$A$301,0)),"")</f>
        <v>100</v>
      </c>
      <c r="N310" s="113" t="str">
        <f t="shared" si="13"/>
        <v>1% 이하</v>
      </c>
      <c r="O310" s="119">
        <f>IFERROR(ROUND(INDEX(환산공식!$EF$16:$EF$301,MATCH(E310,환산공식!$A$16:$A$301,0)),3),"")</f>
        <v>0</v>
      </c>
      <c r="P310" s="119">
        <f>IFERROR(ROUND(INDEX('배치점수 계산기'!M$11:M$1000,MATCH($C310,'배치점수 계산기'!$U$11:$U$1000,0)),2),"")</f>
        <v>890.1</v>
      </c>
      <c r="Q310" s="41">
        <f>IFERROR(ROUND(INDEX('배치점수 계산기'!N$11:N$1000,MATCH($C310,'배치점수 계산기'!$U$11:$U$1000,0)),2),"")</f>
        <v>889.15</v>
      </c>
      <c r="R310" s="41">
        <f>IFERROR(ROUND(INDEX('배치점수 계산기'!O$11:O$1000,MATCH($C310,'배치점수 계산기'!$U$11:$U$1000,0)),2),"")</f>
        <v>885.75</v>
      </c>
      <c r="S310" s="41">
        <f>IFERROR(ROUND(INDEX('배치점수 계산기'!P$11:P$1000,MATCH($C310,'배치점수 계산기'!$U$11:$U$1000,0)),2),"")</f>
        <v>882.93</v>
      </c>
      <c r="T310" s="41">
        <f>IFERROR(ROUND(INDEX('배치점수 계산기'!Q$11:Q$1000,MATCH($C310,'배치점수 계산기'!$U$11:$U$1000,0)),2),"")</f>
        <v>882.03</v>
      </c>
      <c r="U310" s="41">
        <f>IFERROR(INDEX(환산공식!$DC$16:$DC$301,MATCH(E310,환산공식!$A$16:$A$301,0)),"")</f>
        <v>0</v>
      </c>
      <c r="V310" s="113">
        <f t="shared" si="14"/>
        <v>6</v>
      </c>
      <c r="W310" s="110" t="str">
        <f>INDEX('배치점수 계산기'!$AG$11:$AG$800,MATCH('       가 군       '!$C310,'배치점수 계산기'!$U$11:$U$800,0))</f>
        <v>백분위</v>
      </c>
      <c r="X310" s="108" t="str">
        <f>INDEX('배치점수 계산기'!$AH$11:$AH$800,MATCH('       가 군       '!$C310,'배치점수 계산기'!$U$11:$U$800,0))</f>
        <v>백분위</v>
      </c>
      <c r="Y310" s="113">
        <f>INDEX('배치점수 계산기'!$AB$11:$AB$800,MATCH('       가 군       '!$C310,'배치점수 계산기'!$U$11:$U$800,0))</f>
        <v>0.41666666666666669</v>
      </c>
      <c r="Z310" s="73">
        <f>INDEX('배치점수 계산기'!$AC$11:$AC$800,MATCH('       가 군       '!$C310,'배치점수 계산기'!$U$11:$U$800,0))</f>
        <v>0.41666666666666669</v>
      </c>
      <c r="AA310" s="63">
        <f>INDEX('배치점수 계산기'!$AD$11:$AD$800,MATCH('       가 군       '!$C310,'배치점수 계산기'!$U$11:$U$800,0))</f>
        <v>0.16666666666666666</v>
      </c>
      <c r="AE310" s="7">
        <v>303</v>
      </c>
    </row>
    <row r="311" spans="3:31" x14ac:dyDescent="0.3">
      <c r="C311" s="7" t="s">
        <v>1224</v>
      </c>
      <c r="D311" s="41" t="str">
        <f>IFERROR(INDEX('배치점수 계산기'!V$11:V$1000,MATCH($C311,'배치점수 계산기'!$U$11:$U$1000,0)),"")</f>
        <v>대전 한</v>
      </c>
      <c r="E311" s="41">
        <f>IFERROR(INDEX('배치점수 계산기'!W$11:W$1000,MATCH($C311,'배치점수 계산기'!$U$11:$U$1000,0)),"")</f>
        <v>81</v>
      </c>
      <c r="F311" s="113" t="s">
        <v>276</v>
      </c>
      <c r="G311" s="41" t="s">
        <v>691</v>
      </c>
      <c r="H311" s="41" t="s">
        <v>689</v>
      </c>
      <c r="I311" s="41" t="s">
        <v>275</v>
      </c>
      <c r="J311" s="41" t="str">
        <f t="shared" si="12"/>
        <v>X</v>
      </c>
      <c r="K311" s="113">
        <f>IFERROR(INDEX(환산공식!CI$16:CI$301,MATCH($E311,환산공식!$A$16:$A$301,0)),"")</f>
        <v>200</v>
      </c>
      <c r="L311" s="41" t="str">
        <f>IFERROR(CONCATENATE(ROUND(INDEX(환산공식!CJ$16:CJ$301,MATCH(E311,환산공식!$A$16:$A$301,0)),1),"%"),"")</f>
        <v>100%</v>
      </c>
      <c r="M311" s="41">
        <f>IFERROR(INDEX(환산공식!CK$16:CK$301,MATCH(E311,환산공식!$A$16:$A$301,0)),"")</f>
        <v>5</v>
      </c>
      <c r="N311" s="113" t="str">
        <f t="shared" si="13"/>
        <v>1% 이하</v>
      </c>
      <c r="O311" s="119">
        <f>IFERROR(ROUND(INDEX(환산공식!$EF$16:$EF$301,MATCH(E311,환산공식!$A$16:$A$301,0)),3),"")</f>
        <v>0</v>
      </c>
      <c r="P311" s="119">
        <f>IFERROR(ROUND(INDEX('배치점수 계산기'!M$11:M$1000,MATCH($C311,'배치점수 계산기'!$U$11:$U$1000,0)),2),"")</f>
        <v>978.48</v>
      </c>
      <c r="Q311" s="41">
        <f>IFERROR(ROUND(INDEX('배치점수 계산기'!N$11:N$1000,MATCH($C311,'배치점수 계산기'!$U$11:$U$1000,0)),2),"")</f>
        <v>977.94</v>
      </c>
      <c r="R311" s="41">
        <f>IFERROR(ROUND(INDEX('배치점수 계산기'!O$11:O$1000,MATCH($C311,'배치점수 계산기'!$U$11:$U$1000,0)),2),"")</f>
        <v>975.81</v>
      </c>
      <c r="S311" s="41">
        <f>IFERROR(ROUND(INDEX('배치점수 계산기'!P$11:P$1000,MATCH($C311,'배치점수 계산기'!$U$11:$U$1000,0)),2),"")</f>
        <v>975.25</v>
      </c>
      <c r="T311" s="41">
        <f>IFERROR(ROUND(INDEX('배치점수 계산기'!Q$11:Q$1000,MATCH($C311,'배치점수 계산기'!$U$11:$U$1000,0)),2),"")</f>
        <v>974.97</v>
      </c>
      <c r="U311" s="41">
        <f>IFERROR(INDEX(환산공식!$DC$16:$DC$301,MATCH(E311,환산공식!$A$16:$A$301,0)),"")</f>
        <v>0</v>
      </c>
      <c r="V311" s="113">
        <f t="shared" si="14"/>
        <v>6</v>
      </c>
      <c r="W311" s="110" t="str">
        <f>INDEX('배치점수 계산기'!$AG$11:$AG$800,MATCH('       가 군       '!$C311,'배치점수 계산기'!$U$11:$U$800,0))</f>
        <v>백분위</v>
      </c>
      <c r="X311" s="108" t="str">
        <f>INDEX('배치점수 계산기'!$AH$11:$AH$800,MATCH('       가 군       '!$C311,'배치점수 계산기'!$U$11:$U$800,0))</f>
        <v>백분위</v>
      </c>
      <c r="Y311" s="113">
        <f>INDEX('배치점수 계산기'!$AB$11:$AB$800,MATCH('       가 군       '!$C311,'배치점수 계산기'!$U$11:$U$800,0))</f>
        <v>0.33750000000000002</v>
      </c>
      <c r="Z311" s="73">
        <f>INDEX('배치점수 계산기'!$AC$11:$AC$800,MATCH('       가 군       '!$C311,'배치점수 계산기'!$U$11:$U$800,0))</f>
        <v>0.35</v>
      </c>
      <c r="AA311" s="63">
        <f>INDEX('배치점수 계산기'!$AD$11:$AD$800,MATCH('       가 군       '!$C311,'배치점수 계산기'!$U$11:$U$800,0))</f>
        <v>0.3125</v>
      </c>
      <c r="AE311" s="7">
        <v>304</v>
      </c>
    </row>
    <row r="312" spans="3:31" x14ac:dyDescent="0.3">
      <c r="C312" s="7" t="s">
        <v>1225</v>
      </c>
      <c r="D312" s="41" t="str">
        <f>IFERROR(INDEX('배치점수 계산기'!V$11:V$1000,MATCH($C312,'배치점수 계산기'!$U$11:$U$1000,0)),"")</f>
        <v>건국 자연2</v>
      </c>
      <c r="E312" s="41">
        <f>IFERROR(INDEX('배치점수 계산기'!W$11:W$1000,MATCH($C312,'배치점수 계산기'!$U$11:$U$1000,0)),"")</f>
        <v>44</v>
      </c>
      <c r="F312" s="113" t="s">
        <v>276</v>
      </c>
      <c r="G312" s="41" t="s">
        <v>708</v>
      </c>
      <c r="H312" s="41" t="s">
        <v>700</v>
      </c>
      <c r="I312" s="41" t="s">
        <v>274</v>
      </c>
      <c r="J312" s="41" t="str">
        <f t="shared" si="12"/>
        <v>X</v>
      </c>
      <c r="K312" s="113">
        <f>IFERROR(INDEX(환산공식!CI$16:CI$301,MATCH($E312,환산공식!$A$16:$A$301,0)),"")</f>
        <v>200</v>
      </c>
      <c r="L312" s="41" t="str">
        <f>IFERROR(CONCATENATE(ROUND(INDEX(환산공식!CJ$16:CJ$301,MATCH(E312,환산공식!$A$16:$A$301,0)),1),"%"),"")</f>
        <v>100%</v>
      </c>
      <c r="M312" s="41">
        <f>IFERROR(INDEX(환산공식!CK$16:CK$301,MATCH(E312,환산공식!$A$16:$A$301,0)),"")</f>
        <v>200</v>
      </c>
      <c r="N312" s="113" t="str">
        <f t="shared" si="13"/>
        <v>1% 이하</v>
      </c>
      <c r="O312" s="119">
        <f>IFERROR(ROUND(INDEX(환산공식!$EF$16:$EF$301,MATCH(E312,환산공식!$A$16:$A$301,0)),3),"")</f>
        <v>0</v>
      </c>
      <c r="P312" s="119">
        <f>IFERROR(ROUND(INDEX('배치점수 계산기'!M$11:M$1000,MATCH($C312,'배치점수 계산기'!$U$11:$U$1000,0)),2),"")</f>
        <v>941.67</v>
      </c>
      <c r="Q312" s="41">
        <f>IFERROR(ROUND(INDEX('배치점수 계산기'!N$11:N$1000,MATCH($C312,'배치점수 계산기'!$U$11:$U$1000,0)),2),"")</f>
        <v>940.31</v>
      </c>
      <c r="R312" s="41">
        <f>IFERROR(ROUND(INDEX('배치점수 계산기'!O$11:O$1000,MATCH($C312,'배치점수 계산기'!$U$11:$U$1000,0)),2),"")</f>
        <v>938.04</v>
      </c>
      <c r="S312" s="41">
        <f>IFERROR(ROUND(INDEX('배치점수 계산기'!P$11:P$1000,MATCH($C312,'배치점수 계산기'!$U$11:$U$1000,0)),2),"")</f>
        <v>936.7</v>
      </c>
      <c r="T312" s="41">
        <f>IFERROR(ROUND(INDEX('배치점수 계산기'!Q$11:Q$1000,MATCH($C312,'배치점수 계산기'!$U$11:$U$1000,0)),2),"")</f>
        <v>935.4</v>
      </c>
      <c r="U312" s="41">
        <f>IFERROR(INDEX(환산공식!$DC$16:$DC$301,MATCH(E312,환산공식!$A$16:$A$301,0)),"")</f>
        <v>0</v>
      </c>
      <c r="V312" s="113">
        <f t="shared" si="14"/>
        <v>6</v>
      </c>
      <c r="W312" s="110" t="str">
        <f>INDEX('배치점수 계산기'!$AG$11:$AG$800,MATCH('       가 군       '!$C312,'배치점수 계산기'!$U$11:$U$800,0))</f>
        <v>표점</v>
      </c>
      <c r="X312" s="108" t="str">
        <f>INDEX('배치점수 계산기'!$AH$11:$AH$800,MATCH('       가 군       '!$C312,'배치점수 계산기'!$U$11:$U$800,0))</f>
        <v>변표</v>
      </c>
      <c r="Y312" s="113">
        <f>INDEX('배치점수 계산기'!$AB$11:$AB$800,MATCH('       가 군       '!$C312,'배치점수 계산기'!$U$11:$U$800,0))</f>
        <v>0.25</v>
      </c>
      <c r="Z312" s="73">
        <f>INDEX('배치점수 계산기'!$AC$11:$AC$800,MATCH('       가 군       '!$C312,'배치점수 계산기'!$U$11:$U$800,0))</f>
        <v>0.375</v>
      </c>
      <c r="AA312" s="63">
        <f>INDEX('배치점수 계산기'!$AD$11:$AD$800,MATCH('       가 군       '!$C312,'배치점수 계산기'!$U$11:$U$800,0))</f>
        <v>0.375</v>
      </c>
      <c r="AE312" s="7">
        <v>305</v>
      </c>
    </row>
    <row r="313" spans="3:31" x14ac:dyDescent="0.3">
      <c r="C313" s="7" t="s">
        <v>1226</v>
      </c>
      <c r="D313" s="41" t="str">
        <f>IFERROR(INDEX('배치점수 계산기'!V$11:V$1000,MATCH($C313,'배치점수 계산기'!$U$11:$U$1000,0)),"")</f>
        <v>충남 의약수</v>
      </c>
      <c r="E313" s="41">
        <f>IFERROR(INDEX('배치점수 계산기'!W$11:W$1000,MATCH($C313,'배치점수 계산기'!$U$11:$U$1000,0)),"")</f>
        <v>125</v>
      </c>
      <c r="F313" s="113" t="s">
        <v>276</v>
      </c>
      <c r="G313" s="41" t="s">
        <v>707</v>
      </c>
      <c r="H313" s="41" t="s">
        <v>700</v>
      </c>
      <c r="I313" s="41" t="s">
        <v>274</v>
      </c>
      <c r="J313" s="41" t="str">
        <f t="shared" si="12"/>
        <v>X</v>
      </c>
      <c r="K313" s="113">
        <f>IFERROR(INDEX(환산공식!CI$16:CI$301,MATCH($E313,환산공식!$A$16:$A$301,0)),"")</f>
        <v>0</v>
      </c>
      <c r="L313" s="41" t="str">
        <f>IFERROR(CONCATENATE(ROUND(INDEX(환산공식!CJ$16:CJ$301,MATCH(E313,환산공식!$A$16:$A$301,0)),1),"%"),"")</f>
        <v/>
      </c>
      <c r="M313" s="41">
        <f>IFERROR(INDEX(환산공식!CK$16:CK$301,MATCH(E313,환산공식!$A$16:$A$301,0)),"")</f>
        <v>0</v>
      </c>
      <c r="N313" s="113" t="str">
        <f t="shared" si="13"/>
        <v>1% 이하</v>
      </c>
      <c r="O313" s="119">
        <f>IFERROR(ROUND(INDEX(환산공식!$EF$16:$EF$301,MATCH(E313,환산공식!$A$16:$A$301,0)),3),"")</f>
        <v>0</v>
      </c>
      <c r="P313" s="119">
        <f>IFERROR(ROUND(INDEX('배치점수 계산기'!M$11:M$1000,MATCH($C313,'배치점수 계산기'!$U$11:$U$1000,0)),2),"")</f>
        <v>203.35</v>
      </c>
      <c r="Q313" s="41">
        <f>IFERROR(ROUND(INDEX('배치점수 계산기'!N$11:N$1000,MATCH($C313,'배치점수 계산기'!$U$11:$U$1000,0)),2),"")</f>
        <v>202.39</v>
      </c>
      <c r="R313" s="41">
        <f>IFERROR(ROUND(INDEX('배치점수 계산기'!O$11:O$1000,MATCH($C313,'배치점수 계산기'!$U$11:$U$1000,0)),2),"")</f>
        <v>201.88</v>
      </c>
      <c r="S313" s="41">
        <f>IFERROR(ROUND(INDEX('배치점수 계산기'!P$11:P$1000,MATCH($C313,'배치점수 계산기'!$U$11:$U$1000,0)),2),"")</f>
        <v>201.28</v>
      </c>
      <c r="T313" s="41">
        <f>IFERROR(ROUND(INDEX('배치점수 계산기'!Q$11:Q$1000,MATCH($C313,'배치점수 계산기'!$U$11:$U$1000,0)),2),"")</f>
        <v>199.58</v>
      </c>
      <c r="U313" s="41">
        <f>IFERROR(INDEX(환산공식!$DC$16:$DC$301,MATCH(E313,환산공식!$A$16:$A$301,0)),"")</f>
        <v>0</v>
      </c>
      <c r="V313" s="113">
        <f t="shared" si="14"/>
        <v>6</v>
      </c>
      <c r="W313" s="110" t="str">
        <f>INDEX('배치점수 계산기'!$AG$11:$AG$800,MATCH('       가 군       '!$C313,'배치점수 계산기'!$U$11:$U$800,0))</f>
        <v>표점</v>
      </c>
      <c r="X313" s="108" t="str">
        <f>INDEX('배치점수 계산기'!$AH$11:$AH$800,MATCH('       가 군       '!$C313,'배치점수 계산기'!$U$11:$U$800,0))</f>
        <v>변표</v>
      </c>
      <c r="Y313" s="113">
        <f>INDEX('배치점수 계산기'!$AB$11:$AB$800,MATCH('       가 군       '!$C313,'배치점수 계산기'!$U$11:$U$800,0))</f>
        <v>0.25</v>
      </c>
      <c r="Z313" s="73">
        <f>INDEX('배치점수 계산기'!$AC$11:$AC$800,MATCH('       가 군       '!$C313,'배치점수 계산기'!$U$11:$U$800,0))</f>
        <v>0.45</v>
      </c>
      <c r="AA313" s="63">
        <f>INDEX('배치점수 계산기'!$AD$11:$AD$800,MATCH('       가 군       '!$C313,'배치점수 계산기'!$U$11:$U$800,0))</f>
        <v>0.3</v>
      </c>
      <c r="AE313" s="7">
        <v>306</v>
      </c>
    </row>
    <row r="314" spans="3:31" x14ac:dyDescent="0.3">
      <c r="C314" s="7" t="s">
        <v>1227</v>
      </c>
      <c r="D314" s="41" t="str">
        <f>IFERROR(INDEX('배치점수 계산기'!V$11:V$1000,MATCH($C314,'배치점수 계산기'!$U$11:$U$1000,0)),"")</f>
        <v>경북 의치약수</v>
      </c>
      <c r="E314" s="41">
        <f>IFERROR(INDEX('배치점수 계산기'!W$11:W$1000,MATCH($C314,'배치점수 계산기'!$U$11:$U$1000,0)),"")</f>
        <v>73</v>
      </c>
      <c r="F314" s="113" t="s">
        <v>276</v>
      </c>
      <c r="G314" s="41" t="s">
        <v>706</v>
      </c>
      <c r="H314" s="41" t="s">
        <v>700</v>
      </c>
      <c r="I314" s="41" t="s">
        <v>274</v>
      </c>
      <c r="J314" s="41" t="str">
        <f t="shared" si="12"/>
        <v>X</v>
      </c>
      <c r="K314" s="113">
        <f>IFERROR(INDEX(환산공식!CI$16:CI$301,MATCH($E314,환산공식!$A$16:$A$301,0)),"")</f>
        <v>125</v>
      </c>
      <c r="L314" s="41" t="str">
        <f>IFERROR(CONCATENATE(ROUND(INDEX(환산공식!CJ$16:CJ$301,MATCH(E314,환산공식!$A$16:$A$301,0)),1),"%"),"")</f>
        <v>100%</v>
      </c>
      <c r="M314" s="41">
        <f>IFERROR(INDEX(환산공식!CK$16:CK$301,MATCH(E314,환산공식!$A$16:$A$301,0)),"")</f>
        <v>10</v>
      </c>
      <c r="N314" s="113" t="str">
        <f t="shared" si="13"/>
        <v>1% 이하</v>
      </c>
      <c r="O314" s="119">
        <f>IFERROR(ROUND(INDEX(환산공식!$EF$16:$EF$301,MATCH(E314,환산공식!$A$16:$A$301,0)),3),"")</f>
        <v>0</v>
      </c>
      <c r="P314" s="119">
        <f>IFERROR(ROUND(INDEX('배치점수 계산기'!M$11:M$1000,MATCH($C314,'배치점수 계산기'!$U$11:$U$1000,0)),2),"")</f>
        <v>727.59</v>
      </c>
      <c r="Q314" s="41">
        <f>IFERROR(ROUND(INDEX('배치점수 계산기'!N$11:N$1000,MATCH($C314,'배치점수 계산기'!$U$11:$U$1000,0)),2),"")</f>
        <v>724.11</v>
      </c>
      <c r="R314" s="41">
        <f>IFERROR(ROUND(INDEX('배치점수 계산기'!O$11:O$1000,MATCH($C314,'배치점수 계산기'!$U$11:$U$1000,0)),2),"")</f>
        <v>723.14</v>
      </c>
      <c r="S314" s="41">
        <f>IFERROR(ROUND(INDEX('배치점수 계산기'!P$11:P$1000,MATCH($C314,'배치점수 계산기'!$U$11:$U$1000,0)),2),"")</f>
        <v>721.72</v>
      </c>
      <c r="T314" s="41">
        <f>IFERROR(ROUND(INDEX('배치점수 계산기'!Q$11:Q$1000,MATCH($C314,'배치점수 계산기'!$U$11:$U$1000,0)),2),"")</f>
        <v>716.78</v>
      </c>
      <c r="U314" s="41">
        <f>IFERROR(INDEX(환산공식!$DC$16:$DC$301,MATCH(E314,환산공식!$A$16:$A$301,0)),"")</f>
        <v>0</v>
      </c>
      <c r="V314" s="113">
        <f t="shared" si="14"/>
        <v>6</v>
      </c>
      <c r="W314" s="110" t="str">
        <f>INDEX('배치점수 계산기'!$AG$11:$AG$800,MATCH('       가 군       '!$C314,'배치점수 계산기'!$U$11:$U$800,0))</f>
        <v>표점</v>
      </c>
      <c r="X314" s="108" t="str">
        <f>INDEX('배치점수 계산기'!$AH$11:$AH$800,MATCH('       가 군       '!$C314,'배치점수 계산기'!$U$11:$U$800,0))</f>
        <v>변표</v>
      </c>
      <c r="Y314" s="113">
        <f>INDEX('배치점수 계산기'!$AB$11:$AB$800,MATCH('       가 군       '!$C314,'배치점수 계산기'!$U$11:$U$800,0))</f>
        <v>0.2857142857142857</v>
      </c>
      <c r="Z314" s="73">
        <f>INDEX('배치점수 계산기'!$AC$11:$AC$800,MATCH('       가 군       '!$C314,'배치점수 계산기'!$U$11:$U$800,0))</f>
        <v>0.42857142857142855</v>
      </c>
      <c r="AA314" s="63">
        <f>INDEX('배치점수 계산기'!$AD$11:$AD$800,MATCH('       가 군       '!$C314,'배치점수 계산기'!$U$11:$U$800,0))</f>
        <v>0.2857142857142857</v>
      </c>
      <c r="AE314" s="7">
        <v>307</v>
      </c>
    </row>
    <row r="315" spans="3:31" x14ac:dyDescent="0.3">
      <c r="C315" s="7" t="s">
        <v>1228</v>
      </c>
      <c r="D315" s="41" t="str">
        <f>IFERROR(INDEX('배치점수 계산기'!V$11:V$1000,MATCH($C315,'배치점수 계산기'!$U$11:$U$1000,0)),"")</f>
        <v>충북 의약수</v>
      </c>
      <c r="E315" s="41">
        <f>IFERROR(INDEX('배치점수 계산기'!W$11:W$1000,MATCH($C315,'배치점수 계산기'!$U$11:$U$1000,0)),"")</f>
        <v>126</v>
      </c>
      <c r="F315" s="113" t="s">
        <v>276</v>
      </c>
      <c r="G315" s="41" t="s">
        <v>705</v>
      </c>
      <c r="H315" s="41" t="s">
        <v>700</v>
      </c>
      <c r="I315" s="41" t="s">
        <v>274</v>
      </c>
      <c r="J315" s="41" t="str">
        <f t="shared" si="12"/>
        <v>X</v>
      </c>
      <c r="K315" s="113">
        <f>IFERROR(INDEX(환산공식!CI$16:CI$301,MATCH($E315,환산공식!$A$16:$A$301,0)),"")</f>
        <v>40</v>
      </c>
      <c r="L315" s="41" t="str">
        <f>IFERROR(CONCATENATE(ROUND(INDEX(환산공식!CJ$16:CJ$301,MATCH(E315,환산공식!$A$16:$A$301,0)),1),"%"),"")</f>
        <v>100%</v>
      </c>
      <c r="M315" s="41">
        <f>IFERROR(INDEX(환산공식!CK$16:CK$301,MATCH(E315,환산공식!$A$16:$A$301,0)),"")</f>
        <v>0</v>
      </c>
      <c r="N315" s="113" t="str">
        <f t="shared" si="13"/>
        <v>1% 이하</v>
      </c>
      <c r="O315" s="119">
        <f>IFERROR(ROUND(INDEX(환산공식!$EF$16:$EF$301,MATCH(E315,환산공식!$A$16:$A$301,0)),3),"")</f>
        <v>800</v>
      </c>
      <c r="P315" s="119">
        <f>IFERROR(ROUND(INDEX('배치점수 계산기'!M$11:M$1000,MATCH($C315,'배치점수 계산기'!$U$11:$U$1000,0)),2),"")</f>
        <v>985.18</v>
      </c>
      <c r="Q315" s="41">
        <f>IFERROR(ROUND(INDEX('배치점수 계산기'!N$11:N$1000,MATCH($C315,'배치점수 계산기'!$U$11:$U$1000,0)),2),"")</f>
        <v>984.76</v>
      </c>
      <c r="R315" s="41">
        <f>IFERROR(ROUND(INDEX('배치점수 계산기'!O$11:O$1000,MATCH($C315,'배치점수 계산기'!$U$11:$U$1000,0)),2),"")</f>
        <v>983.84</v>
      </c>
      <c r="S315" s="41">
        <f>IFERROR(ROUND(INDEX('배치점수 계산기'!P$11:P$1000,MATCH($C315,'배치점수 계산기'!$U$11:$U$1000,0)),2),"")</f>
        <v>983.61</v>
      </c>
      <c r="T315" s="41">
        <f>IFERROR(ROUND(INDEX('배치점수 계산기'!Q$11:Q$1000,MATCH($C315,'배치점수 계산기'!$U$11:$U$1000,0)),2),"")</f>
        <v>983.11</v>
      </c>
      <c r="U315" s="41">
        <f>IFERROR(INDEX(환산공식!$DC$16:$DC$301,MATCH(E315,환산공식!$A$16:$A$301,0)),"")</f>
        <v>0</v>
      </c>
      <c r="V315" s="113">
        <f t="shared" si="14"/>
        <v>6</v>
      </c>
      <c r="W315" s="110" t="str">
        <f>INDEX('배치점수 계산기'!$AG$11:$AG$800,MATCH('       가 군       '!$C315,'배치점수 계산기'!$U$11:$U$800,0))</f>
        <v>표점/만점</v>
      </c>
      <c r="X315" s="108" t="str">
        <f>INDEX('배치점수 계산기'!$AH$11:$AH$800,MATCH('       가 군       '!$C315,'배치점수 계산기'!$U$11:$U$800,0))</f>
        <v>표점/만점</v>
      </c>
      <c r="Y315" s="113">
        <f>INDEX('배치점수 계산기'!$AB$11:$AB$800,MATCH('       가 군       '!$C315,'배치점수 계산기'!$U$11:$U$800,0))</f>
        <v>0.24423890341716833</v>
      </c>
      <c r="Z315" s="73">
        <f>INDEX('배치점수 계산기'!$AC$11:$AC$800,MATCH('       가 군       '!$C315,'배치점수 계산기'!$U$11:$U$800,0))</f>
        <v>0.37134282254242945</v>
      </c>
      <c r="AA315" s="63">
        <f>INDEX('배치점수 계산기'!$AD$11:$AD$800,MATCH('       가 군       '!$C315,'배치점수 계산기'!$U$11:$U$800,0))</f>
        <v>0.3844182740404023</v>
      </c>
      <c r="AE315" s="7">
        <v>308</v>
      </c>
    </row>
    <row r="316" spans="3:31" x14ac:dyDescent="0.3">
      <c r="C316" s="7" t="s">
        <v>1229</v>
      </c>
      <c r="D316" s="41" t="str">
        <f>IFERROR(INDEX('배치점수 계산기'!V$11:V$1000,MATCH($C316,'배치점수 계산기'!$U$11:$U$1000,0)),"")</f>
        <v>강원 의약수</v>
      </c>
      <c r="E316" s="41">
        <f>IFERROR(INDEX('배치점수 계산기'!W$11:W$1000,MATCH($C316,'배치점수 계산기'!$U$11:$U$1000,0)),"")</f>
        <v>70</v>
      </c>
      <c r="F316" s="113" t="s">
        <v>276</v>
      </c>
      <c r="G316" s="41" t="s">
        <v>684</v>
      </c>
      <c r="H316" s="41" t="s">
        <v>700</v>
      </c>
      <c r="I316" s="41" t="s">
        <v>274</v>
      </c>
      <c r="J316" s="41" t="str">
        <f t="shared" si="12"/>
        <v>X</v>
      </c>
      <c r="K316" s="113">
        <f>IFERROR(INDEX(환산공식!CI$16:CI$301,MATCH($E316,환산공식!$A$16:$A$301,0)),"")</f>
        <v>100</v>
      </c>
      <c r="L316" s="41" t="str">
        <f>IFERROR(CONCATENATE(ROUND(INDEX(환산공식!CJ$16:CJ$301,MATCH(E316,환산공식!$A$16:$A$301,0)),1),"%"),"")</f>
        <v>100%</v>
      </c>
      <c r="M316" s="41">
        <f>IFERROR(INDEX(환산공식!CK$16:CK$301,MATCH(E316,환산공식!$A$16:$A$301,0)),"")</f>
        <v>1.5</v>
      </c>
      <c r="N316" s="113" t="str">
        <f t="shared" si="13"/>
        <v>1% 이하</v>
      </c>
      <c r="O316" s="119">
        <f>IFERROR(ROUND(INDEX(환산공식!$EF$16:$EF$301,MATCH(E316,환산공식!$A$16:$A$301,0)),3),"")</f>
        <v>0</v>
      </c>
      <c r="P316" s="119">
        <f>IFERROR(ROUND(INDEX('배치점수 계산기'!M$11:M$1000,MATCH($C316,'배치점수 계산기'!$U$11:$U$1000,0)),2),"")</f>
        <v>513.1</v>
      </c>
      <c r="Q316" s="41">
        <f>IFERROR(ROUND(INDEX('배치점수 계산기'!N$11:N$1000,MATCH($C316,'배치점수 계산기'!$U$11:$U$1000,0)),2),"")</f>
        <v>511.55</v>
      </c>
      <c r="R316" s="41">
        <f>IFERROR(ROUND(INDEX('배치점수 계산기'!O$11:O$1000,MATCH($C316,'배치점수 계산기'!$U$11:$U$1000,0)),2),"")</f>
        <v>509.2</v>
      </c>
      <c r="S316" s="41">
        <f>IFERROR(ROUND(INDEX('배치점수 계산기'!P$11:P$1000,MATCH($C316,'배치점수 계산기'!$U$11:$U$1000,0)),2),"")</f>
        <v>508.75</v>
      </c>
      <c r="T316" s="41">
        <f>IFERROR(ROUND(INDEX('배치점수 계산기'!Q$11:Q$1000,MATCH($C316,'배치점수 계산기'!$U$11:$U$1000,0)),2),"")</f>
        <v>507.5</v>
      </c>
      <c r="U316" s="41">
        <f>IFERROR(INDEX(환산공식!$DC$16:$DC$301,MATCH(E316,환산공식!$A$16:$A$301,0)),"")</f>
        <v>0</v>
      </c>
      <c r="V316" s="113">
        <f t="shared" si="14"/>
        <v>6</v>
      </c>
      <c r="W316" s="110" t="str">
        <f>INDEX('배치점수 계산기'!$AG$11:$AG$800,MATCH('       가 군       '!$C316,'배치점수 계산기'!$U$11:$U$800,0))</f>
        <v>백분위</v>
      </c>
      <c r="X316" s="108" t="str">
        <f>INDEX('배치점수 계산기'!$AH$11:$AH$800,MATCH('       가 군       '!$C316,'배치점수 계산기'!$U$11:$U$800,0))</f>
        <v>백분위</v>
      </c>
      <c r="Y316" s="113">
        <f>INDEX('배치점수 계산기'!$AB$11:$AB$800,MATCH('       가 군       '!$C316,'배치점수 계산기'!$U$11:$U$800,0))</f>
        <v>0.25</v>
      </c>
      <c r="Z316" s="73">
        <f>INDEX('배치점수 계산기'!$AC$11:$AC$800,MATCH('       가 군       '!$C316,'배치점수 계산기'!$U$11:$U$800,0))</f>
        <v>0.375</v>
      </c>
      <c r="AA316" s="63">
        <f>INDEX('배치점수 계산기'!$AD$11:$AD$800,MATCH('       가 군       '!$C316,'배치점수 계산기'!$U$11:$U$800,0))</f>
        <v>0.375</v>
      </c>
      <c r="AE316" s="7">
        <v>309</v>
      </c>
    </row>
    <row r="317" spans="3:31" x14ac:dyDescent="0.3">
      <c r="C317" s="7" t="s">
        <v>1230</v>
      </c>
      <c r="D317" s="41" t="str">
        <f>IFERROR(INDEX('배치점수 계산기'!V$11:V$1000,MATCH($C317,'배치점수 계산기'!$U$11:$U$1000,0)),"")</f>
        <v>경상 의약수</v>
      </c>
      <c r="E317" s="41">
        <f>IFERROR(INDEX('배치점수 계산기'!W$11:W$1000,MATCH($C317,'배치점수 계산기'!$U$11:$U$1000,0)),"")</f>
        <v>74</v>
      </c>
      <c r="F317" s="113" t="s">
        <v>276</v>
      </c>
      <c r="G317" s="41" t="s">
        <v>704</v>
      </c>
      <c r="H317" s="41" t="s">
        <v>700</v>
      </c>
      <c r="I317" s="41" t="s">
        <v>274</v>
      </c>
      <c r="J317" s="41" t="str">
        <f t="shared" si="12"/>
        <v>X</v>
      </c>
      <c r="K317" s="113">
        <f>IFERROR(INDEX(환산공식!CI$16:CI$301,MATCH($E317,환산공식!$A$16:$A$301,0)),"")</f>
        <v>200</v>
      </c>
      <c r="L317" s="41" t="str">
        <f>IFERROR(CONCATENATE(ROUND(INDEX(환산공식!CJ$16:CJ$301,MATCH(E317,환산공식!$A$16:$A$301,0)),1),"%"),"")</f>
        <v>100%</v>
      </c>
      <c r="M317" s="41">
        <f>IFERROR(INDEX(환산공식!CK$16:CK$301,MATCH(E317,환산공식!$A$16:$A$301,0)),"")</f>
        <v>0</v>
      </c>
      <c r="N317" s="113" t="str">
        <f t="shared" si="13"/>
        <v>1% 이하</v>
      </c>
      <c r="O317" s="119">
        <f>IFERROR(ROUND(INDEX(환산공식!$EF$16:$EF$301,MATCH(E317,환산공식!$A$16:$A$301,0)),3),"")</f>
        <v>0</v>
      </c>
      <c r="P317" s="119">
        <f>IFERROR(ROUND(INDEX('배치점수 계산기'!M$11:M$1000,MATCH($C317,'배치점수 계산기'!$U$11:$U$1000,0)),2),"")</f>
        <v>953.94</v>
      </c>
      <c r="Q317" s="41">
        <f>IFERROR(ROUND(INDEX('배치점수 계산기'!N$11:N$1000,MATCH($C317,'배치점수 계산기'!$U$11:$U$1000,0)),2),"")</f>
        <v>950.98</v>
      </c>
      <c r="R317" s="41">
        <f>IFERROR(ROUND(INDEX('배치점수 계산기'!O$11:O$1000,MATCH($C317,'배치점수 계산기'!$U$11:$U$1000,0)),2),"")</f>
        <v>946.1</v>
      </c>
      <c r="S317" s="41">
        <f>IFERROR(ROUND(INDEX('배치점수 계산기'!P$11:P$1000,MATCH($C317,'배치점수 계산기'!$U$11:$U$1000,0)),2),"")</f>
        <v>944.88</v>
      </c>
      <c r="T317" s="41">
        <f>IFERROR(ROUND(INDEX('배치점수 계산기'!Q$11:Q$1000,MATCH($C317,'배치점수 계산기'!$U$11:$U$1000,0)),2),"")</f>
        <v>942.25</v>
      </c>
      <c r="U317" s="41">
        <f>IFERROR(INDEX(환산공식!$DC$16:$DC$301,MATCH(E317,환산공식!$A$16:$A$301,0)),"")</f>
        <v>0</v>
      </c>
      <c r="V317" s="113">
        <f t="shared" si="14"/>
        <v>6</v>
      </c>
      <c r="W317" s="110" t="str">
        <f>INDEX('배치점수 계산기'!$AG$11:$AG$800,MATCH('       가 군       '!$C317,'배치점수 계산기'!$U$11:$U$800,0))</f>
        <v>표점/만점</v>
      </c>
      <c r="X317" s="108" t="str">
        <f>INDEX('배치점수 계산기'!$AH$11:$AH$800,MATCH('       가 군       '!$C317,'배치점수 계산기'!$U$11:$U$800,0))</f>
        <v>표점/만점</v>
      </c>
      <c r="Y317" s="113">
        <f>INDEX('배치점수 계산기'!$AB$11:$AB$800,MATCH('       가 군       '!$C317,'배치점수 계산기'!$U$11:$U$800,0))</f>
        <v>0.29848352235219072</v>
      </c>
      <c r="Z317" s="73">
        <f>INDEX('배치점수 계산기'!$AC$11:$AC$800,MATCH('       가 군       '!$C317,'배치점수 계산기'!$U$11:$U$800,0))</f>
        <v>0.36305342718756256</v>
      </c>
      <c r="AA317" s="63">
        <f>INDEX('배치점수 계산기'!$AD$11:$AD$800,MATCH('       가 군       '!$C317,'배치점수 계산기'!$U$11:$U$800,0))</f>
        <v>0.33846305046024672</v>
      </c>
      <c r="AE317" s="7">
        <v>310</v>
      </c>
    </row>
    <row r="318" spans="3:31" x14ac:dyDescent="0.3">
      <c r="O318" s="119"/>
      <c r="P318" s="119"/>
      <c r="W318" s="110"/>
      <c r="Y318" s="113"/>
      <c r="Z318" s="73"/>
      <c r="AA318" s="63"/>
    </row>
    <row r="319" spans="3:31" x14ac:dyDescent="0.3">
      <c r="O319" s="119"/>
      <c r="P319" s="119"/>
      <c r="W319" s="110"/>
      <c r="Y319" s="113"/>
      <c r="Z319" s="73"/>
      <c r="AA319" s="63"/>
    </row>
    <row r="320" spans="3:31" x14ac:dyDescent="0.3">
      <c r="O320" s="119"/>
      <c r="P320" s="119"/>
      <c r="W320" s="110"/>
      <c r="Y320" s="113"/>
      <c r="Z320" s="73"/>
      <c r="AA320" s="63"/>
    </row>
    <row r="321" spans="15:27" x14ac:dyDescent="0.3">
      <c r="O321" s="119"/>
      <c r="P321" s="119"/>
      <c r="W321" s="110"/>
      <c r="Y321" s="113"/>
      <c r="Z321" s="73"/>
      <c r="AA321" s="63"/>
    </row>
    <row r="322" spans="15:27" x14ac:dyDescent="0.3">
      <c r="O322" s="119"/>
      <c r="P322" s="119"/>
      <c r="W322" s="110"/>
      <c r="Y322" s="113"/>
      <c r="Z322" s="73"/>
      <c r="AA322" s="63"/>
    </row>
    <row r="323" spans="15:27" x14ac:dyDescent="0.3">
      <c r="O323" s="119"/>
      <c r="P323" s="119"/>
      <c r="W323" s="110"/>
      <c r="Y323" s="113"/>
      <c r="Z323" s="73"/>
      <c r="AA323" s="63"/>
    </row>
    <row r="324" spans="15:27" x14ac:dyDescent="0.3">
      <c r="O324" s="119"/>
      <c r="P324" s="119"/>
      <c r="W324" s="110"/>
      <c r="Y324" s="113"/>
      <c r="Z324" s="73"/>
      <c r="AA324" s="63"/>
    </row>
    <row r="325" spans="15:27" x14ac:dyDescent="0.3">
      <c r="O325" s="119"/>
      <c r="P325" s="119"/>
      <c r="W325" s="110"/>
      <c r="Y325" s="113"/>
      <c r="Z325" s="73"/>
      <c r="AA325" s="63"/>
    </row>
    <row r="326" spans="15:27" x14ac:dyDescent="0.3">
      <c r="O326" s="119"/>
      <c r="P326" s="119"/>
      <c r="W326" s="110"/>
      <c r="Y326" s="113"/>
      <c r="Z326" s="73"/>
      <c r="AA326" s="63"/>
    </row>
    <row r="327" spans="15:27" x14ac:dyDescent="0.3">
      <c r="O327" s="119"/>
      <c r="P327" s="119"/>
      <c r="W327" s="110"/>
      <c r="Y327" s="113"/>
      <c r="Z327" s="73"/>
      <c r="AA327" s="63"/>
    </row>
    <row r="328" spans="15:27" x14ac:dyDescent="0.3">
      <c r="O328" s="119"/>
      <c r="P328" s="119"/>
      <c r="W328" s="110"/>
      <c r="Y328" s="113"/>
      <c r="Z328" s="73"/>
      <c r="AA328" s="63"/>
    </row>
    <row r="329" spans="15:27" x14ac:dyDescent="0.3">
      <c r="O329" s="119"/>
      <c r="P329" s="119"/>
      <c r="W329" s="110"/>
      <c r="Y329" s="113"/>
      <c r="Z329" s="73"/>
      <c r="AA329" s="63"/>
    </row>
    <row r="330" spans="15:27" x14ac:dyDescent="0.3">
      <c r="O330" s="119"/>
      <c r="P330" s="119"/>
      <c r="W330" s="110"/>
      <c r="Y330" s="113"/>
      <c r="Z330" s="73"/>
      <c r="AA330" s="63"/>
    </row>
    <row r="331" spans="15:27" x14ac:dyDescent="0.3">
      <c r="O331" s="119"/>
      <c r="P331" s="119"/>
      <c r="W331" s="110"/>
      <c r="Y331" s="113"/>
      <c r="Z331" s="73"/>
      <c r="AA331" s="63"/>
    </row>
    <row r="332" spans="15:27" x14ac:dyDescent="0.3">
      <c r="O332" s="119"/>
      <c r="P332" s="119"/>
      <c r="W332" s="110"/>
      <c r="Y332" s="113"/>
      <c r="Z332" s="73"/>
      <c r="AA332" s="63"/>
    </row>
    <row r="333" spans="15:27" x14ac:dyDescent="0.3">
      <c r="O333" s="119"/>
      <c r="P333" s="119"/>
      <c r="W333" s="110"/>
      <c r="Y333" s="113"/>
      <c r="Z333" s="73"/>
      <c r="AA333" s="63"/>
    </row>
    <row r="334" spans="15:27" x14ac:dyDescent="0.3">
      <c r="O334" s="119"/>
      <c r="P334" s="119"/>
      <c r="W334" s="110"/>
      <c r="Y334" s="113"/>
      <c r="Z334" s="73"/>
      <c r="AA334" s="63"/>
    </row>
    <row r="335" spans="15:27" x14ac:dyDescent="0.3">
      <c r="O335" s="119"/>
      <c r="P335" s="119"/>
      <c r="W335" s="110"/>
      <c r="Y335" s="113"/>
      <c r="Z335" s="73"/>
      <c r="AA335" s="63"/>
    </row>
    <row r="336" spans="15:27" x14ac:dyDescent="0.3">
      <c r="O336" s="119"/>
      <c r="P336" s="119"/>
      <c r="W336" s="110"/>
      <c r="Y336" s="113"/>
      <c r="Z336" s="73"/>
      <c r="AA336" s="63"/>
    </row>
    <row r="337" spans="15:27" x14ac:dyDescent="0.3">
      <c r="O337" s="119"/>
      <c r="P337" s="119"/>
      <c r="W337" s="110"/>
      <c r="Y337" s="113"/>
      <c r="Z337" s="73"/>
      <c r="AA337" s="63"/>
    </row>
    <row r="338" spans="15:27" x14ac:dyDescent="0.3">
      <c r="O338" s="119"/>
      <c r="P338" s="119"/>
      <c r="W338" s="110"/>
      <c r="Y338" s="113"/>
      <c r="Z338" s="73"/>
      <c r="AA338" s="63"/>
    </row>
    <row r="339" spans="15:27" x14ac:dyDescent="0.3">
      <c r="O339" s="119"/>
      <c r="P339" s="119"/>
      <c r="W339" s="110"/>
      <c r="Y339" s="113"/>
      <c r="Z339" s="73"/>
      <c r="AA339" s="63"/>
    </row>
    <row r="340" spans="15:27" x14ac:dyDescent="0.3">
      <c r="O340" s="119"/>
      <c r="P340" s="119"/>
      <c r="W340" s="110"/>
      <c r="Y340" s="113"/>
      <c r="Z340" s="73"/>
      <c r="AA340" s="63"/>
    </row>
    <row r="341" spans="15:27" x14ac:dyDescent="0.3">
      <c r="O341" s="119"/>
      <c r="P341" s="119"/>
      <c r="W341" s="110"/>
      <c r="Y341" s="113"/>
      <c r="Z341" s="73"/>
      <c r="AA341" s="63"/>
    </row>
    <row r="342" spans="15:27" x14ac:dyDescent="0.3">
      <c r="O342" s="119"/>
      <c r="P342" s="119"/>
      <c r="W342" s="110"/>
      <c r="Y342" s="113"/>
      <c r="Z342" s="73"/>
      <c r="AA342" s="63"/>
    </row>
    <row r="343" spans="15:27" x14ac:dyDescent="0.3">
      <c r="O343" s="119"/>
      <c r="P343" s="119"/>
      <c r="W343" s="110"/>
      <c r="Y343" s="113"/>
      <c r="Z343" s="73"/>
      <c r="AA343" s="63"/>
    </row>
    <row r="344" spans="15:27" x14ac:dyDescent="0.3">
      <c r="O344" s="119"/>
      <c r="P344" s="119"/>
      <c r="W344" s="110"/>
      <c r="Y344" s="113"/>
      <c r="Z344" s="73"/>
      <c r="AA344" s="63"/>
    </row>
    <row r="345" spans="15:27" x14ac:dyDescent="0.3">
      <c r="O345" s="119"/>
      <c r="P345" s="119"/>
      <c r="W345" s="110"/>
      <c r="Y345" s="113"/>
      <c r="Z345" s="73"/>
      <c r="AA345" s="63"/>
    </row>
    <row r="346" spans="15:27" x14ac:dyDescent="0.3">
      <c r="O346" s="119"/>
      <c r="P346" s="119"/>
      <c r="W346" s="110"/>
      <c r="Y346" s="113"/>
      <c r="Z346" s="73"/>
      <c r="AA346" s="63"/>
    </row>
    <row r="347" spans="15:27" x14ac:dyDescent="0.3">
      <c r="O347" s="119"/>
      <c r="P347" s="119"/>
      <c r="W347" s="110"/>
      <c r="Y347" s="113"/>
      <c r="Z347" s="73"/>
      <c r="AA347" s="63"/>
    </row>
    <row r="348" spans="15:27" x14ac:dyDescent="0.3">
      <c r="O348" s="119"/>
      <c r="P348" s="119"/>
      <c r="W348" s="110"/>
      <c r="Y348" s="113"/>
      <c r="Z348" s="73"/>
      <c r="AA348" s="63"/>
    </row>
    <row r="349" spans="15:27" x14ac:dyDescent="0.3">
      <c r="O349" s="119"/>
      <c r="P349" s="119"/>
      <c r="W349" s="110"/>
      <c r="Y349" s="113"/>
      <c r="Z349" s="73"/>
      <c r="AA349" s="63"/>
    </row>
    <row r="350" spans="15:27" x14ac:dyDescent="0.3">
      <c r="O350" s="119"/>
      <c r="P350" s="119"/>
      <c r="W350" s="110"/>
      <c r="Y350" s="113"/>
      <c r="Z350" s="73"/>
      <c r="AA350" s="63"/>
    </row>
    <row r="351" spans="15:27" x14ac:dyDescent="0.3">
      <c r="O351" s="119"/>
      <c r="P351" s="119"/>
      <c r="W351" s="110"/>
      <c r="Y351" s="113"/>
      <c r="Z351" s="73"/>
      <c r="AA351" s="63"/>
    </row>
    <row r="352" spans="15:27" x14ac:dyDescent="0.3">
      <c r="O352" s="119"/>
      <c r="P352" s="119"/>
      <c r="W352" s="110"/>
      <c r="Y352" s="113"/>
      <c r="Z352" s="73"/>
      <c r="AA352" s="63"/>
    </row>
    <row r="353" spans="15:27" x14ac:dyDescent="0.3">
      <c r="O353" s="119"/>
      <c r="P353" s="119"/>
      <c r="W353" s="110"/>
      <c r="Y353" s="113"/>
      <c r="Z353" s="73"/>
      <c r="AA353" s="63"/>
    </row>
    <row r="354" spans="15:27" x14ac:dyDescent="0.3">
      <c r="O354" s="119"/>
      <c r="P354" s="119"/>
      <c r="W354" s="110"/>
      <c r="Y354" s="113"/>
      <c r="Z354" s="73"/>
      <c r="AA354" s="63"/>
    </row>
    <row r="355" spans="15:27" x14ac:dyDescent="0.3">
      <c r="O355" s="119"/>
      <c r="P355" s="119"/>
      <c r="W355" s="110"/>
      <c r="Y355" s="113"/>
      <c r="Z355" s="73"/>
      <c r="AA355" s="63"/>
    </row>
    <row r="356" spans="15:27" x14ac:dyDescent="0.3">
      <c r="O356" s="119"/>
      <c r="P356" s="119"/>
      <c r="W356" s="110"/>
      <c r="Y356" s="113"/>
      <c r="Z356" s="73"/>
      <c r="AA356" s="63"/>
    </row>
    <row r="357" spans="15:27" x14ac:dyDescent="0.3">
      <c r="O357" s="119"/>
      <c r="P357" s="119"/>
      <c r="W357" s="110"/>
      <c r="Y357" s="113"/>
      <c r="Z357" s="73"/>
      <c r="AA357" s="63"/>
    </row>
    <row r="358" spans="15:27" x14ac:dyDescent="0.3">
      <c r="O358" s="119"/>
      <c r="P358" s="119"/>
      <c r="W358" s="110"/>
      <c r="Y358" s="113"/>
      <c r="Z358" s="73"/>
      <c r="AA358" s="63"/>
    </row>
    <row r="359" spans="15:27" x14ac:dyDescent="0.3">
      <c r="O359" s="119"/>
      <c r="P359" s="119"/>
      <c r="W359" s="110"/>
      <c r="Y359" s="113"/>
      <c r="Z359" s="73"/>
      <c r="AA359" s="63"/>
    </row>
    <row r="360" spans="15:27" x14ac:dyDescent="0.3">
      <c r="O360" s="119"/>
      <c r="P360" s="119"/>
      <c r="W360" s="110"/>
      <c r="Y360" s="113"/>
      <c r="Z360" s="73"/>
      <c r="AA360" s="63"/>
    </row>
    <row r="361" spans="15:27" x14ac:dyDescent="0.3">
      <c r="O361" s="119"/>
      <c r="P361" s="119"/>
      <c r="W361" s="110"/>
      <c r="Y361" s="113"/>
      <c r="Z361" s="73"/>
      <c r="AA361" s="63"/>
    </row>
    <row r="362" spans="15:27" x14ac:dyDescent="0.3">
      <c r="O362" s="119"/>
      <c r="P362" s="119"/>
      <c r="W362" s="110"/>
      <c r="Y362" s="113"/>
      <c r="Z362" s="73"/>
      <c r="AA362" s="63"/>
    </row>
    <row r="363" spans="15:27" x14ac:dyDescent="0.3">
      <c r="O363" s="119"/>
      <c r="P363" s="119"/>
      <c r="W363" s="110"/>
      <c r="Y363" s="113"/>
      <c r="Z363" s="73"/>
      <c r="AA363" s="63"/>
    </row>
    <row r="364" spans="15:27" x14ac:dyDescent="0.3">
      <c r="O364" s="119"/>
      <c r="P364" s="119"/>
      <c r="W364" s="110"/>
      <c r="Y364" s="113"/>
      <c r="Z364" s="73"/>
      <c r="AA364" s="63"/>
    </row>
    <row r="365" spans="15:27" x14ac:dyDescent="0.3">
      <c r="O365" s="119"/>
      <c r="P365" s="119"/>
      <c r="W365" s="110"/>
      <c r="Y365" s="113"/>
      <c r="Z365" s="73"/>
      <c r="AA365" s="63"/>
    </row>
    <row r="366" spans="15:27" x14ac:dyDescent="0.3">
      <c r="O366" s="119"/>
      <c r="P366" s="119"/>
      <c r="W366" s="110"/>
      <c r="Y366" s="113"/>
      <c r="Z366" s="73"/>
      <c r="AA366" s="63"/>
    </row>
    <row r="367" spans="15:27" x14ac:dyDescent="0.3">
      <c r="O367" s="119"/>
      <c r="P367" s="119"/>
      <c r="W367" s="110"/>
      <c r="Y367" s="113"/>
      <c r="Z367" s="73"/>
      <c r="AA367" s="63"/>
    </row>
    <row r="368" spans="15:27" x14ac:dyDescent="0.3">
      <c r="O368" s="119"/>
      <c r="P368" s="119"/>
      <c r="W368" s="110"/>
      <c r="Y368" s="113"/>
      <c r="Z368" s="73"/>
      <c r="AA368" s="63"/>
    </row>
    <row r="369" spans="15:27" x14ac:dyDescent="0.3">
      <c r="O369" s="119"/>
      <c r="P369" s="119"/>
      <c r="W369" s="110"/>
      <c r="Y369" s="113"/>
      <c r="Z369" s="73"/>
      <c r="AA369" s="63"/>
    </row>
    <row r="370" spans="15:27" x14ac:dyDescent="0.3">
      <c r="O370" s="119"/>
      <c r="P370" s="119"/>
      <c r="W370" s="110"/>
      <c r="Y370" s="113"/>
      <c r="Z370" s="73"/>
      <c r="AA370" s="63"/>
    </row>
    <row r="371" spans="15:27" x14ac:dyDescent="0.3">
      <c r="O371" s="119"/>
      <c r="P371" s="119"/>
      <c r="W371" s="110"/>
      <c r="Y371" s="113"/>
      <c r="Z371" s="73"/>
      <c r="AA371" s="63"/>
    </row>
    <row r="372" spans="15:27" x14ac:dyDescent="0.3">
      <c r="O372" s="119"/>
      <c r="P372" s="119"/>
      <c r="W372" s="110"/>
      <c r="Y372" s="113"/>
      <c r="Z372" s="73"/>
      <c r="AA372" s="63"/>
    </row>
    <row r="373" spans="15:27" x14ac:dyDescent="0.3">
      <c r="O373" s="119"/>
      <c r="P373" s="119"/>
      <c r="W373" s="110"/>
      <c r="Y373" s="113"/>
      <c r="Z373" s="73"/>
      <c r="AA373" s="63"/>
    </row>
    <row r="374" spans="15:27" x14ac:dyDescent="0.3">
      <c r="O374" s="119"/>
      <c r="P374" s="119"/>
      <c r="W374" s="110"/>
      <c r="Y374" s="113"/>
      <c r="Z374" s="73"/>
      <c r="AA374" s="63"/>
    </row>
    <row r="375" spans="15:27" x14ac:dyDescent="0.3">
      <c r="O375" s="119"/>
      <c r="P375" s="119"/>
      <c r="W375" s="110"/>
      <c r="Y375" s="113"/>
      <c r="Z375" s="73"/>
      <c r="AA375" s="63"/>
    </row>
    <row r="376" spans="15:27" x14ac:dyDescent="0.3">
      <c r="O376" s="119"/>
      <c r="P376" s="119"/>
      <c r="W376" s="110"/>
      <c r="Y376" s="113"/>
      <c r="Z376" s="73"/>
      <c r="AA376" s="63"/>
    </row>
    <row r="377" spans="15:27" x14ac:dyDescent="0.3">
      <c r="O377" s="119"/>
      <c r="P377" s="119"/>
      <c r="W377" s="110"/>
      <c r="Y377" s="113"/>
      <c r="Z377" s="73"/>
      <c r="AA377" s="63"/>
    </row>
    <row r="378" spans="15:27" x14ac:dyDescent="0.3">
      <c r="O378" s="119"/>
      <c r="P378" s="119"/>
      <c r="W378" s="110"/>
      <c r="Y378" s="113"/>
      <c r="Z378" s="73"/>
      <c r="AA378" s="63"/>
    </row>
    <row r="379" spans="15:27" x14ac:dyDescent="0.3">
      <c r="O379" s="119"/>
      <c r="P379" s="119"/>
      <c r="W379" s="110"/>
    </row>
    <row r="380" spans="15:27" x14ac:dyDescent="0.3">
      <c r="O380" s="119"/>
      <c r="P380" s="119"/>
      <c r="W380" s="110"/>
    </row>
    <row r="381" spans="15:27" x14ac:dyDescent="0.3">
      <c r="O381" s="119"/>
      <c r="P381" s="119"/>
      <c r="W381" s="110"/>
    </row>
    <row r="382" spans="15:27" x14ac:dyDescent="0.3">
      <c r="O382" s="119"/>
      <c r="P382" s="119"/>
      <c r="W382" s="110"/>
    </row>
    <row r="383" spans="15:27" x14ac:dyDescent="0.3">
      <c r="O383" s="119"/>
      <c r="P383" s="119"/>
      <c r="W383" s="110"/>
    </row>
    <row r="384" spans="15:27" x14ac:dyDescent="0.3">
      <c r="O384" s="119"/>
      <c r="P384" s="119"/>
      <c r="W384" s="110"/>
    </row>
    <row r="385" spans="15:23" x14ac:dyDescent="0.3">
      <c r="O385" s="119"/>
      <c r="P385" s="119"/>
      <c r="W385" s="110"/>
    </row>
    <row r="386" spans="15:23" x14ac:dyDescent="0.3">
      <c r="O386" s="119"/>
      <c r="P386" s="119"/>
      <c r="W386" s="110"/>
    </row>
    <row r="387" spans="15:23" x14ac:dyDescent="0.3">
      <c r="O387" s="119"/>
      <c r="P387" s="119"/>
      <c r="W387" s="110"/>
    </row>
    <row r="388" spans="15:23" x14ac:dyDescent="0.3">
      <c r="O388" s="119"/>
      <c r="P388" s="119"/>
      <c r="W388" s="110"/>
    </row>
    <row r="389" spans="15:23" x14ac:dyDescent="0.3">
      <c r="O389" s="119"/>
      <c r="P389" s="119"/>
      <c r="W389" s="110"/>
    </row>
    <row r="390" spans="15:23" x14ac:dyDescent="0.3">
      <c r="O390" s="119"/>
      <c r="P390" s="119"/>
      <c r="W390" s="110"/>
    </row>
    <row r="391" spans="15:23" x14ac:dyDescent="0.3">
      <c r="O391" s="119"/>
      <c r="P391" s="119"/>
      <c r="W391" s="110"/>
    </row>
    <row r="392" spans="15:23" x14ac:dyDescent="0.3">
      <c r="O392" s="119"/>
      <c r="P392" s="119"/>
      <c r="W392" s="110"/>
    </row>
    <row r="393" spans="15:23" x14ac:dyDescent="0.3">
      <c r="O393" s="119"/>
      <c r="P393" s="119"/>
      <c r="W393" s="110"/>
    </row>
    <row r="394" spans="15:23" x14ac:dyDescent="0.3">
      <c r="O394" s="119"/>
      <c r="P394" s="119"/>
      <c r="W394" s="110"/>
    </row>
    <row r="395" spans="15:23" x14ac:dyDescent="0.3">
      <c r="O395" s="119"/>
      <c r="P395" s="119"/>
      <c r="W395" s="110"/>
    </row>
    <row r="396" spans="15:23" x14ac:dyDescent="0.3">
      <c r="O396" s="119"/>
      <c r="P396" s="119"/>
      <c r="W396" s="110"/>
    </row>
    <row r="397" spans="15:23" x14ac:dyDescent="0.3">
      <c r="O397" s="119"/>
      <c r="P397" s="119"/>
      <c r="W397" s="110"/>
    </row>
    <row r="398" spans="15:23" x14ac:dyDescent="0.3">
      <c r="O398" s="119"/>
      <c r="P398" s="119"/>
      <c r="W398" s="110"/>
    </row>
    <row r="399" spans="15:23" x14ac:dyDescent="0.3">
      <c r="O399" s="119"/>
      <c r="P399" s="119"/>
      <c r="W399" s="110"/>
    </row>
    <row r="400" spans="15:23" x14ac:dyDescent="0.3">
      <c r="O400" s="119"/>
      <c r="P400" s="119"/>
      <c r="W400" s="110"/>
    </row>
    <row r="401" spans="15:16" x14ac:dyDescent="0.3">
      <c r="O401" s="119"/>
      <c r="P401" s="119"/>
    </row>
    <row r="402" spans="15:16" x14ac:dyDescent="0.3">
      <c r="O402" s="119"/>
      <c r="P402" s="119"/>
    </row>
    <row r="403" spans="15:16" x14ac:dyDescent="0.3">
      <c r="O403" s="119"/>
      <c r="P403" s="119"/>
    </row>
    <row r="404" spans="15:16" x14ac:dyDescent="0.3">
      <c r="O404" s="119"/>
      <c r="P404" s="119"/>
    </row>
    <row r="405" spans="15:16" x14ac:dyDescent="0.3">
      <c r="O405" s="119"/>
      <c r="P405" s="119"/>
    </row>
    <row r="406" spans="15:16" x14ac:dyDescent="0.3">
      <c r="O406" s="119"/>
      <c r="P406" s="119"/>
    </row>
    <row r="407" spans="15:16" x14ac:dyDescent="0.3">
      <c r="O407" s="119"/>
      <c r="P407" s="119"/>
    </row>
    <row r="408" spans="15:16" x14ac:dyDescent="0.3">
      <c r="O408" s="119"/>
      <c r="P408" s="119"/>
    </row>
    <row r="409" spans="15:16" x14ac:dyDescent="0.3">
      <c r="O409" s="119"/>
      <c r="P409" s="119"/>
    </row>
    <row r="410" spans="15:16" x14ac:dyDescent="0.3">
      <c r="O410" s="119"/>
      <c r="P410" s="119"/>
    </row>
    <row r="411" spans="15:16" x14ac:dyDescent="0.3">
      <c r="O411" s="119"/>
      <c r="P411" s="119"/>
    </row>
    <row r="412" spans="15:16" x14ac:dyDescent="0.3">
      <c r="O412" s="119"/>
      <c r="P412" s="119"/>
    </row>
    <row r="413" spans="15:16" x14ac:dyDescent="0.3">
      <c r="O413" s="119"/>
      <c r="P413" s="119"/>
    </row>
    <row r="414" spans="15:16" x14ac:dyDescent="0.3">
      <c r="O414" s="119"/>
      <c r="P414" s="119"/>
    </row>
    <row r="415" spans="15:16" x14ac:dyDescent="0.3">
      <c r="O415" s="119"/>
      <c r="P415" s="119"/>
    </row>
    <row r="416" spans="15:16" x14ac:dyDescent="0.3">
      <c r="O416" s="119"/>
      <c r="P416" s="119"/>
    </row>
    <row r="417" spans="15:16" x14ac:dyDescent="0.3">
      <c r="O417" s="119"/>
      <c r="P417" s="119"/>
    </row>
    <row r="418" spans="15:16" x14ac:dyDescent="0.3">
      <c r="O418" s="119"/>
      <c r="P418" s="119"/>
    </row>
    <row r="419" spans="15:16" x14ac:dyDescent="0.3">
      <c r="O419" s="119"/>
      <c r="P419" s="119"/>
    </row>
    <row r="420" spans="15:16" x14ac:dyDescent="0.3">
      <c r="O420" s="119"/>
      <c r="P420" s="119"/>
    </row>
    <row r="421" spans="15:16" x14ac:dyDescent="0.3">
      <c r="O421" s="119"/>
      <c r="P421" s="119"/>
    </row>
  </sheetData>
  <sheetProtection algorithmName="SHA-512" hashValue="sACA01TkMx9jVE13JoGzpZOxo/EqoCiWmi14rqK7BXh+K/DdQspH4ZWQWNZx7Myt5YpNSGVhAZ9DFNYDFixS3Q==" saltValue="AGV+u0lCPKo7Ylfvw+KK1w==" spinCount="100000" sheet="1"/>
  <autoFilter ref="C7:I7" xr:uid="{9B3F2D12-3CE8-4FCA-8B3B-BB915EED4C71}"/>
  <mergeCells count="6">
    <mergeCell ref="Y6:AA6"/>
    <mergeCell ref="G1:O3"/>
    <mergeCell ref="P5:T5"/>
    <mergeCell ref="K6:M6"/>
    <mergeCell ref="N6:O6"/>
    <mergeCell ref="W6:X6"/>
  </mergeCells>
  <phoneticPr fontId="2" type="noConversion"/>
  <conditionalFormatting sqref="F8:O500">
    <cfRule type="expression" priority="1" stopIfTrue="1">
      <formula>$U8=""</formula>
    </cfRule>
    <cfRule type="expression" dxfId="58" priority="2">
      <formula>AND($U8=0)</formula>
    </cfRule>
    <cfRule type="expression" dxfId="57" priority="3">
      <formula>$V8=6</formula>
    </cfRule>
    <cfRule type="expression" dxfId="56" priority="4">
      <formula>$V8=5</formula>
    </cfRule>
    <cfRule type="expression" dxfId="55" priority="5">
      <formula>$V8=4</formula>
    </cfRule>
    <cfRule type="expression" dxfId="54" priority="6">
      <formula>$V8=3</formula>
    </cfRule>
    <cfRule type="expression" dxfId="53" priority="7">
      <formula>$V8=2</formula>
    </cfRule>
    <cfRule type="expression" dxfId="52" priority="8">
      <formula>$V8=1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DE09-7565-46C0-9595-F7237D3E14A7}">
  <dimension ref="B1:AE421"/>
  <sheetViews>
    <sheetView workbookViewId="0">
      <pane ySplit="7" topLeftCell="A8" activePane="bottomLeft" state="frozen"/>
      <selection pane="bottomLeft" activeCell="G1" sqref="G1:O3"/>
    </sheetView>
  </sheetViews>
  <sheetFormatPr defaultRowHeight="16.5" x14ac:dyDescent="0.3"/>
  <cols>
    <col min="1" max="1" width="17.625" style="7" customWidth="1"/>
    <col min="2" max="3" width="9" style="7" hidden="1" customWidth="1"/>
    <col min="4" max="5" width="0" style="41" hidden="1" customWidth="1"/>
    <col min="6" max="6" width="6.875" style="113" customWidth="1"/>
    <col min="7" max="7" width="12.375" style="41" customWidth="1"/>
    <col min="8" max="8" width="14.75" style="41" customWidth="1"/>
    <col min="9" max="9" width="7" style="41" customWidth="1"/>
    <col min="10" max="10" width="8.625" style="41" customWidth="1"/>
    <col min="11" max="11" width="10.625" style="113" customWidth="1"/>
    <col min="12" max="12" width="12.125" style="41" customWidth="1"/>
    <col min="13" max="13" width="10.625" style="41" customWidth="1"/>
    <col min="14" max="14" width="13.875" style="113" customWidth="1"/>
    <col min="15" max="16" width="9.125" style="73" customWidth="1"/>
    <col min="17" max="20" width="9.125" style="41" customWidth="1"/>
    <col min="21" max="21" width="0.25" style="41" hidden="1" customWidth="1"/>
    <col min="22" max="22" width="0.25" style="113" hidden="1" customWidth="1"/>
    <col min="23" max="24" width="9.5" style="108" customWidth="1"/>
    <col min="25" max="27" width="5" style="41" customWidth="1"/>
    <col min="28" max="30" width="9" style="7"/>
    <col min="31" max="31" width="9" style="7" hidden="1" customWidth="1"/>
    <col min="32" max="16384" width="9" style="7"/>
  </cols>
  <sheetData>
    <row r="1" spans="2:31" x14ac:dyDescent="0.3">
      <c r="B1" s="107" t="s">
        <v>345</v>
      </c>
      <c r="C1" s="73" t="s">
        <v>251</v>
      </c>
      <c r="D1" s="41" t="s">
        <v>379</v>
      </c>
      <c r="E1" s="73" t="s">
        <v>459</v>
      </c>
      <c r="F1" s="73"/>
      <c r="G1" s="217" t="s">
        <v>895</v>
      </c>
      <c r="H1" s="218"/>
      <c r="I1" s="218"/>
      <c r="J1" s="218"/>
      <c r="K1" s="218"/>
      <c r="L1" s="218"/>
      <c r="M1" s="218"/>
      <c r="N1" s="218"/>
      <c r="O1" s="218"/>
      <c r="T1" s="73"/>
      <c r="V1" s="73"/>
    </row>
    <row r="2" spans="2:31" x14ac:dyDescent="0.3">
      <c r="B2" s="107">
        <v>1</v>
      </c>
      <c r="C2" s="73">
        <v>2</v>
      </c>
      <c r="D2" s="41">
        <v>3</v>
      </c>
      <c r="E2" s="73">
        <v>4</v>
      </c>
      <c r="F2" s="73"/>
      <c r="G2" s="218"/>
      <c r="H2" s="218"/>
      <c r="I2" s="218"/>
      <c r="J2" s="218"/>
      <c r="K2" s="218"/>
      <c r="L2" s="218"/>
      <c r="M2" s="218"/>
      <c r="N2" s="218"/>
      <c r="O2" s="218"/>
      <c r="T2" s="73"/>
      <c r="V2" s="73"/>
    </row>
    <row r="3" spans="2:31" x14ac:dyDescent="0.3">
      <c r="B3" s="43" t="s">
        <v>671</v>
      </c>
      <c r="F3" s="73"/>
      <c r="G3" s="218"/>
      <c r="H3" s="218"/>
      <c r="I3" s="218"/>
      <c r="J3" s="218"/>
      <c r="K3" s="218"/>
      <c r="L3" s="218"/>
      <c r="M3" s="218"/>
      <c r="N3" s="218"/>
      <c r="O3" s="218"/>
      <c r="R3" s="73"/>
      <c r="T3" s="73"/>
      <c r="V3" s="73"/>
    </row>
    <row r="4" spans="2:31" x14ac:dyDescent="0.3">
      <c r="B4" s="43">
        <v>2</v>
      </c>
      <c r="C4" s="7" t="str">
        <f>IF($B$4=1,CONCATENATE($B$1,AE4),IF($B$4=2,CONCATENATE($C$1,AE4),IF($B$4=3,CONCATENATE($D$1,AE4),IF($B$4=4,CONCATENATE($E$1,AE4)))))</f>
        <v>나</v>
      </c>
      <c r="F4" s="73"/>
      <c r="J4" s="73"/>
      <c r="K4" s="73"/>
      <c r="M4" s="73"/>
      <c r="N4" s="73"/>
      <c r="T4" s="73"/>
      <c r="V4" s="73"/>
    </row>
    <row r="5" spans="2:31" x14ac:dyDescent="0.3">
      <c r="F5" s="73"/>
      <c r="J5" s="73"/>
      <c r="K5" s="73"/>
      <c r="M5" s="109"/>
      <c r="N5" s="73"/>
      <c r="P5" s="214" t="s">
        <v>474</v>
      </c>
      <c r="Q5" s="215"/>
      <c r="R5" s="215"/>
      <c r="S5" s="215"/>
      <c r="T5" s="216"/>
      <c r="V5" s="73"/>
      <c r="W5" s="110"/>
    </row>
    <row r="6" spans="2:31" x14ac:dyDescent="0.3">
      <c r="F6" s="111"/>
      <c r="G6" s="112"/>
      <c r="H6" s="112"/>
      <c r="I6" s="112"/>
      <c r="J6" s="62"/>
      <c r="K6" s="214" t="s">
        <v>475</v>
      </c>
      <c r="L6" s="215"/>
      <c r="M6" s="216"/>
      <c r="N6" s="219" t="s">
        <v>476</v>
      </c>
      <c r="O6" s="220"/>
      <c r="P6" s="61" t="s">
        <v>885</v>
      </c>
      <c r="Q6" s="62" t="s">
        <v>886</v>
      </c>
      <c r="R6" s="62" t="s">
        <v>887</v>
      </c>
      <c r="S6" s="62" t="s">
        <v>888</v>
      </c>
      <c r="T6" s="63"/>
      <c r="W6" s="221" t="s">
        <v>893</v>
      </c>
      <c r="X6" s="222"/>
      <c r="Y6" s="214" t="s">
        <v>672</v>
      </c>
      <c r="Z6" s="215"/>
      <c r="AA6" s="216"/>
    </row>
    <row r="7" spans="2:31" x14ac:dyDescent="0.3">
      <c r="D7" s="41" t="s">
        <v>473</v>
      </c>
      <c r="E7" s="41" t="s">
        <v>472</v>
      </c>
      <c r="F7" s="114" t="s">
        <v>97</v>
      </c>
      <c r="G7" s="109" t="s">
        <v>88</v>
      </c>
      <c r="H7" s="109" t="s">
        <v>89</v>
      </c>
      <c r="I7" s="109" t="s">
        <v>90</v>
      </c>
      <c r="J7" s="115" t="s">
        <v>96</v>
      </c>
      <c r="K7" s="114" t="s">
        <v>461</v>
      </c>
      <c r="L7" s="116" t="s">
        <v>463</v>
      </c>
      <c r="M7" s="116" t="s">
        <v>462</v>
      </c>
      <c r="N7" s="114" t="s">
        <v>284</v>
      </c>
      <c r="O7" s="115" t="s">
        <v>98</v>
      </c>
      <c r="P7" s="64">
        <v>0.9</v>
      </c>
      <c r="Q7" s="65">
        <v>0.7</v>
      </c>
      <c r="R7" s="66">
        <v>0.4</v>
      </c>
      <c r="S7" s="67">
        <v>0.1</v>
      </c>
      <c r="T7" s="68">
        <v>0.01</v>
      </c>
      <c r="U7" s="41" t="s">
        <v>96</v>
      </c>
      <c r="V7" s="113" t="s">
        <v>250</v>
      </c>
      <c r="W7" s="117" t="s">
        <v>894</v>
      </c>
      <c r="X7" s="118" t="s">
        <v>103</v>
      </c>
      <c r="Y7" s="109" t="s">
        <v>113</v>
      </c>
      <c r="Z7" s="109" t="s">
        <v>237</v>
      </c>
      <c r="AA7" s="115" t="s">
        <v>673</v>
      </c>
    </row>
    <row r="8" spans="2:31" x14ac:dyDescent="0.3">
      <c r="C8" s="7" t="s">
        <v>1231</v>
      </c>
      <c r="D8" s="41" t="s">
        <v>1232</v>
      </c>
      <c r="E8" s="41">
        <v>16</v>
      </c>
      <c r="F8" s="113" t="s">
        <v>346</v>
      </c>
      <c r="G8" s="41" t="s">
        <v>681</v>
      </c>
      <c r="H8" s="41" t="s">
        <v>278</v>
      </c>
      <c r="I8" s="41" t="s">
        <v>274</v>
      </c>
      <c r="J8" s="41" t="str">
        <f t="shared" ref="J8:J71" si="0">IFERROR(IF(U8=1,"O",IF(U8=0,"X","")),"")</f>
        <v>X</v>
      </c>
      <c r="K8" s="113">
        <f>IFERROR(INDEX(환산공식!CI$16:CI$301,MATCH($E8,환산공식!$A$16:$A$301,0)),"")</f>
        <v>0</v>
      </c>
      <c r="L8" s="41" t="str">
        <f>IFERROR(CONCATENATE(ROUND(INDEX(환산공식!CJ$16:CJ$301,MATCH(E8,환산공식!$A$16:$A$301,0)),1),"%"),"")</f>
        <v/>
      </c>
      <c r="M8" s="41">
        <f>IFERROR(INDEX(환산공식!CK$16:CK$301,MATCH(E8,환산공식!$A$16:$A$301,0)),"")</f>
        <v>0</v>
      </c>
      <c r="N8" s="113" t="str">
        <f t="shared" ref="N8:N71" si="1">IF(E8="","",IF(O8&gt;P8,"90% 이상",IF(O8&gt;Q8,CONCATENATE(ROUND(((O8-Q8)/(P8-Q8))*20+70,0),"%"),IF(O8&gt;R8,CONCATENATE(ROUND(((O8-R8)/(Q8-R8))*30+40,0),"%"),IF(O8&gt;S8,CONCATENATE(ROUND(((O8-S8)/(R8-S8))*30+10,0),"%"),IF(O8&gt;T8,CONCATENATE(ROUND(((O8-T8)/(S8-T8))*9+1,0),"%"),"1% 이하"))))))</f>
        <v>1% 이하</v>
      </c>
      <c r="O8" s="119">
        <f>IFERROR(ROUND(INDEX(환산공식!$EF$16:$EF$301,MATCH(E8,환산공식!$A$16:$A$301,0)),3),"")</f>
        <v>0</v>
      </c>
      <c r="P8" s="119">
        <f>IFERROR(ROUND(INDEX('배치점수 계산기'!M$11:M$1000,MATCH($C8,'배치점수 계산기'!$U$11:$U$1000,0)),2),"")</f>
        <v>423.08</v>
      </c>
      <c r="Q8" s="41">
        <f>IFERROR(ROUND(INDEX('배치점수 계산기'!N$11:N$1000,MATCH($C8,'배치점수 계산기'!$U$11:$U$1000,0)),2),"")</f>
        <v>419.36</v>
      </c>
      <c r="R8" s="41">
        <f>IFERROR(ROUND(INDEX('배치점수 계산기'!O$11:O$1000,MATCH($C8,'배치점수 계산기'!$U$11:$U$1000,0)),2),"")</f>
        <v>417.62</v>
      </c>
      <c r="S8" s="41">
        <f>IFERROR(ROUND(INDEX('배치점수 계산기'!P$11:P$1000,MATCH($C8,'배치점수 계산기'!$U$11:$U$1000,0)),2),"")</f>
        <v>409.82</v>
      </c>
      <c r="T8" s="41">
        <f>IFERROR(ROUND(INDEX('배치점수 계산기'!Q$11:Q$1000,MATCH($C8,'배치점수 계산기'!$U$11:$U$1000,0)),2),"")</f>
        <v>404.66</v>
      </c>
      <c r="U8" s="41">
        <f>IFERROR(INDEX(환산공식!$DC$16:$DC$301,MATCH(E8,환산공식!$A$16:$A$301,0)),"")</f>
        <v>0</v>
      </c>
      <c r="V8" s="113">
        <f t="shared" ref="V8:V71" si="2">IFERROR(IF(T8="","",IF(O8&gt;P8,1,IF(O8&gt;Q8,2,IF(O8&gt;R8,3,IF(O8&gt;S8,4,IF(O8&gt;=T8,5,IF(O8&lt;T8,6))))))),"")</f>
        <v>6</v>
      </c>
      <c r="W8" s="110" t="str">
        <f>INDEX('배치점수 계산기'!$AG$11:$AG$800,MATCH('       나 군       '!$C8,'배치점수 계산기'!$U$11:$U$800,0))</f>
        <v>표점</v>
      </c>
      <c r="X8" s="108" t="str">
        <f>INDEX('배치점수 계산기'!$AH$11:$AH$800,MATCH('       나 군       '!$C8,'배치점수 계산기'!$U$11:$U$800,0))</f>
        <v>표점</v>
      </c>
      <c r="Y8" s="111">
        <f>INDEX('배치점수 계산기'!$AB$11:$AB$800,MATCH('       나 군       '!$C8,'배치점수 계산기'!$U$11:$U$800,0))</f>
        <v>0.33333333333333331</v>
      </c>
      <c r="Z8" s="112">
        <f>INDEX('배치점수 계산기'!$AC$11:$AC$800,MATCH('       나 군       '!$C8,'배치점수 계산기'!$U$11:$U$800,0))</f>
        <v>0.39999999999999997</v>
      </c>
      <c r="AA8" s="62">
        <f>INDEX('배치점수 계산기'!$AD$11:$AD$800,MATCH('       나 군       '!$C8,'배치점수 계산기'!$U$11:$U$800,0))</f>
        <v>0.26666666666666666</v>
      </c>
      <c r="AE8" s="7">
        <v>1</v>
      </c>
    </row>
    <row r="9" spans="2:31" x14ac:dyDescent="0.3">
      <c r="C9" s="7" t="s">
        <v>1233</v>
      </c>
      <c r="D9" s="41" t="s">
        <v>1232</v>
      </c>
      <c r="E9" s="41">
        <v>16</v>
      </c>
      <c r="F9" s="113" t="s">
        <v>346</v>
      </c>
      <c r="G9" s="41" t="s">
        <v>681</v>
      </c>
      <c r="H9" s="41" t="s">
        <v>279</v>
      </c>
      <c r="I9" s="41" t="s">
        <v>274</v>
      </c>
      <c r="J9" s="41" t="str">
        <f t="shared" si="0"/>
        <v>X</v>
      </c>
      <c r="K9" s="113">
        <f>IFERROR(INDEX(환산공식!CI$16:CI$301,MATCH($E9,환산공식!$A$16:$A$301,0)),"")</f>
        <v>0</v>
      </c>
      <c r="L9" s="41" t="str">
        <f>IFERROR(CONCATENATE(ROUND(INDEX(환산공식!CJ$16:CJ$301,MATCH(E9,환산공식!$A$16:$A$301,0)),1),"%"),"")</f>
        <v/>
      </c>
      <c r="M9" s="41">
        <f>IFERROR(INDEX(환산공식!CK$16:CK$301,MATCH(E9,환산공식!$A$16:$A$301,0)),"")</f>
        <v>0</v>
      </c>
      <c r="N9" s="113" t="str">
        <f t="shared" si="1"/>
        <v>1% 이하</v>
      </c>
      <c r="O9" s="119">
        <f>IFERROR(ROUND(INDEX(환산공식!$EF$16:$EF$301,MATCH(E9,환산공식!$A$16:$A$301,0)),3),"")</f>
        <v>0</v>
      </c>
      <c r="P9" s="119">
        <f>IFERROR(ROUND(INDEX('배치점수 계산기'!M$11:M$1000,MATCH($C9,'배치점수 계산기'!$U$11:$U$1000,0)),2),"")</f>
        <v>416.12</v>
      </c>
      <c r="Q9" s="41">
        <f>IFERROR(ROUND(INDEX('배치점수 계산기'!N$11:N$1000,MATCH($C9,'배치점수 계산기'!$U$11:$U$1000,0)),2),"")</f>
        <v>413.88</v>
      </c>
      <c r="R9" s="41">
        <f>IFERROR(ROUND(INDEX('배치점수 계산기'!O$11:O$1000,MATCH($C9,'배치점수 계산기'!$U$11:$U$1000,0)),2),"")</f>
        <v>409.82</v>
      </c>
      <c r="S9" s="41">
        <f>IFERROR(ROUND(INDEX('배치점수 계산기'!P$11:P$1000,MATCH($C9,'배치점수 계산기'!$U$11:$U$1000,0)),2),"")</f>
        <v>407.64</v>
      </c>
      <c r="T9" s="41">
        <f>IFERROR(ROUND(INDEX('배치점수 계산기'!Q$11:Q$1000,MATCH($C9,'배치점수 계산기'!$U$11:$U$1000,0)),2),"")</f>
        <v>402.1</v>
      </c>
      <c r="U9" s="41">
        <f>IFERROR(INDEX(환산공식!$DC$16:$DC$301,MATCH(E9,환산공식!$A$16:$A$301,0)),"")</f>
        <v>0</v>
      </c>
      <c r="V9" s="113">
        <f t="shared" si="2"/>
        <v>6</v>
      </c>
      <c r="W9" s="110" t="str">
        <f>INDEX('배치점수 계산기'!$AG$11:$AG$800,MATCH('       나 군       '!$C9,'배치점수 계산기'!$U$11:$U$800,0))</f>
        <v>표점</v>
      </c>
      <c r="X9" s="108" t="str">
        <f>INDEX('배치점수 계산기'!$AH$11:$AH$800,MATCH('       나 군       '!$C9,'배치점수 계산기'!$U$11:$U$800,0))</f>
        <v>표점</v>
      </c>
      <c r="Y9" s="113">
        <f>INDEX('배치점수 계산기'!$AB$11:$AB$800,MATCH('       나 군       '!$C9,'배치점수 계산기'!$U$11:$U$800,0))</f>
        <v>0.33333333333333331</v>
      </c>
      <c r="Z9" s="73">
        <f>INDEX('배치점수 계산기'!$AC$11:$AC$800,MATCH('       나 군       '!$C9,'배치점수 계산기'!$U$11:$U$800,0))</f>
        <v>0.39999999999999997</v>
      </c>
      <c r="AA9" s="63">
        <f>INDEX('배치점수 계산기'!$AD$11:$AD$800,MATCH('       나 군       '!$C9,'배치점수 계산기'!$U$11:$U$800,0))</f>
        <v>0.26666666666666666</v>
      </c>
      <c r="AE9" s="7">
        <v>2</v>
      </c>
    </row>
    <row r="10" spans="2:31" x14ac:dyDescent="0.3">
      <c r="C10" s="7" t="s">
        <v>1234</v>
      </c>
      <c r="D10" s="41" t="s">
        <v>1232</v>
      </c>
      <c r="E10" s="41">
        <v>16</v>
      </c>
      <c r="F10" s="113" t="s">
        <v>346</v>
      </c>
      <c r="G10" s="41" t="s">
        <v>681</v>
      </c>
      <c r="H10" s="41" t="s">
        <v>723</v>
      </c>
      <c r="I10" s="41" t="s">
        <v>274</v>
      </c>
      <c r="J10" s="41" t="str">
        <f t="shared" si="0"/>
        <v>X</v>
      </c>
      <c r="K10" s="113">
        <f>IFERROR(INDEX(환산공식!CI$16:CI$301,MATCH($E10,환산공식!$A$16:$A$301,0)),"")</f>
        <v>0</v>
      </c>
      <c r="L10" s="41" t="str">
        <f>IFERROR(CONCATENATE(ROUND(INDEX(환산공식!CJ$16:CJ$301,MATCH(E10,환산공식!$A$16:$A$301,0)),1),"%"),"")</f>
        <v/>
      </c>
      <c r="M10" s="41">
        <f>IFERROR(INDEX(환산공식!CK$16:CK$301,MATCH(E10,환산공식!$A$16:$A$301,0)),"")</f>
        <v>0</v>
      </c>
      <c r="N10" s="113" t="str">
        <f t="shared" si="1"/>
        <v>1% 이하</v>
      </c>
      <c r="O10" s="119">
        <f>IFERROR(ROUND(INDEX(환산공식!$EF$16:$EF$301,MATCH(E10,환산공식!$A$16:$A$301,0)),3),"")</f>
        <v>0</v>
      </c>
      <c r="P10" s="119">
        <f>IFERROR(ROUND(INDEX('배치점수 계산기'!M$11:M$1000,MATCH($C10,'배치점수 계산기'!$U$11:$U$1000,0)),2),"")</f>
        <v>412.82</v>
      </c>
      <c r="Q10" s="41">
        <f>IFERROR(ROUND(INDEX('배치점수 계산기'!N$11:N$1000,MATCH($C10,'배치점수 계산기'!$U$11:$U$1000,0)),2),"")</f>
        <v>411.76</v>
      </c>
      <c r="R10" s="41">
        <f>IFERROR(ROUND(INDEX('배치점수 계산기'!O$11:O$1000,MATCH($C10,'배치점수 계산기'!$U$11:$U$1000,0)),2),"")</f>
        <v>409.46</v>
      </c>
      <c r="S10" s="41">
        <f>IFERROR(ROUND(INDEX('배치점수 계산기'!P$11:P$1000,MATCH($C10,'배치점수 계산기'!$U$11:$U$1000,0)),2),"")</f>
        <v>405.26</v>
      </c>
      <c r="T10" s="41">
        <f>IFERROR(ROUND(INDEX('배치점수 계산기'!Q$11:Q$1000,MATCH($C10,'배치점수 계산기'!$U$11:$U$1000,0)),2),"")</f>
        <v>399.44</v>
      </c>
      <c r="U10" s="41">
        <f>IFERROR(INDEX(환산공식!$DC$16:$DC$301,MATCH(E10,환산공식!$A$16:$A$301,0)),"")</f>
        <v>0</v>
      </c>
      <c r="V10" s="113">
        <f t="shared" si="2"/>
        <v>6</v>
      </c>
      <c r="W10" s="110" t="str">
        <f>INDEX('배치점수 계산기'!$AG$11:$AG$800,MATCH('       나 군       '!$C10,'배치점수 계산기'!$U$11:$U$800,0))</f>
        <v>표점</v>
      </c>
      <c r="X10" s="108" t="str">
        <f>INDEX('배치점수 계산기'!$AH$11:$AH$800,MATCH('       나 군       '!$C10,'배치점수 계산기'!$U$11:$U$800,0))</f>
        <v>표점</v>
      </c>
      <c r="Y10" s="113">
        <f>INDEX('배치점수 계산기'!$AB$11:$AB$800,MATCH('       나 군       '!$C10,'배치점수 계산기'!$U$11:$U$800,0))</f>
        <v>0.33333333333333331</v>
      </c>
      <c r="Z10" s="73">
        <f>INDEX('배치점수 계산기'!$AC$11:$AC$800,MATCH('       나 군       '!$C10,'배치점수 계산기'!$U$11:$U$800,0))</f>
        <v>0.39999999999999997</v>
      </c>
      <c r="AA10" s="63">
        <f>INDEX('배치점수 계산기'!$AD$11:$AD$800,MATCH('       나 군       '!$C10,'배치점수 계산기'!$U$11:$U$800,0))</f>
        <v>0.26666666666666666</v>
      </c>
      <c r="AE10" s="7">
        <v>3</v>
      </c>
    </row>
    <row r="11" spans="2:31" x14ac:dyDescent="0.3">
      <c r="C11" s="7" t="s">
        <v>1235</v>
      </c>
      <c r="D11" s="41" t="s">
        <v>1232</v>
      </c>
      <c r="E11" s="41">
        <v>16</v>
      </c>
      <c r="F11" s="113" t="s">
        <v>346</v>
      </c>
      <c r="G11" s="41" t="s">
        <v>681</v>
      </c>
      <c r="H11" s="41" t="s">
        <v>280</v>
      </c>
      <c r="I11" s="41" t="s">
        <v>274</v>
      </c>
      <c r="J11" s="41" t="str">
        <f t="shared" si="0"/>
        <v>X</v>
      </c>
      <c r="K11" s="113">
        <f>IFERROR(INDEX(환산공식!CI$16:CI$301,MATCH($E11,환산공식!$A$16:$A$301,0)),"")</f>
        <v>0</v>
      </c>
      <c r="L11" s="41" t="str">
        <f>IFERROR(CONCATENATE(ROUND(INDEX(환산공식!CJ$16:CJ$301,MATCH(E11,환산공식!$A$16:$A$301,0)),1),"%"),"")</f>
        <v/>
      </c>
      <c r="M11" s="41">
        <f>IFERROR(INDEX(환산공식!CK$16:CK$301,MATCH(E11,환산공식!$A$16:$A$301,0)),"")</f>
        <v>0</v>
      </c>
      <c r="N11" s="113" t="str">
        <f t="shared" si="1"/>
        <v>1% 이하</v>
      </c>
      <c r="O11" s="119">
        <f>IFERROR(ROUND(INDEX(환산공식!$EF$16:$EF$301,MATCH(E11,환산공식!$A$16:$A$301,0)),3),"")</f>
        <v>0</v>
      </c>
      <c r="P11" s="119">
        <f>IFERROR(ROUND(INDEX('배치점수 계산기'!M$11:M$1000,MATCH($C11,'배치점수 계산기'!$U$11:$U$1000,0)),2),"")</f>
        <v>412.82</v>
      </c>
      <c r="Q11" s="41">
        <f>IFERROR(ROUND(INDEX('배치점수 계산기'!N$11:N$1000,MATCH($C11,'배치점수 계산기'!$U$11:$U$1000,0)),2),"")</f>
        <v>410.58</v>
      </c>
      <c r="R11" s="41">
        <f>IFERROR(ROUND(INDEX('배치점수 계산기'!O$11:O$1000,MATCH($C11,'배치점수 계산기'!$U$11:$U$1000,0)),2),"")</f>
        <v>408.82</v>
      </c>
      <c r="S11" s="41">
        <f>IFERROR(ROUND(INDEX('배치점수 계산기'!P$11:P$1000,MATCH($C11,'배치점수 계산기'!$U$11:$U$1000,0)),2),"")</f>
        <v>406.54</v>
      </c>
      <c r="T11" s="41">
        <f>IFERROR(ROUND(INDEX('배치점수 계산기'!Q$11:Q$1000,MATCH($C11,'배치점수 계산기'!$U$11:$U$1000,0)),2),"")</f>
        <v>399.44</v>
      </c>
      <c r="U11" s="41">
        <f>IFERROR(INDEX(환산공식!$DC$16:$DC$301,MATCH(E11,환산공식!$A$16:$A$301,0)),"")</f>
        <v>0</v>
      </c>
      <c r="V11" s="113">
        <f t="shared" si="2"/>
        <v>6</v>
      </c>
      <c r="W11" s="110" t="str">
        <f>INDEX('배치점수 계산기'!$AG$11:$AG$800,MATCH('       나 군       '!$C11,'배치점수 계산기'!$U$11:$U$800,0))</f>
        <v>표점</v>
      </c>
      <c r="X11" s="108" t="str">
        <f>INDEX('배치점수 계산기'!$AH$11:$AH$800,MATCH('       나 군       '!$C11,'배치점수 계산기'!$U$11:$U$800,0))</f>
        <v>표점</v>
      </c>
      <c r="Y11" s="113">
        <f>INDEX('배치점수 계산기'!$AB$11:$AB$800,MATCH('       나 군       '!$C11,'배치점수 계산기'!$U$11:$U$800,0))</f>
        <v>0.33333333333333331</v>
      </c>
      <c r="Z11" s="73">
        <f>INDEX('배치점수 계산기'!$AC$11:$AC$800,MATCH('       나 군       '!$C11,'배치점수 계산기'!$U$11:$U$800,0))</f>
        <v>0.39999999999999997</v>
      </c>
      <c r="AA11" s="63">
        <f>INDEX('배치점수 계산기'!$AD$11:$AD$800,MATCH('       나 군       '!$C11,'배치점수 계산기'!$U$11:$U$800,0))</f>
        <v>0.26666666666666666</v>
      </c>
      <c r="AE11" s="7">
        <v>4</v>
      </c>
    </row>
    <row r="12" spans="2:31" x14ac:dyDescent="0.3">
      <c r="C12" s="7" t="s">
        <v>1236</v>
      </c>
      <c r="D12" s="41" t="s">
        <v>1232</v>
      </c>
      <c r="E12" s="41">
        <v>16</v>
      </c>
      <c r="F12" s="113" t="s">
        <v>346</v>
      </c>
      <c r="G12" s="41" t="s">
        <v>681</v>
      </c>
      <c r="H12" s="41" t="s">
        <v>281</v>
      </c>
      <c r="I12" s="41" t="s">
        <v>274</v>
      </c>
      <c r="J12" s="41" t="str">
        <f t="shared" si="0"/>
        <v>X</v>
      </c>
      <c r="K12" s="113">
        <f>IFERROR(INDEX(환산공식!CI$16:CI$301,MATCH($E12,환산공식!$A$16:$A$301,0)),"")</f>
        <v>0</v>
      </c>
      <c r="L12" s="41" t="str">
        <f>IFERROR(CONCATENATE(ROUND(INDEX(환산공식!CJ$16:CJ$301,MATCH(E12,환산공식!$A$16:$A$301,0)),1),"%"),"")</f>
        <v/>
      </c>
      <c r="M12" s="41">
        <f>IFERROR(INDEX(환산공식!CK$16:CK$301,MATCH(E12,환산공식!$A$16:$A$301,0)),"")</f>
        <v>0</v>
      </c>
      <c r="N12" s="113" t="str">
        <f t="shared" si="1"/>
        <v>1% 이하</v>
      </c>
      <c r="O12" s="119">
        <f>IFERROR(ROUND(INDEX(환산공식!$EF$16:$EF$301,MATCH(E12,환산공식!$A$16:$A$301,0)),3),"")</f>
        <v>0</v>
      </c>
      <c r="P12" s="119">
        <f>IFERROR(ROUND(INDEX('배치점수 계산기'!M$11:M$1000,MATCH($C12,'배치점수 계산기'!$U$11:$U$1000,0)),2),"")</f>
        <v>414.62</v>
      </c>
      <c r="Q12" s="41">
        <f>IFERROR(ROUND(INDEX('배치점수 계산기'!N$11:N$1000,MATCH($C12,'배치점수 계산기'!$U$11:$U$1000,0)),2),"")</f>
        <v>409.82</v>
      </c>
      <c r="R12" s="41">
        <f>IFERROR(ROUND(INDEX('배치점수 계산기'!O$11:O$1000,MATCH($C12,'배치점수 계산기'!$U$11:$U$1000,0)),2),"")</f>
        <v>407.64</v>
      </c>
      <c r="S12" s="41">
        <f>IFERROR(ROUND(INDEX('배치점수 계산기'!P$11:P$1000,MATCH($C12,'배치점수 계산기'!$U$11:$U$1000,0)),2),"")</f>
        <v>403.08</v>
      </c>
      <c r="T12" s="41">
        <f>IFERROR(ROUND(INDEX('배치점수 계산기'!Q$11:Q$1000,MATCH($C12,'배치점수 계산기'!$U$11:$U$1000,0)),2),"")</f>
        <v>398.96</v>
      </c>
      <c r="U12" s="41">
        <f>IFERROR(INDEX(환산공식!$DC$16:$DC$301,MATCH(E12,환산공식!$A$16:$A$301,0)),"")</f>
        <v>0</v>
      </c>
      <c r="V12" s="113">
        <f t="shared" si="2"/>
        <v>6</v>
      </c>
      <c r="W12" s="110" t="str">
        <f>INDEX('배치점수 계산기'!$AG$11:$AG$800,MATCH('       나 군       '!$C12,'배치점수 계산기'!$U$11:$U$800,0))</f>
        <v>표점</v>
      </c>
      <c r="X12" s="108" t="str">
        <f>INDEX('배치점수 계산기'!$AH$11:$AH$800,MATCH('       나 군       '!$C12,'배치점수 계산기'!$U$11:$U$800,0))</f>
        <v>표점</v>
      </c>
      <c r="Y12" s="113">
        <f>INDEX('배치점수 계산기'!$AB$11:$AB$800,MATCH('       나 군       '!$C12,'배치점수 계산기'!$U$11:$U$800,0))</f>
        <v>0.33333333333333331</v>
      </c>
      <c r="Z12" s="73">
        <f>INDEX('배치점수 계산기'!$AC$11:$AC$800,MATCH('       나 군       '!$C12,'배치점수 계산기'!$U$11:$U$800,0))</f>
        <v>0.39999999999999997</v>
      </c>
      <c r="AA12" s="63">
        <f>INDEX('배치점수 계산기'!$AD$11:$AD$800,MATCH('       나 군       '!$C12,'배치점수 계산기'!$U$11:$U$800,0))</f>
        <v>0.26666666666666666</v>
      </c>
      <c r="AE12" s="7">
        <v>5</v>
      </c>
    </row>
    <row r="13" spans="2:31" x14ac:dyDescent="0.3">
      <c r="C13" s="7" t="s">
        <v>1237</v>
      </c>
      <c r="D13" s="41" t="s">
        <v>1232</v>
      </c>
      <c r="E13" s="41">
        <v>16</v>
      </c>
      <c r="F13" s="113" t="s">
        <v>346</v>
      </c>
      <c r="G13" s="41" t="s">
        <v>681</v>
      </c>
      <c r="H13" s="41" t="s">
        <v>282</v>
      </c>
      <c r="I13" s="41" t="s">
        <v>274</v>
      </c>
      <c r="J13" s="41" t="str">
        <f t="shared" si="0"/>
        <v>X</v>
      </c>
      <c r="K13" s="113">
        <f>IFERROR(INDEX(환산공식!CI$16:CI$301,MATCH($E13,환산공식!$A$16:$A$301,0)),"")</f>
        <v>0</v>
      </c>
      <c r="L13" s="41" t="str">
        <f>IFERROR(CONCATENATE(ROUND(INDEX(환산공식!CJ$16:CJ$301,MATCH(E13,환산공식!$A$16:$A$301,0)),1),"%"),"")</f>
        <v/>
      </c>
      <c r="M13" s="41">
        <f>IFERROR(INDEX(환산공식!CK$16:CK$301,MATCH(E13,환산공식!$A$16:$A$301,0)),"")</f>
        <v>0</v>
      </c>
      <c r="N13" s="113" t="str">
        <f t="shared" si="1"/>
        <v>1% 이하</v>
      </c>
      <c r="O13" s="119">
        <f>IFERROR(ROUND(INDEX(환산공식!$EF$16:$EF$301,MATCH(E13,환산공식!$A$16:$A$301,0)),3),"")</f>
        <v>0</v>
      </c>
      <c r="P13" s="119">
        <f>IFERROR(ROUND(INDEX('배치점수 계산기'!M$11:M$1000,MATCH($C13,'배치점수 계산기'!$U$11:$U$1000,0)),2),"")</f>
        <v>409.82</v>
      </c>
      <c r="Q13" s="41">
        <f>IFERROR(ROUND(INDEX('배치점수 계산기'!N$11:N$1000,MATCH($C13,'배치점수 계산기'!$U$11:$U$1000,0)),2),"")</f>
        <v>408.74</v>
      </c>
      <c r="R13" s="41">
        <f>IFERROR(ROUND(INDEX('배치점수 계산기'!O$11:O$1000,MATCH($C13,'배치점수 계산기'!$U$11:$U$1000,0)),2),"")</f>
        <v>406.84</v>
      </c>
      <c r="S13" s="41">
        <f>IFERROR(ROUND(INDEX('배치점수 계산기'!P$11:P$1000,MATCH($C13,'배치점수 계산기'!$U$11:$U$1000,0)),2),"")</f>
        <v>399.64</v>
      </c>
      <c r="T13" s="41">
        <f>IFERROR(ROUND(INDEX('배치점수 계산기'!Q$11:Q$1000,MATCH($C13,'배치점수 계산기'!$U$11:$U$1000,0)),2),"")</f>
        <v>397.98</v>
      </c>
      <c r="U13" s="41">
        <f>IFERROR(INDEX(환산공식!$DC$16:$DC$301,MATCH(E13,환산공식!$A$16:$A$301,0)),"")</f>
        <v>0</v>
      </c>
      <c r="V13" s="113">
        <f t="shared" si="2"/>
        <v>6</v>
      </c>
      <c r="W13" s="110" t="str">
        <f>INDEX('배치점수 계산기'!$AG$11:$AG$800,MATCH('       나 군       '!$C13,'배치점수 계산기'!$U$11:$U$800,0))</f>
        <v>표점</v>
      </c>
      <c r="X13" s="108" t="str">
        <f>INDEX('배치점수 계산기'!$AH$11:$AH$800,MATCH('       나 군       '!$C13,'배치점수 계산기'!$U$11:$U$800,0))</f>
        <v>표점</v>
      </c>
      <c r="Y13" s="113">
        <f>INDEX('배치점수 계산기'!$AB$11:$AB$800,MATCH('       나 군       '!$C13,'배치점수 계산기'!$U$11:$U$800,0))</f>
        <v>0.33333333333333331</v>
      </c>
      <c r="Z13" s="73">
        <f>INDEX('배치점수 계산기'!$AC$11:$AC$800,MATCH('       나 군       '!$C13,'배치점수 계산기'!$U$11:$U$800,0))</f>
        <v>0.39999999999999997</v>
      </c>
      <c r="AA13" s="63">
        <f>INDEX('배치점수 계산기'!$AD$11:$AD$800,MATCH('       나 군       '!$C13,'배치점수 계산기'!$U$11:$U$800,0))</f>
        <v>0.26666666666666666</v>
      </c>
      <c r="AE13" s="7">
        <v>6</v>
      </c>
    </row>
    <row r="14" spans="2:31" x14ac:dyDescent="0.3">
      <c r="C14" s="7" t="s">
        <v>1238</v>
      </c>
      <c r="D14" s="41" t="s">
        <v>1232</v>
      </c>
      <c r="E14" s="41">
        <v>16</v>
      </c>
      <c r="F14" s="113" t="s">
        <v>346</v>
      </c>
      <c r="G14" s="41" t="s">
        <v>681</v>
      </c>
      <c r="H14" s="41" t="s">
        <v>724</v>
      </c>
      <c r="I14" s="41" t="s">
        <v>274</v>
      </c>
      <c r="J14" s="41" t="str">
        <f t="shared" si="0"/>
        <v>X</v>
      </c>
      <c r="K14" s="113">
        <f>IFERROR(INDEX(환산공식!CI$16:CI$301,MATCH($E14,환산공식!$A$16:$A$301,0)),"")</f>
        <v>0</v>
      </c>
      <c r="L14" s="41" t="str">
        <f>IFERROR(CONCATENATE(ROUND(INDEX(환산공식!CJ$16:CJ$301,MATCH(E14,환산공식!$A$16:$A$301,0)),1),"%"),"")</f>
        <v/>
      </c>
      <c r="M14" s="41">
        <f>IFERROR(INDEX(환산공식!CK$16:CK$301,MATCH(E14,환산공식!$A$16:$A$301,0)),"")</f>
        <v>0</v>
      </c>
      <c r="N14" s="113" t="str">
        <f t="shared" si="1"/>
        <v>1% 이하</v>
      </c>
      <c r="O14" s="119">
        <f>IFERROR(ROUND(INDEX(환산공식!$EF$16:$EF$301,MATCH(E14,환산공식!$A$16:$A$301,0)),3),"")</f>
        <v>0</v>
      </c>
      <c r="P14" s="119">
        <f>IFERROR(ROUND(INDEX('배치점수 계산기'!M$11:M$1000,MATCH($C14,'배치점수 계산기'!$U$11:$U$1000,0)),2),"")</f>
        <v>409.46</v>
      </c>
      <c r="Q14" s="41">
        <f>IFERROR(ROUND(INDEX('배치점수 계산기'!N$11:N$1000,MATCH($C14,'배치점수 계산기'!$U$11:$U$1000,0)),2),"")</f>
        <v>407.64</v>
      </c>
      <c r="R14" s="41">
        <f>IFERROR(ROUND(INDEX('배치점수 계산기'!O$11:O$1000,MATCH($C14,'배치점수 계산기'!$U$11:$U$1000,0)),2),"")</f>
        <v>405.26</v>
      </c>
      <c r="S14" s="41">
        <f>IFERROR(ROUND(INDEX('배치점수 계산기'!P$11:P$1000,MATCH($C14,'배치점수 계산기'!$U$11:$U$1000,0)),2),"")</f>
        <v>399.64</v>
      </c>
      <c r="T14" s="41">
        <f>IFERROR(ROUND(INDEX('배치점수 계산기'!Q$11:Q$1000,MATCH($C14,'배치점수 계산기'!$U$11:$U$1000,0)),2),"")</f>
        <v>396.88</v>
      </c>
      <c r="U14" s="41">
        <f>IFERROR(INDEX(환산공식!$DC$16:$DC$301,MATCH(E14,환산공식!$A$16:$A$301,0)),"")</f>
        <v>0</v>
      </c>
      <c r="V14" s="113">
        <f t="shared" si="2"/>
        <v>6</v>
      </c>
      <c r="W14" s="110" t="str">
        <f>INDEX('배치점수 계산기'!$AG$11:$AG$800,MATCH('       나 군       '!$C14,'배치점수 계산기'!$U$11:$U$800,0))</f>
        <v>표점</v>
      </c>
      <c r="X14" s="108" t="str">
        <f>INDEX('배치점수 계산기'!$AH$11:$AH$800,MATCH('       나 군       '!$C14,'배치점수 계산기'!$U$11:$U$800,0))</f>
        <v>표점</v>
      </c>
      <c r="Y14" s="113">
        <f>INDEX('배치점수 계산기'!$AB$11:$AB$800,MATCH('       나 군       '!$C14,'배치점수 계산기'!$U$11:$U$800,0))</f>
        <v>0.33333333333333331</v>
      </c>
      <c r="Z14" s="73">
        <f>INDEX('배치점수 계산기'!$AC$11:$AC$800,MATCH('       나 군       '!$C14,'배치점수 계산기'!$U$11:$U$800,0))</f>
        <v>0.39999999999999997</v>
      </c>
      <c r="AA14" s="63">
        <f>INDEX('배치점수 계산기'!$AD$11:$AD$800,MATCH('       나 군       '!$C14,'배치점수 계산기'!$U$11:$U$800,0))</f>
        <v>0.26666666666666666</v>
      </c>
      <c r="AE14" s="7">
        <v>7</v>
      </c>
    </row>
    <row r="15" spans="2:31" x14ac:dyDescent="0.3">
      <c r="C15" s="7" t="s">
        <v>1239</v>
      </c>
      <c r="D15" s="41" t="s">
        <v>1232</v>
      </c>
      <c r="E15" s="41">
        <v>16</v>
      </c>
      <c r="F15" s="113" t="s">
        <v>346</v>
      </c>
      <c r="G15" s="41" t="s">
        <v>681</v>
      </c>
      <c r="H15" s="41" t="s">
        <v>725</v>
      </c>
      <c r="I15" s="41" t="s">
        <v>274</v>
      </c>
      <c r="J15" s="41" t="str">
        <f t="shared" si="0"/>
        <v>X</v>
      </c>
      <c r="K15" s="113">
        <f>IFERROR(INDEX(환산공식!CI$16:CI$301,MATCH($E15,환산공식!$A$16:$A$301,0)),"")</f>
        <v>0</v>
      </c>
      <c r="L15" s="41" t="str">
        <f>IFERROR(CONCATENATE(ROUND(INDEX(환산공식!CJ$16:CJ$301,MATCH(E15,환산공식!$A$16:$A$301,0)),1),"%"),"")</f>
        <v/>
      </c>
      <c r="M15" s="41">
        <f>IFERROR(INDEX(환산공식!CK$16:CK$301,MATCH(E15,환산공식!$A$16:$A$301,0)),"")</f>
        <v>0</v>
      </c>
      <c r="N15" s="113" t="str">
        <f t="shared" si="1"/>
        <v>1% 이하</v>
      </c>
      <c r="O15" s="119">
        <f>IFERROR(ROUND(INDEX(환산공식!$EF$16:$EF$301,MATCH(E15,환산공식!$A$16:$A$301,0)),3),"")</f>
        <v>0</v>
      </c>
      <c r="P15" s="119">
        <f>IFERROR(ROUND(INDEX('배치점수 계산기'!M$11:M$1000,MATCH($C15,'배치점수 계산기'!$U$11:$U$1000,0)),2),"")</f>
        <v>407.32</v>
      </c>
      <c r="Q15" s="41">
        <f>IFERROR(ROUND(INDEX('배치점수 계산기'!N$11:N$1000,MATCH($C15,'배치점수 계산기'!$U$11:$U$1000,0)),2),"")</f>
        <v>405.72</v>
      </c>
      <c r="R15" s="41">
        <f>IFERROR(ROUND(INDEX('배치점수 계산기'!O$11:O$1000,MATCH($C15,'배치점수 계산기'!$U$11:$U$1000,0)),2),"")</f>
        <v>403.54</v>
      </c>
      <c r="S15" s="41">
        <f>IFERROR(ROUND(INDEX('배치점수 계산기'!P$11:P$1000,MATCH($C15,'배치점수 계산기'!$U$11:$U$1000,0)),2),"")</f>
        <v>399.64</v>
      </c>
      <c r="T15" s="41">
        <f>IFERROR(ROUND(INDEX('배치점수 계산기'!Q$11:Q$1000,MATCH($C15,'배치점수 계산기'!$U$11:$U$1000,0)),2),"")</f>
        <v>397.98</v>
      </c>
      <c r="U15" s="41">
        <f>IFERROR(INDEX(환산공식!$DC$16:$DC$301,MATCH(E15,환산공식!$A$16:$A$301,0)),"")</f>
        <v>0</v>
      </c>
      <c r="V15" s="113">
        <f t="shared" si="2"/>
        <v>6</v>
      </c>
      <c r="W15" s="110" t="str">
        <f>INDEX('배치점수 계산기'!$AG$11:$AG$800,MATCH('       나 군       '!$C15,'배치점수 계산기'!$U$11:$U$800,0))</f>
        <v>표점</v>
      </c>
      <c r="X15" s="108" t="str">
        <f>INDEX('배치점수 계산기'!$AH$11:$AH$800,MATCH('       나 군       '!$C15,'배치점수 계산기'!$U$11:$U$800,0))</f>
        <v>표점</v>
      </c>
      <c r="Y15" s="113">
        <f>INDEX('배치점수 계산기'!$AB$11:$AB$800,MATCH('       나 군       '!$C15,'배치점수 계산기'!$U$11:$U$800,0))</f>
        <v>0.33333333333333331</v>
      </c>
      <c r="Z15" s="73">
        <f>INDEX('배치점수 계산기'!$AC$11:$AC$800,MATCH('       나 군       '!$C15,'배치점수 계산기'!$U$11:$U$800,0))</f>
        <v>0.39999999999999997</v>
      </c>
      <c r="AA15" s="63">
        <f>INDEX('배치점수 계산기'!$AD$11:$AD$800,MATCH('       나 군       '!$C15,'배치점수 계산기'!$U$11:$U$800,0))</f>
        <v>0.26666666666666666</v>
      </c>
      <c r="AE15" s="7">
        <v>8</v>
      </c>
    </row>
    <row r="16" spans="2:31" x14ac:dyDescent="0.3">
      <c r="C16" s="7" t="s">
        <v>1240</v>
      </c>
      <c r="D16" s="41" t="s">
        <v>1232</v>
      </c>
      <c r="E16" s="41">
        <v>16</v>
      </c>
      <c r="F16" s="113" t="s">
        <v>346</v>
      </c>
      <c r="G16" s="41" t="s">
        <v>681</v>
      </c>
      <c r="H16" s="41" t="s">
        <v>726</v>
      </c>
      <c r="I16" s="41" t="s">
        <v>274</v>
      </c>
      <c r="J16" s="41" t="str">
        <f t="shared" si="0"/>
        <v>X</v>
      </c>
      <c r="K16" s="113">
        <f>IFERROR(INDEX(환산공식!CI$16:CI$301,MATCH($E16,환산공식!$A$16:$A$301,0)),"")</f>
        <v>0</v>
      </c>
      <c r="L16" s="41" t="str">
        <f>IFERROR(CONCATENATE(ROUND(INDEX(환산공식!CJ$16:CJ$301,MATCH(E16,환산공식!$A$16:$A$301,0)),1),"%"),"")</f>
        <v/>
      </c>
      <c r="M16" s="41">
        <f>IFERROR(INDEX(환산공식!CK$16:CK$301,MATCH(E16,환산공식!$A$16:$A$301,0)),"")</f>
        <v>0</v>
      </c>
      <c r="N16" s="113" t="str">
        <f t="shared" si="1"/>
        <v>1% 이하</v>
      </c>
      <c r="O16" s="119">
        <f>IFERROR(ROUND(INDEX(환산공식!$EF$16:$EF$301,MATCH(E16,환산공식!$A$16:$A$301,0)),3),"")</f>
        <v>0</v>
      </c>
      <c r="P16" s="119">
        <f>IFERROR(ROUND(INDEX('배치점수 계산기'!M$11:M$1000,MATCH($C16,'배치점수 계산기'!$U$11:$U$1000,0)),2),"")</f>
        <v>408.82</v>
      </c>
      <c r="Q16" s="41">
        <f>IFERROR(ROUND(INDEX('배치점수 계산기'!N$11:N$1000,MATCH($C16,'배치점수 계산기'!$U$11:$U$1000,0)),2),"")</f>
        <v>405.72</v>
      </c>
      <c r="R16" s="41">
        <f>IFERROR(ROUND(INDEX('배치점수 계산기'!O$11:O$1000,MATCH($C16,'배치점수 계산기'!$U$11:$U$1000,0)),2),"")</f>
        <v>403.54</v>
      </c>
      <c r="S16" s="41">
        <f>IFERROR(ROUND(INDEX('배치점수 계산기'!P$11:P$1000,MATCH($C16,'배치점수 계산기'!$U$11:$U$1000,0)),2),"")</f>
        <v>398.26</v>
      </c>
      <c r="T16" s="41">
        <f>IFERROR(ROUND(INDEX('배치점수 계산기'!Q$11:Q$1000,MATCH($C16,'배치점수 계산기'!$U$11:$U$1000,0)),2),"")</f>
        <v>396.08</v>
      </c>
      <c r="U16" s="41">
        <f>IFERROR(INDEX(환산공식!$DC$16:$DC$301,MATCH(E16,환산공식!$A$16:$A$301,0)),"")</f>
        <v>0</v>
      </c>
      <c r="V16" s="113">
        <f t="shared" si="2"/>
        <v>6</v>
      </c>
      <c r="W16" s="110" t="str">
        <f>INDEX('배치점수 계산기'!$AG$11:$AG$800,MATCH('       나 군       '!$C16,'배치점수 계산기'!$U$11:$U$800,0))</f>
        <v>표점</v>
      </c>
      <c r="X16" s="108" t="str">
        <f>INDEX('배치점수 계산기'!$AH$11:$AH$800,MATCH('       나 군       '!$C16,'배치점수 계산기'!$U$11:$U$800,0))</f>
        <v>표점</v>
      </c>
      <c r="Y16" s="113">
        <f>INDEX('배치점수 계산기'!$AB$11:$AB$800,MATCH('       나 군       '!$C16,'배치점수 계산기'!$U$11:$U$800,0))</f>
        <v>0.33333333333333331</v>
      </c>
      <c r="Z16" s="73">
        <f>INDEX('배치점수 계산기'!$AC$11:$AC$800,MATCH('       나 군       '!$C16,'배치점수 계산기'!$U$11:$U$800,0))</f>
        <v>0.39999999999999997</v>
      </c>
      <c r="AA16" s="63">
        <f>INDEX('배치점수 계산기'!$AD$11:$AD$800,MATCH('       나 군       '!$C16,'배치점수 계산기'!$U$11:$U$800,0))</f>
        <v>0.26666666666666666</v>
      </c>
      <c r="AE16" s="7">
        <v>9</v>
      </c>
    </row>
    <row r="17" spans="3:31" x14ac:dyDescent="0.3">
      <c r="C17" s="7" t="s">
        <v>1241</v>
      </c>
      <c r="D17" s="41" t="s">
        <v>1232</v>
      </c>
      <c r="E17" s="41">
        <v>16</v>
      </c>
      <c r="F17" s="113" t="s">
        <v>346</v>
      </c>
      <c r="G17" s="41" t="s">
        <v>681</v>
      </c>
      <c r="H17" s="41" t="s">
        <v>252</v>
      </c>
      <c r="I17" s="41" t="s">
        <v>274</v>
      </c>
      <c r="J17" s="41" t="str">
        <f t="shared" si="0"/>
        <v>X</v>
      </c>
      <c r="K17" s="113">
        <f>IFERROR(INDEX(환산공식!CI$16:CI$301,MATCH($E17,환산공식!$A$16:$A$301,0)),"")</f>
        <v>0</v>
      </c>
      <c r="L17" s="41" t="str">
        <f>IFERROR(CONCATENATE(ROUND(INDEX(환산공식!CJ$16:CJ$301,MATCH(E17,환산공식!$A$16:$A$301,0)),1),"%"),"")</f>
        <v/>
      </c>
      <c r="M17" s="41">
        <f>IFERROR(INDEX(환산공식!CK$16:CK$301,MATCH(E17,환산공식!$A$16:$A$301,0)),"")</f>
        <v>0</v>
      </c>
      <c r="N17" s="113" t="str">
        <f t="shared" si="1"/>
        <v>1% 이하</v>
      </c>
      <c r="O17" s="119">
        <f>IFERROR(ROUND(INDEX(환산공식!$EF$16:$EF$301,MATCH(E17,환산공식!$A$16:$A$301,0)),3),"")</f>
        <v>0</v>
      </c>
      <c r="P17" s="119">
        <f>IFERROR(ROUND(INDEX('배치점수 계산기'!M$11:M$1000,MATCH($C17,'배치점수 계산기'!$U$11:$U$1000,0)),2),"")</f>
        <v>405.72</v>
      </c>
      <c r="Q17" s="41">
        <f>IFERROR(ROUND(INDEX('배치점수 계산기'!N$11:N$1000,MATCH($C17,'배치점수 계산기'!$U$11:$U$1000,0)),2),"")</f>
        <v>404.46</v>
      </c>
      <c r="R17" s="41">
        <f>IFERROR(ROUND(INDEX('배치점수 계산기'!O$11:O$1000,MATCH($C17,'배치점수 계산기'!$U$11:$U$1000,0)),2),"")</f>
        <v>399.64</v>
      </c>
      <c r="S17" s="41">
        <f>IFERROR(ROUND(INDEX('배치점수 계산기'!P$11:P$1000,MATCH($C17,'배치점수 계산기'!$U$11:$U$1000,0)),2),"")</f>
        <v>396.08</v>
      </c>
      <c r="T17" s="41">
        <f>IFERROR(ROUND(INDEX('배치점수 계산기'!Q$11:Q$1000,MATCH($C17,'배치점수 계산기'!$U$11:$U$1000,0)),2),"")</f>
        <v>394.24</v>
      </c>
      <c r="U17" s="41">
        <f>IFERROR(INDEX(환산공식!$DC$16:$DC$301,MATCH(E17,환산공식!$A$16:$A$301,0)),"")</f>
        <v>0</v>
      </c>
      <c r="V17" s="113">
        <f t="shared" si="2"/>
        <v>6</v>
      </c>
      <c r="W17" s="110" t="str">
        <f>INDEX('배치점수 계산기'!$AG$11:$AG$800,MATCH('       나 군       '!$C17,'배치점수 계산기'!$U$11:$U$800,0))</f>
        <v>표점</v>
      </c>
      <c r="X17" s="108" t="str">
        <f>INDEX('배치점수 계산기'!$AH$11:$AH$800,MATCH('       나 군       '!$C17,'배치점수 계산기'!$U$11:$U$800,0))</f>
        <v>표점</v>
      </c>
      <c r="Y17" s="113">
        <f>INDEX('배치점수 계산기'!$AB$11:$AB$800,MATCH('       나 군       '!$C17,'배치점수 계산기'!$U$11:$U$800,0))</f>
        <v>0.33333333333333331</v>
      </c>
      <c r="Z17" s="73">
        <f>INDEX('배치점수 계산기'!$AC$11:$AC$800,MATCH('       나 군       '!$C17,'배치점수 계산기'!$U$11:$U$800,0))</f>
        <v>0.39999999999999997</v>
      </c>
      <c r="AA17" s="63">
        <f>INDEX('배치점수 계산기'!$AD$11:$AD$800,MATCH('       나 군       '!$C17,'배치점수 계산기'!$U$11:$U$800,0))</f>
        <v>0.26666666666666666</v>
      </c>
      <c r="AE17" s="7">
        <v>10</v>
      </c>
    </row>
    <row r="18" spans="3:31" x14ac:dyDescent="0.3">
      <c r="C18" s="7" t="s">
        <v>1242</v>
      </c>
      <c r="D18" s="41" t="s">
        <v>1232</v>
      </c>
      <c r="E18" s="41">
        <v>16</v>
      </c>
      <c r="F18" s="113" t="s">
        <v>346</v>
      </c>
      <c r="G18" s="41" t="s">
        <v>681</v>
      </c>
      <c r="H18" s="41" t="s">
        <v>253</v>
      </c>
      <c r="I18" s="41" t="s">
        <v>274</v>
      </c>
      <c r="J18" s="41" t="str">
        <f t="shared" si="0"/>
        <v>X</v>
      </c>
      <c r="K18" s="113">
        <f>IFERROR(INDEX(환산공식!CI$16:CI$301,MATCH($E18,환산공식!$A$16:$A$301,0)),"")</f>
        <v>0</v>
      </c>
      <c r="L18" s="41" t="str">
        <f>IFERROR(CONCATENATE(ROUND(INDEX(환산공식!CJ$16:CJ$301,MATCH(E18,환산공식!$A$16:$A$301,0)),1),"%"),"")</f>
        <v/>
      </c>
      <c r="M18" s="41">
        <f>IFERROR(INDEX(환산공식!CK$16:CK$301,MATCH(E18,환산공식!$A$16:$A$301,0)),"")</f>
        <v>0</v>
      </c>
      <c r="N18" s="113" t="str">
        <f t="shared" si="1"/>
        <v>1% 이하</v>
      </c>
      <c r="O18" s="119">
        <f>IFERROR(ROUND(INDEX(환산공식!$EF$16:$EF$301,MATCH(E18,환산공식!$A$16:$A$301,0)),3),"")</f>
        <v>0</v>
      </c>
      <c r="P18" s="119">
        <f>IFERROR(ROUND(INDEX('배치점수 계산기'!M$11:M$1000,MATCH($C18,'배치점수 계산기'!$U$11:$U$1000,0)),2),"")</f>
        <v>406.84</v>
      </c>
      <c r="Q18" s="41">
        <f>IFERROR(ROUND(INDEX('배치점수 계산기'!N$11:N$1000,MATCH($C18,'배치점수 계산기'!$U$11:$U$1000,0)),2),"")</f>
        <v>403.54</v>
      </c>
      <c r="R18" s="41">
        <f>IFERROR(ROUND(INDEX('배치점수 계산기'!O$11:O$1000,MATCH($C18,'배치점수 계산기'!$U$11:$U$1000,0)),2),"")</f>
        <v>399.24</v>
      </c>
      <c r="S18" s="41">
        <f>IFERROR(ROUND(INDEX('배치점수 계산기'!P$11:P$1000,MATCH($C18,'배치점수 계산기'!$U$11:$U$1000,0)),2),"")</f>
        <v>396.08</v>
      </c>
      <c r="T18" s="41">
        <f>IFERROR(ROUND(INDEX('배치점수 계산기'!Q$11:Q$1000,MATCH($C18,'배치점수 계산기'!$U$11:$U$1000,0)),2),"")</f>
        <v>394.24</v>
      </c>
      <c r="U18" s="41">
        <f>IFERROR(INDEX(환산공식!$DC$16:$DC$301,MATCH(E18,환산공식!$A$16:$A$301,0)),"")</f>
        <v>0</v>
      </c>
      <c r="V18" s="113">
        <f t="shared" si="2"/>
        <v>6</v>
      </c>
      <c r="W18" s="110" t="str">
        <f>INDEX('배치점수 계산기'!$AG$11:$AG$800,MATCH('       나 군       '!$C18,'배치점수 계산기'!$U$11:$U$800,0))</f>
        <v>표점</v>
      </c>
      <c r="X18" s="108" t="str">
        <f>INDEX('배치점수 계산기'!$AH$11:$AH$800,MATCH('       나 군       '!$C18,'배치점수 계산기'!$U$11:$U$800,0))</f>
        <v>표점</v>
      </c>
      <c r="Y18" s="113">
        <f>INDEX('배치점수 계산기'!$AB$11:$AB$800,MATCH('       나 군       '!$C18,'배치점수 계산기'!$U$11:$U$800,0))</f>
        <v>0.33333333333333331</v>
      </c>
      <c r="Z18" s="73">
        <f>INDEX('배치점수 계산기'!$AC$11:$AC$800,MATCH('       나 군       '!$C18,'배치점수 계산기'!$U$11:$U$800,0))</f>
        <v>0.39999999999999997</v>
      </c>
      <c r="AA18" s="63">
        <f>INDEX('배치점수 계산기'!$AD$11:$AD$800,MATCH('       나 군       '!$C18,'배치점수 계산기'!$U$11:$U$800,0))</f>
        <v>0.26666666666666666</v>
      </c>
      <c r="AE18" s="7">
        <v>11</v>
      </c>
    </row>
    <row r="19" spans="3:31" x14ac:dyDescent="0.3">
      <c r="C19" s="7" t="s">
        <v>1243</v>
      </c>
      <c r="D19" s="41" t="s">
        <v>1232</v>
      </c>
      <c r="E19" s="41">
        <v>16</v>
      </c>
      <c r="F19" s="113" t="s">
        <v>346</v>
      </c>
      <c r="G19" s="41" t="s">
        <v>681</v>
      </c>
      <c r="H19" s="41" t="s">
        <v>727</v>
      </c>
      <c r="I19" s="41" t="s">
        <v>274</v>
      </c>
      <c r="J19" s="41" t="str">
        <f t="shared" si="0"/>
        <v>X</v>
      </c>
      <c r="K19" s="113">
        <f>IFERROR(INDEX(환산공식!CI$16:CI$301,MATCH($E19,환산공식!$A$16:$A$301,0)),"")</f>
        <v>0</v>
      </c>
      <c r="L19" s="41" t="str">
        <f>IFERROR(CONCATENATE(ROUND(INDEX(환산공식!CJ$16:CJ$301,MATCH(E19,환산공식!$A$16:$A$301,0)),1),"%"),"")</f>
        <v/>
      </c>
      <c r="M19" s="41">
        <f>IFERROR(INDEX(환산공식!CK$16:CK$301,MATCH(E19,환산공식!$A$16:$A$301,0)),"")</f>
        <v>0</v>
      </c>
      <c r="N19" s="113" t="str">
        <f t="shared" si="1"/>
        <v>1% 이하</v>
      </c>
      <c r="O19" s="119">
        <f>IFERROR(ROUND(INDEX(환산공식!$EF$16:$EF$301,MATCH(E19,환산공식!$A$16:$A$301,0)),3),"")</f>
        <v>0</v>
      </c>
      <c r="P19" s="119">
        <f>IFERROR(ROUND(INDEX('배치점수 계산기'!M$11:M$1000,MATCH($C19,'배치점수 계산기'!$U$11:$U$1000,0)),2),"")</f>
        <v>409.82</v>
      </c>
      <c r="Q19" s="41">
        <f>IFERROR(ROUND(INDEX('배치점수 계산기'!N$11:N$1000,MATCH($C19,'배치점수 계산기'!$U$11:$U$1000,0)),2),"")</f>
        <v>404.66</v>
      </c>
      <c r="R19" s="41">
        <f>IFERROR(ROUND(INDEX('배치점수 계산기'!O$11:O$1000,MATCH($C19,'배치점수 계산기'!$U$11:$U$1000,0)),2),"")</f>
        <v>402.1</v>
      </c>
      <c r="S19" s="41">
        <f>IFERROR(ROUND(INDEX('배치점수 계산기'!P$11:P$1000,MATCH($C19,'배치점수 계산기'!$U$11:$U$1000,0)),2),"")</f>
        <v>397.56</v>
      </c>
      <c r="T19" s="41">
        <f>IFERROR(ROUND(INDEX('배치점수 계산기'!Q$11:Q$1000,MATCH($C19,'배치점수 계산기'!$U$11:$U$1000,0)),2),"")</f>
        <v>395.54</v>
      </c>
      <c r="U19" s="41">
        <f>IFERROR(INDEX(환산공식!$DC$16:$DC$301,MATCH(E19,환산공식!$A$16:$A$301,0)),"")</f>
        <v>0</v>
      </c>
      <c r="V19" s="113">
        <f t="shared" si="2"/>
        <v>6</v>
      </c>
      <c r="W19" s="110" t="str">
        <f>INDEX('배치점수 계산기'!$AG$11:$AG$800,MATCH('       나 군       '!$C19,'배치점수 계산기'!$U$11:$U$800,0))</f>
        <v>표점</v>
      </c>
      <c r="X19" s="108" t="str">
        <f>INDEX('배치점수 계산기'!$AH$11:$AH$800,MATCH('       나 군       '!$C19,'배치점수 계산기'!$U$11:$U$800,0))</f>
        <v>표점</v>
      </c>
      <c r="Y19" s="113">
        <f>INDEX('배치점수 계산기'!$AB$11:$AB$800,MATCH('       나 군       '!$C19,'배치점수 계산기'!$U$11:$U$800,0))</f>
        <v>0.33333333333333331</v>
      </c>
      <c r="Z19" s="73">
        <f>INDEX('배치점수 계산기'!$AC$11:$AC$800,MATCH('       나 군       '!$C19,'배치점수 계산기'!$U$11:$U$800,0))</f>
        <v>0.39999999999999997</v>
      </c>
      <c r="AA19" s="63">
        <f>INDEX('배치점수 계산기'!$AD$11:$AD$800,MATCH('       나 군       '!$C19,'배치점수 계산기'!$U$11:$U$800,0))</f>
        <v>0.26666666666666666</v>
      </c>
      <c r="AE19" s="7">
        <v>12</v>
      </c>
    </row>
    <row r="20" spans="3:31" x14ac:dyDescent="0.3">
      <c r="C20" s="7" t="s">
        <v>1244</v>
      </c>
      <c r="D20" s="41" t="s">
        <v>1232</v>
      </c>
      <c r="E20" s="41">
        <v>16</v>
      </c>
      <c r="F20" s="113" t="s">
        <v>346</v>
      </c>
      <c r="G20" s="41" t="s">
        <v>681</v>
      </c>
      <c r="H20" s="41" t="s">
        <v>254</v>
      </c>
      <c r="I20" s="41" t="s">
        <v>274</v>
      </c>
      <c r="J20" s="41" t="str">
        <f t="shared" si="0"/>
        <v>X</v>
      </c>
      <c r="K20" s="113">
        <f>IFERROR(INDEX(환산공식!CI$16:CI$301,MATCH($E20,환산공식!$A$16:$A$301,0)),"")</f>
        <v>0</v>
      </c>
      <c r="L20" s="41" t="str">
        <f>IFERROR(CONCATENATE(ROUND(INDEX(환산공식!CJ$16:CJ$301,MATCH(E20,환산공식!$A$16:$A$301,0)),1),"%"),"")</f>
        <v/>
      </c>
      <c r="M20" s="41">
        <f>IFERROR(INDEX(환산공식!CK$16:CK$301,MATCH(E20,환산공식!$A$16:$A$301,0)),"")</f>
        <v>0</v>
      </c>
      <c r="N20" s="113" t="str">
        <f t="shared" si="1"/>
        <v>1% 이하</v>
      </c>
      <c r="O20" s="119">
        <f>IFERROR(ROUND(INDEX(환산공식!$EF$16:$EF$301,MATCH(E20,환산공식!$A$16:$A$301,0)),3),"")</f>
        <v>0</v>
      </c>
      <c r="P20" s="119">
        <f>IFERROR(ROUND(INDEX('배치점수 계산기'!M$11:M$1000,MATCH($C20,'배치점수 계산기'!$U$11:$U$1000,0)),2),"")</f>
        <v>404.06</v>
      </c>
      <c r="Q20" s="41">
        <f>IFERROR(ROUND(INDEX('배치점수 계산기'!N$11:N$1000,MATCH($C20,'배치점수 계산기'!$U$11:$U$1000,0)),2),"")</f>
        <v>403.08</v>
      </c>
      <c r="R20" s="41">
        <f>IFERROR(ROUND(INDEX('배치점수 계산기'!O$11:O$1000,MATCH($C20,'배치점수 계산기'!$U$11:$U$1000,0)),2),"")</f>
        <v>398.96</v>
      </c>
      <c r="S20" s="41">
        <f>IFERROR(ROUND(INDEX('배치점수 계산기'!P$11:P$1000,MATCH($C20,'배치점수 계산기'!$U$11:$U$1000,0)),2),"")</f>
        <v>395.54</v>
      </c>
      <c r="T20" s="41">
        <f>IFERROR(ROUND(INDEX('배치점수 계산기'!Q$11:Q$1000,MATCH($C20,'배치점수 계산기'!$U$11:$U$1000,0)),2),"")</f>
        <v>393.56</v>
      </c>
      <c r="U20" s="41">
        <f>IFERROR(INDEX(환산공식!$DC$16:$DC$301,MATCH(E20,환산공식!$A$16:$A$301,0)),"")</f>
        <v>0</v>
      </c>
      <c r="V20" s="113">
        <f t="shared" si="2"/>
        <v>6</v>
      </c>
      <c r="W20" s="110" t="str">
        <f>INDEX('배치점수 계산기'!$AG$11:$AG$800,MATCH('       나 군       '!$C20,'배치점수 계산기'!$U$11:$U$800,0))</f>
        <v>표점</v>
      </c>
      <c r="X20" s="108" t="str">
        <f>INDEX('배치점수 계산기'!$AH$11:$AH$800,MATCH('       나 군       '!$C20,'배치점수 계산기'!$U$11:$U$800,0))</f>
        <v>표점</v>
      </c>
      <c r="Y20" s="113">
        <f>INDEX('배치점수 계산기'!$AB$11:$AB$800,MATCH('       나 군       '!$C20,'배치점수 계산기'!$U$11:$U$800,0))</f>
        <v>0.33333333333333331</v>
      </c>
      <c r="Z20" s="73">
        <f>INDEX('배치점수 계산기'!$AC$11:$AC$800,MATCH('       나 군       '!$C20,'배치점수 계산기'!$U$11:$U$800,0))</f>
        <v>0.39999999999999997</v>
      </c>
      <c r="AA20" s="63">
        <f>INDEX('배치점수 계산기'!$AD$11:$AD$800,MATCH('       나 군       '!$C20,'배치점수 계산기'!$U$11:$U$800,0))</f>
        <v>0.26666666666666666</v>
      </c>
      <c r="AE20" s="7">
        <v>13</v>
      </c>
    </row>
    <row r="21" spans="3:31" x14ac:dyDescent="0.3">
      <c r="C21" s="7" t="s">
        <v>1245</v>
      </c>
      <c r="D21" s="41" t="s">
        <v>1232</v>
      </c>
      <c r="E21" s="41">
        <v>16</v>
      </c>
      <c r="F21" s="113" t="s">
        <v>346</v>
      </c>
      <c r="G21" s="41" t="s">
        <v>681</v>
      </c>
      <c r="H21" s="41" t="s">
        <v>255</v>
      </c>
      <c r="I21" s="41" t="s">
        <v>274</v>
      </c>
      <c r="J21" s="41" t="str">
        <f t="shared" si="0"/>
        <v>X</v>
      </c>
      <c r="K21" s="113">
        <f>IFERROR(INDEX(환산공식!CI$16:CI$301,MATCH($E21,환산공식!$A$16:$A$301,0)),"")</f>
        <v>0</v>
      </c>
      <c r="L21" s="41" t="str">
        <f>IFERROR(CONCATENATE(ROUND(INDEX(환산공식!CJ$16:CJ$301,MATCH(E21,환산공식!$A$16:$A$301,0)),1),"%"),"")</f>
        <v/>
      </c>
      <c r="M21" s="41">
        <f>IFERROR(INDEX(환산공식!CK$16:CK$301,MATCH(E21,환산공식!$A$16:$A$301,0)),"")</f>
        <v>0</v>
      </c>
      <c r="N21" s="113" t="str">
        <f t="shared" si="1"/>
        <v>1% 이하</v>
      </c>
      <c r="O21" s="119">
        <f>IFERROR(ROUND(INDEX(환산공식!$EF$16:$EF$301,MATCH(E21,환산공식!$A$16:$A$301,0)),3),"")</f>
        <v>0</v>
      </c>
      <c r="P21" s="119">
        <f>IFERROR(ROUND(INDEX('배치점수 계산기'!M$11:M$1000,MATCH($C21,'배치점수 계산기'!$U$11:$U$1000,0)),2),"")</f>
        <v>405.26</v>
      </c>
      <c r="Q21" s="41">
        <f>IFERROR(ROUND(INDEX('배치점수 계산기'!N$11:N$1000,MATCH($C21,'배치점수 계산기'!$U$11:$U$1000,0)),2),"")</f>
        <v>403.08</v>
      </c>
      <c r="R21" s="41">
        <f>IFERROR(ROUND(INDEX('배치점수 계산기'!O$11:O$1000,MATCH($C21,'배치점수 계산기'!$U$11:$U$1000,0)),2),"")</f>
        <v>398.96</v>
      </c>
      <c r="S21" s="41">
        <f>IFERROR(ROUND(INDEX('배치점수 계산기'!P$11:P$1000,MATCH($C21,'배치점수 계산기'!$U$11:$U$1000,0)),2),"")</f>
        <v>397.56</v>
      </c>
      <c r="T21" s="41">
        <f>IFERROR(ROUND(INDEX('배치점수 계산기'!Q$11:Q$1000,MATCH($C21,'배치점수 계산기'!$U$11:$U$1000,0)),2),"")</f>
        <v>395.38</v>
      </c>
      <c r="U21" s="41">
        <f>IFERROR(INDEX(환산공식!$DC$16:$DC$301,MATCH(E21,환산공식!$A$16:$A$301,0)),"")</f>
        <v>0</v>
      </c>
      <c r="V21" s="113">
        <f t="shared" si="2"/>
        <v>6</v>
      </c>
      <c r="W21" s="110" t="str">
        <f>INDEX('배치점수 계산기'!$AG$11:$AG$800,MATCH('       나 군       '!$C21,'배치점수 계산기'!$U$11:$U$800,0))</f>
        <v>표점</v>
      </c>
      <c r="X21" s="108" t="str">
        <f>INDEX('배치점수 계산기'!$AH$11:$AH$800,MATCH('       나 군       '!$C21,'배치점수 계산기'!$U$11:$U$800,0))</f>
        <v>표점</v>
      </c>
      <c r="Y21" s="113">
        <f>INDEX('배치점수 계산기'!$AB$11:$AB$800,MATCH('       나 군       '!$C21,'배치점수 계산기'!$U$11:$U$800,0))</f>
        <v>0.33333333333333331</v>
      </c>
      <c r="Z21" s="73">
        <f>INDEX('배치점수 계산기'!$AC$11:$AC$800,MATCH('       나 군       '!$C21,'배치점수 계산기'!$U$11:$U$800,0))</f>
        <v>0.39999999999999997</v>
      </c>
      <c r="AA21" s="63">
        <f>INDEX('배치점수 계산기'!$AD$11:$AD$800,MATCH('       나 군       '!$C21,'배치점수 계산기'!$U$11:$U$800,0))</f>
        <v>0.26666666666666666</v>
      </c>
      <c r="AE21" s="7">
        <v>14</v>
      </c>
    </row>
    <row r="22" spans="3:31" x14ac:dyDescent="0.3">
      <c r="C22" s="7" t="s">
        <v>1246</v>
      </c>
      <c r="D22" s="41" t="s">
        <v>1232</v>
      </c>
      <c r="E22" s="41">
        <v>16</v>
      </c>
      <c r="F22" s="113" t="s">
        <v>346</v>
      </c>
      <c r="G22" s="41" t="s">
        <v>681</v>
      </c>
      <c r="H22" s="41" t="s">
        <v>728</v>
      </c>
      <c r="I22" s="41" t="s">
        <v>274</v>
      </c>
      <c r="J22" s="41" t="str">
        <f t="shared" si="0"/>
        <v>X</v>
      </c>
      <c r="K22" s="113">
        <f>IFERROR(INDEX(환산공식!CI$16:CI$301,MATCH($E22,환산공식!$A$16:$A$301,0)),"")</f>
        <v>0</v>
      </c>
      <c r="L22" s="41" t="str">
        <f>IFERROR(CONCATENATE(ROUND(INDEX(환산공식!CJ$16:CJ$301,MATCH(E22,환산공식!$A$16:$A$301,0)),1),"%"),"")</f>
        <v/>
      </c>
      <c r="M22" s="41">
        <f>IFERROR(INDEX(환산공식!CK$16:CK$301,MATCH(E22,환산공식!$A$16:$A$301,0)),"")</f>
        <v>0</v>
      </c>
      <c r="N22" s="113" t="str">
        <f t="shared" si="1"/>
        <v>1% 이하</v>
      </c>
      <c r="O22" s="119">
        <f>IFERROR(ROUND(INDEX(환산공식!$EF$16:$EF$301,MATCH(E22,환산공식!$A$16:$A$301,0)),3),"")</f>
        <v>0</v>
      </c>
      <c r="P22" s="119">
        <f>IFERROR(ROUND(INDEX('배치점수 계산기'!M$11:M$1000,MATCH($C22,'배치점수 계산기'!$U$11:$U$1000,0)),2),"")</f>
        <v>404.92</v>
      </c>
      <c r="Q22" s="41">
        <f>IFERROR(ROUND(INDEX('배치점수 계산기'!N$11:N$1000,MATCH($C22,'배치점수 계산기'!$U$11:$U$1000,0)),2),"")</f>
        <v>402.1</v>
      </c>
      <c r="R22" s="41">
        <f>IFERROR(ROUND(INDEX('배치점수 계산기'!O$11:O$1000,MATCH($C22,'배치점수 계산기'!$U$11:$U$1000,0)),2),"")</f>
        <v>398.96</v>
      </c>
      <c r="S22" s="41">
        <f>IFERROR(ROUND(INDEX('배치점수 계산기'!P$11:P$1000,MATCH($C22,'배치점수 계산기'!$U$11:$U$1000,0)),2),"")</f>
        <v>396.08</v>
      </c>
      <c r="T22" s="41">
        <f>IFERROR(ROUND(INDEX('배치점수 계산기'!Q$11:Q$1000,MATCH($C22,'배치점수 계산기'!$U$11:$U$1000,0)),2),"")</f>
        <v>394.24</v>
      </c>
      <c r="U22" s="41">
        <f>IFERROR(INDEX(환산공식!$DC$16:$DC$301,MATCH(E22,환산공식!$A$16:$A$301,0)),"")</f>
        <v>0</v>
      </c>
      <c r="V22" s="113">
        <f t="shared" si="2"/>
        <v>6</v>
      </c>
      <c r="W22" s="110" t="str">
        <f>INDEX('배치점수 계산기'!$AG$11:$AG$800,MATCH('       나 군       '!$C22,'배치점수 계산기'!$U$11:$U$800,0))</f>
        <v>표점</v>
      </c>
      <c r="X22" s="108" t="str">
        <f>INDEX('배치점수 계산기'!$AH$11:$AH$800,MATCH('       나 군       '!$C22,'배치점수 계산기'!$U$11:$U$800,0))</f>
        <v>표점</v>
      </c>
      <c r="Y22" s="113">
        <f>INDEX('배치점수 계산기'!$AB$11:$AB$800,MATCH('       나 군       '!$C22,'배치점수 계산기'!$U$11:$U$800,0))</f>
        <v>0.33333333333333331</v>
      </c>
      <c r="Z22" s="73">
        <f>INDEX('배치점수 계산기'!$AC$11:$AC$800,MATCH('       나 군       '!$C22,'배치점수 계산기'!$U$11:$U$800,0))</f>
        <v>0.39999999999999997</v>
      </c>
      <c r="AA22" s="63">
        <f>INDEX('배치점수 계산기'!$AD$11:$AD$800,MATCH('       나 군       '!$C22,'배치점수 계산기'!$U$11:$U$800,0))</f>
        <v>0.26666666666666666</v>
      </c>
      <c r="AE22" s="7">
        <v>15</v>
      </c>
    </row>
    <row r="23" spans="3:31" x14ac:dyDescent="0.3">
      <c r="C23" s="7" t="s">
        <v>1247</v>
      </c>
      <c r="D23" s="41" t="s">
        <v>1232</v>
      </c>
      <c r="E23" s="41">
        <v>16</v>
      </c>
      <c r="F23" s="113" t="s">
        <v>346</v>
      </c>
      <c r="G23" s="41" t="s">
        <v>681</v>
      </c>
      <c r="H23" s="41" t="s">
        <v>256</v>
      </c>
      <c r="I23" s="41" t="s">
        <v>274</v>
      </c>
      <c r="J23" s="41" t="str">
        <f t="shared" si="0"/>
        <v>X</v>
      </c>
      <c r="K23" s="113">
        <f>IFERROR(INDEX(환산공식!CI$16:CI$301,MATCH($E23,환산공식!$A$16:$A$301,0)),"")</f>
        <v>0</v>
      </c>
      <c r="L23" s="41" t="str">
        <f>IFERROR(CONCATENATE(ROUND(INDEX(환산공식!CJ$16:CJ$301,MATCH(E23,환산공식!$A$16:$A$301,0)),1),"%"),"")</f>
        <v/>
      </c>
      <c r="M23" s="41">
        <f>IFERROR(INDEX(환산공식!CK$16:CK$301,MATCH(E23,환산공식!$A$16:$A$301,0)),"")</f>
        <v>0</v>
      </c>
      <c r="N23" s="113" t="str">
        <f t="shared" si="1"/>
        <v>1% 이하</v>
      </c>
      <c r="O23" s="119">
        <f>IFERROR(ROUND(INDEX(환산공식!$EF$16:$EF$301,MATCH(E23,환산공식!$A$16:$A$301,0)),3),"")</f>
        <v>0</v>
      </c>
      <c r="P23" s="119">
        <f>IFERROR(ROUND(INDEX('배치점수 계산기'!M$11:M$1000,MATCH($C23,'배치점수 계산기'!$U$11:$U$1000,0)),2),"")</f>
        <v>404.06</v>
      </c>
      <c r="Q23" s="41">
        <f>IFERROR(ROUND(INDEX('배치점수 계산기'!N$11:N$1000,MATCH($C23,'배치점수 계산기'!$U$11:$U$1000,0)),2),"")</f>
        <v>402.1</v>
      </c>
      <c r="R23" s="41">
        <f>IFERROR(ROUND(INDEX('배치점수 계산기'!O$11:O$1000,MATCH($C23,'배치점수 계산기'!$U$11:$U$1000,0)),2),"")</f>
        <v>398.96</v>
      </c>
      <c r="S23" s="41">
        <f>IFERROR(ROUND(INDEX('배치점수 계산기'!P$11:P$1000,MATCH($C23,'배치점수 계산기'!$U$11:$U$1000,0)),2),"")</f>
        <v>395.54</v>
      </c>
      <c r="T23" s="41">
        <f>IFERROR(ROUND(INDEX('배치점수 계산기'!Q$11:Q$1000,MATCH($C23,'배치점수 계산기'!$U$11:$U$1000,0)),2),"")</f>
        <v>393.56</v>
      </c>
      <c r="U23" s="41">
        <f>IFERROR(INDEX(환산공식!$DC$16:$DC$301,MATCH(E23,환산공식!$A$16:$A$301,0)),"")</f>
        <v>0</v>
      </c>
      <c r="V23" s="113">
        <f t="shared" si="2"/>
        <v>6</v>
      </c>
      <c r="W23" s="110" t="str">
        <f>INDEX('배치점수 계산기'!$AG$11:$AG$800,MATCH('       나 군       '!$C23,'배치점수 계산기'!$U$11:$U$800,0))</f>
        <v>표점</v>
      </c>
      <c r="X23" s="108" t="str">
        <f>INDEX('배치점수 계산기'!$AH$11:$AH$800,MATCH('       나 군       '!$C23,'배치점수 계산기'!$U$11:$U$800,0))</f>
        <v>표점</v>
      </c>
      <c r="Y23" s="113">
        <f>INDEX('배치점수 계산기'!$AB$11:$AB$800,MATCH('       나 군       '!$C23,'배치점수 계산기'!$U$11:$U$800,0))</f>
        <v>0.33333333333333331</v>
      </c>
      <c r="Z23" s="73">
        <f>INDEX('배치점수 계산기'!$AC$11:$AC$800,MATCH('       나 군       '!$C23,'배치점수 계산기'!$U$11:$U$800,0))</f>
        <v>0.39999999999999997</v>
      </c>
      <c r="AA23" s="63">
        <f>INDEX('배치점수 계산기'!$AD$11:$AD$800,MATCH('       나 군       '!$C23,'배치점수 계산기'!$U$11:$U$800,0))</f>
        <v>0.26666666666666666</v>
      </c>
      <c r="AE23" s="7">
        <v>16</v>
      </c>
    </row>
    <row r="24" spans="3:31" x14ac:dyDescent="0.3">
      <c r="C24" s="7" t="s">
        <v>1248</v>
      </c>
      <c r="D24" s="41" t="s">
        <v>1232</v>
      </c>
      <c r="E24" s="41">
        <v>16</v>
      </c>
      <c r="F24" s="113" t="s">
        <v>346</v>
      </c>
      <c r="G24" s="41" t="s">
        <v>681</v>
      </c>
      <c r="H24" s="41" t="s">
        <v>431</v>
      </c>
      <c r="I24" s="41" t="s">
        <v>274</v>
      </c>
      <c r="J24" s="41" t="str">
        <f t="shared" si="0"/>
        <v>X</v>
      </c>
      <c r="K24" s="113">
        <f>IFERROR(INDEX(환산공식!CI$16:CI$301,MATCH($E24,환산공식!$A$16:$A$301,0)),"")</f>
        <v>0</v>
      </c>
      <c r="L24" s="41" t="str">
        <f>IFERROR(CONCATENATE(ROUND(INDEX(환산공식!CJ$16:CJ$301,MATCH(E24,환산공식!$A$16:$A$301,0)),1),"%"),"")</f>
        <v/>
      </c>
      <c r="M24" s="41">
        <f>IFERROR(INDEX(환산공식!CK$16:CK$301,MATCH(E24,환산공식!$A$16:$A$301,0)),"")</f>
        <v>0</v>
      </c>
      <c r="N24" s="113" t="str">
        <f t="shared" si="1"/>
        <v>1% 이하</v>
      </c>
      <c r="O24" s="119">
        <f>IFERROR(ROUND(INDEX(환산공식!$EF$16:$EF$301,MATCH(E24,환산공식!$A$16:$A$301,0)),3),"")</f>
        <v>0</v>
      </c>
      <c r="P24" s="119">
        <f>IFERROR(ROUND(INDEX('배치점수 계산기'!M$11:M$1000,MATCH($C24,'배치점수 계산기'!$U$11:$U$1000,0)),2),"")</f>
        <v>403.08</v>
      </c>
      <c r="Q24" s="41">
        <f>IFERROR(ROUND(INDEX('배치점수 계산기'!N$11:N$1000,MATCH($C24,'배치점수 계산기'!$U$11:$U$1000,0)),2),"")</f>
        <v>398.26</v>
      </c>
      <c r="R24" s="41">
        <f>IFERROR(ROUND(INDEX('배치점수 계산기'!O$11:O$1000,MATCH($C24,'배치점수 계산기'!$U$11:$U$1000,0)),2),"")</f>
        <v>396.08</v>
      </c>
      <c r="S24" s="41">
        <f>IFERROR(ROUND(INDEX('배치점수 계산기'!P$11:P$1000,MATCH($C24,'배치점수 계산기'!$U$11:$U$1000,0)),2),"")</f>
        <v>394.24</v>
      </c>
      <c r="T24" s="41">
        <f>IFERROR(ROUND(INDEX('배치점수 계산기'!Q$11:Q$1000,MATCH($C24,'배치점수 계산기'!$U$11:$U$1000,0)),2),"")</f>
        <v>391.04</v>
      </c>
      <c r="U24" s="41">
        <f>IFERROR(INDEX(환산공식!$DC$16:$DC$301,MATCH(E24,환산공식!$A$16:$A$301,0)),"")</f>
        <v>0</v>
      </c>
      <c r="V24" s="113">
        <f t="shared" si="2"/>
        <v>6</v>
      </c>
      <c r="W24" s="110" t="str">
        <f>INDEX('배치점수 계산기'!$AG$11:$AG$800,MATCH('       나 군       '!$C24,'배치점수 계산기'!$U$11:$U$800,0))</f>
        <v>표점</v>
      </c>
      <c r="X24" s="108" t="str">
        <f>INDEX('배치점수 계산기'!$AH$11:$AH$800,MATCH('       나 군       '!$C24,'배치점수 계산기'!$U$11:$U$800,0))</f>
        <v>표점</v>
      </c>
      <c r="Y24" s="113">
        <f>INDEX('배치점수 계산기'!$AB$11:$AB$800,MATCH('       나 군       '!$C24,'배치점수 계산기'!$U$11:$U$800,0))</f>
        <v>0.33333333333333331</v>
      </c>
      <c r="Z24" s="73">
        <f>INDEX('배치점수 계산기'!$AC$11:$AC$800,MATCH('       나 군       '!$C24,'배치점수 계산기'!$U$11:$U$800,0))</f>
        <v>0.39999999999999997</v>
      </c>
      <c r="AA24" s="63">
        <f>INDEX('배치점수 계산기'!$AD$11:$AD$800,MATCH('       나 군       '!$C24,'배치점수 계산기'!$U$11:$U$800,0))</f>
        <v>0.26666666666666666</v>
      </c>
      <c r="AE24" s="7">
        <v>17</v>
      </c>
    </row>
    <row r="25" spans="3:31" x14ac:dyDescent="0.3">
      <c r="C25" s="7" t="s">
        <v>1249</v>
      </c>
      <c r="D25" s="41" t="s">
        <v>1232</v>
      </c>
      <c r="E25" s="41">
        <v>16</v>
      </c>
      <c r="F25" s="113" t="s">
        <v>346</v>
      </c>
      <c r="G25" s="41" t="s">
        <v>681</v>
      </c>
      <c r="H25" s="41" t="s">
        <v>257</v>
      </c>
      <c r="I25" s="41" t="s">
        <v>274</v>
      </c>
      <c r="J25" s="41" t="str">
        <f t="shared" si="0"/>
        <v>X</v>
      </c>
      <c r="K25" s="113">
        <f>IFERROR(INDEX(환산공식!CI$16:CI$301,MATCH($E25,환산공식!$A$16:$A$301,0)),"")</f>
        <v>0</v>
      </c>
      <c r="L25" s="41" t="str">
        <f>IFERROR(CONCATENATE(ROUND(INDEX(환산공식!CJ$16:CJ$301,MATCH(E25,환산공식!$A$16:$A$301,0)),1),"%"),"")</f>
        <v/>
      </c>
      <c r="M25" s="41">
        <f>IFERROR(INDEX(환산공식!CK$16:CK$301,MATCH(E25,환산공식!$A$16:$A$301,0)),"")</f>
        <v>0</v>
      </c>
      <c r="N25" s="113" t="str">
        <f t="shared" si="1"/>
        <v>1% 이하</v>
      </c>
      <c r="O25" s="119">
        <f>IFERROR(ROUND(INDEX(환산공식!$EF$16:$EF$301,MATCH(E25,환산공식!$A$16:$A$301,0)),3),"")</f>
        <v>0</v>
      </c>
      <c r="P25" s="119">
        <f>IFERROR(ROUND(INDEX('배치점수 계산기'!M$11:M$1000,MATCH($C25,'배치점수 계산기'!$U$11:$U$1000,0)),2),"")</f>
        <v>402.1</v>
      </c>
      <c r="Q25" s="41">
        <f>IFERROR(ROUND(INDEX('배치점수 계산기'!N$11:N$1000,MATCH($C25,'배치점수 계산기'!$U$11:$U$1000,0)),2),"")</f>
        <v>399.64</v>
      </c>
      <c r="R25" s="41">
        <f>IFERROR(ROUND(INDEX('배치점수 계산기'!O$11:O$1000,MATCH($C25,'배치점수 계산기'!$U$11:$U$1000,0)),2),"")</f>
        <v>397.56</v>
      </c>
      <c r="S25" s="41">
        <f>IFERROR(ROUND(INDEX('배치점수 계산기'!P$11:P$1000,MATCH($C25,'배치점수 계산기'!$U$11:$U$1000,0)),2),"")</f>
        <v>394.76</v>
      </c>
      <c r="T25" s="41">
        <f>IFERROR(ROUND(INDEX('배치점수 계산기'!Q$11:Q$1000,MATCH($C25,'배치점수 계산기'!$U$11:$U$1000,0)),2),"")</f>
        <v>393.56</v>
      </c>
      <c r="U25" s="41">
        <f>IFERROR(INDEX(환산공식!$DC$16:$DC$301,MATCH(E25,환산공식!$A$16:$A$301,0)),"")</f>
        <v>0</v>
      </c>
      <c r="V25" s="113">
        <f t="shared" si="2"/>
        <v>6</v>
      </c>
      <c r="W25" s="110" t="str">
        <f>INDEX('배치점수 계산기'!$AG$11:$AG$800,MATCH('       나 군       '!$C25,'배치점수 계산기'!$U$11:$U$800,0))</f>
        <v>표점</v>
      </c>
      <c r="X25" s="108" t="str">
        <f>INDEX('배치점수 계산기'!$AH$11:$AH$800,MATCH('       나 군       '!$C25,'배치점수 계산기'!$U$11:$U$800,0))</f>
        <v>표점</v>
      </c>
      <c r="Y25" s="113">
        <f>INDEX('배치점수 계산기'!$AB$11:$AB$800,MATCH('       나 군       '!$C25,'배치점수 계산기'!$U$11:$U$800,0))</f>
        <v>0.33333333333333331</v>
      </c>
      <c r="Z25" s="73">
        <f>INDEX('배치점수 계산기'!$AC$11:$AC$800,MATCH('       나 군       '!$C25,'배치점수 계산기'!$U$11:$U$800,0))</f>
        <v>0.39999999999999997</v>
      </c>
      <c r="AA25" s="63">
        <f>INDEX('배치점수 계산기'!$AD$11:$AD$800,MATCH('       나 군       '!$C25,'배치점수 계산기'!$U$11:$U$800,0))</f>
        <v>0.26666666666666666</v>
      </c>
      <c r="AE25" s="7">
        <v>18</v>
      </c>
    </row>
    <row r="26" spans="3:31" x14ac:dyDescent="0.3">
      <c r="C26" s="7" t="s">
        <v>1250</v>
      </c>
      <c r="D26" s="41" t="s">
        <v>1232</v>
      </c>
      <c r="E26" s="41">
        <v>16</v>
      </c>
      <c r="F26" s="113" t="s">
        <v>346</v>
      </c>
      <c r="G26" s="41" t="s">
        <v>681</v>
      </c>
      <c r="H26" s="41" t="s">
        <v>258</v>
      </c>
      <c r="I26" s="41" t="s">
        <v>274</v>
      </c>
      <c r="J26" s="41" t="str">
        <f t="shared" si="0"/>
        <v>X</v>
      </c>
      <c r="K26" s="113">
        <f>IFERROR(INDEX(환산공식!CI$16:CI$301,MATCH($E26,환산공식!$A$16:$A$301,0)),"")</f>
        <v>0</v>
      </c>
      <c r="L26" s="41" t="str">
        <f>IFERROR(CONCATENATE(ROUND(INDEX(환산공식!CJ$16:CJ$301,MATCH(E26,환산공식!$A$16:$A$301,0)),1),"%"),"")</f>
        <v/>
      </c>
      <c r="M26" s="41">
        <f>IFERROR(INDEX(환산공식!CK$16:CK$301,MATCH(E26,환산공식!$A$16:$A$301,0)),"")</f>
        <v>0</v>
      </c>
      <c r="N26" s="113" t="str">
        <f t="shared" si="1"/>
        <v>1% 이하</v>
      </c>
      <c r="O26" s="119">
        <f>IFERROR(ROUND(INDEX(환산공식!$EF$16:$EF$301,MATCH(E26,환산공식!$A$16:$A$301,0)),3),"")</f>
        <v>0</v>
      </c>
      <c r="P26" s="119">
        <f>IFERROR(ROUND(INDEX('배치점수 계산기'!M$11:M$1000,MATCH($C26,'배치점수 계산기'!$U$11:$U$1000,0)),2),"")</f>
        <v>403.54</v>
      </c>
      <c r="Q26" s="41">
        <f>IFERROR(ROUND(INDEX('배치점수 계산기'!N$11:N$1000,MATCH($C26,'배치점수 계산기'!$U$11:$U$1000,0)),2),"")</f>
        <v>398.26</v>
      </c>
      <c r="R26" s="41">
        <f>IFERROR(ROUND(INDEX('배치점수 계산기'!O$11:O$1000,MATCH($C26,'배치점수 계산기'!$U$11:$U$1000,0)),2),"")</f>
        <v>396.08</v>
      </c>
      <c r="S26" s="41">
        <f>IFERROR(ROUND(INDEX('배치점수 계산기'!P$11:P$1000,MATCH($C26,'배치점수 계산기'!$U$11:$U$1000,0)),2),"")</f>
        <v>394.76</v>
      </c>
      <c r="T26" s="41">
        <f>IFERROR(ROUND(INDEX('배치점수 계산기'!Q$11:Q$1000,MATCH($C26,'배치점수 계산기'!$U$11:$U$1000,0)),2),"")</f>
        <v>393.56</v>
      </c>
      <c r="U26" s="41">
        <f>IFERROR(INDEX(환산공식!$DC$16:$DC$301,MATCH(E26,환산공식!$A$16:$A$301,0)),"")</f>
        <v>0</v>
      </c>
      <c r="V26" s="113">
        <f t="shared" si="2"/>
        <v>6</v>
      </c>
      <c r="W26" s="110" t="str">
        <f>INDEX('배치점수 계산기'!$AG$11:$AG$800,MATCH('       나 군       '!$C26,'배치점수 계산기'!$U$11:$U$800,0))</f>
        <v>표점</v>
      </c>
      <c r="X26" s="108" t="str">
        <f>INDEX('배치점수 계산기'!$AH$11:$AH$800,MATCH('       나 군       '!$C26,'배치점수 계산기'!$U$11:$U$800,0))</f>
        <v>표점</v>
      </c>
      <c r="Y26" s="113">
        <f>INDEX('배치점수 계산기'!$AB$11:$AB$800,MATCH('       나 군       '!$C26,'배치점수 계산기'!$U$11:$U$800,0))</f>
        <v>0.33333333333333331</v>
      </c>
      <c r="Z26" s="73">
        <f>INDEX('배치점수 계산기'!$AC$11:$AC$800,MATCH('       나 군       '!$C26,'배치점수 계산기'!$U$11:$U$800,0))</f>
        <v>0.39999999999999997</v>
      </c>
      <c r="AA26" s="63">
        <f>INDEX('배치점수 계산기'!$AD$11:$AD$800,MATCH('       나 군       '!$C26,'배치점수 계산기'!$U$11:$U$800,0))</f>
        <v>0.26666666666666666</v>
      </c>
      <c r="AE26" s="7">
        <v>19</v>
      </c>
    </row>
    <row r="27" spans="3:31" x14ac:dyDescent="0.3">
      <c r="C27" s="7" t="s">
        <v>1251</v>
      </c>
      <c r="D27" s="41" t="s">
        <v>1232</v>
      </c>
      <c r="E27" s="41">
        <v>16</v>
      </c>
      <c r="F27" s="113" t="s">
        <v>346</v>
      </c>
      <c r="G27" s="41" t="s">
        <v>681</v>
      </c>
      <c r="H27" s="41" t="s">
        <v>729</v>
      </c>
      <c r="I27" s="41" t="s">
        <v>274</v>
      </c>
      <c r="J27" s="41" t="str">
        <f t="shared" si="0"/>
        <v>X</v>
      </c>
      <c r="K27" s="113">
        <f>IFERROR(INDEX(환산공식!CI$16:CI$301,MATCH($E27,환산공식!$A$16:$A$301,0)),"")</f>
        <v>0</v>
      </c>
      <c r="L27" s="41" t="str">
        <f>IFERROR(CONCATENATE(ROUND(INDEX(환산공식!CJ$16:CJ$301,MATCH(E27,환산공식!$A$16:$A$301,0)),1),"%"),"")</f>
        <v/>
      </c>
      <c r="M27" s="41">
        <f>IFERROR(INDEX(환산공식!CK$16:CK$301,MATCH(E27,환산공식!$A$16:$A$301,0)),"")</f>
        <v>0</v>
      </c>
      <c r="N27" s="113" t="str">
        <f t="shared" si="1"/>
        <v>1% 이하</v>
      </c>
      <c r="O27" s="119">
        <f>IFERROR(ROUND(INDEX(환산공식!$EF$16:$EF$301,MATCH(E27,환산공식!$A$16:$A$301,0)),3),"")</f>
        <v>0</v>
      </c>
      <c r="P27" s="119">
        <f>IFERROR(ROUND(INDEX('배치점수 계산기'!M$11:M$1000,MATCH($C27,'배치점수 계산기'!$U$11:$U$1000,0)),2),"")</f>
        <v>402.1</v>
      </c>
      <c r="Q27" s="41">
        <f>IFERROR(ROUND(INDEX('배치점수 계산기'!N$11:N$1000,MATCH($C27,'배치점수 계산기'!$U$11:$U$1000,0)),2),"")</f>
        <v>397.56</v>
      </c>
      <c r="R27" s="41">
        <f>IFERROR(ROUND(INDEX('배치점수 계산기'!O$11:O$1000,MATCH($C27,'배치점수 계산기'!$U$11:$U$1000,0)),2),"")</f>
        <v>396.08</v>
      </c>
      <c r="S27" s="41">
        <f>IFERROR(ROUND(INDEX('배치점수 계산기'!P$11:P$1000,MATCH($C27,'배치점수 계산기'!$U$11:$U$1000,0)),2),"")</f>
        <v>393.56</v>
      </c>
      <c r="T27" s="41">
        <f>IFERROR(ROUND(INDEX('배치점수 계산기'!Q$11:Q$1000,MATCH($C27,'배치점수 계산기'!$U$11:$U$1000,0)),2),"")</f>
        <v>391.04</v>
      </c>
      <c r="U27" s="41">
        <f>IFERROR(INDEX(환산공식!$DC$16:$DC$301,MATCH(E27,환산공식!$A$16:$A$301,0)),"")</f>
        <v>0</v>
      </c>
      <c r="V27" s="113">
        <f t="shared" si="2"/>
        <v>6</v>
      </c>
      <c r="W27" s="110" t="str">
        <f>INDEX('배치점수 계산기'!$AG$11:$AG$800,MATCH('       나 군       '!$C27,'배치점수 계산기'!$U$11:$U$800,0))</f>
        <v>표점</v>
      </c>
      <c r="X27" s="108" t="str">
        <f>INDEX('배치점수 계산기'!$AH$11:$AH$800,MATCH('       나 군       '!$C27,'배치점수 계산기'!$U$11:$U$800,0))</f>
        <v>표점</v>
      </c>
      <c r="Y27" s="113">
        <f>INDEX('배치점수 계산기'!$AB$11:$AB$800,MATCH('       나 군       '!$C27,'배치점수 계산기'!$U$11:$U$800,0))</f>
        <v>0.33333333333333331</v>
      </c>
      <c r="Z27" s="73">
        <f>INDEX('배치점수 계산기'!$AC$11:$AC$800,MATCH('       나 군       '!$C27,'배치점수 계산기'!$U$11:$U$800,0))</f>
        <v>0.39999999999999997</v>
      </c>
      <c r="AA27" s="63">
        <f>INDEX('배치점수 계산기'!$AD$11:$AD$800,MATCH('       나 군       '!$C27,'배치점수 계산기'!$U$11:$U$800,0))</f>
        <v>0.26666666666666666</v>
      </c>
      <c r="AE27" s="7">
        <v>20</v>
      </c>
    </row>
    <row r="28" spans="3:31" x14ac:dyDescent="0.3">
      <c r="C28" s="7" t="s">
        <v>1252</v>
      </c>
      <c r="D28" s="41" t="s">
        <v>1232</v>
      </c>
      <c r="E28" s="41">
        <v>16</v>
      </c>
      <c r="F28" s="113" t="s">
        <v>346</v>
      </c>
      <c r="G28" s="41" t="s">
        <v>681</v>
      </c>
      <c r="H28" s="41" t="s">
        <v>259</v>
      </c>
      <c r="I28" s="41" t="s">
        <v>274</v>
      </c>
      <c r="J28" s="41" t="str">
        <f t="shared" si="0"/>
        <v>X</v>
      </c>
      <c r="K28" s="113">
        <f>IFERROR(INDEX(환산공식!CI$16:CI$301,MATCH($E28,환산공식!$A$16:$A$301,0)),"")</f>
        <v>0</v>
      </c>
      <c r="L28" s="41" t="str">
        <f>IFERROR(CONCATENATE(ROUND(INDEX(환산공식!CJ$16:CJ$301,MATCH(E28,환산공식!$A$16:$A$301,0)),1),"%"),"")</f>
        <v/>
      </c>
      <c r="M28" s="41">
        <f>IFERROR(INDEX(환산공식!CK$16:CK$301,MATCH(E28,환산공식!$A$16:$A$301,0)),"")</f>
        <v>0</v>
      </c>
      <c r="N28" s="113" t="str">
        <f t="shared" si="1"/>
        <v>1% 이하</v>
      </c>
      <c r="O28" s="119">
        <f>IFERROR(ROUND(INDEX(환산공식!$EF$16:$EF$301,MATCH(E28,환산공식!$A$16:$A$301,0)),3),"")</f>
        <v>0</v>
      </c>
      <c r="P28" s="119">
        <f>IFERROR(ROUND(INDEX('배치점수 계산기'!M$11:M$1000,MATCH($C28,'배치점수 계산기'!$U$11:$U$1000,0)),2),"")</f>
        <v>402.1</v>
      </c>
      <c r="Q28" s="41">
        <f>IFERROR(ROUND(INDEX('배치점수 계산기'!N$11:N$1000,MATCH($C28,'배치점수 계산기'!$U$11:$U$1000,0)),2),"")</f>
        <v>397.98</v>
      </c>
      <c r="R28" s="41">
        <f>IFERROR(ROUND(INDEX('배치점수 계산기'!O$11:O$1000,MATCH($C28,'배치점수 계산기'!$U$11:$U$1000,0)),2),"")</f>
        <v>396.08</v>
      </c>
      <c r="S28" s="41">
        <f>IFERROR(ROUND(INDEX('배치점수 계산기'!P$11:P$1000,MATCH($C28,'배치점수 계산기'!$U$11:$U$1000,0)),2),"")</f>
        <v>395.54</v>
      </c>
      <c r="T28" s="41">
        <f>IFERROR(ROUND(INDEX('배치점수 계산기'!Q$11:Q$1000,MATCH($C28,'배치점수 계산기'!$U$11:$U$1000,0)),2),"")</f>
        <v>393.56</v>
      </c>
      <c r="U28" s="41">
        <f>IFERROR(INDEX(환산공식!$DC$16:$DC$301,MATCH(E28,환산공식!$A$16:$A$301,0)),"")</f>
        <v>0</v>
      </c>
      <c r="V28" s="113">
        <f t="shared" si="2"/>
        <v>6</v>
      </c>
      <c r="W28" s="110" t="str">
        <f>INDEX('배치점수 계산기'!$AG$11:$AG$800,MATCH('       나 군       '!$C28,'배치점수 계산기'!$U$11:$U$800,0))</f>
        <v>표점</v>
      </c>
      <c r="X28" s="108" t="str">
        <f>INDEX('배치점수 계산기'!$AH$11:$AH$800,MATCH('       나 군       '!$C28,'배치점수 계산기'!$U$11:$U$800,0))</f>
        <v>표점</v>
      </c>
      <c r="Y28" s="113">
        <f>INDEX('배치점수 계산기'!$AB$11:$AB$800,MATCH('       나 군       '!$C28,'배치점수 계산기'!$U$11:$U$800,0))</f>
        <v>0.33333333333333331</v>
      </c>
      <c r="Z28" s="73">
        <f>INDEX('배치점수 계산기'!$AC$11:$AC$800,MATCH('       나 군       '!$C28,'배치점수 계산기'!$U$11:$U$800,0))</f>
        <v>0.39999999999999997</v>
      </c>
      <c r="AA28" s="63">
        <f>INDEX('배치점수 계산기'!$AD$11:$AD$800,MATCH('       나 군       '!$C28,'배치점수 계산기'!$U$11:$U$800,0))</f>
        <v>0.26666666666666666</v>
      </c>
      <c r="AE28" s="7">
        <v>21</v>
      </c>
    </row>
    <row r="29" spans="3:31" x14ac:dyDescent="0.3">
      <c r="C29" s="7" t="s">
        <v>1253</v>
      </c>
      <c r="D29" s="41" t="s">
        <v>1232</v>
      </c>
      <c r="E29" s="41">
        <v>16</v>
      </c>
      <c r="F29" s="113" t="s">
        <v>346</v>
      </c>
      <c r="G29" s="41" t="s">
        <v>681</v>
      </c>
      <c r="H29" s="41" t="s">
        <v>730</v>
      </c>
      <c r="I29" s="41" t="s">
        <v>274</v>
      </c>
      <c r="J29" s="41" t="str">
        <f t="shared" si="0"/>
        <v>X</v>
      </c>
      <c r="K29" s="113">
        <f>IFERROR(INDEX(환산공식!CI$16:CI$301,MATCH($E29,환산공식!$A$16:$A$301,0)),"")</f>
        <v>0</v>
      </c>
      <c r="L29" s="41" t="str">
        <f>IFERROR(CONCATENATE(ROUND(INDEX(환산공식!CJ$16:CJ$301,MATCH(E29,환산공식!$A$16:$A$301,0)),1),"%"),"")</f>
        <v/>
      </c>
      <c r="M29" s="41">
        <f>IFERROR(INDEX(환산공식!CK$16:CK$301,MATCH(E29,환산공식!$A$16:$A$301,0)),"")</f>
        <v>0</v>
      </c>
      <c r="N29" s="113" t="str">
        <f t="shared" si="1"/>
        <v>1% 이하</v>
      </c>
      <c r="O29" s="119">
        <f>IFERROR(ROUND(INDEX(환산공식!$EF$16:$EF$301,MATCH(E29,환산공식!$A$16:$A$301,0)),3),"")</f>
        <v>0</v>
      </c>
      <c r="P29" s="119">
        <f>IFERROR(ROUND(INDEX('배치점수 계산기'!M$11:M$1000,MATCH($C29,'배치점수 계산기'!$U$11:$U$1000,0)),2),"")</f>
        <v>402.1</v>
      </c>
      <c r="Q29" s="41">
        <f>IFERROR(ROUND(INDEX('배치점수 계산기'!N$11:N$1000,MATCH($C29,'배치점수 계산기'!$U$11:$U$1000,0)),2),"")</f>
        <v>397.56</v>
      </c>
      <c r="R29" s="41">
        <f>IFERROR(ROUND(INDEX('배치점수 계산기'!O$11:O$1000,MATCH($C29,'배치점수 계산기'!$U$11:$U$1000,0)),2),"")</f>
        <v>395.06</v>
      </c>
      <c r="S29" s="41">
        <f>IFERROR(ROUND(INDEX('배치점수 계산기'!P$11:P$1000,MATCH($C29,'배치점수 계산기'!$U$11:$U$1000,0)),2),"")</f>
        <v>392.78</v>
      </c>
      <c r="T29" s="41">
        <f>IFERROR(ROUND(INDEX('배치점수 계산기'!Q$11:Q$1000,MATCH($C29,'배치점수 계산기'!$U$11:$U$1000,0)),2),"")</f>
        <v>391.04</v>
      </c>
      <c r="U29" s="41">
        <f>IFERROR(INDEX(환산공식!$DC$16:$DC$301,MATCH(E29,환산공식!$A$16:$A$301,0)),"")</f>
        <v>0</v>
      </c>
      <c r="V29" s="113">
        <f t="shared" si="2"/>
        <v>6</v>
      </c>
      <c r="W29" s="110" t="str">
        <f>INDEX('배치점수 계산기'!$AG$11:$AG$800,MATCH('       나 군       '!$C29,'배치점수 계산기'!$U$11:$U$800,0))</f>
        <v>표점</v>
      </c>
      <c r="X29" s="108" t="str">
        <f>INDEX('배치점수 계산기'!$AH$11:$AH$800,MATCH('       나 군       '!$C29,'배치점수 계산기'!$U$11:$U$800,0))</f>
        <v>표점</v>
      </c>
      <c r="Y29" s="113">
        <f>INDEX('배치점수 계산기'!$AB$11:$AB$800,MATCH('       나 군       '!$C29,'배치점수 계산기'!$U$11:$U$800,0))</f>
        <v>0.33333333333333331</v>
      </c>
      <c r="Z29" s="73">
        <f>INDEX('배치점수 계산기'!$AC$11:$AC$800,MATCH('       나 군       '!$C29,'배치점수 계산기'!$U$11:$U$800,0))</f>
        <v>0.39999999999999997</v>
      </c>
      <c r="AA29" s="63">
        <f>INDEX('배치점수 계산기'!$AD$11:$AD$800,MATCH('       나 군       '!$C29,'배치점수 계산기'!$U$11:$U$800,0))</f>
        <v>0.26666666666666666</v>
      </c>
      <c r="AE29" s="7">
        <v>22</v>
      </c>
    </row>
    <row r="30" spans="3:31" x14ac:dyDescent="0.3">
      <c r="C30" s="7" t="s">
        <v>1254</v>
      </c>
      <c r="D30" s="41" t="s">
        <v>1232</v>
      </c>
      <c r="E30" s="41">
        <v>16</v>
      </c>
      <c r="F30" s="113" t="s">
        <v>346</v>
      </c>
      <c r="G30" s="41" t="s">
        <v>681</v>
      </c>
      <c r="H30" s="41" t="s">
        <v>731</v>
      </c>
      <c r="I30" s="41" t="s">
        <v>274</v>
      </c>
      <c r="J30" s="41" t="str">
        <f t="shared" si="0"/>
        <v>X</v>
      </c>
      <c r="K30" s="113">
        <f>IFERROR(INDEX(환산공식!CI$16:CI$301,MATCH($E30,환산공식!$A$16:$A$301,0)),"")</f>
        <v>0</v>
      </c>
      <c r="L30" s="41" t="str">
        <f>IFERROR(CONCATENATE(ROUND(INDEX(환산공식!CJ$16:CJ$301,MATCH(E30,환산공식!$A$16:$A$301,0)),1),"%"),"")</f>
        <v/>
      </c>
      <c r="M30" s="41">
        <f>IFERROR(INDEX(환산공식!CK$16:CK$301,MATCH(E30,환산공식!$A$16:$A$301,0)),"")</f>
        <v>0</v>
      </c>
      <c r="N30" s="113" t="str">
        <f t="shared" si="1"/>
        <v>1% 이하</v>
      </c>
      <c r="O30" s="119">
        <f>IFERROR(ROUND(INDEX(환산공식!$EF$16:$EF$301,MATCH(E30,환산공식!$A$16:$A$301,0)),3),"")</f>
        <v>0</v>
      </c>
      <c r="P30" s="119">
        <f>IFERROR(ROUND(INDEX('배치점수 계산기'!M$11:M$1000,MATCH($C30,'배치점수 계산기'!$U$11:$U$1000,0)),2),"")</f>
        <v>399.64</v>
      </c>
      <c r="Q30" s="41">
        <f>IFERROR(ROUND(INDEX('배치점수 계산기'!N$11:N$1000,MATCH($C30,'배치점수 계산기'!$U$11:$U$1000,0)),2),"")</f>
        <v>396.56</v>
      </c>
      <c r="R30" s="41">
        <f>IFERROR(ROUND(INDEX('배치점수 계산기'!O$11:O$1000,MATCH($C30,'배치점수 계산기'!$U$11:$U$1000,0)),2),"")</f>
        <v>394.86</v>
      </c>
      <c r="S30" s="41">
        <f>IFERROR(ROUND(INDEX('배치점수 계산기'!P$11:P$1000,MATCH($C30,'배치점수 계산기'!$U$11:$U$1000,0)),2),"")</f>
        <v>392.62</v>
      </c>
      <c r="T30" s="41">
        <f>IFERROR(ROUND(INDEX('배치점수 계산기'!Q$11:Q$1000,MATCH($C30,'배치점수 계산기'!$U$11:$U$1000,0)),2),"")</f>
        <v>391.04</v>
      </c>
      <c r="U30" s="41">
        <f>IFERROR(INDEX(환산공식!$DC$16:$DC$301,MATCH(E30,환산공식!$A$16:$A$301,0)),"")</f>
        <v>0</v>
      </c>
      <c r="V30" s="113">
        <f t="shared" si="2"/>
        <v>6</v>
      </c>
      <c r="W30" s="110" t="str">
        <f>INDEX('배치점수 계산기'!$AG$11:$AG$800,MATCH('       나 군       '!$C30,'배치점수 계산기'!$U$11:$U$800,0))</f>
        <v>표점</v>
      </c>
      <c r="X30" s="108" t="str">
        <f>INDEX('배치점수 계산기'!$AH$11:$AH$800,MATCH('       나 군       '!$C30,'배치점수 계산기'!$U$11:$U$800,0))</f>
        <v>표점</v>
      </c>
      <c r="Y30" s="113">
        <f>INDEX('배치점수 계산기'!$AB$11:$AB$800,MATCH('       나 군       '!$C30,'배치점수 계산기'!$U$11:$U$800,0))</f>
        <v>0.33333333333333331</v>
      </c>
      <c r="Z30" s="73">
        <f>INDEX('배치점수 계산기'!$AC$11:$AC$800,MATCH('       나 군       '!$C30,'배치점수 계산기'!$U$11:$U$800,0))</f>
        <v>0.39999999999999997</v>
      </c>
      <c r="AA30" s="63">
        <f>INDEX('배치점수 계산기'!$AD$11:$AD$800,MATCH('       나 군       '!$C30,'배치점수 계산기'!$U$11:$U$800,0))</f>
        <v>0.26666666666666666</v>
      </c>
      <c r="AE30" s="7">
        <v>23</v>
      </c>
    </row>
    <row r="31" spans="3:31" x14ac:dyDescent="0.3">
      <c r="C31" s="7" t="s">
        <v>1255</v>
      </c>
      <c r="D31" s="41" t="s">
        <v>1232</v>
      </c>
      <c r="E31" s="41">
        <v>16</v>
      </c>
      <c r="F31" s="113" t="s">
        <v>346</v>
      </c>
      <c r="G31" s="41" t="s">
        <v>681</v>
      </c>
      <c r="H31" s="41" t="s">
        <v>732</v>
      </c>
      <c r="I31" s="41" t="s">
        <v>274</v>
      </c>
      <c r="J31" s="41" t="str">
        <f t="shared" si="0"/>
        <v>X</v>
      </c>
      <c r="K31" s="113">
        <f>IFERROR(INDEX(환산공식!CI$16:CI$301,MATCH($E31,환산공식!$A$16:$A$301,0)),"")</f>
        <v>0</v>
      </c>
      <c r="L31" s="41" t="str">
        <f>IFERROR(CONCATENATE(ROUND(INDEX(환산공식!CJ$16:CJ$301,MATCH(E31,환산공식!$A$16:$A$301,0)),1),"%"),"")</f>
        <v/>
      </c>
      <c r="M31" s="41">
        <f>IFERROR(INDEX(환산공식!CK$16:CK$301,MATCH(E31,환산공식!$A$16:$A$301,0)),"")</f>
        <v>0</v>
      </c>
      <c r="N31" s="113" t="str">
        <f t="shared" si="1"/>
        <v>1% 이하</v>
      </c>
      <c r="O31" s="119">
        <f>IFERROR(ROUND(INDEX(환산공식!$EF$16:$EF$301,MATCH(E31,환산공식!$A$16:$A$301,0)),3),"")</f>
        <v>0</v>
      </c>
      <c r="P31" s="119">
        <f>IFERROR(ROUND(INDEX('배치점수 계산기'!M$11:M$1000,MATCH($C31,'배치점수 계산기'!$U$11:$U$1000,0)),2),"")</f>
        <v>404.06</v>
      </c>
      <c r="Q31" s="41">
        <f>IFERROR(ROUND(INDEX('배치점수 계산기'!N$11:N$1000,MATCH($C31,'배치점수 계산기'!$U$11:$U$1000,0)),2),"")</f>
        <v>396.88</v>
      </c>
      <c r="R31" s="41">
        <f>IFERROR(ROUND(INDEX('배치점수 계산기'!O$11:O$1000,MATCH($C31,'배치점수 계산기'!$U$11:$U$1000,0)),2),"")</f>
        <v>395.54</v>
      </c>
      <c r="S31" s="41">
        <f>IFERROR(ROUND(INDEX('배치점수 계산기'!P$11:P$1000,MATCH($C31,'배치점수 계산기'!$U$11:$U$1000,0)),2),"")</f>
        <v>393.56</v>
      </c>
      <c r="T31" s="41">
        <f>IFERROR(ROUND(INDEX('배치점수 계산기'!Q$11:Q$1000,MATCH($C31,'배치점수 계산기'!$U$11:$U$1000,0)),2),"")</f>
        <v>392.52</v>
      </c>
      <c r="U31" s="41">
        <f>IFERROR(INDEX(환산공식!$DC$16:$DC$301,MATCH(E31,환산공식!$A$16:$A$301,0)),"")</f>
        <v>0</v>
      </c>
      <c r="V31" s="113">
        <f t="shared" si="2"/>
        <v>6</v>
      </c>
      <c r="W31" s="110" t="str">
        <f>INDEX('배치점수 계산기'!$AG$11:$AG$800,MATCH('       나 군       '!$C31,'배치점수 계산기'!$U$11:$U$800,0))</f>
        <v>표점</v>
      </c>
      <c r="X31" s="108" t="str">
        <f>INDEX('배치점수 계산기'!$AH$11:$AH$800,MATCH('       나 군       '!$C31,'배치점수 계산기'!$U$11:$U$800,0))</f>
        <v>표점</v>
      </c>
      <c r="Y31" s="113">
        <f>INDEX('배치점수 계산기'!$AB$11:$AB$800,MATCH('       나 군       '!$C31,'배치점수 계산기'!$U$11:$U$800,0))</f>
        <v>0.33333333333333331</v>
      </c>
      <c r="Z31" s="73">
        <f>INDEX('배치점수 계산기'!$AC$11:$AC$800,MATCH('       나 군       '!$C31,'배치점수 계산기'!$U$11:$U$800,0))</f>
        <v>0.39999999999999997</v>
      </c>
      <c r="AA31" s="63">
        <f>INDEX('배치점수 계산기'!$AD$11:$AD$800,MATCH('       나 군       '!$C31,'배치점수 계산기'!$U$11:$U$800,0))</f>
        <v>0.26666666666666666</v>
      </c>
      <c r="AE31" s="7">
        <v>24</v>
      </c>
    </row>
    <row r="32" spans="3:31" x14ac:dyDescent="0.3">
      <c r="C32" s="7" t="s">
        <v>1256</v>
      </c>
      <c r="D32" s="41" t="s">
        <v>1232</v>
      </c>
      <c r="E32" s="41">
        <v>16</v>
      </c>
      <c r="F32" s="113" t="s">
        <v>346</v>
      </c>
      <c r="G32" s="41" t="s">
        <v>681</v>
      </c>
      <c r="H32" s="41" t="s">
        <v>733</v>
      </c>
      <c r="I32" s="41" t="s">
        <v>274</v>
      </c>
      <c r="J32" s="41" t="str">
        <f t="shared" si="0"/>
        <v>X</v>
      </c>
      <c r="K32" s="113">
        <f>IFERROR(INDEX(환산공식!CI$16:CI$301,MATCH($E32,환산공식!$A$16:$A$301,0)),"")</f>
        <v>0</v>
      </c>
      <c r="L32" s="41" t="str">
        <f>IFERROR(CONCATENATE(ROUND(INDEX(환산공식!CJ$16:CJ$301,MATCH(E32,환산공식!$A$16:$A$301,0)),1),"%"),"")</f>
        <v/>
      </c>
      <c r="M32" s="41">
        <f>IFERROR(INDEX(환산공식!CK$16:CK$301,MATCH(E32,환산공식!$A$16:$A$301,0)),"")</f>
        <v>0</v>
      </c>
      <c r="N32" s="113" t="str">
        <f t="shared" si="1"/>
        <v>1% 이하</v>
      </c>
      <c r="O32" s="119">
        <f>IFERROR(ROUND(INDEX(환산공식!$EF$16:$EF$301,MATCH(E32,환산공식!$A$16:$A$301,0)),3),"")</f>
        <v>0</v>
      </c>
      <c r="P32" s="119">
        <f>IFERROR(ROUND(INDEX('배치점수 계산기'!M$11:M$1000,MATCH($C32,'배치점수 계산기'!$U$11:$U$1000,0)),2),"")</f>
        <v>398.26</v>
      </c>
      <c r="Q32" s="41">
        <f>IFERROR(ROUND(INDEX('배치점수 계산기'!N$11:N$1000,MATCH($C32,'배치점수 계산기'!$U$11:$U$1000,0)),2),"")</f>
        <v>395.54</v>
      </c>
      <c r="R32" s="41">
        <f>IFERROR(ROUND(INDEX('배치점수 계산기'!O$11:O$1000,MATCH($C32,'배치점수 계산기'!$U$11:$U$1000,0)),2),"")</f>
        <v>394.34</v>
      </c>
      <c r="S32" s="41">
        <f>IFERROR(ROUND(INDEX('배치점수 계산기'!P$11:P$1000,MATCH($C32,'배치점수 계산기'!$U$11:$U$1000,0)),2),"")</f>
        <v>392.62</v>
      </c>
      <c r="T32" s="41">
        <f>IFERROR(ROUND(INDEX('배치점수 계산기'!Q$11:Q$1000,MATCH($C32,'배치점수 계산기'!$U$11:$U$1000,0)),2),"")</f>
        <v>390.66</v>
      </c>
      <c r="U32" s="41">
        <f>IFERROR(INDEX(환산공식!$DC$16:$DC$301,MATCH(E32,환산공식!$A$16:$A$301,0)),"")</f>
        <v>0</v>
      </c>
      <c r="V32" s="113">
        <f t="shared" si="2"/>
        <v>6</v>
      </c>
      <c r="W32" s="110" t="str">
        <f>INDEX('배치점수 계산기'!$AG$11:$AG$800,MATCH('       나 군       '!$C32,'배치점수 계산기'!$U$11:$U$800,0))</f>
        <v>표점</v>
      </c>
      <c r="X32" s="108" t="str">
        <f>INDEX('배치점수 계산기'!$AH$11:$AH$800,MATCH('       나 군       '!$C32,'배치점수 계산기'!$U$11:$U$800,0))</f>
        <v>표점</v>
      </c>
      <c r="Y32" s="113">
        <f>INDEX('배치점수 계산기'!$AB$11:$AB$800,MATCH('       나 군       '!$C32,'배치점수 계산기'!$U$11:$U$800,0))</f>
        <v>0.33333333333333331</v>
      </c>
      <c r="Z32" s="73">
        <f>INDEX('배치점수 계산기'!$AC$11:$AC$800,MATCH('       나 군       '!$C32,'배치점수 계산기'!$U$11:$U$800,0))</f>
        <v>0.39999999999999997</v>
      </c>
      <c r="AA32" s="63">
        <f>INDEX('배치점수 계산기'!$AD$11:$AD$800,MATCH('       나 군       '!$C32,'배치점수 계산기'!$U$11:$U$800,0))</f>
        <v>0.26666666666666666</v>
      </c>
      <c r="AE32" s="7">
        <v>25</v>
      </c>
    </row>
    <row r="33" spans="3:31" x14ac:dyDescent="0.3">
      <c r="C33" s="7" t="s">
        <v>1257</v>
      </c>
      <c r="D33" s="41" t="s">
        <v>1232</v>
      </c>
      <c r="E33" s="41">
        <v>16</v>
      </c>
      <c r="F33" s="113" t="s">
        <v>346</v>
      </c>
      <c r="G33" s="41" t="s">
        <v>681</v>
      </c>
      <c r="H33" s="41" t="s">
        <v>734</v>
      </c>
      <c r="I33" s="41" t="s">
        <v>274</v>
      </c>
      <c r="J33" s="41" t="str">
        <f t="shared" si="0"/>
        <v>X</v>
      </c>
      <c r="K33" s="113">
        <f>IFERROR(INDEX(환산공식!CI$16:CI$301,MATCH($E33,환산공식!$A$16:$A$301,0)),"")</f>
        <v>0</v>
      </c>
      <c r="L33" s="41" t="str">
        <f>IFERROR(CONCATENATE(ROUND(INDEX(환산공식!CJ$16:CJ$301,MATCH(E33,환산공식!$A$16:$A$301,0)),1),"%"),"")</f>
        <v/>
      </c>
      <c r="M33" s="41">
        <f>IFERROR(INDEX(환산공식!CK$16:CK$301,MATCH(E33,환산공식!$A$16:$A$301,0)),"")</f>
        <v>0</v>
      </c>
      <c r="N33" s="113" t="str">
        <f t="shared" si="1"/>
        <v>1% 이하</v>
      </c>
      <c r="O33" s="119">
        <f>IFERROR(ROUND(INDEX(환산공식!$EF$16:$EF$301,MATCH(E33,환산공식!$A$16:$A$301,0)),3),"")</f>
        <v>0</v>
      </c>
      <c r="P33" s="119">
        <f>IFERROR(ROUND(INDEX('배치점수 계산기'!M$11:M$1000,MATCH($C33,'배치점수 계산기'!$U$11:$U$1000,0)),2),"")</f>
        <v>398.26</v>
      </c>
      <c r="Q33" s="41">
        <f>IFERROR(ROUND(INDEX('배치점수 계산기'!N$11:N$1000,MATCH($C33,'배치점수 계산기'!$U$11:$U$1000,0)),2),"")</f>
        <v>396.08</v>
      </c>
      <c r="R33" s="41">
        <f>IFERROR(ROUND(INDEX('배치점수 계산기'!O$11:O$1000,MATCH($C33,'배치점수 계산기'!$U$11:$U$1000,0)),2),"")</f>
        <v>394.24</v>
      </c>
      <c r="S33" s="41">
        <f>IFERROR(ROUND(INDEX('배치점수 계산기'!P$11:P$1000,MATCH($C33,'배치점수 계산기'!$U$11:$U$1000,0)),2),"")</f>
        <v>393.22</v>
      </c>
      <c r="T33" s="41">
        <f>IFERROR(ROUND(INDEX('배치점수 계산기'!Q$11:Q$1000,MATCH($C33,'배치점수 계산기'!$U$11:$U$1000,0)),2),"")</f>
        <v>391.7</v>
      </c>
      <c r="U33" s="41">
        <f>IFERROR(INDEX(환산공식!$DC$16:$DC$301,MATCH(E33,환산공식!$A$16:$A$301,0)),"")</f>
        <v>0</v>
      </c>
      <c r="V33" s="113">
        <f t="shared" si="2"/>
        <v>6</v>
      </c>
      <c r="W33" s="110" t="str">
        <f>INDEX('배치점수 계산기'!$AG$11:$AG$800,MATCH('       나 군       '!$C33,'배치점수 계산기'!$U$11:$U$800,0))</f>
        <v>표점</v>
      </c>
      <c r="X33" s="108" t="str">
        <f>INDEX('배치점수 계산기'!$AH$11:$AH$800,MATCH('       나 군       '!$C33,'배치점수 계산기'!$U$11:$U$800,0))</f>
        <v>표점</v>
      </c>
      <c r="Y33" s="113">
        <f>INDEX('배치점수 계산기'!$AB$11:$AB$800,MATCH('       나 군       '!$C33,'배치점수 계산기'!$U$11:$U$800,0))</f>
        <v>0.33333333333333331</v>
      </c>
      <c r="Z33" s="73">
        <f>INDEX('배치점수 계산기'!$AC$11:$AC$800,MATCH('       나 군       '!$C33,'배치점수 계산기'!$U$11:$U$800,0))</f>
        <v>0.39999999999999997</v>
      </c>
      <c r="AA33" s="63">
        <f>INDEX('배치점수 계산기'!$AD$11:$AD$800,MATCH('       나 군       '!$C33,'배치점수 계산기'!$U$11:$U$800,0))</f>
        <v>0.26666666666666666</v>
      </c>
      <c r="AE33" s="7">
        <v>26</v>
      </c>
    </row>
    <row r="34" spans="3:31" x14ac:dyDescent="0.3">
      <c r="C34" s="7" t="s">
        <v>1258</v>
      </c>
      <c r="D34" s="41" t="s">
        <v>1232</v>
      </c>
      <c r="E34" s="41">
        <v>16</v>
      </c>
      <c r="F34" s="113" t="s">
        <v>346</v>
      </c>
      <c r="G34" s="41" t="s">
        <v>681</v>
      </c>
      <c r="H34" s="41" t="s">
        <v>735</v>
      </c>
      <c r="I34" s="41" t="s">
        <v>274</v>
      </c>
      <c r="J34" s="41" t="str">
        <f t="shared" si="0"/>
        <v>X</v>
      </c>
      <c r="K34" s="113">
        <f>IFERROR(INDEX(환산공식!CI$16:CI$301,MATCH($E34,환산공식!$A$16:$A$301,0)),"")</f>
        <v>0</v>
      </c>
      <c r="L34" s="41" t="str">
        <f>IFERROR(CONCATENATE(ROUND(INDEX(환산공식!CJ$16:CJ$301,MATCH(E34,환산공식!$A$16:$A$301,0)),1),"%"),"")</f>
        <v/>
      </c>
      <c r="M34" s="41">
        <f>IFERROR(INDEX(환산공식!CK$16:CK$301,MATCH(E34,환산공식!$A$16:$A$301,0)),"")</f>
        <v>0</v>
      </c>
      <c r="N34" s="113" t="str">
        <f t="shared" si="1"/>
        <v>1% 이하</v>
      </c>
      <c r="O34" s="119">
        <f>IFERROR(ROUND(INDEX(환산공식!$EF$16:$EF$301,MATCH(E34,환산공식!$A$16:$A$301,0)),3),"")</f>
        <v>0</v>
      </c>
      <c r="P34" s="119">
        <f>IFERROR(ROUND(INDEX('배치점수 계산기'!M$11:M$1000,MATCH($C34,'배치점수 계산기'!$U$11:$U$1000,0)),2),"")</f>
        <v>398.96</v>
      </c>
      <c r="Q34" s="41">
        <f>IFERROR(ROUND(INDEX('배치점수 계산기'!N$11:N$1000,MATCH($C34,'배치점수 계산기'!$U$11:$U$1000,0)),2),"")</f>
        <v>395.54</v>
      </c>
      <c r="R34" s="41">
        <f>IFERROR(ROUND(INDEX('배치점수 계산기'!O$11:O$1000,MATCH($C34,'배치점수 계산기'!$U$11:$U$1000,0)),2),"")</f>
        <v>394.34</v>
      </c>
      <c r="S34" s="41">
        <f>IFERROR(ROUND(INDEX('배치점수 계산기'!P$11:P$1000,MATCH($C34,'배치점수 계산기'!$U$11:$U$1000,0)),2),"")</f>
        <v>393.22</v>
      </c>
      <c r="T34" s="41">
        <f>IFERROR(ROUND(INDEX('배치점수 계산기'!Q$11:Q$1000,MATCH($C34,'배치점수 계산기'!$U$11:$U$1000,0)),2),"")</f>
        <v>390.66</v>
      </c>
      <c r="U34" s="41">
        <f>IFERROR(INDEX(환산공식!$DC$16:$DC$301,MATCH(E34,환산공식!$A$16:$A$301,0)),"")</f>
        <v>0</v>
      </c>
      <c r="V34" s="113">
        <f t="shared" si="2"/>
        <v>6</v>
      </c>
      <c r="W34" s="110" t="str">
        <f>INDEX('배치점수 계산기'!$AG$11:$AG$800,MATCH('       나 군       '!$C34,'배치점수 계산기'!$U$11:$U$800,0))</f>
        <v>표점</v>
      </c>
      <c r="X34" s="108" t="str">
        <f>INDEX('배치점수 계산기'!$AH$11:$AH$800,MATCH('       나 군       '!$C34,'배치점수 계산기'!$U$11:$U$800,0))</f>
        <v>표점</v>
      </c>
      <c r="Y34" s="113">
        <f>INDEX('배치점수 계산기'!$AB$11:$AB$800,MATCH('       나 군       '!$C34,'배치점수 계산기'!$U$11:$U$800,0))</f>
        <v>0.33333333333333331</v>
      </c>
      <c r="Z34" s="73">
        <f>INDEX('배치점수 계산기'!$AC$11:$AC$800,MATCH('       나 군       '!$C34,'배치점수 계산기'!$U$11:$U$800,0))</f>
        <v>0.39999999999999997</v>
      </c>
      <c r="AA34" s="63">
        <f>INDEX('배치점수 계산기'!$AD$11:$AD$800,MATCH('       나 군       '!$C34,'배치점수 계산기'!$U$11:$U$800,0))</f>
        <v>0.26666666666666666</v>
      </c>
      <c r="AE34" s="7">
        <v>27</v>
      </c>
    </row>
    <row r="35" spans="3:31" x14ac:dyDescent="0.3">
      <c r="C35" s="7" t="s">
        <v>1259</v>
      </c>
      <c r="D35" s="41" t="s">
        <v>1232</v>
      </c>
      <c r="E35" s="41">
        <v>16</v>
      </c>
      <c r="F35" s="113" t="s">
        <v>346</v>
      </c>
      <c r="G35" s="41" t="s">
        <v>681</v>
      </c>
      <c r="H35" s="41" t="s">
        <v>736</v>
      </c>
      <c r="I35" s="41" t="s">
        <v>274</v>
      </c>
      <c r="J35" s="41" t="str">
        <f t="shared" si="0"/>
        <v>X</v>
      </c>
      <c r="K35" s="113">
        <f>IFERROR(INDEX(환산공식!CI$16:CI$301,MATCH($E35,환산공식!$A$16:$A$301,0)),"")</f>
        <v>0</v>
      </c>
      <c r="L35" s="41" t="str">
        <f>IFERROR(CONCATENATE(ROUND(INDEX(환산공식!CJ$16:CJ$301,MATCH(E35,환산공식!$A$16:$A$301,0)),1),"%"),"")</f>
        <v/>
      </c>
      <c r="M35" s="41">
        <f>IFERROR(INDEX(환산공식!CK$16:CK$301,MATCH(E35,환산공식!$A$16:$A$301,0)),"")</f>
        <v>0</v>
      </c>
      <c r="N35" s="113" t="str">
        <f t="shared" si="1"/>
        <v>1% 이하</v>
      </c>
      <c r="O35" s="119">
        <f>IFERROR(ROUND(INDEX(환산공식!$EF$16:$EF$301,MATCH(E35,환산공식!$A$16:$A$301,0)),3),"")</f>
        <v>0</v>
      </c>
      <c r="P35" s="119">
        <f>IFERROR(ROUND(INDEX('배치점수 계산기'!M$11:M$1000,MATCH($C35,'배치점수 계산기'!$U$11:$U$1000,0)),2),"")</f>
        <v>398.96</v>
      </c>
      <c r="Q35" s="41">
        <f>IFERROR(ROUND(INDEX('배치점수 계산기'!N$11:N$1000,MATCH($C35,'배치점수 계산기'!$U$11:$U$1000,0)),2),"")</f>
        <v>395.54</v>
      </c>
      <c r="R35" s="41">
        <f>IFERROR(ROUND(INDEX('배치점수 계산기'!O$11:O$1000,MATCH($C35,'배치점수 계산기'!$U$11:$U$1000,0)),2),"")</f>
        <v>394.34</v>
      </c>
      <c r="S35" s="41">
        <f>IFERROR(ROUND(INDEX('배치점수 계산기'!P$11:P$1000,MATCH($C35,'배치점수 계산기'!$U$11:$U$1000,0)),2),"")</f>
        <v>393.22</v>
      </c>
      <c r="T35" s="41">
        <f>IFERROR(ROUND(INDEX('배치점수 계산기'!Q$11:Q$1000,MATCH($C35,'배치점수 계산기'!$U$11:$U$1000,0)),2),"")</f>
        <v>390.66</v>
      </c>
      <c r="U35" s="41">
        <f>IFERROR(INDEX(환산공식!$DC$16:$DC$301,MATCH(E35,환산공식!$A$16:$A$301,0)),"")</f>
        <v>0</v>
      </c>
      <c r="V35" s="113">
        <f t="shared" si="2"/>
        <v>6</v>
      </c>
      <c r="W35" s="110" t="str">
        <f>INDEX('배치점수 계산기'!$AG$11:$AG$800,MATCH('       나 군       '!$C35,'배치점수 계산기'!$U$11:$U$800,0))</f>
        <v>표점</v>
      </c>
      <c r="X35" s="108" t="str">
        <f>INDEX('배치점수 계산기'!$AH$11:$AH$800,MATCH('       나 군       '!$C35,'배치점수 계산기'!$U$11:$U$800,0))</f>
        <v>표점</v>
      </c>
      <c r="Y35" s="113">
        <f>INDEX('배치점수 계산기'!$AB$11:$AB$800,MATCH('       나 군       '!$C35,'배치점수 계산기'!$U$11:$U$800,0))</f>
        <v>0.33333333333333331</v>
      </c>
      <c r="Z35" s="73">
        <f>INDEX('배치점수 계산기'!$AC$11:$AC$800,MATCH('       나 군       '!$C35,'배치점수 계산기'!$U$11:$U$800,0))</f>
        <v>0.39999999999999997</v>
      </c>
      <c r="AA35" s="63">
        <f>INDEX('배치점수 계산기'!$AD$11:$AD$800,MATCH('       나 군       '!$C35,'배치점수 계산기'!$U$11:$U$800,0))</f>
        <v>0.26666666666666666</v>
      </c>
      <c r="AE35" s="7">
        <v>28</v>
      </c>
    </row>
    <row r="36" spans="3:31" x14ac:dyDescent="0.3">
      <c r="C36" s="7" t="s">
        <v>1260</v>
      </c>
      <c r="D36" s="41" t="s">
        <v>1232</v>
      </c>
      <c r="E36" s="41">
        <v>16</v>
      </c>
      <c r="F36" s="113" t="s">
        <v>346</v>
      </c>
      <c r="G36" s="41" t="s">
        <v>681</v>
      </c>
      <c r="H36" s="41" t="s">
        <v>737</v>
      </c>
      <c r="I36" s="41" t="s">
        <v>274</v>
      </c>
      <c r="J36" s="41" t="str">
        <f t="shared" si="0"/>
        <v>X</v>
      </c>
      <c r="K36" s="113">
        <f>IFERROR(INDEX(환산공식!CI$16:CI$301,MATCH($E36,환산공식!$A$16:$A$301,0)),"")</f>
        <v>0</v>
      </c>
      <c r="L36" s="41" t="str">
        <f>IFERROR(CONCATENATE(ROUND(INDEX(환산공식!CJ$16:CJ$301,MATCH(E36,환산공식!$A$16:$A$301,0)),1),"%"),"")</f>
        <v/>
      </c>
      <c r="M36" s="41">
        <f>IFERROR(INDEX(환산공식!CK$16:CK$301,MATCH(E36,환산공식!$A$16:$A$301,0)),"")</f>
        <v>0</v>
      </c>
      <c r="N36" s="113" t="str">
        <f t="shared" si="1"/>
        <v>1% 이하</v>
      </c>
      <c r="O36" s="119">
        <f>IFERROR(ROUND(INDEX(환산공식!$EF$16:$EF$301,MATCH(E36,환산공식!$A$16:$A$301,0)),3),"")</f>
        <v>0</v>
      </c>
      <c r="P36" s="119">
        <f>IFERROR(ROUND(INDEX('배치점수 계산기'!M$11:M$1000,MATCH($C36,'배치점수 계산기'!$U$11:$U$1000,0)),2),"")</f>
        <v>397.74</v>
      </c>
      <c r="Q36" s="41">
        <f>IFERROR(ROUND(INDEX('배치점수 계산기'!N$11:N$1000,MATCH($C36,'배치점수 계산기'!$U$11:$U$1000,0)),2),"")</f>
        <v>395.38</v>
      </c>
      <c r="R36" s="41">
        <f>IFERROR(ROUND(INDEX('배치점수 계산기'!O$11:O$1000,MATCH($C36,'배치점수 계산기'!$U$11:$U$1000,0)),2),"")</f>
        <v>394.16</v>
      </c>
      <c r="S36" s="41">
        <f>IFERROR(ROUND(INDEX('배치점수 계산기'!P$11:P$1000,MATCH($C36,'배치점수 계산기'!$U$11:$U$1000,0)),2),"")</f>
        <v>393.22</v>
      </c>
      <c r="T36" s="41">
        <f>IFERROR(ROUND(INDEX('배치점수 계산기'!Q$11:Q$1000,MATCH($C36,'배치점수 계산기'!$U$11:$U$1000,0)),2),"")</f>
        <v>390.66</v>
      </c>
      <c r="U36" s="41">
        <f>IFERROR(INDEX(환산공식!$DC$16:$DC$301,MATCH(E36,환산공식!$A$16:$A$301,0)),"")</f>
        <v>0</v>
      </c>
      <c r="V36" s="113">
        <f t="shared" si="2"/>
        <v>6</v>
      </c>
      <c r="W36" s="110" t="str">
        <f>INDEX('배치점수 계산기'!$AG$11:$AG$800,MATCH('       나 군       '!$C36,'배치점수 계산기'!$U$11:$U$800,0))</f>
        <v>표점</v>
      </c>
      <c r="X36" s="108" t="str">
        <f>INDEX('배치점수 계산기'!$AH$11:$AH$800,MATCH('       나 군       '!$C36,'배치점수 계산기'!$U$11:$U$800,0))</f>
        <v>표점</v>
      </c>
      <c r="Y36" s="113">
        <f>INDEX('배치점수 계산기'!$AB$11:$AB$800,MATCH('       나 군       '!$C36,'배치점수 계산기'!$U$11:$U$800,0))</f>
        <v>0.33333333333333331</v>
      </c>
      <c r="Z36" s="73">
        <f>INDEX('배치점수 계산기'!$AC$11:$AC$800,MATCH('       나 군       '!$C36,'배치점수 계산기'!$U$11:$U$800,0))</f>
        <v>0.39999999999999997</v>
      </c>
      <c r="AA36" s="63">
        <f>INDEX('배치점수 계산기'!$AD$11:$AD$800,MATCH('       나 군       '!$C36,'배치점수 계산기'!$U$11:$U$800,0))</f>
        <v>0.26666666666666666</v>
      </c>
      <c r="AE36" s="7">
        <v>29</v>
      </c>
    </row>
    <row r="37" spans="3:31" x14ac:dyDescent="0.3">
      <c r="C37" s="7" t="s">
        <v>1261</v>
      </c>
      <c r="D37" s="41" t="s">
        <v>1232</v>
      </c>
      <c r="E37" s="41">
        <v>16</v>
      </c>
      <c r="F37" s="113" t="s">
        <v>346</v>
      </c>
      <c r="G37" s="41" t="s">
        <v>681</v>
      </c>
      <c r="H37" s="41" t="s">
        <v>738</v>
      </c>
      <c r="I37" s="41" t="s">
        <v>274</v>
      </c>
      <c r="J37" s="41" t="str">
        <f t="shared" si="0"/>
        <v>X</v>
      </c>
      <c r="K37" s="113">
        <f>IFERROR(INDEX(환산공식!CI$16:CI$301,MATCH($E37,환산공식!$A$16:$A$301,0)),"")</f>
        <v>0</v>
      </c>
      <c r="L37" s="41" t="str">
        <f>IFERROR(CONCATENATE(ROUND(INDEX(환산공식!CJ$16:CJ$301,MATCH(E37,환산공식!$A$16:$A$301,0)),1),"%"),"")</f>
        <v/>
      </c>
      <c r="M37" s="41">
        <f>IFERROR(INDEX(환산공식!CK$16:CK$301,MATCH(E37,환산공식!$A$16:$A$301,0)),"")</f>
        <v>0</v>
      </c>
      <c r="N37" s="113" t="str">
        <f t="shared" si="1"/>
        <v>1% 이하</v>
      </c>
      <c r="O37" s="119">
        <f>IFERROR(ROUND(INDEX(환산공식!$EF$16:$EF$301,MATCH(E37,환산공식!$A$16:$A$301,0)),3),"")</f>
        <v>0</v>
      </c>
      <c r="P37" s="119">
        <f>IFERROR(ROUND(INDEX('배치점수 계산기'!M$11:M$1000,MATCH($C37,'배치점수 계산기'!$U$11:$U$1000,0)),2),"")</f>
        <v>397.74</v>
      </c>
      <c r="Q37" s="41">
        <f>IFERROR(ROUND(INDEX('배치점수 계산기'!N$11:N$1000,MATCH($C37,'배치점수 계산기'!$U$11:$U$1000,0)),2),"")</f>
        <v>395.38</v>
      </c>
      <c r="R37" s="41">
        <f>IFERROR(ROUND(INDEX('배치점수 계산기'!O$11:O$1000,MATCH($C37,'배치점수 계산기'!$U$11:$U$1000,0)),2),"")</f>
        <v>394.16</v>
      </c>
      <c r="S37" s="41">
        <f>IFERROR(ROUND(INDEX('배치점수 계산기'!P$11:P$1000,MATCH($C37,'배치점수 계산기'!$U$11:$U$1000,0)),2),"")</f>
        <v>393.02</v>
      </c>
      <c r="T37" s="41">
        <f>IFERROR(ROUND(INDEX('배치점수 계산기'!Q$11:Q$1000,MATCH($C37,'배치점수 계산기'!$U$11:$U$1000,0)),2),"")</f>
        <v>390.66</v>
      </c>
      <c r="U37" s="41">
        <f>IFERROR(INDEX(환산공식!$DC$16:$DC$301,MATCH(E37,환산공식!$A$16:$A$301,0)),"")</f>
        <v>0</v>
      </c>
      <c r="V37" s="113">
        <f t="shared" si="2"/>
        <v>6</v>
      </c>
      <c r="W37" s="110" t="str">
        <f>INDEX('배치점수 계산기'!$AG$11:$AG$800,MATCH('       나 군       '!$C37,'배치점수 계산기'!$U$11:$U$800,0))</f>
        <v>표점</v>
      </c>
      <c r="X37" s="108" t="str">
        <f>INDEX('배치점수 계산기'!$AH$11:$AH$800,MATCH('       나 군       '!$C37,'배치점수 계산기'!$U$11:$U$800,0))</f>
        <v>표점</v>
      </c>
      <c r="Y37" s="113">
        <f>INDEX('배치점수 계산기'!$AB$11:$AB$800,MATCH('       나 군       '!$C37,'배치점수 계산기'!$U$11:$U$800,0))</f>
        <v>0.33333333333333331</v>
      </c>
      <c r="Z37" s="73">
        <f>INDEX('배치점수 계산기'!$AC$11:$AC$800,MATCH('       나 군       '!$C37,'배치점수 계산기'!$U$11:$U$800,0))</f>
        <v>0.39999999999999997</v>
      </c>
      <c r="AA37" s="63">
        <f>INDEX('배치점수 계산기'!$AD$11:$AD$800,MATCH('       나 군       '!$C37,'배치점수 계산기'!$U$11:$U$800,0))</f>
        <v>0.26666666666666666</v>
      </c>
      <c r="AE37" s="7">
        <v>30</v>
      </c>
    </row>
    <row r="38" spans="3:31" x14ac:dyDescent="0.3">
      <c r="C38" s="7" t="s">
        <v>1262</v>
      </c>
      <c r="D38" s="41" t="s">
        <v>1232</v>
      </c>
      <c r="E38" s="41">
        <v>16</v>
      </c>
      <c r="F38" s="113" t="s">
        <v>346</v>
      </c>
      <c r="G38" s="41" t="s">
        <v>681</v>
      </c>
      <c r="H38" s="41" t="s">
        <v>739</v>
      </c>
      <c r="I38" s="41" t="s">
        <v>274</v>
      </c>
      <c r="J38" s="41" t="str">
        <f t="shared" si="0"/>
        <v>X</v>
      </c>
      <c r="K38" s="113">
        <f>IFERROR(INDEX(환산공식!CI$16:CI$301,MATCH($E38,환산공식!$A$16:$A$301,0)),"")</f>
        <v>0</v>
      </c>
      <c r="L38" s="41" t="str">
        <f>IFERROR(CONCATENATE(ROUND(INDEX(환산공식!CJ$16:CJ$301,MATCH(E38,환산공식!$A$16:$A$301,0)),1),"%"),"")</f>
        <v/>
      </c>
      <c r="M38" s="41">
        <f>IFERROR(INDEX(환산공식!CK$16:CK$301,MATCH(E38,환산공식!$A$16:$A$301,0)),"")</f>
        <v>0</v>
      </c>
      <c r="N38" s="113" t="str">
        <f t="shared" si="1"/>
        <v>1% 이하</v>
      </c>
      <c r="O38" s="119">
        <f>IFERROR(ROUND(INDEX(환산공식!$EF$16:$EF$301,MATCH(E38,환산공식!$A$16:$A$301,0)),3),"")</f>
        <v>0</v>
      </c>
      <c r="P38" s="119">
        <f>IFERROR(ROUND(INDEX('배치점수 계산기'!M$11:M$1000,MATCH($C38,'배치점수 계산기'!$U$11:$U$1000,0)),2),"")</f>
        <v>398.96</v>
      </c>
      <c r="Q38" s="41">
        <f>IFERROR(ROUND(INDEX('배치점수 계산기'!N$11:N$1000,MATCH($C38,'배치점수 계산기'!$U$11:$U$1000,0)),2),"")</f>
        <v>395.38</v>
      </c>
      <c r="R38" s="41">
        <f>IFERROR(ROUND(INDEX('배치점수 계산기'!O$11:O$1000,MATCH($C38,'배치점수 계산기'!$U$11:$U$1000,0)),2),"")</f>
        <v>394.34</v>
      </c>
      <c r="S38" s="41">
        <f>IFERROR(ROUND(INDEX('배치점수 계산기'!P$11:P$1000,MATCH($C38,'배치점수 계산기'!$U$11:$U$1000,0)),2),"")</f>
        <v>393.02</v>
      </c>
      <c r="T38" s="41">
        <f>IFERROR(ROUND(INDEX('배치점수 계산기'!Q$11:Q$1000,MATCH($C38,'배치점수 계산기'!$U$11:$U$1000,0)),2),"")</f>
        <v>391.04</v>
      </c>
      <c r="U38" s="41">
        <f>IFERROR(INDEX(환산공식!$DC$16:$DC$301,MATCH(E38,환산공식!$A$16:$A$301,0)),"")</f>
        <v>0</v>
      </c>
      <c r="V38" s="113">
        <f t="shared" si="2"/>
        <v>6</v>
      </c>
      <c r="W38" s="110" t="str">
        <f>INDEX('배치점수 계산기'!$AG$11:$AG$800,MATCH('       나 군       '!$C38,'배치점수 계산기'!$U$11:$U$800,0))</f>
        <v>표점</v>
      </c>
      <c r="X38" s="108" t="str">
        <f>INDEX('배치점수 계산기'!$AH$11:$AH$800,MATCH('       나 군       '!$C38,'배치점수 계산기'!$U$11:$U$800,0))</f>
        <v>표점</v>
      </c>
      <c r="Y38" s="113">
        <f>INDEX('배치점수 계산기'!$AB$11:$AB$800,MATCH('       나 군       '!$C38,'배치점수 계산기'!$U$11:$U$800,0))</f>
        <v>0.33333333333333331</v>
      </c>
      <c r="Z38" s="73">
        <f>INDEX('배치점수 계산기'!$AC$11:$AC$800,MATCH('       나 군       '!$C38,'배치점수 계산기'!$U$11:$U$800,0))</f>
        <v>0.39999999999999997</v>
      </c>
      <c r="AA38" s="63">
        <f>INDEX('배치점수 계산기'!$AD$11:$AD$800,MATCH('       나 군       '!$C38,'배치점수 계산기'!$U$11:$U$800,0))</f>
        <v>0.26666666666666666</v>
      </c>
      <c r="AE38" s="7">
        <v>31</v>
      </c>
    </row>
    <row r="39" spans="3:31" x14ac:dyDescent="0.3">
      <c r="C39" s="7" t="s">
        <v>1263</v>
      </c>
      <c r="D39" s="41" t="s">
        <v>1232</v>
      </c>
      <c r="E39" s="41">
        <v>16</v>
      </c>
      <c r="F39" s="113" t="s">
        <v>346</v>
      </c>
      <c r="G39" s="41" t="s">
        <v>681</v>
      </c>
      <c r="H39" s="41" t="s">
        <v>260</v>
      </c>
      <c r="I39" s="41" t="s">
        <v>274</v>
      </c>
      <c r="J39" s="41" t="str">
        <f t="shared" si="0"/>
        <v>X</v>
      </c>
      <c r="K39" s="113">
        <f>IFERROR(INDEX(환산공식!CI$16:CI$301,MATCH($E39,환산공식!$A$16:$A$301,0)),"")</f>
        <v>0</v>
      </c>
      <c r="L39" s="41" t="str">
        <f>IFERROR(CONCATENATE(ROUND(INDEX(환산공식!CJ$16:CJ$301,MATCH(E39,환산공식!$A$16:$A$301,0)),1),"%"),"")</f>
        <v/>
      </c>
      <c r="M39" s="41">
        <f>IFERROR(INDEX(환산공식!CK$16:CK$301,MATCH(E39,환산공식!$A$16:$A$301,0)),"")</f>
        <v>0</v>
      </c>
      <c r="N39" s="113" t="str">
        <f t="shared" si="1"/>
        <v>1% 이하</v>
      </c>
      <c r="O39" s="119">
        <f>IFERROR(ROUND(INDEX(환산공식!$EF$16:$EF$301,MATCH(E39,환산공식!$A$16:$A$301,0)),3),"")</f>
        <v>0</v>
      </c>
      <c r="P39" s="119">
        <f>IFERROR(ROUND(INDEX('배치점수 계산기'!M$11:M$1000,MATCH($C39,'배치점수 계산기'!$U$11:$U$1000,0)),2),"")</f>
        <v>396.88</v>
      </c>
      <c r="Q39" s="41">
        <f>IFERROR(ROUND(INDEX('배치점수 계산기'!N$11:N$1000,MATCH($C39,'배치점수 계산기'!$U$11:$U$1000,0)),2),"")</f>
        <v>395.38</v>
      </c>
      <c r="R39" s="41">
        <f>IFERROR(ROUND(INDEX('배치점수 계산기'!O$11:O$1000,MATCH($C39,'배치점수 계산기'!$U$11:$U$1000,0)),2),"")</f>
        <v>394.76</v>
      </c>
      <c r="S39" s="41">
        <f>IFERROR(ROUND(INDEX('배치점수 계산기'!P$11:P$1000,MATCH($C39,'배치점수 계산기'!$U$11:$U$1000,0)),2),"")</f>
        <v>394.16</v>
      </c>
      <c r="T39" s="41">
        <f>IFERROR(ROUND(INDEX('배치점수 계산기'!Q$11:Q$1000,MATCH($C39,'배치점수 계산기'!$U$11:$U$1000,0)),2),"")</f>
        <v>393.02</v>
      </c>
      <c r="U39" s="41">
        <f>IFERROR(INDEX(환산공식!$DC$16:$DC$301,MATCH(E39,환산공식!$A$16:$A$301,0)),"")</f>
        <v>0</v>
      </c>
      <c r="V39" s="113">
        <f t="shared" si="2"/>
        <v>6</v>
      </c>
      <c r="W39" s="110" t="str">
        <f>INDEX('배치점수 계산기'!$AG$11:$AG$800,MATCH('       나 군       '!$C39,'배치점수 계산기'!$U$11:$U$800,0))</f>
        <v>표점</v>
      </c>
      <c r="X39" s="108" t="str">
        <f>INDEX('배치점수 계산기'!$AH$11:$AH$800,MATCH('       나 군       '!$C39,'배치점수 계산기'!$U$11:$U$800,0))</f>
        <v>표점</v>
      </c>
      <c r="Y39" s="113">
        <f>INDEX('배치점수 계산기'!$AB$11:$AB$800,MATCH('       나 군       '!$C39,'배치점수 계산기'!$U$11:$U$800,0))</f>
        <v>0.33333333333333331</v>
      </c>
      <c r="Z39" s="73">
        <f>INDEX('배치점수 계산기'!$AC$11:$AC$800,MATCH('       나 군       '!$C39,'배치점수 계산기'!$U$11:$U$800,0))</f>
        <v>0.39999999999999997</v>
      </c>
      <c r="AA39" s="63">
        <f>INDEX('배치점수 계산기'!$AD$11:$AD$800,MATCH('       나 군       '!$C39,'배치점수 계산기'!$U$11:$U$800,0))</f>
        <v>0.26666666666666666</v>
      </c>
      <c r="AE39" s="7">
        <v>32</v>
      </c>
    </row>
    <row r="40" spans="3:31" x14ac:dyDescent="0.3">
      <c r="C40" s="7" t="s">
        <v>1264</v>
      </c>
      <c r="D40" s="41" t="s">
        <v>1265</v>
      </c>
      <c r="E40" s="41">
        <v>18</v>
      </c>
      <c r="F40" s="113" t="s">
        <v>346</v>
      </c>
      <c r="G40" s="41" t="s">
        <v>681</v>
      </c>
      <c r="H40" s="41" t="s">
        <v>434</v>
      </c>
      <c r="I40" s="41" t="s">
        <v>275</v>
      </c>
      <c r="J40" s="41" t="str">
        <f t="shared" si="0"/>
        <v>X</v>
      </c>
      <c r="K40" s="113">
        <f>IFERROR(INDEX(환산공식!CI$16:CI$301,MATCH($E40,환산공식!$A$16:$A$301,0)),"")</f>
        <v>0</v>
      </c>
      <c r="L40" s="41" t="str">
        <f>IFERROR(CONCATENATE(ROUND(INDEX(환산공식!CJ$16:CJ$301,MATCH(E40,환산공식!$A$16:$A$301,0)),1),"%"),"")</f>
        <v/>
      </c>
      <c r="M40" s="41">
        <f>IFERROR(INDEX(환산공식!CK$16:CK$301,MATCH(E40,환산공식!$A$16:$A$301,0)),"")</f>
        <v>0</v>
      </c>
      <c r="N40" s="113" t="str">
        <f t="shared" si="1"/>
        <v>1% 이하</v>
      </c>
      <c r="O40" s="119">
        <f>IFERROR(ROUND(INDEX(환산공식!$EF$16:$EF$301,MATCH(E40,환산공식!$A$16:$A$301,0)),3),"")</f>
        <v>0</v>
      </c>
      <c r="P40" s="119">
        <f>IFERROR(ROUND(INDEX('배치점수 계산기'!M$11:M$1000,MATCH($C40,'배치점수 계산기'!$U$11:$U$1000,0)),2),"")</f>
        <v>411.46</v>
      </c>
      <c r="Q40" s="41">
        <f>IFERROR(ROUND(INDEX('배치점수 계산기'!N$11:N$1000,MATCH($C40,'배치점수 계산기'!$U$11:$U$1000,0)),2),"")</f>
        <v>408.74</v>
      </c>
      <c r="R40" s="41">
        <f>IFERROR(ROUND(INDEX('배치점수 계산기'!O$11:O$1000,MATCH($C40,'배치점수 계산기'!$U$11:$U$1000,0)),2),"")</f>
        <v>406.74</v>
      </c>
      <c r="S40" s="41">
        <f>IFERROR(ROUND(INDEX('배치점수 계산기'!P$11:P$1000,MATCH($C40,'배치점수 계산기'!$U$11:$U$1000,0)),2),"")</f>
        <v>404.58</v>
      </c>
      <c r="T40" s="41">
        <f>IFERROR(ROUND(INDEX('배치점수 계산기'!Q$11:Q$1000,MATCH($C40,'배치점수 계산기'!$U$11:$U$1000,0)),2),"")</f>
        <v>403</v>
      </c>
      <c r="U40" s="41">
        <f>IFERROR(INDEX(환산공식!$DC$16:$DC$301,MATCH(E40,환산공식!$A$16:$A$301,0)),"")</f>
        <v>0</v>
      </c>
      <c r="V40" s="113">
        <f t="shared" si="2"/>
        <v>6</v>
      </c>
      <c r="W40" s="110" t="str">
        <f>INDEX('배치점수 계산기'!$AG$11:$AG$800,MATCH('       나 군       '!$C40,'배치점수 계산기'!$U$11:$U$800,0))</f>
        <v>표점</v>
      </c>
      <c r="X40" s="108" t="str">
        <f>INDEX('배치점수 계산기'!$AH$11:$AH$800,MATCH('       나 군       '!$C40,'배치점수 계산기'!$U$11:$U$800,0))</f>
        <v>표점</v>
      </c>
      <c r="Y40" s="113">
        <f>INDEX('배치점수 계산기'!$AB$11:$AB$800,MATCH('       나 군       '!$C40,'배치점수 계산기'!$U$11:$U$800,0))</f>
        <v>0.33333333333333331</v>
      </c>
      <c r="Z40" s="73">
        <f>INDEX('배치점수 계산기'!$AC$11:$AC$800,MATCH('       나 군       '!$C40,'배치점수 계산기'!$U$11:$U$800,0))</f>
        <v>0.39999999999999997</v>
      </c>
      <c r="AA40" s="63">
        <f>INDEX('배치점수 계산기'!$AD$11:$AD$800,MATCH('       나 군       '!$C40,'배치점수 계산기'!$U$11:$U$800,0))</f>
        <v>0.26666666666666666</v>
      </c>
      <c r="AE40" s="7">
        <v>33</v>
      </c>
    </row>
    <row r="41" spans="3:31" x14ac:dyDescent="0.3">
      <c r="C41" s="7" t="s">
        <v>1266</v>
      </c>
      <c r="D41" s="41" t="s">
        <v>1267</v>
      </c>
      <c r="E41" s="41">
        <v>17</v>
      </c>
      <c r="F41" s="113" t="s">
        <v>346</v>
      </c>
      <c r="G41" s="41" t="s">
        <v>681</v>
      </c>
      <c r="H41" s="41" t="s">
        <v>261</v>
      </c>
      <c r="I41" s="41" t="s">
        <v>275</v>
      </c>
      <c r="J41" s="41" t="str">
        <f t="shared" si="0"/>
        <v>X</v>
      </c>
      <c r="K41" s="113">
        <f>IFERROR(INDEX(환산공식!CI$16:CI$301,MATCH($E41,환산공식!$A$16:$A$301,0)),"")</f>
        <v>0</v>
      </c>
      <c r="L41" s="41" t="str">
        <f>IFERROR(CONCATENATE(ROUND(INDEX(환산공식!CJ$16:CJ$301,MATCH(E41,환산공식!$A$16:$A$301,0)),1),"%"),"")</f>
        <v/>
      </c>
      <c r="M41" s="41">
        <f>IFERROR(INDEX(환산공식!CK$16:CK$301,MATCH(E41,환산공식!$A$16:$A$301,0)),"")</f>
        <v>0</v>
      </c>
      <c r="N41" s="113" t="str">
        <f t="shared" si="1"/>
        <v>1% 이하</v>
      </c>
      <c r="O41" s="119">
        <f>IFERROR(ROUND(INDEX(환산공식!$EF$16:$EF$301,MATCH(E41,환산공식!$A$16:$A$301,0)),3),"")</f>
        <v>0</v>
      </c>
      <c r="P41" s="119">
        <f>IFERROR(ROUND(INDEX('배치점수 계산기'!M$11:M$1000,MATCH($C41,'배치점수 계산기'!$U$11:$U$1000,0)),2),"")</f>
        <v>404.96</v>
      </c>
      <c r="Q41" s="41">
        <f>IFERROR(ROUND(INDEX('배치점수 계산기'!N$11:N$1000,MATCH($C41,'배치점수 계산기'!$U$11:$U$1000,0)),2),"")</f>
        <v>403.18</v>
      </c>
      <c r="R41" s="41">
        <f>IFERROR(ROUND(INDEX('배치점수 계산기'!O$11:O$1000,MATCH($C41,'배치점수 계산기'!$U$11:$U$1000,0)),2),"")</f>
        <v>401.92</v>
      </c>
      <c r="S41" s="41">
        <f>IFERROR(ROUND(INDEX('배치점수 계산기'!P$11:P$1000,MATCH($C41,'배치점수 계산기'!$U$11:$U$1000,0)),2),"")</f>
        <v>399.08</v>
      </c>
      <c r="T41" s="41">
        <f>IFERROR(ROUND(INDEX('배치점수 계산기'!Q$11:Q$1000,MATCH($C41,'배치점수 계산기'!$U$11:$U$1000,0)),2),"")</f>
        <v>396.36</v>
      </c>
      <c r="U41" s="41">
        <f>IFERROR(INDEX(환산공식!$DC$16:$DC$301,MATCH(E41,환산공식!$A$16:$A$301,0)),"")</f>
        <v>0</v>
      </c>
      <c r="V41" s="113">
        <f t="shared" si="2"/>
        <v>6</v>
      </c>
      <c r="W41" s="110" t="str">
        <f>INDEX('배치점수 계산기'!$AG$11:$AG$800,MATCH('       나 군       '!$C41,'배치점수 계산기'!$U$11:$U$800,0))</f>
        <v>표점</v>
      </c>
      <c r="X41" s="108" t="str">
        <f>INDEX('배치점수 계산기'!$AH$11:$AH$800,MATCH('       나 군       '!$C41,'배치점수 계산기'!$U$11:$U$800,0))</f>
        <v>표점</v>
      </c>
      <c r="Y41" s="113">
        <f>INDEX('배치점수 계산기'!$AB$11:$AB$800,MATCH('       나 군       '!$C41,'배치점수 계산기'!$U$11:$U$800,0))</f>
        <v>0.33333333333333331</v>
      </c>
      <c r="Z41" s="73">
        <f>INDEX('배치점수 계산기'!$AC$11:$AC$800,MATCH('       나 군       '!$C41,'배치점수 계산기'!$U$11:$U$800,0))</f>
        <v>0.39999999999999997</v>
      </c>
      <c r="AA41" s="63">
        <f>INDEX('배치점수 계산기'!$AD$11:$AD$800,MATCH('       나 군       '!$C41,'배치점수 계산기'!$U$11:$U$800,0))</f>
        <v>0.26666666666666666</v>
      </c>
      <c r="AE41" s="7">
        <v>34</v>
      </c>
    </row>
    <row r="42" spans="3:31" x14ac:dyDescent="0.3">
      <c r="C42" s="7" t="s">
        <v>1268</v>
      </c>
      <c r="D42" s="41" t="s">
        <v>1267</v>
      </c>
      <c r="E42" s="41">
        <v>17</v>
      </c>
      <c r="F42" s="113" t="s">
        <v>346</v>
      </c>
      <c r="G42" s="41" t="s">
        <v>681</v>
      </c>
      <c r="H42" s="41" t="s">
        <v>262</v>
      </c>
      <c r="I42" s="41" t="s">
        <v>275</v>
      </c>
      <c r="J42" s="41" t="str">
        <f t="shared" si="0"/>
        <v>X</v>
      </c>
      <c r="K42" s="113">
        <f>IFERROR(INDEX(환산공식!CI$16:CI$301,MATCH($E42,환산공식!$A$16:$A$301,0)),"")</f>
        <v>0</v>
      </c>
      <c r="L42" s="41" t="str">
        <f>IFERROR(CONCATENATE(ROUND(INDEX(환산공식!CJ$16:CJ$301,MATCH(E42,환산공식!$A$16:$A$301,0)),1),"%"),"")</f>
        <v/>
      </c>
      <c r="M42" s="41">
        <f>IFERROR(INDEX(환산공식!CK$16:CK$301,MATCH(E42,환산공식!$A$16:$A$301,0)),"")</f>
        <v>0</v>
      </c>
      <c r="N42" s="113" t="str">
        <f t="shared" si="1"/>
        <v>1% 이하</v>
      </c>
      <c r="O42" s="119">
        <f>IFERROR(ROUND(INDEX(환산공식!$EF$16:$EF$301,MATCH(E42,환산공식!$A$16:$A$301,0)),3),"")</f>
        <v>0</v>
      </c>
      <c r="P42" s="119">
        <f>IFERROR(ROUND(INDEX('배치점수 계산기'!M$11:M$1000,MATCH($C42,'배치점수 계산기'!$U$11:$U$1000,0)),2),"")</f>
        <v>406.78</v>
      </c>
      <c r="Q42" s="41">
        <f>IFERROR(ROUND(INDEX('배치점수 계산기'!N$11:N$1000,MATCH($C42,'배치점수 계산기'!$U$11:$U$1000,0)),2),"")</f>
        <v>403.18</v>
      </c>
      <c r="R42" s="41">
        <f>IFERROR(ROUND(INDEX('배치점수 계산기'!O$11:O$1000,MATCH($C42,'배치점수 계산기'!$U$11:$U$1000,0)),2),"")</f>
        <v>402.62</v>
      </c>
      <c r="S42" s="41">
        <f>IFERROR(ROUND(INDEX('배치점수 계산기'!P$11:P$1000,MATCH($C42,'배치점수 계산기'!$U$11:$U$1000,0)),2),"")</f>
        <v>399.08</v>
      </c>
      <c r="T42" s="41">
        <f>IFERROR(ROUND(INDEX('배치점수 계산기'!Q$11:Q$1000,MATCH($C42,'배치점수 계산기'!$U$11:$U$1000,0)),2),"")</f>
        <v>396.36</v>
      </c>
      <c r="U42" s="41">
        <f>IFERROR(INDEX(환산공식!$DC$16:$DC$301,MATCH(E42,환산공식!$A$16:$A$301,0)),"")</f>
        <v>0</v>
      </c>
      <c r="V42" s="113">
        <f t="shared" si="2"/>
        <v>6</v>
      </c>
      <c r="W42" s="110" t="str">
        <f>INDEX('배치점수 계산기'!$AG$11:$AG$800,MATCH('       나 군       '!$C42,'배치점수 계산기'!$U$11:$U$800,0))</f>
        <v>표점</v>
      </c>
      <c r="X42" s="108" t="str">
        <f>INDEX('배치점수 계산기'!$AH$11:$AH$800,MATCH('       나 군       '!$C42,'배치점수 계산기'!$U$11:$U$800,0))</f>
        <v>표점</v>
      </c>
      <c r="Y42" s="113">
        <f>INDEX('배치점수 계산기'!$AB$11:$AB$800,MATCH('       나 군       '!$C42,'배치점수 계산기'!$U$11:$U$800,0))</f>
        <v>0.33333333333333331</v>
      </c>
      <c r="Z42" s="73">
        <f>INDEX('배치점수 계산기'!$AC$11:$AC$800,MATCH('       나 군       '!$C42,'배치점수 계산기'!$U$11:$U$800,0))</f>
        <v>0.39999999999999997</v>
      </c>
      <c r="AA42" s="63">
        <f>INDEX('배치점수 계산기'!$AD$11:$AD$800,MATCH('       나 군       '!$C42,'배치점수 계산기'!$U$11:$U$800,0))</f>
        <v>0.26666666666666666</v>
      </c>
      <c r="AE42" s="7">
        <v>35</v>
      </c>
    </row>
    <row r="43" spans="3:31" x14ac:dyDescent="0.3">
      <c r="C43" s="7" t="s">
        <v>1269</v>
      </c>
      <c r="D43" s="41" t="s">
        <v>1267</v>
      </c>
      <c r="E43" s="41">
        <v>17</v>
      </c>
      <c r="F43" s="113" t="s">
        <v>346</v>
      </c>
      <c r="G43" s="41" t="s">
        <v>681</v>
      </c>
      <c r="H43" s="41" t="s">
        <v>740</v>
      </c>
      <c r="I43" s="41" t="s">
        <v>275</v>
      </c>
      <c r="J43" s="41" t="str">
        <f t="shared" si="0"/>
        <v>X</v>
      </c>
      <c r="K43" s="113">
        <f>IFERROR(INDEX(환산공식!CI$16:CI$301,MATCH($E43,환산공식!$A$16:$A$301,0)),"")</f>
        <v>0</v>
      </c>
      <c r="L43" s="41" t="str">
        <f>IFERROR(CONCATENATE(ROUND(INDEX(환산공식!CJ$16:CJ$301,MATCH(E43,환산공식!$A$16:$A$301,0)),1),"%"),"")</f>
        <v/>
      </c>
      <c r="M43" s="41">
        <f>IFERROR(INDEX(환산공식!CK$16:CK$301,MATCH(E43,환산공식!$A$16:$A$301,0)),"")</f>
        <v>0</v>
      </c>
      <c r="N43" s="113" t="str">
        <f t="shared" si="1"/>
        <v>1% 이하</v>
      </c>
      <c r="O43" s="119">
        <f>IFERROR(ROUND(INDEX(환산공식!$EF$16:$EF$301,MATCH(E43,환산공식!$A$16:$A$301,0)),3),"")</f>
        <v>0</v>
      </c>
      <c r="P43" s="119">
        <f>IFERROR(ROUND(INDEX('배치점수 계산기'!M$11:M$1000,MATCH($C43,'배치점수 계산기'!$U$11:$U$1000,0)),2),"")</f>
        <v>402.74</v>
      </c>
      <c r="Q43" s="41">
        <f>IFERROR(ROUND(INDEX('배치점수 계산기'!N$11:N$1000,MATCH($C43,'배치점수 계산기'!$U$11:$U$1000,0)),2),"")</f>
        <v>401.92</v>
      </c>
      <c r="R43" s="41">
        <f>IFERROR(ROUND(INDEX('배치점수 계산기'!O$11:O$1000,MATCH($C43,'배치점수 계산기'!$U$11:$U$1000,0)),2),"")</f>
        <v>400.3</v>
      </c>
      <c r="S43" s="41">
        <f>IFERROR(ROUND(INDEX('배치점수 계산기'!P$11:P$1000,MATCH($C43,'배치점수 계산기'!$U$11:$U$1000,0)),2),"")</f>
        <v>398.42</v>
      </c>
      <c r="T43" s="41">
        <f>IFERROR(ROUND(INDEX('배치점수 계산기'!Q$11:Q$1000,MATCH($C43,'배치점수 계산기'!$U$11:$U$1000,0)),2),"")</f>
        <v>396.36</v>
      </c>
      <c r="U43" s="41">
        <f>IFERROR(INDEX(환산공식!$DC$16:$DC$301,MATCH(E43,환산공식!$A$16:$A$301,0)),"")</f>
        <v>0</v>
      </c>
      <c r="V43" s="113">
        <f t="shared" si="2"/>
        <v>6</v>
      </c>
      <c r="W43" s="110" t="str">
        <f>INDEX('배치점수 계산기'!$AG$11:$AG$800,MATCH('       나 군       '!$C43,'배치점수 계산기'!$U$11:$U$800,0))</f>
        <v>표점</v>
      </c>
      <c r="X43" s="108" t="str">
        <f>INDEX('배치점수 계산기'!$AH$11:$AH$800,MATCH('       나 군       '!$C43,'배치점수 계산기'!$U$11:$U$800,0))</f>
        <v>표점</v>
      </c>
      <c r="Y43" s="113">
        <f>INDEX('배치점수 계산기'!$AB$11:$AB$800,MATCH('       나 군       '!$C43,'배치점수 계산기'!$U$11:$U$800,0))</f>
        <v>0.33333333333333331</v>
      </c>
      <c r="Z43" s="73">
        <f>INDEX('배치점수 계산기'!$AC$11:$AC$800,MATCH('       나 군       '!$C43,'배치점수 계산기'!$U$11:$U$800,0))</f>
        <v>0.39999999999999997</v>
      </c>
      <c r="AA43" s="63">
        <f>INDEX('배치점수 계산기'!$AD$11:$AD$800,MATCH('       나 군       '!$C43,'배치점수 계산기'!$U$11:$U$800,0))</f>
        <v>0.26666666666666666</v>
      </c>
      <c r="AE43" s="7">
        <v>36</v>
      </c>
    </row>
    <row r="44" spans="3:31" x14ac:dyDescent="0.3">
      <c r="C44" s="7" t="s">
        <v>1270</v>
      </c>
      <c r="D44" s="41" t="s">
        <v>1267</v>
      </c>
      <c r="E44" s="41">
        <v>17</v>
      </c>
      <c r="F44" s="113" t="s">
        <v>346</v>
      </c>
      <c r="G44" s="41" t="s">
        <v>681</v>
      </c>
      <c r="H44" s="41" t="s">
        <v>263</v>
      </c>
      <c r="I44" s="41" t="s">
        <v>275</v>
      </c>
      <c r="J44" s="41" t="str">
        <f t="shared" si="0"/>
        <v>X</v>
      </c>
      <c r="K44" s="113">
        <f>IFERROR(INDEX(환산공식!CI$16:CI$301,MATCH($E44,환산공식!$A$16:$A$301,0)),"")</f>
        <v>0</v>
      </c>
      <c r="L44" s="41" t="str">
        <f>IFERROR(CONCATENATE(ROUND(INDEX(환산공식!CJ$16:CJ$301,MATCH(E44,환산공식!$A$16:$A$301,0)),1),"%"),"")</f>
        <v/>
      </c>
      <c r="M44" s="41">
        <f>IFERROR(INDEX(환산공식!CK$16:CK$301,MATCH(E44,환산공식!$A$16:$A$301,0)),"")</f>
        <v>0</v>
      </c>
      <c r="N44" s="113" t="str">
        <f t="shared" si="1"/>
        <v>1% 이하</v>
      </c>
      <c r="O44" s="119">
        <f>IFERROR(ROUND(INDEX(환산공식!$EF$16:$EF$301,MATCH(E44,환산공식!$A$16:$A$301,0)),3),"")</f>
        <v>0</v>
      </c>
      <c r="P44" s="119">
        <f>IFERROR(ROUND(INDEX('배치점수 계산기'!M$11:M$1000,MATCH($C44,'배치점수 계산기'!$U$11:$U$1000,0)),2),"")</f>
        <v>402.74</v>
      </c>
      <c r="Q44" s="41">
        <f>IFERROR(ROUND(INDEX('배치점수 계산기'!N$11:N$1000,MATCH($C44,'배치점수 계산기'!$U$11:$U$1000,0)),2),"")</f>
        <v>401.92</v>
      </c>
      <c r="R44" s="41">
        <f>IFERROR(ROUND(INDEX('배치점수 계산기'!O$11:O$1000,MATCH($C44,'배치점수 계산기'!$U$11:$U$1000,0)),2),"")</f>
        <v>400.3</v>
      </c>
      <c r="S44" s="41">
        <f>IFERROR(ROUND(INDEX('배치점수 계산기'!P$11:P$1000,MATCH($C44,'배치점수 계산기'!$U$11:$U$1000,0)),2),"")</f>
        <v>397.98</v>
      </c>
      <c r="T44" s="41">
        <f>IFERROR(ROUND(INDEX('배치점수 계산기'!Q$11:Q$1000,MATCH($C44,'배치점수 계산기'!$U$11:$U$1000,0)),2),"")</f>
        <v>396.36</v>
      </c>
      <c r="U44" s="41">
        <f>IFERROR(INDEX(환산공식!$DC$16:$DC$301,MATCH(E44,환산공식!$A$16:$A$301,0)),"")</f>
        <v>0</v>
      </c>
      <c r="V44" s="113">
        <f t="shared" si="2"/>
        <v>6</v>
      </c>
      <c r="W44" s="110" t="str">
        <f>INDEX('배치점수 계산기'!$AG$11:$AG$800,MATCH('       나 군       '!$C44,'배치점수 계산기'!$U$11:$U$800,0))</f>
        <v>표점</v>
      </c>
      <c r="X44" s="108" t="str">
        <f>INDEX('배치점수 계산기'!$AH$11:$AH$800,MATCH('       나 군       '!$C44,'배치점수 계산기'!$U$11:$U$800,0))</f>
        <v>표점</v>
      </c>
      <c r="Y44" s="113">
        <f>INDEX('배치점수 계산기'!$AB$11:$AB$800,MATCH('       나 군       '!$C44,'배치점수 계산기'!$U$11:$U$800,0))</f>
        <v>0.33333333333333331</v>
      </c>
      <c r="Z44" s="73">
        <f>INDEX('배치점수 계산기'!$AC$11:$AC$800,MATCH('       나 군       '!$C44,'배치점수 계산기'!$U$11:$U$800,0))</f>
        <v>0.39999999999999997</v>
      </c>
      <c r="AA44" s="63">
        <f>INDEX('배치점수 계산기'!$AD$11:$AD$800,MATCH('       나 군       '!$C44,'배치점수 계산기'!$U$11:$U$800,0))</f>
        <v>0.26666666666666666</v>
      </c>
      <c r="AE44" s="7">
        <v>37</v>
      </c>
    </row>
    <row r="45" spans="3:31" x14ac:dyDescent="0.3">
      <c r="C45" s="7" t="s">
        <v>1271</v>
      </c>
      <c r="D45" s="41" t="s">
        <v>1267</v>
      </c>
      <c r="E45" s="41">
        <v>17</v>
      </c>
      <c r="F45" s="113" t="s">
        <v>346</v>
      </c>
      <c r="G45" s="41" t="s">
        <v>681</v>
      </c>
      <c r="H45" s="41" t="s">
        <v>343</v>
      </c>
      <c r="I45" s="41" t="s">
        <v>275</v>
      </c>
      <c r="J45" s="41" t="str">
        <f t="shared" si="0"/>
        <v>X</v>
      </c>
      <c r="K45" s="113">
        <f>IFERROR(INDEX(환산공식!CI$16:CI$301,MATCH($E45,환산공식!$A$16:$A$301,0)),"")</f>
        <v>0</v>
      </c>
      <c r="L45" s="41" t="str">
        <f>IFERROR(CONCATENATE(ROUND(INDEX(환산공식!CJ$16:CJ$301,MATCH(E45,환산공식!$A$16:$A$301,0)),1),"%"),"")</f>
        <v/>
      </c>
      <c r="M45" s="41">
        <f>IFERROR(INDEX(환산공식!CK$16:CK$301,MATCH(E45,환산공식!$A$16:$A$301,0)),"")</f>
        <v>0</v>
      </c>
      <c r="N45" s="113" t="str">
        <f t="shared" si="1"/>
        <v>1% 이하</v>
      </c>
      <c r="O45" s="119">
        <f>IFERROR(ROUND(INDEX(환산공식!$EF$16:$EF$301,MATCH(E45,환산공식!$A$16:$A$301,0)),3),"")</f>
        <v>0</v>
      </c>
      <c r="P45" s="119">
        <f>IFERROR(ROUND(INDEX('배치점수 계산기'!M$11:M$1000,MATCH($C45,'배치점수 계산기'!$U$11:$U$1000,0)),2),"")</f>
        <v>401.92</v>
      </c>
      <c r="Q45" s="41">
        <f>IFERROR(ROUND(INDEX('배치점수 계산기'!N$11:N$1000,MATCH($C45,'배치점수 계산기'!$U$11:$U$1000,0)),2),"")</f>
        <v>399.08</v>
      </c>
      <c r="R45" s="41">
        <f>IFERROR(ROUND(INDEX('배치점수 계산기'!O$11:O$1000,MATCH($C45,'배치점수 계산기'!$U$11:$U$1000,0)),2),"")</f>
        <v>397.98</v>
      </c>
      <c r="S45" s="41">
        <f>IFERROR(ROUND(INDEX('배치점수 계산기'!P$11:P$1000,MATCH($C45,'배치점수 계산기'!$U$11:$U$1000,0)),2),"")</f>
        <v>397.14</v>
      </c>
      <c r="T45" s="41">
        <f>IFERROR(ROUND(INDEX('배치점수 계산기'!Q$11:Q$1000,MATCH($C45,'배치점수 계산기'!$U$11:$U$1000,0)),2),"")</f>
        <v>395.8</v>
      </c>
      <c r="U45" s="41">
        <f>IFERROR(INDEX(환산공식!$DC$16:$DC$301,MATCH(E45,환산공식!$A$16:$A$301,0)),"")</f>
        <v>0</v>
      </c>
      <c r="V45" s="113">
        <f t="shared" si="2"/>
        <v>6</v>
      </c>
      <c r="W45" s="110" t="str">
        <f>INDEX('배치점수 계산기'!$AG$11:$AG$800,MATCH('       나 군       '!$C45,'배치점수 계산기'!$U$11:$U$800,0))</f>
        <v>표점</v>
      </c>
      <c r="X45" s="108" t="str">
        <f>INDEX('배치점수 계산기'!$AH$11:$AH$800,MATCH('       나 군       '!$C45,'배치점수 계산기'!$U$11:$U$800,0))</f>
        <v>표점</v>
      </c>
      <c r="Y45" s="113">
        <f>INDEX('배치점수 계산기'!$AB$11:$AB$800,MATCH('       나 군       '!$C45,'배치점수 계산기'!$U$11:$U$800,0))</f>
        <v>0.33333333333333331</v>
      </c>
      <c r="Z45" s="73">
        <f>INDEX('배치점수 계산기'!$AC$11:$AC$800,MATCH('       나 군       '!$C45,'배치점수 계산기'!$U$11:$U$800,0))</f>
        <v>0.39999999999999997</v>
      </c>
      <c r="AA45" s="63">
        <f>INDEX('배치점수 계산기'!$AD$11:$AD$800,MATCH('       나 군       '!$C45,'배치점수 계산기'!$U$11:$U$800,0))</f>
        <v>0.26666666666666666</v>
      </c>
      <c r="AE45" s="7">
        <v>38</v>
      </c>
    </row>
    <row r="46" spans="3:31" x14ac:dyDescent="0.3">
      <c r="C46" s="7" t="s">
        <v>1272</v>
      </c>
      <c r="D46" s="41" t="s">
        <v>1267</v>
      </c>
      <c r="E46" s="41">
        <v>17</v>
      </c>
      <c r="F46" s="113" t="s">
        <v>346</v>
      </c>
      <c r="G46" s="41" t="s">
        <v>681</v>
      </c>
      <c r="H46" s="41" t="s">
        <v>264</v>
      </c>
      <c r="I46" s="41" t="s">
        <v>275</v>
      </c>
      <c r="J46" s="41" t="str">
        <f t="shared" si="0"/>
        <v>X</v>
      </c>
      <c r="K46" s="113">
        <f>IFERROR(INDEX(환산공식!CI$16:CI$301,MATCH($E46,환산공식!$A$16:$A$301,0)),"")</f>
        <v>0</v>
      </c>
      <c r="L46" s="41" t="str">
        <f>IFERROR(CONCATENATE(ROUND(INDEX(환산공식!CJ$16:CJ$301,MATCH(E46,환산공식!$A$16:$A$301,0)),1),"%"),"")</f>
        <v/>
      </c>
      <c r="M46" s="41">
        <f>IFERROR(INDEX(환산공식!CK$16:CK$301,MATCH(E46,환산공식!$A$16:$A$301,0)),"")</f>
        <v>0</v>
      </c>
      <c r="N46" s="113" t="str">
        <f t="shared" si="1"/>
        <v>1% 이하</v>
      </c>
      <c r="O46" s="119">
        <f>IFERROR(ROUND(INDEX(환산공식!$EF$16:$EF$301,MATCH(E46,환산공식!$A$16:$A$301,0)),3),"")</f>
        <v>0</v>
      </c>
      <c r="P46" s="119">
        <f>IFERROR(ROUND(INDEX('배치점수 계산기'!M$11:M$1000,MATCH($C46,'배치점수 계산기'!$U$11:$U$1000,0)),2),"")</f>
        <v>401.92</v>
      </c>
      <c r="Q46" s="41">
        <f>IFERROR(ROUND(INDEX('배치점수 계산기'!N$11:N$1000,MATCH($C46,'배치점수 계산기'!$U$11:$U$1000,0)),2),"")</f>
        <v>399.08</v>
      </c>
      <c r="R46" s="41">
        <f>IFERROR(ROUND(INDEX('배치점수 계산기'!O$11:O$1000,MATCH($C46,'배치점수 계산기'!$U$11:$U$1000,0)),2),"")</f>
        <v>398.3</v>
      </c>
      <c r="S46" s="41">
        <f>IFERROR(ROUND(INDEX('배치점수 계산기'!P$11:P$1000,MATCH($C46,'배치점수 계산기'!$U$11:$U$1000,0)),2),"")</f>
        <v>397.14</v>
      </c>
      <c r="T46" s="41">
        <f>IFERROR(ROUND(INDEX('배치점수 계산기'!Q$11:Q$1000,MATCH($C46,'배치점수 계산기'!$U$11:$U$1000,0)),2),"")</f>
        <v>395.8</v>
      </c>
      <c r="U46" s="41">
        <f>IFERROR(INDEX(환산공식!$DC$16:$DC$301,MATCH(E46,환산공식!$A$16:$A$301,0)),"")</f>
        <v>0</v>
      </c>
      <c r="V46" s="113">
        <f t="shared" si="2"/>
        <v>6</v>
      </c>
      <c r="W46" s="110" t="str">
        <f>INDEX('배치점수 계산기'!$AG$11:$AG$800,MATCH('       나 군       '!$C46,'배치점수 계산기'!$U$11:$U$800,0))</f>
        <v>표점</v>
      </c>
      <c r="X46" s="108" t="str">
        <f>INDEX('배치점수 계산기'!$AH$11:$AH$800,MATCH('       나 군       '!$C46,'배치점수 계산기'!$U$11:$U$800,0))</f>
        <v>표점</v>
      </c>
      <c r="Y46" s="113">
        <f>INDEX('배치점수 계산기'!$AB$11:$AB$800,MATCH('       나 군       '!$C46,'배치점수 계산기'!$U$11:$U$800,0))</f>
        <v>0.33333333333333331</v>
      </c>
      <c r="Z46" s="73">
        <f>INDEX('배치점수 계산기'!$AC$11:$AC$800,MATCH('       나 군       '!$C46,'배치점수 계산기'!$U$11:$U$800,0))</f>
        <v>0.39999999999999997</v>
      </c>
      <c r="AA46" s="63">
        <f>INDEX('배치점수 계산기'!$AD$11:$AD$800,MATCH('       나 군       '!$C46,'배치점수 계산기'!$U$11:$U$800,0))</f>
        <v>0.26666666666666666</v>
      </c>
      <c r="AE46" s="7">
        <v>39</v>
      </c>
    </row>
    <row r="47" spans="3:31" x14ac:dyDescent="0.3">
      <c r="C47" s="7" t="s">
        <v>1273</v>
      </c>
      <c r="D47" s="41" t="s">
        <v>1267</v>
      </c>
      <c r="E47" s="41">
        <v>17</v>
      </c>
      <c r="F47" s="113" t="s">
        <v>346</v>
      </c>
      <c r="G47" s="41" t="s">
        <v>681</v>
      </c>
      <c r="H47" s="41" t="s">
        <v>265</v>
      </c>
      <c r="I47" s="41" t="s">
        <v>275</v>
      </c>
      <c r="J47" s="41" t="str">
        <f t="shared" si="0"/>
        <v>X</v>
      </c>
      <c r="K47" s="113">
        <f>IFERROR(INDEX(환산공식!CI$16:CI$301,MATCH($E47,환산공식!$A$16:$A$301,0)),"")</f>
        <v>0</v>
      </c>
      <c r="L47" s="41" t="str">
        <f>IFERROR(CONCATENATE(ROUND(INDEX(환산공식!CJ$16:CJ$301,MATCH(E47,환산공식!$A$16:$A$301,0)),1),"%"),"")</f>
        <v/>
      </c>
      <c r="M47" s="41">
        <f>IFERROR(INDEX(환산공식!CK$16:CK$301,MATCH(E47,환산공식!$A$16:$A$301,0)),"")</f>
        <v>0</v>
      </c>
      <c r="N47" s="113" t="str">
        <f t="shared" si="1"/>
        <v>1% 이하</v>
      </c>
      <c r="O47" s="119">
        <f>IFERROR(ROUND(INDEX(환산공식!$EF$16:$EF$301,MATCH(E47,환산공식!$A$16:$A$301,0)),3),"")</f>
        <v>0</v>
      </c>
      <c r="P47" s="119">
        <f>IFERROR(ROUND(INDEX('배치점수 계산기'!M$11:M$1000,MATCH($C47,'배치점수 계산기'!$U$11:$U$1000,0)),2),"")</f>
        <v>401.7</v>
      </c>
      <c r="Q47" s="41">
        <f>IFERROR(ROUND(INDEX('배치점수 계산기'!N$11:N$1000,MATCH($C47,'배치점수 계산기'!$U$11:$U$1000,0)),2),"")</f>
        <v>398.3</v>
      </c>
      <c r="R47" s="41">
        <f>IFERROR(ROUND(INDEX('배치점수 계산기'!O$11:O$1000,MATCH($C47,'배치점수 계산기'!$U$11:$U$1000,0)),2),"")</f>
        <v>397.68</v>
      </c>
      <c r="S47" s="41">
        <f>IFERROR(ROUND(INDEX('배치점수 계산기'!P$11:P$1000,MATCH($C47,'배치점수 계산기'!$U$11:$U$1000,0)),2),"")</f>
        <v>396.36</v>
      </c>
      <c r="T47" s="41">
        <f>IFERROR(ROUND(INDEX('배치점수 계산기'!Q$11:Q$1000,MATCH($C47,'배치점수 계산기'!$U$11:$U$1000,0)),2),"")</f>
        <v>395.8</v>
      </c>
      <c r="U47" s="41">
        <f>IFERROR(INDEX(환산공식!$DC$16:$DC$301,MATCH(E47,환산공식!$A$16:$A$301,0)),"")</f>
        <v>0</v>
      </c>
      <c r="V47" s="113">
        <f t="shared" si="2"/>
        <v>6</v>
      </c>
      <c r="W47" s="110" t="str">
        <f>INDEX('배치점수 계산기'!$AG$11:$AG$800,MATCH('       나 군       '!$C47,'배치점수 계산기'!$U$11:$U$800,0))</f>
        <v>표점</v>
      </c>
      <c r="X47" s="108" t="str">
        <f>INDEX('배치점수 계산기'!$AH$11:$AH$800,MATCH('       나 군       '!$C47,'배치점수 계산기'!$U$11:$U$800,0))</f>
        <v>표점</v>
      </c>
      <c r="Y47" s="113">
        <f>INDEX('배치점수 계산기'!$AB$11:$AB$800,MATCH('       나 군       '!$C47,'배치점수 계산기'!$U$11:$U$800,0))</f>
        <v>0.33333333333333331</v>
      </c>
      <c r="Z47" s="73">
        <f>INDEX('배치점수 계산기'!$AC$11:$AC$800,MATCH('       나 군       '!$C47,'배치점수 계산기'!$U$11:$U$800,0))</f>
        <v>0.39999999999999997</v>
      </c>
      <c r="AA47" s="63">
        <f>INDEX('배치점수 계산기'!$AD$11:$AD$800,MATCH('       나 군       '!$C47,'배치점수 계산기'!$U$11:$U$800,0))</f>
        <v>0.26666666666666666</v>
      </c>
      <c r="AE47" s="7">
        <v>40</v>
      </c>
    </row>
    <row r="48" spans="3:31" x14ac:dyDescent="0.3">
      <c r="C48" s="7" t="s">
        <v>1274</v>
      </c>
      <c r="D48" s="41" t="s">
        <v>1267</v>
      </c>
      <c r="E48" s="41">
        <v>17</v>
      </c>
      <c r="F48" s="113" t="s">
        <v>346</v>
      </c>
      <c r="G48" s="41" t="s">
        <v>681</v>
      </c>
      <c r="H48" s="41" t="s">
        <v>266</v>
      </c>
      <c r="I48" s="41" t="s">
        <v>275</v>
      </c>
      <c r="J48" s="41" t="str">
        <f t="shared" si="0"/>
        <v>X</v>
      </c>
      <c r="K48" s="113">
        <f>IFERROR(INDEX(환산공식!CI$16:CI$301,MATCH($E48,환산공식!$A$16:$A$301,0)),"")</f>
        <v>0</v>
      </c>
      <c r="L48" s="41" t="str">
        <f>IFERROR(CONCATENATE(ROUND(INDEX(환산공식!CJ$16:CJ$301,MATCH(E48,환산공식!$A$16:$A$301,0)),1),"%"),"")</f>
        <v/>
      </c>
      <c r="M48" s="41">
        <f>IFERROR(INDEX(환산공식!CK$16:CK$301,MATCH(E48,환산공식!$A$16:$A$301,0)),"")</f>
        <v>0</v>
      </c>
      <c r="N48" s="113" t="str">
        <f t="shared" si="1"/>
        <v>1% 이하</v>
      </c>
      <c r="O48" s="119">
        <f>IFERROR(ROUND(INDEX(환산공식!$EF$16:$EF$301,MATCH(E48,환산공식!$A$16:$A$301,0)),3),"")</f>
        <v>0</v>
      </c>
      <c r="P48" s="119">
        <f>IFERROR(ROUND(INDEX('배치점수 계산기'!M$11:M$1000,MATCH($C48,'배치점수 계산기'!$U$11:$U$1000,0)),2),"")</f>
        <v>401.7</v>
      </c>
      <c r="Q48" s="41">
        <f>IFERROR(ROUND(INDEX('배치점수 계산기'!N$11:N$1000,MATCH($C48,'배치점수 계산기'!$U$11:$U$1000,0)),2),"")</f>
        <v>398.3</v>
      </c>
      <c r="R48" s="41">
        <f>IFERROR(ROUND(INDEX('배치점수 계산기'!O$11:O$1000,MATCH($C48,'배치점수 계산기'!$U$11:$U$1000,0)),2),"")</f>
        <v>397.68</v>
      </c>
      <c r="S48" s="41">
        <f>IFERROR(ROUND(INDEX('배치점수 계산기'!P$11:P$1000,MATCH($C48,'배치점수 계산기'!$U$11:$U$1000,0)),2),"")</f>
        <v>396.36</v>
      </c>
      <c r="T48" s="41">
        <f>IFERROR(ROUND(INDEX('배치점수 계산기'!Q$11:Q$1000,MATCH($C48,'배치점수 계산기'!$U$11:$U$1000,0)),2),"")</f>
        <v>395.8</v>
      </c>
      <c r="U48" s="41">
        <f>IFERROR(INDEX(환산공식!$DC$16:$DC$301,MATCH(E48,환산공식!$A$16:$A$301,0)),"")</f>
        <v>0</v>
      </c>
      <c r="V48" s="113">
        <f t="shared" si="2"/>
        <v>6</v>
      </c>
      <c r="W48" s="110" t="str">
        <f>INDEX('배치점수 계산기'!$AG$11:$AG$800,MATCH('       나 군       '!$C48,'배치점수 계산기'!$U$11:$U$800,0))</f>
        <v>표점</v>
      </c>
      <c r="X48" s="108" t="str">
        <f>INDEX('배치점수 계산기'!$AH$11:$AH$800,MATCH('       나 군       '!$C48,'배치점수 계산기'!$U$11:$U$800,0))</f>
        <v>표점</v>
      </c>
      <c r="Y48" s="113">
        <f>INDEX('배치점수 계산기'!$AB$11:$AB$800,MATCH('       나 군       '!$C48,'배치점수 계산기'!$U$11:$U$800,0))</f>
        <v>0.33333333333333331</v>
      </c>
      <c r="Z48" s="73">
        <f>INDEX('배치점수 계산기'!$AC$11:$AC$800,MATCH('       나 군       '!$C48,'배치점수 계산기'!$U$11:$U$800,0))</f>
        <v>0.39999999999999997</v>
      </c>
      <c r="AA48" s="63">
        <f>INDEX('배치점수 계산기'!$AD$11:$AD$800,MATCH('       나 군       '!$C48,'배치점수 계산기'!$U$11:$U$800,0))</f>
        <v>0.26666666666666666</v>
      </c>
      <c r="AE48" s="7">
        <v>41</v>
      </c>
    </row>
    <row r="49" spans="3:31" x14ac:dyDescent="0.3">
      <c r="C49" s="7" t="s">
        <v>1275</v>
      </c>
      <c r="D49" s="41" t="s">
        <v>1267</v>
      </c>
      <c r="E49" s="41">
        <v>17</v>
      </c>
      <c r="F49" s="113" t="s">
        <v>346</v>
      </c>
      <c r="G49" s="41" t="s">
        <v>681</v>
      </c>
      <c r="H49" s="41" t="s">
        <v>741</v>
      </c>
      <c r="I49" s="41" t="s">
        <v>275</v>
      </c>
      <c r="J49" s="41" t="str">
        <f t="shared" si="0"/>
        <v>X</v>
      </c>
      <c r="K49" s="113">
        <f>IFERROR(INDEX(환산공식!CI$16:CI$301,MATCH($E49,환산공식!$A$16:$A$301,0)),"")</f>
        <v>0</v>
      </c>
      <c r="L49" s="41" t="str">
        <f>IFERROR(CONCATENATE(ROUND(INDEX(환산공식!CJ$16:CJ$301,MATCH(E49,환산공식!$A$16:$A$301,0)),1),"%"),"")</f>
        <v/>
      </c>
      <c r="M49" s="41">
        <f>IFERROR(INDEX(환산공식!CK$16:CK$301,MATCH(E49,환산공식!$A$16:$A$301,0)),"")</f>
        <v>0</v>
      </c>
      <c r="N49" s="113" t="str">
        <f t="shared" si="1"/>
        <v>1% 이하</v>
      </c>
      <c r="O49" s="119">
        <f>IFERROR(ROUND(INDEX(환산공식!$EF$16:$EF$301,MATCH(E49,환산공식!$A$16:$A$301,0)),3),"")</f>
        <v>0</v>
      </c>
      <c r="P49" s="119">
        <f>IFERROR(ROUND(INDEX('배치점수 계산기'!M$11:M$1000,MATCH($C49,'배치점수 계산기'!$U$11:$U$1000,0)),2),"")</f>
        <v>401.7</v>
      </c>
      <c r="Q49" s="41">
        <f>IFERROR(ROUND(INDEX('배치점수 계산기'!N$11:N$1000,MATCH($C49,'배치점수 계산기'!$U$11:$U$1000,0)),2),"")</f>
        <v>397.98</v>
      </c>
      <c r="R49" s="41">
        <f>IFERROR(ROUND(INDEX('배치점수 계산기'!O$11:O$1000,MATCH($C49,'배치점수 계산기'!$U$11:$U$1000,0)),2),"")</f>
        <v>397.14</v>
      </c>
      <c r="S49" s="41">
        <f>IFERROR(ROUND(INDEX('배치점수 계산기'!P$11:P$1000,MATCH($C49,'배치점수 계산기'!$U$11:$U$1000,0)),2),"")</f>
        <v>396.36</v>
      </c>
      <c r="T49" s="41">
        <f>IFERROR(ROUND(INDEX('배치점수 계산기'!Q$11:Q$1000,MATCH($C49,'배치점수 계산기'!$U$11:$U$1000,0)),2),"")</f>
        <v>394.04</v>
      </c>
      <c r="U49" s="41">
        <f>IFERROR(INDEX(환산공식!$DC$16:$DC$301,MATCH(E49,환산공식!$A$16:$A$301,0)),"")</f>
        <v>0</v>
      </c>
      <c r="V49" s="113">
        <f t="shared" si="2"/>
        <v>6</v>
      </c>
      <c r="W49" s="110" t="str">
        <f>INDEX('배치점수 계산기'!$AG$11:$AG$800,MATCH('       나 군       '!$C49,'배치점수 계산기'!$U$11:$U$800,0))</f>
        <v>표점</v>
      </c>
      <c r="X49" s="108" t="str">
        <f>INDEX('배치점수 계산기'!$AH$11:$AH$800,MATCH('       나 군       '!$C49,'배치점수 계산기'!$U$11:$U$800,0))</f>
        <v>표점</v>
      </c>
      <c r="Y49" s="113">
        <f>INDEX('배치점수 계산기'!$AB$11:$AB$800,MATCH('       나 군       '!$C49,'배치점수 계산기'!$U$11:$U$800,0))</f>
        <v>0.33333333333333331</v>
      </c>
      <c r="Z49" s="73">
        <f>INDEX('배치점수 계산기'!$AC$11:$AC$800,MATCH('       나 군       '!$C49,'배치점수 계산기'!$U$11:$U$800,0))</f>
        <v>0.39999999999999997</v>
      </c>
      <c r="AA49" s="63">
        <f>INDEX('배치점수 계산기'!$AD$11:$AD$800,MATCH('       나 군       '!$C49,'배치점수 계산기'!$U$11:$U$800,0))</f>
        <v>0.26666666666666666</v>
      </c>
      <c r="AE49" s="7">
        <v>42</v>
      </c>
    </row>
    <row r="50" spans="3:31" x14ac:dyDescent="0.3">
      <c r="C50" s="7" t="s">
        <v>1276</v>
      </c>
      <c r="D50" s="41" t="s">
        <v>1267</v>
      </c>
      <c r="E50" s="41">
        <v>17</v>
      </c>
      <c r="F50" s="113" t="s">
        <v>346</v>
      </c>
      <c r="G50" s="41" t="s">
        <v>681</v>
      </c>
      <c r="H50" s="41" t="s">
        <v>267</v>
      </c>
      <c r="I50" s="41" t="s">
        <v>275</v>
      </c>
      <c r="J50" s="41" t="str">
        <f t="shared" si="0"/>
        <v>X</v>
      </c>
      <c r="K50" s="113">
        <f>IFERROR(INDEX(환산공식!CI$16:CI$301,MATCH($E50,환산공식!$A$16:$A$301,0)),"")</f>
        <v>0</v>
      </c>
      <c r="L50" s="41" t="str">
        <f>IFERROR(CONCATENATE(ROUND(INDEX(환산공식!CJ$16:CJ$301,MATCH(E50,환산공식!$A$16:$A$301,0)),1),"%"),"")</f>
        <v/>
      </c>
      <c r="M50" s="41">
        <f>IFERROR(INDEX(환산공식!CK$16:CK$301,MATCH(E50,환산공식!$A$16:$A$301,0)),"")</f>
        <v>0</v>
      </c>
      <c r="N50" s="113" t="str">
        <f t="shared" si="1"/>
        <v>1% 이하</v>
      </c>
      <c r="O50" s="119">
        <f>IFERROR(ROUND(INDEX(환산공식!$EF$16:$EF$301,MATCH(E50,환산공식!$A$16:$A$301,0)),3),"")</f>
        <v>0</v>
      </c>
      <c r="P50" s="119">
        <f>IFERROR(ROUND(INDEX('배치점수 계산기'!M$11:M$1000,MATCH($C50,'배치점수 계산기'!$U$11:$U$1000,0)),2),"")</f>
        <v>401.7</v>
      </c>
      <c r="Q50" s="41">
        <f>IFERROR(ROUND(INDEX('배치점수 계산기'!N$11:N$1000,MATCH($C50,'배치점수 계산기'!$U$11:$U$1000,0)),2),"")</f>
        <v>397.98</v>
      </c>
      <c r="R50" s="41">
        <f>IFERROR(ROUND(INDEX('배치점수 계산기'!O$11:O$1000,MATCH($C50,'배치점수 계산기'!$U$11:$U$1000,0)),2),"")</f>
        <v>397.14</v>
      </c>
      <c r="S50" s="41">
        <f>IFERROR(ROUND(INDEX('배치점수 계산기'!P$11:P$1000,MATCH($C50,'배치점수 계산기'!$U$11:$U$1000,0)),2),"")</f>
        <v>396.36</v>
      </c>
      <c r="T50" s="41">
        <f>IFERROR(ROUND(INDEX('배치점수 계산기'!Q$11:Q$1000,MATCH($C50,'배치점수 계산기'!$U$11:$U$1000,0)),2),"")</f>
        <v>395.8</v>
      </c>
      <c r="U50" s="41">
        <f>IFERROR(INDEX(환산공식!$DC$16:$DC$301,MATCH(E50,환산공식!$A$16:$A$301,0)),"")</f>
        <v>0</v>
      </c>
      <c r="V50" s="113">
        <f t="shared" si="2"/>
        <v>6</v>
      </c>
      <c r="W50" s="110" t="str">
        <f>INDEX('배치점수 계산기'!$AG$11:$AG$800,MATCH('       나 군       '!$C50,'배치점수 계산기'!$U$11:$U$800,0))</f>
        <v>표점</v>
      </c>
      <c r="X50" s="108" t="str">
        <f>INDEX('배치점수 계산기'!$AH$11:$AH$800,MATCH('       나 군       '!$C50,'배치점수 계산기'!$U$11:$U$800,0))</f>
        <v>표점</v>
      </c>
      <c r="Y50" s="113">
        <f>INDEX('배치점수 계산기'!$AB$11:$AB$800,MATCH('       나 군       '!$C50,'배치점수 계산기'!$U$11:$U$800,0))</f>
        <v>0.33333333333333331</v>
      </c>
      <c r="Z50" s="73">
        <f>INDEX('배치점수 계산기'!$AC$11:$AC$800,MATCH('       나 군       '!$C50,'배치점수 계산기'!$U$11:$U$800,0))</f>
        <v>0.39999999999999997</v>
      </c>
      <c r="AA50" s="63">
        <f>INDEX('배치점수 계산기'!$AD$11:$AD$800,MATCH('       나 군       '!$C50,'배치점수 계산기'!$U$11:$U$800,0))</f>
        <v>0.26666666666666666</v>
      </c>
      <c r="AE50" s="7">
        <v>43</v>
      </c>
    </row>
    <row r="51" spans="3:31" x14ac:dyDescent="0.3">
      <c r="C51" s="7" t="s">
        <v>1277</v>
      </c>
      <c r="D51" s="41" t="s">
        <v>1267</v>
      </c>
      <c r="E51" s="41">
        <v>17</v>
      </c>
      <c r="F51" s="113" t="s">
        <v>346</v>
      </c>
      <c r="G51" s="41" t="s">
        <v>681</v>
      </c>
      <c r="H51" s="41" t="s">
        <v>742</v>
      </c>
      <c r="I51" s="41" t="s">
        <v>275</v>
      </c>
      <c r="J51" s="41" t="str">
        <f t="shared" si="0"/>
        <v>X</v>
      </c>
      <c r="K51" s="113">
        <f>IFERROR(INDEX(환산공식!CI$16:CI$301,MATCH($E51,환산공식!$A$16:$A$301,0)),"")</f>
        <v>0</v>
      </c>
      <c r="L51" s="41" t="str">
        <f>IFERROR(CONCATENATE(ROUND(INDEX(환산공식!CJ$16:CJ$301,MATCH(E51,환산공식!$A$16:$A$301,0)),1),"%"),"")</f>
        <v/>
      </c>
      <c r="M51" s="41">
        <f>IFERROR(INDEX(환산공식!CK$16:CK$301,MATCH(E51,환산공식!$A$16:$A$301,0)),"")</f>
        <v>0</v>
      </c>
      <c r="N51" s="113" t="str">
        <f t="shared" si="1"/>
        <v>1% 이하</v>
      </c>
      <c r="O51" s="119">
        <f>IFERROR(ROUND(INDEX(환산공식!$EF$16:$EF$301,MATCH(E51,환산공식!$A$16:$A$301,0)),3),"")</f>
        <v>0</v>
      </c>
      <c r="P51" s="119">
        <f>IFERROR(ROUND(INDEX('배치점수 계산기'!M$11:M$1000,MATCH($C51,'배치점수 계산기'!$U$11:$U$1000,0)),2),"")</f>
        <v>401.7</v>
      </c>
      <c r="Q51" s="41">
        <f>IFERROR(ROUND(INDEX('배치점수 계산기'!N$11:N$1000,MATCH($C51,'배치점수 계산기'!$U$11:$U$1000,0)),2),"")</f>
        <v>397.98</v>
      </c>
      <c r="R51" s="41">
        <f>IFERROR(ROUND(INDEX('배치점수 계산기'!O$11:O$1000,MATCH($C51,'배치점수 계산기'!$U$11:$U$1000,0)),2),"")</f>
        <v>397.14</v>
      </c>
      <c r="S51" s="41">
        <f>IFERROR(ROUND(INDEX('배치점수 계산기'!P$11:P$1000,MATCH($C51,'배치점수 계산기'!$U$11:$U$1000,0)),2),"")</f>
        <v>396.36</v>
      </c>
      <c r="T51" s="41">
        <f>IFERROR(ROUND(INDEX('배치점수 계산기'!Q$11:Q$1000,MATCH($C51,'배치점수 계산기'!$U$11:$U$1000,0)),2),"")</f>
        <v>395.44</v>
      </c>
      <c r="U51" s="41">
        <f>IFERROR(INDEX(환산공식!$DC$16:$DC$301,MATCH(E51,환산공식!$A$16:$A$301,0)),"")</f>
        <v>0</v>
      </c>
      <c r="V51" s="113">
        <f t="shared" si="2"/>
        <v>6</v>
      </c>
      <c r="W51" s="110" t="str">
        <f>INDEX('배치점수 계산기'!$AG$11:$AG$800,MATCH('       나 군       '!$C51,'배치점수 계산기'!$U$11:$U$800,0))</f>
        <v>표점</v>
      </c>
      <c r="X51" s="108" t="str">
        <f>INDEX('배치점수 계산기'!$AH$11:$AH$800,MATCH('       나 군       '!$C51,'배치점수 계산기'!$U$11:$U$800,0))</f>
        <v>표점</v>
      </c>
      <c r="Y51" s="113">
        <f>INDEX('배치점수 계산기'!$AB$11:$AB$800,MATCH('       나 군       '!$C51,'배치점수 계산기'!$U$11:$U$800,0))</f>
        <v>0.33333333333333331</v>
      </c>
      <c r="Z51" s="73">
        <f>INDEX('배치점수 계산기'!$AC$11:$AC$800,MATCH('       나 군       '!$C51,'배치점수 계산기'!$U$11:$U$800,0))</f>
        <v>0.39999999999999997</v>
      </c>
      <c r="AA51" s="63">
        <f>INDEX('배치점수 계산기'!$AD$11:$AD$800,MATCH('       나 군       '!$C51,'배치점수 계산기'!$U$11:$U$800,0))</f>
        <v>0.26666666666666666</v>
      </c>
      <c r="AE51" s="7">
        <v>44</v>
      </c>
    </row>
    <row r="52" spans="3:31" x14ac:dyDescent="0.3">
      <c r="C52" s="7" t="s">
        <v>1278</v>
      </c>
      <c r="D52" s="41" t="s">
        <v>1267</v>
      </c>
      <c r="E52" s="41">
        <v>17</v>
      </c>
      <c r="F52" s="113" t="s">
        <v>346</v>
      </c>
      <c r="G52" s="41" t="s">
        <v>681</v>
      </c>
      <c r="H52" s="41" t="s">
        <v>743</v>
      </c>
      <c r="I52" s="41" t="s">
        <v>275</v>
      </c>
      <c r="J52" s="41" t="str">
        <f t="shared" si="0"/>
        <v>X</v>
      </c>
      <c r="K52" s="113">
        <f>IFERROR(INDEX(환산공식!CI$16:CI$301,MATCH($E52,환산공식!$A$16:$A$301,0)),"")</f>
        <v>0</v>
      </c>
      <c r="L52" s="41" t="str">
        <f>IFERROR(CONCATENATE(ROUND(INDEX(환산공식!CJ$16:CJ$301,MATCH(E52,환산공식!$A$16:$A$301,0)),1),"%"),"")</f>
        <v/>
      </c>
      <c r="M52" s="41">
        <f>IFERROR(INDEX(환산공식!CK$16:CK$301,MATCH(E52,환산공식!$A$16:$A$301,0)),"")</f>
        <v>0</v>
      </c>
      <c r="N52" s="113" t="str">
        <f t="shared" si="1"/>
        <v>1% 이하</v>
      </c>
      <c r="O52" s="119">
        <f>IFERROR(ROUND(INDEX(환산공식!$EF$16:$EF$301,MATCH(E52,환산공식!$A$16:$A$301,0)),3),"")</f>
        <v>0</v>
      </c>
      <c r="P52" s="119">
        <f>IFERROR(ROUND(INDEX('배치점수 계산기'!M$11:M$1000,MATCH($C52,'배치점수 계산기'!$U$11:$U$1000,0)),2),"")</f>
        <v>401.7</v>
      </c>
      <c r="Q52" s="41">
        <f>IFERROR(ROUND(INDEX('배치점수 계산기'!N$11:N$1000,MATCH($C52,'배치점수 계산기'!$U$11:$U$1000,0)),2),"")</f>
        <v>397.98</v>
      </c>
      <c r="R52" s="41">
        <f>IFERROR(ROUND(INDEX('배치점수 계산기'!O$11:O$1000,MATCH($C52,'배치점수 계산기'!$U$11:$U$1000,0)),2),"")</f>
        <v>397.14</v>
      </c>
      <c r="S52" s="41">
        <f>IFERROR(ROUND(INDEX('배치점수 계산기'!P$11:P$1000,MATCH($C52,'배치점수 계산기'!$U$11:$U$1000,0)),2),"")</f>
        <v>396.36</v>
      </c>
      <c r="T52" s="41">
        <f>IFERROR(ROUND(INDEX('배치점수 계산기'!Q$11:Q$1000,MATCH($C52,'배치점수 계산기'!$U$11:$U$1000,0)),2),"")</f>
        <v>394.04</v>
      </c>
      <c r="U52" s="41">
        <f>IFERROR(INDEX(환산공식!$DC$16:$DC$301,MATCH(E52,환산공식!$A$16:$A$301,0)),"")</f>
        <v>0</v>
      </c>
      <c r="V52" s="113">
        <f t="shared" si="2"/>
        <v>6</v>
      </c>
      <c r="W52" s="110" t="str">
        <f>INDEX('배치점수 계산기'!$AG$11:$AG$800,MATCH('       나 군       '!$C52,'배치점수 계산기'!$U$11:$U$800,0))</f>
        <v>표점</v>
      </c>
      <c r="X52" s="108" t="str">
        <f>INDEX('배치점수 계산기'!$AH$11:$AH$800,MATCH('       나 군       '!$C52,'배치점수 계산기'!$U$11:$U$800,0))</f>
        <v>표점</v>
      </c>
      <c r="Y52" s="113">
        <f>INDEX('배치점수 계산기'!$AB$11:$AB$800,MATCH('       나 군       '!$C52,'배치점수 계산기'!$U$11:$U$800,0))</f>
        <v>0.33333333333333331</v>
      </c>
      <c r="Z52" s="73">
        <f>INDEX('배치점수 계산기'!$AC$11:$AC$800,MATCH('       나 군       '!$C52,'배치점수 계산기'!$U$11:$U$800,0))</f>
        <v>0.39999999999999997</v>
      </c>
      <c r="AA52" s="63">
        <f>INDEX('배치점수 계산기'!$AD$11:$AD$800,MATCH('       나 군       '!$C52,'배치점수 계산기'!$U$11:$U$800,0))</f>
        <v>0.26666666666666666</v>
      </c>
      <c r="AE52" s="7">
        <v>45</v>
      </c>
    </row>
    <row r="53" spans="3:31" x14ac:dyDescent="0.3">
      <c r="C53" s="7" t="s">
        <v>1279</v>
      </c>
      <c r="D53" s="41" t="s">
        <v>1267</v>
      </c>
      <c r="E53" s="41">
        <v>17</v>
      </c>
      <c r="F53" s="113" t="s">
        <v>346</v>
      </c>
      <c r="G53" s="41" t="s">
        <v>681</v>
      </c>
      <c r="H53" s="41" t="s">
        <v>268</v>
      </c>
      <c r="I53" s="41" t="s">
        <v>275</v>
      </c>
      <c r="J53" s="41" t="str">
        <f t="shared" si="0"/>
        <v>X</v>
      </c>
      <c r="K53" s="113">
        <f>IFERROR(INDEX(환산공식!CI$16:CI$301,MATCH($E53,환산공식!$A$16:$A$301,0)),"")</f>
        <v>0</v>
      </c>
      <c r="L53" s="41" t="str">
        <f>IFERROR(CONCATENATE(ROUND(INDEX(환산공식!CJ$16:CJ$301,MATCH(E53,환산공식!$A$16:$A$301,0)),1),"%"),"")</f>
        <v/>
      </c>
      <c r="M53" s="41">
        <f>IFERROR(INDEX(환산공식!CK$16:CK$301,MATCH(E53,환산공식!$A$16:$A$301,0)),"")</f>
        <v>0</v>
      </c>
      <c r="N53" s="113" t="str">
        <f t="shared" si="1"/>
        <v>1% 이하</v>
      </c>
      <c r="O53" s="119">
        <f>IFERROR(ROUND(INDEX(환산공식!$EF$16:$EF$301,MATCH(E53,환산공식!$A$16:$A$301,0)),3),"")</f>
        <v>0</v>
      </c>
      <c r="P53" s="119">
        <f>IFERROR(ROUND(INDEX('배치점수 계산기'!M$11:M$1000,MATCH($C53,'배치점수 계산기'!$U$11:$U$1000,0)),2),"")</f>
        <v>399.82</v>
      </c>
      <c r="Q53" s="41">
        <f>IFERROR(ROUND(INDEX('배치점수 계산기'!N$11:N$1000,MATCH($C53,'배치점수 계산기'!$U$11:$U$1000,0)),2),"")</f>
        <v>397.68</v>
      </c>
      <c r="R53" s="41">
        <f>IFERROR(ROUND(INDEX('배치점수 계산기'!O$11:O$1000,MATCH($C53,'배치점수 계산기'!$U$11:$U$1000,0)),2),"")</f>
        <v>396.78</v>
      </c>
      <c r="S53" s="41">
        <f>IFERROR(ROUND(INDEX('배치점수 계산기'!P$11:P$1000,MATCH($C53,'배치점수 계산기'!$U$11:$U$1000,0)),2),"")</f>
        <v>396.22</v>
      </c>
      <c r="T53" s="41">
        <f>IFERROR(ROUND(INDEX('배치점수 계산기'!Q$11:Q$1000,MATCH($C53,'배치점수 계산기'!$U$11:$U$1000,0)),2),"")</f>
        <v>393.96</v>
      </c>
      <c r="U53" s="41">
        <f>IFERROR(INDEX(환산공식!$DC$16:$DC$301,MATCH(E53,환산공식!$A$16:$A$301,0)),"")</f>
        <v>0</v>
      </c>
      <c r="V53" s="113">
        <f t="shared" si="2"/>
        <v>6</v>
      </c>
      <c r="W53" s="110" t="str">
        <f>INDEX('배치점수 계산기'!$AG$11:$AG$800,MATCH('       나 군       '!$C53,'배치점수 계산기'!$U$11:$U$800,0))</f>
        <v>표점</v>
      </c>
      <c r="X53" s="108" t="str">
        <f>INDEX('배치점수 계산기'!$AH$11:$AH$800,MATCH('       나 군       '!$C53,'배치점수 계산기'!$U$11:$U$800,0))</f>
        <v>표점</v>
      </c>
      <c r="Y53" s="113">
        <f>INDEX('배치점수 계산기'!$AB$11:$AB$800,MATCH('       나 군       '!$C53,'배치점수 계산기'!$U$11:$U$800,0))</f>
        <v>0.33333333333333331</v>
      </c>
      <c r="Z53" s="73">
        <f>INDEX('배치점수 계산기'!$AC$11:$AC$800,MATCH('       나 군       '!$C53,'배치점수 계산기'!$U$11:$U$800,0))</f>
        <v>0.39999999999999997</v>
      </c>
      <c r="AA53" s="63">
        <f>INDEX('배치점수 계산기'!$AD$11:$AD$800,MATCH('       나 군       '!$C53,'배치점수 계산기'!$U$11:$U$800,0))</f>
        <v>0.26666666666666666</v>
      </c>
      <c r="AE53" s="7">
        <v>46</v>
      </c>
    </row>
    <row r="54" spans="3:31" x14ac:dyDescent="0.3">
      <c r="C54" s="7" t="s">
        <v>1280</v>
      </c>
      <c r="D54" s="41" t="s">
        <v>1267</v>
      </c>
      <c r="E54" s="41">
        <v>17</v>
      </c>
      <c r="F54" s="113" t="s">
        <v>346</v>
      </c>
      <c r="G54" s="41" t="s">
        <v>681</v>
      </c>
      <c r="H54" s="41" t="s">
        <v>269</v>
      </c>
      <c r="I54" s="41" t="s">
        <v>275</v>
      </c>
      <c r="J54" s="41" t="str">
        <f t="shared" si="0"/>
        <v>X</v>
      </c>
      <c r="K54" s="113">
        <f>IFERROR(INDEX(환산공식!CI$16:CI$301,MATCH($E54,환산공식!$A$16:$A$301,0)),"")</f>
        <v>0</v>
      </c>
      <c r="L54" s="41" t="str">
        <f>IFERROR(CONCATENATE(ROUND(INDEX(환산공식!CJ$16:CJ$301,MATCH(E54,환산공식!$A$16:$A$301,0)),1),"%"),"")</f>
        <v/>
      </c>
      <c r="M54" s="41">
        <f>IFERROR(INDEX(환산공식!CK$16:CK$301,MATCH(E54,환산공식!$A$16:$A$301,0)),"")</f>
        <v>0</v>
      </c>
      <c r="N54" s="113" t="str">
        <f t="shared" si="1"/>
        <v>1% 이하</v>
      </c>
      <c r="O54" s="119">
        <f>IFERROR(ROUND(INDEX(환산공식!$EF$16:$EF$301,MATCH(E54,환산공식!$A$16:$A$301,0)),3),"")</f>
        <v>0</v>
      </c>
      <c r="P54" s="119">
        <f>IFERROR(ROUND(INDEX('배치점수 계산기'!M$11:M$1000,MATCH($C54,'배치점수 계산기'!$U$11:$U$1000,0)),2),"")</f>
        <v>399.82</v>
      </c>
      <c r="Q54" s="41">
        <f>IFERROR(ROUND(INDEX('배치점수 계산기'!N$11:N$1000,MATCH($C54,'배치점수 계산기'!$U$11:$U$1000,0)),2),"")</f>
        <v>397.68</v>
      </c>
      <c r="R54" s="41">
        <f>IFERROR(ROUND(INDEX('배치점수 계산기'!O$11:O$1000,MATCH($C54,'배치점수 계산기'!$U$11:$U$1000,0)),2),"")</f>
        <v>396.78</v>
      </c>
      <c r="S54" s="41">
        <f>IFERROR(ROUND(INDEX('배치점수 계산기'!P$11:P$1000,MATCH($C54,'배치점수 계산기'!$U$11:$U$1000,0)),2),"")</f>
        <v>396.22</v>
      </c>
      <c r="T54" s="41">
        <f>IFERROR(ROUND(INDEX('배치점수 계산기'!Q$11:Q$1000,MATCH($C54,'배치점수 계산기'!$U$11:$U$1000,0)),2),"")</f>
        <v>393.96</v>
      </c>
      <c r="U54" s="41">
        <f>IFERROR(INDEX(환산공식!$DC$16:$DC$301,MATCH(E54,환산공식!$A$16:$A$301,0)),"")</f>
        <v>0</v>
      </c>
      <c r="V54" s="113">
        <f t="shared" si="2"/>
        <v>6</v>
      </c>
      <c r="W54" s="110" t="str">
        <f>INDEX('배치점수 계산기'!$AG$11:$AG$800,MATCH('       나 군       '!$C54,'배치점수 계산기'!$U$11:$U$800,0))</f>
        <v>표점</v>
      </c>
      <c r="X54" s="108" t="str">
        <f>INDEX('배치점수 계산기'!$AH$11:$AH$800,MATCH('       나 군       '!$C54,'배치점수 계산기'!$U$11:$U$800,0))</f>
        <v>표점</v>
      </c>
      <c r="Y54" s="113">
        <f>INDEX('배치점수 계산기'!$AB$11:$AB$800,MATCH('       나 군       '!$C54,'배치점수 계산기'!$U$11:$U$800,0))</f>
        <v>0.33333333333333331</v>
      </c>
      <c r="Z54" s="73">
        <f>INDEX('배치점수 계산기'!$AC$11:$AC$800,MATCH('       나 군       '!$C54,'배치점수 계산기'!$U$11:$U$800,0))</f>
        <v>0.39999999999999997</v>
      </c>
      <c r="AA54" s="63">
        <f>INDEX('배치점수 계산기'!$AD$11:$AD$800,MATCH('       나 군       '!$C54,'배치점수 계산기'!$U$11:$U$800,0))</f>
        <v>0.26666666666666666</v>
      </c>
      <c r="AE54" s="7">
        <v>47</v>
      </c>
    </row>
    <row r="55" spans="3:31" x14ac:dyDescent="0.3">
      <c r="C55" s="7" t="s">
        <v>1281</v>
      </c>
      <c r="D55" s="41" t="s">
        <v>1267</v>
      </c>
      <c r="E55" s="41">
        <v>17</v>
      </c>
      <c r="F55" s="113" t="s">
        <v>346</v>
      </c>
      <c r="G55" s="41" t="s">
        <v>681</v>
      </c>
      <c r="H55" s="41" t="s">
        <v>270</v>
      </c>
      <c r="I55" s="41" t="s">
        <v>275</v>
      </c>
      <c r="J55" s="41" t="str">
        <f t="shared" si="0"/>
        <v>X</v>
      </c>
      <c r="K55" s="113">
        <f>IFERROR(INDEX(환산공식!CI$16:CI$301,MATCH($E55,환산공식!$A$16:$A$301,0)),"")</f>
        <v>0</v>
      </c>
      <c r="L55" s="41" t="str">
        <f>IFERROR(CONCATENATE(ROUND(INDEX(환산공식!CJ$16:CJ$301,MATCH(E55,환산공식!$A$16:$A$301,0)),1),"%"),"")</f>
        <v/>
      </c>
      <c r="M55" s="41">
        <f>IFERROR(INDEX(환산공식!CK$16:CK$301,MATCH(E55,환산공식!$A$16:$A$301,0)),"")</f>
        <v>0</v>
      </c>
      <c r="N55" s="113" t="str">
        <f t="shared" si="1"/>
        <v>1% 이하</v>
      </c>
      <c r="O55" s="119">
        <f>IFERROR(ROUND(INDEX(환산공식!$EF$16:$EF$301,MATCH(E55,환산공식!$A$16:$A$301,0)),3),"")</f>
        <v>0</v>
      </c>
      <c r="P55" s="119">
        <f>IFERROR(ROUND(INDEX('배치점수 계산기'!M$11:M$1000,MATCH($C55,'배치점수 계산기'!$U$11:$U$1000,0)),2),"")</f>
        <v>399.82</v>
      </c>
      <c r="Q55" s="41">
        <f>IFERROR(ROUND(INDEX('배치점수 계산기'!N$11:N$1000,MATCH($C55,'배치점수 계산기'!$U$11:$U$1000,0)),2),"")</f>
        <v>397.68</v>
      </c>
      <c r="R55" s="41">
        <f>IFERROR(ROUND(INDEX('배치점수 계산기'!O$11:O$1000,MATCH($C55,'배치점수 계산기'!$U$11:$U$1000,0)),2),"")</f>
        <v>396.78</v>
      </c>
      <c r="S55" s="41">
        <f>IFERROR(ROUND(INDEX('배치점수 계산기'!P$11:P$1000,MATCH($C55,'배치점수 계산기'!$U$11:$U$1000,0)),2),"")</f>
        <v>396.22</v>
      </c>
      <c r="T55" s="41">
        <f>IFERROR(ROUND(INDEX('배치점수 계산기'!Q$11:Q$1000,MATCH($C55,'배치점수 계산기'!$U$11:$U$1000,0)),2),"")</f>
        <v>393.96</v>
      </c>
      <c r="U55" s="41">
        <f>IFERROR(INDEX(환산공식!$DC$16:$DC$301,MATCH(E55,환산공식!$A$16:$A$301,0)),"")</f>
        <v>0</v>
      </c>
      <c r="V55" s="113">
        <f t="shared" si="2"/>
        <v>6</v>
      </c>
      <c r="W55" s="110" t="str">
        <f>INDEX('배치점수 계산기'!$AG$11:$AG$800,MATCH('       나 군       '!$C55,'배치점수 계산기'!$U$11:$U$800,0))</f>
        <v>표점</v>
      </c>
      <c r="X55" s="108" t="str">
        <f>INDEX('배치점수 계산기'!$AH$11:$AH$800,MATCH('       나 군       '!$C55,'배치점수 계산기'!$U$11:$U$800,0))</f>
        <v>표점</v>
      </c>
      <c r="Y55" s="113">
        <f>INDEX('배치점수 계산기'!$AB$11:$AB$800,MATCH('       나 군       '!$C55,'배치점수 계산기'!$U$11:$U$800,0))</f>
        <v>0.33333333333333331</v>
      </c>
      <c r="Z55" s="73">
        <f>INDEX('배치점수 계산기'!$AC$11:$AC$800,MATCH('       나 군       '!$C55,'배치점수 계산기'!$U$11:$U$800,0))</f>
        <v>0.39999999999999997</v>
      </c>
      <c r="AA55" s="63">
        <f>INDEX('배치점수 계산기'!$AD$11:$AD$800,MATCH('       나 군       '!$C55,'배치점수 계산기'!$U$11:$U$800,0))</f>
        <v>0.26666666666666666</v>
      </c>
      <c r="AE55" s="7">
        <v>48</v>
      </c>
    </row>
    <row r="56" spans="3:31" x14ac:dyDescent="0.3">
      <c r="C56" s="7" t="s">
        <v>1282</v>
      </c>
      <c r="D56" s="41" t="s">
        <v>1267</v>
      </c>
      <c r="E56" s="41">
        <v>17</v>
      </c>
      <c r="F56" s="113" t="s">
        <v>346</v>
      </c>
      <c r="G56" s="41" t="s">
        <v>681</v>
      </c>
      <c r="H56" s="41" t="s">
        <v>744</v>
      </c>
      <c r="I56" s="41" t="s">
        <v>275</v>
      </c>
      <c r="J56" s="41" t="str">
        <f t="shared" si="0"/>
        <v>X</v>
      </c>
      <c r="K56" s="113">
        <f>IFERROR(INDEX(환산공식!CI$16:CI$301,MATCH($E56,환산공식!$A$16:$A$301,0)),"")</f>
        <v>0</v>
      </c>
      <c r="L56" s="41" t="str">
        <f>IFERROR(CONCATENATE(ROUND(INDEX(환산공식!CJ$16:CJ$301,MATCH(E56,환산공식!$A$16:$A$301,0)),1),"%"),"")</f>
        <v/>
      </c>
      <c r="M56" s="41">
        <f>IFERROR(INDEX(환산공식!CK$16:CK$301,MATCH(E56,환산공식!$A$16:$A$301,0)),"")</f>
        <v>0</v>
      </c>
      <c r="N56" s="113" t="str">
        <f t="shared" si="1"/>
        <v>1% 이하</v>
      </c>
      <c r="O56" s="119">
        <f>IFERROR(ROUND(INDEX(환산공식!$EF$16:$EF$301,MATCH(E56,환산공식!$A$16:$A$301,0)),3),"")</f>
        <v>0</v>
      </c>
      <c r="P56" s="119">
        <f>IFERROR(ROUND(INDEX('배치점수 계산기'!M$11:M$1000,MATCH($C56,'배치점수 계산기'!$U$11:$U$1000,0)),2),"")</f>
        <v>399.82</v>
      </c>
      <c r="Q56" s="41">
        <f>IFERROR(ROUND(INDEX('배치점수 계산기'!N$11:N$1000,MATCH($C56,'배치점수 계산기'!$U$11:$U$1000,0)),2),"")</f>
        <v>397.68</v>
      </c>
      <c r="R56" s="41">
        <f>IFERROR(ROUND(INDEX('배치점수 계산기'!O$11:O$1000,MATCH($C56,'배치점수 계산기'!$U$11:$U$1000,0)),2),"")</f>
        <v>396.78</v>
      </c>
      <c r="S56" s="41">
        <f>IFERROR(ROUND(INDEX('배치점수 계산기'!P$11:P$1000,MATCH($C56,'배치점수 계산기'!$U$11:$U$1000,0)),2),"")</f>
        <v>396.22</v>
      </c>
      <c r="T56" s="41">
        <f>IFERROR(ROUND(INDEX('배치점수 계산기'!Q$11:Q$1000,MATCH($C56,'배치점수 계산기'!$U$11:$U$1000,0)),2),"")</f>
        <v>393.96</v>
      </c>
      <c r="U56" s="41">
        <f>IFERROR(INDEX(환산공식!$DC$16:$DC$301,MATCH(E56,환산공식!$A$16:$A$301,0)),"")</f>
        <v>0</v>
      </c>
      <c r="V56" s="113">
        <f t="shared" si="2"/>
        <v>6</v>
      </c>
      <c r="W56" s="110" t="str">
        <f>INDEX('배치점수 계산기'!$AG$11:$AG$800,MATCH('       나 군       '!$C56,'배치점수 계산기'!$U$11:$U$800,0))</f>
        <v>표점</v>
      </c>
      <c r="X56" s="108" t="str">
        <f>INDEX('배치점수 계산기'!$AH$11:$AH$800,MATCH('       나 군       '!$C56,'배치점수 계산기'!$U$11:$U$800,0))</f>
        <v>표점</v>
      </c>
      <c r="Y56" s="113">
        <f>INDEX('배치점수 계산기'!$AB$11:$AB$800,MATCH('       나 군       '!$C56,'배치점수 계산기'!$U$11:$U$800,0))</f>
        <v>0.33333333333333331</v>
      </c>
      <c r="Z56" s="73">
        <f>INDEX('배치점수 계산기'!$AC$11:$AC$800,MATCH('       나 군       '!$C56,'배치점수 계산기'!$U$11:$U$800,0))</f>
        <v>0.39999999999999997</v>
      </c>
      <c r="AA56" s="63">
        <f>INDEX('배치점수 계산기'!$AD$11:$AD$800,MATCH('       나 군       '!$C56,'배치점수 계산기'!$U$11:$U$800,0))</f>
        <v>0.26666666666666666</v>
      </c>
      <c r="AE56" s="7">
        <v>49</v>
      </c>
    </row>
    <row r="57" spans="3:31" x14ac:dyDescent="0.3">
      <c r="C57" s="7" t="s">
        <v>1283</v>
      </c>
      <c r="D57" s="41" t="s">
        <v>1267</v>
      </c>
      <c r="E57" s="41">
        <v>17</v>
      </c>
      <c r="F57" s="113" t="s">
        <v>346</v>
      </c>
      <c r="G57" s="41" t="s">
        <v>681</v>
      </c>
      <c r="H57" s="41" t="s">
        <v>271</v>
      </c>
      <c r="I57" s="41" t="s">
        <v>275</v>
      </c>
      <c r="J57" s="41" t="str">
        <f t="shared" si="0"/>
        <v>X</v>
      </c>
      <c r="K57" s="113">
        <f>IFERROR(INDEX(환산공식!CI$16:CI$301,MATCH($E57,환산공식!$A$16:$A$301,0)),"")</f>
        <v>0</v>
      </c>
      <c r="L57" s="41" t="str">
        <f>IFERROR(CONCATENATE(ROUND(INDEX(환산공식!CJ$16:CJ$301,MATCH(E57,환산공식!$A$16:$A$301,0)),1),"%"),"")</f>
        <v/>
      </c>
      <c r="M57" s="41">
        <f>IFERROR(INDEX(환산공식!CK$16:CK$301,MATCH(E57,환산공식!$A$16:$A$301,0)),"")</f>
        <v>0</v>
      </c>
      <c r="N57" s="113" t="str">
        <f t="shared" si="1"/>
        <v>1% 이하</v>
      </c>
      <c r="O57" s="119">
        <f>IFERROR(ROUND(INDEX(환산공식!$EF$16:$EF$301,MATCH(E57,환산공식!$A$16:$A$301,0)),3),"")</f>
        <v>0</v>
      </c>
      <c r="P57" s="119">
        <f>IFERROR(ROUND(INDEX('배치점수 계산기'!M$11:M$1000,MATCH($C57,'배치점수 계산기'!$U$11:$U$1000,0)),2),"")</f>
        <v>399.82</v>
      </c>
      <c r="Q57" s="41">
        <f>IFERROR(ROUND(INDEX('배치점수 계산기'!N$11:N$1000,MATCH($C57,'배치점수 계산기'!$U$11:$U$1000,0)),2),"")</f>
        <v>397.14</v>
      </c>
      <c r="R57" s="41">
        <f>IFERROR(ROUND(INDEX('배치점수 계산기'!O$11:O$1000,MATCH($C57,'배치점수 계산기'!$U$11:$U$1000,0)),2),"")</f>
        <v>396.36</v>
      </c>
      <c r="S57" s="41">
        <f>IFERROR(ROUND(INDEX('배치점수 계산기'!P$11:P$1000,MATCH($C57,'배치점수 계산기'!$U$11:$U$1000,0)),2),"")</f>
        <v>395.8</v>
      </c>
      <c r="T57" s="41">
        <f>IFERROR(ROUND(INDEX('배치점수 계산기'!Q$11:Q$1000,MATCH($C57,'배치점수 계산기'!$U$11:$U$1000,0)),2),"")</f>
        <v>393.52</v>
      </c>
      <c r="U57" s="41">
        <f>IFERROR(INDEX(환산공식!$DC$16:$DC$301,MATCH(E57,환산공식!$A$16:$A$301,0)),"")</f>
        <v>0</v>
      </c>
      <c r="V57" s="113">
        <f t="shared" si="2"/>
        <v>6</v>
      </c>
      <c r="W57" s="110" t="str">
        <f>INDEX('배치점수 계산기'!$AG$11:$AG$800,MATCH('       나 군       '!$C57,'배치점수 계산기'!$U$11:$U$800,0))</f>
        <v>표점</v>
      </c>
      <c r="X57" s="108" t="str">
        <f>INDEX('배치점수 계산기'!$AH$11:$AH$800,MATCH('       나 군       '!$C57,'배치점수 계산기'!$U$11:$U$800,0))</f>
        <v>표점</v>
      </c>
      <c r="Y57" s="113">
        <f>INDEX('배치점수 계산기'!$AB$11:$AB$800,MATCH('       나 군       '!$C57,'배치점수 계산기'!$U$11:$U$800,0))</f>
        <v>0.33333333333333331</v>
      </c>
      <c r="Z57" s="73">
        <f>INDEX('배치점수 계산기'!$AC$11:$AC$800,MATCH('       나 군       '!$C57,'배치점수 계산기'!$U$11:$U$800,0))</f>
        <v>0.39999999999999997</v>
      </c>
      <c r="AA57" s="63">
        <f>INDEX('배치점수 계산기'!$AD$11:$AD$800,MATCH('       나 군       '!$C57,'배치점수 계산기'!$U$11:$U$800,0))</f>
        <v>0.26666666666666666</v>
      </c>
      <c r="AE57" s="7">
        <v>50</v>
      </c>
    </row>
    <row r="58" spans="3:31" x14ac:dyDescent="0.3">
      <c r="C58" s="7" t="s">
        <v>1284</v>
      </c>
      <c r="D58" s="41" t="s">
        <v>1267</v>
      </c>
      <c r="E58" s="41">
        <v>17</v>
      </c>
      <c r="F58" s="113" t="s">
        <v>346</v>
      </c>
      <c r="G58" s="41" t="s">
        <v>681</v>
      </c>
      <c r="H58" s="41" t="s">
        <v>745</v>
      </c>
      <c r="I58" s="41" t="s">
        <v>275</v>
      </c>
      <c r="J58" s="41" t="str">
        <f t="shared" si="0"/>
        <v>X</v>
      </c>
      <c r="K58" s="113">
        <f>IFERROR(INDEX(환산공식!CI$16:CI$301,MATCH($E58,환산공식!$A$16:$A$301,0)),"")</f>
        <v>0</v>
      </c>
      <c r="L58" s="41" t="str">
        <f>IFERROR(CONCATENATE(ROUND(INDEX(환산공식!CJ$16:CJ$301,MATCH(E58,환산공식!$A$16:$A$301,0)),1),"%"),"")</f>
        <v/>
      </c>
      <c r="M58" s="41">
        <f>IFERROR(INDEX(환산공식!CK$16:CK$301,MATCH(E58,환산공식!$A$16:$A$301,0)),"")</f>
        <v>0</v>
      </c>
      <c r="N58" s="113" t="str">
        <f t="shared" si="1"/>
        <v>1% 이하</v>
      </c>
      <c r="O58" s="119">
        <f>IFERROR(ROUND(INDEX(환산공식!$EF$16:$EF$301,MATCH(E58,환산공식!$A$16:$A$301,0)),3),"")</f>
        <v>0</v>
      </c>
      <c r="P58" s="119">
        <f>IFERROR(ROUND(INDEX('배치점수 계산기'!M$11:M$1000,MATCH($C58,'배치점수 계산기'!$U$11:$U$1000,0)),2),"")</f>
        <v>399.82</v>
      </c>
      <c r="Q58" s="41">
        <f>IFERROR(ROUND(INDEX('배치점수 계산기'!N$11:N$1000,MATCH($C58,'배치점수 계산기'!$U$11:$U$1000,0)),2),"")</f>
        <v>397.14</v>
      </c>
      <c r="R58" s="41">
        <f>IFERROR(ROUND(INDEX('배치점수 계산기'!O$11:O$1000,MATCH($C58,'배치점수 계산기'!$U$11:$U$1000,0)),2),"")</f>
        <v>396.36</v>
      </c>
      <c r="S58" s="41">
        <f>IFERROR(ROUND(INDEX('배치점수 계산기'!P$11:P$1000,MATCH($C58,'배치점수 계산기'!$U$11:$U$1000,0)),2),"")</f>
        <v>395.8</v>
      </c>
      <c r="T58" s="41">
        <f>IFERROR(ROUND(INDEX('배치점수 계산기'!Q$11:Q$1000,MATCH($C58,'배치점수 계산기'!$U$11:$U$1000,0)),2),"")</f>
        <v>393.52</v>
      </c>
      <c r="U58" s="41">
        <f>IFERROR(INDEX(환산공식!$DC$16:$DC$301,MATCH(E58,환산공식!$A$16:$A$301,0)),"")</f>
        <v>0</v>
      </c>
      <c r="V58" s="113">
        <f t="shared" si="2"/>
        <v>6</v>
      </c>
      <c r="W58" s="110" t="str">
        <f>INDEX('배치점수 계산기'!$AG$11:$AG$800,MATCH('       나 군       '!$C58,'배치점수 계산기'!$U$11:$U$800,0))</f>
        <v>표점</v>
      </c>
      <c r="X58" s="108" t="str">
        <f>INDEX('배치점수 계산기'!$AH$11:$AH$800,MATCH('       나 군       '!$C58,'배치점수 계산기'!$U$11:$U$800,0))</f>
        <v>표점</v>
      </c>
      <c r="Y58" s="113">
        <f>INDEX('배치점수 계산기'!$AB$11:$AB$800,MATCH('       나 군       '!$C58,'배치점수 계산기'!$U$11:$U$800,0))</f>
        <v>0.33333333333333331</v>
      </c>
      <c r="Z58" s="73">
        <f>INDEX('배치점수 계산기'!$AC$11:$AC$800,MATCH('       나 군       '!$C58,'배치점수 계산기'!$U$11:$U$800,0))</f>
        <v>0.39999999999999997</v>
      </c>
      <c r="AA58" s="63">
        <f>INDEX('배치점수 계산기'!$AD$11:$AD$800,MATCH('       나 군       '!$C58,'배치점수 계산기'!$U$11:$U$800,0))</f>
        <v>0.26666666666666666</v>
      </c>
      <c r="AE58" s="7">
        <v>51</v>
      </c>
    </row>
    <row r="59" spans="3:31" x14ac:dyDescent="0.3">
      <c r="C59" s="7" t="s">
        <v>1285</v>
      </c>
      <c r="D59" s="41" t="s">
        <v>1267</v>
      </c>
      <c r="E59" s="41">
        <v>17</v>
      </c>
      <c r="F59" s="113" t="s">
        <v>346</v>
      </c>
      <c r="G59" s="41" t="s">
        <v>681</v>
      </c>
      <c r="H59" s="41" t="s">
        <v>273</v>
      </c>
      <c r="I59" s="41" t="s">
        <v>275</v>
      </c>
      <c r="J59" s="41" t="str">
        <f t="shared" si="0"/>
        <v>X</v>
      </c>
      <c r="K59" s="113">
        <f>IFERROR(INDEX(환산공식!CI$16:CI$301,MATCH($E59,환산공식!$A$16:$A$301,0)),"")</f>
        <v>0</v>
      </c>
      <c r="L59" s="41" t="str">
        <f>IFERROR(CONCATENATE(ROUND(INDEX(환산공식!CJ$16:CJ$301,MATCH(E59,환산공식!$A$16:$A$301,0)),1),"%"),"")</f>
        <v/>
      </c>
      <c r="M59" s="41">
        <f>IFERROR(INDEX(환산공식!CK$16:CK$301,MATCH(E59,환산공식!$A$16:$A$301,0)),"")</f>
        <v>0</v>
      </c>
      <c r="N59" s="113" t="str">
        <f t="shared" si="1"/>
        <v>1% 이하</v>
      </c>
      <c r="O59" s="119">
        <f>IFERROR(ROUND(INDEX(환산공식!$EF$16:$EF$301,MATCH(E59,환산공식!$A$16:$A$301,0)),3),"")</f>
        <v>0</v>
      </c>
      <c r="P59" s="119">
        <f>IFERROR(ROUND(INDEX('배치점수 계산기'!M$11:M$1000,MATCH($C59,'배치점수 계산기'!$U$11:$U$1000,0)),2),"")</f>
        <v>398.3</v>
      </c>
      <c r="Q59" s="41">
        <f>IFERROR(ROUND(INDEX('배치점수 계산기'!N$11:N$1000,MATCH($C59,'배치점수 계산기'!$U$11:$U$1000,0)),2),"")</f>
        <v>397.14</v>
      </c>
      <c r="R59" s="41">
        <f>IFERROR(ROUND(INDEX('배치점수 계산기'!O$11:O$1000,MATCH($C59,'배치점수 계산기'!$U$11:$U$1000,0)),2),"")</f>
        <v>396.36</v>
      </c>
      <c r="S59" s="41">
        <f>IFERROR(ROUND(INDEX('배치점수 계산기'!P$11:P$1000,MATCH($C59,'배치점수 계산기'!$U$11:$U$1000,0)),2),"")</f>
        <v>395.44</v>
      </c>
      <c r="T59" s="41">
        <f>IFERROR(ROUND(INDEX('배치점수 계산기'!Q$11:Q$1000,MATCH($C59,'배치점수 계산기'!$U$11:$U$1000,0)),2),"")</f>
        <v>393.52</v>
      </c>
      <c r="U59" s="41">
        <f>IFERROR(INDEX(환산공식!$DC$16:$DC$301,MATCH(E59,환산공식!$A$16:$A$301,0)),"")</f>
        <v>0</v>
      </c>
      <c r="V59" s="113">
        <f t="shared" si="2"/>
        <v>6</v>
      </c>
      <c r="W59" s="110" t="str">
        <f>INDEX('배치점수 계산기'!$AG$11:$AG$800,MATCH('       나 군       '!$C59,'배치점수 계산기'!$U$11:$U$800,0))</f>
        <v>표점</v>
      </c>
      <c r="X59" s="108" t="str">
        <f>INDEX('배치점수 계산기'!$AH$11:$AH$800,MATCH('       나 군       '!$C59,'배치점수 계산기'!$U$11:$U$800,0))</f>
        <v>표점</v>
      </c>
      <c r="Y59" s="113">
        <f>INDEX('배치점수 계산기'!$AB$11:$AB$800,MATCH('       나 군       '!$C59,'배치점수 계산기'!$U$11:$U$800,0))</f>
        <v>0.33333333333333331</v>
      </c>
      <c r="Z59" s="73">
        <f>INDEX('배치점수 계산기'!$AC$11:$AC$800,MATCH('       나 군       '!$C59,'배치점수 계산기'!$U$11:$U$800,0))</f>
        <v>0.39999999999999997</v>
      </c>
      <c r="AA59" s="63">
        <f>INDEX('배치점수 계산기'!$AD$11:$AD$800,MATCH('       나 군       '!$C59,'배치점수 계산기'!$U$11:$U$800,0))</f>
        <v>0.26666666666666666</v>
      </c>
      <c r="AE59" s="7">
        <v>52</v>
      </c>
    </row>
    <row r="60" spans="3:31" x14ac:dyDescent="0.3">
      <c r="C60" s="7" t="s">
        <v>1286</v>
      </c>
      <c r="D60" s="41" t="s">
        <v>1267</v>
      </c>
      <c r="E60" s="41">
        <v>17</v>
      </c>
      <c r="F60" s="113" t="s">
        <v>346</v>
      </c>
      <c r="G60" s="41" t="s">
        <v>681</v>
      </c>
      <c r="H60" s="41" t="s">
        <v>272</v>
      </c>
      <c r="I60" s="41" t="s">
        <v>275</v>
      </c>
      <c r="J60" s="41" t="str">
        <f t="shared" si="0"/>
        <v>X</v>
      </c>
      <c r="K60" s="113">
        <f>IFERROR(INDEX(환산공식!CI$16:CI$301,MATCH($E60,환산공식!$A$16:$A$301,0)),"")</f>
        <v>0</v>
      </c>
      <c r="L60" s="41" t="str">
        <f>IFERROR(CONCATENATE(ROUND(INDEX(환산공식!CJ$16:CJ$301,MATCH(E60,환산공식!$A$16:$A$301,0)),1),"%"),"")</f>
        <v/>
      </c>
      <c r="M60" s="41">
        <f>IFERROR(INDEX(환산공식!CK$16:CK$301,MATCH(E60,환산공식!$A$16:$A$301,0)),"")</f>
        <v>0</v>
      </c>
      <c r="N60" s="113" t="str">
        <f t="shared" si="1"/>
        <v>1% 이하</v>
      </c>
      <c r="O60" s="119">
        <f>IFERROR(ROUND(INDEX(환산공식!$EF$16:$EF$301,MATCH(E60,환산공식!$A$16:$A$301,0)),3),"")</f>
        <v>0</v>
      </c>
      <c r="P60" s="119">
        <f>IFERROR(ROUND(INDEX('배치점수 계산기'!M$11:M$1000,MATCH($C60,'배치점수 계산기'!$U$11:$U$1000,0)),2),"")</f>
        <v>393.38</v>
      </c>
      <c r="Q60" s="41">
        <f>IFERROR(ROUND(INDEX('배치점수 계산기'!N$11:N$1000,MATCH($C60,'배치점수 계산기'!$U$11:$U$1000,0)),2),"")</f>
        <v>391.96</v>
      </c>
      <c r="R60" s="41">
        <f>IFERROR(ROUND(INDEX('배치점수 계산기'!O$11:O$1000,MATCH($C60,'배치점수 계산기'!$U$11:$U$1000,0)),2),"")</f>
        <v>390.8</v>
      </c>
      <c r="S60" s="41">
        <f>IFERROR(ROUND(INDEX('배치점수 계산기'!P$11:P$1000,MATCH($C60,'배치점수 계산기'!$U$11:$U$1000,0)),2),"")</f>
        <v>389.76</v>
      </c>
      <c r="T60" s="41">
        <f>IFERROR(ROUND(INDEX('배치점수 계산기'!Q$11:Q$1000,MATCH($C60,'배치점수 계산기'!$U$11:$U$1000,0)),2),"")</f>
        <v>388.1</v>
      </c>
      <c r="U60" s="41">
        <f>IFERROR(INDEX(환산공식!$DC$16:$DC$301,MATCH(E60,환산공식!$A$16:$A$301,0)),"")</f>
        <v>0</v>
      </c>
      <c r="V60" s="113">
        <f t="shared" si="2"/>
        <v>6</v>
      </c>
      <c r="W60" s="110" t="str">
        <f>INDEX('배치점수 계산기'!$AG$11:$AG$800,MATCH('       나 군       '!$C60,'배치점수 계산기'!$U$11:$U$800,0))</f>
        <v>표점</v>
      </c>
      <c r="X60" s="108" t="str">
        <f>INDEX('배치점수 계산기'!$AH$11:$AH$800,MATCH('       나 군       '!$C60,'배치점수 계산기'!$U$11:$U$800,0))</f>
        <v>표점</v>
      </c>
      <c r="Y60" s="113">
        <f>INDEX('배치점수 계산기'!$AB$11:$AB$800,MATCH('       나 군       '!$C60,'배치점수 계산기'!$U$11:$U$800,0))</f>
        <v>0.33333333333333331</v>
      </c>
      <c r="Z60" s="73">
        <f>INDEX('배치점수 계산기'!$AC$11:$AC$800,MATCH('       나 군       '!$C60,'배치점수 계산기'!$U$11:$U$800,0))</f>
        <v>0.39999999999999997</v>
      </c>
      <c r="AA60" s="63">
        <f>INDEX('배치점수 계산기'!$AD$11:$AD$800,MATCH('       나 군       '!$C60,'배치점수 계산기'!$U$11:$U$800,0))</f>
        <v>0.26666666666666666</v>
      </c>
      <c r="AE60" s="7">
        <v>53</v>
      </c>
    </row>
    <row r="61" spans="3:31" x14ac:dyDescent="0.3">
      <c r="C61" s="7" t="s">
        <v>1287</v>
      </c>
      <c r="D61" s="41" t="s">
        <v>1009</v>
      </c>
      <c r="E61" s="41">
        <v>26</v>
      </c>
      <c r="F61" s="113" t="s">
        <v>346</v>
      </c>
      <c r="G61" s="41" t="s">
        <v>342</v>
      </c>
      <c r="H61" s="41" t="s">
        <v>264</v>
      </c>
      <c r="I61" s="41" t="s">
        <v>275</v>
      </c>
      <c r="J61" s="41" t="str">
        <f t="shared" si="0"/>
        <v>X</v>
      </c>
      <c r="K61" s="113">
        <f>IFERROR(INDEX(환산공식!CI$16:CI$301,MATCH($E61,환산공식!$A$16:$A$301,0)),"")</f>
        <v>100</v>
      </c>
      <c r="L61" s="41" t="str">
        <f>IFERROR(CONCATENATE(ROUND(INDEX(환산공식!CJ$16:CJ$301,MATCH(E61,환산공식!$A$16:$A$301,0)),1),"%"),"")</f>
        <v>100%</v>
      </c>
      <c r="M61" s="41">
        <f>IFERROR(INDEX(환산공식!CK$16:CK$301,MATCH(E61,환산공식!$A$16:$A$301,0)),"")</f>
        <v>10</v>
      </c>
      <c r="N61" s="113" t="str">
        <f t="shared" si="1"/>
        <v>1% 이하</v>
      </c>
      <c r="O61" s="119">
        <f>IFERROR(ROUND(INDEX(환산공식!$EF$16:$EF$301,MATCH(E61,환산공식!$A$16:$A$301,0)),3),"")</f>
        <v>0</v>
      </c>
      <c r="P61" s="119">
        <f>IFERROR(ROUND(INDEX('배치점수 계산기'!M$11:M$1000,MATCH($C61,'배치점수 계산기'!$U$11:$U$1000,0)),2),"")</f>
        <v>743.39</v>
      </c>
      <c r="Q61" s="41">
        <f>IFERROR(ROUND(INDEX('배치점수 계산기'!N$11:N$1000,MATCH($C61,'배치점수 계산기'!$U$11:$U$1000,0)),2),"")</f>
        <v>741.29</v>
      </c>
      <c r="R61" s="41">
        <f>IFERROR(ROUND(INDEX('배치점수 계산기'!O$11:O$1000,MATCH($C61,'배치점수 계산기'!$U$11:$U$1000,0)),2),"")</f>
        <v>739.06</v>
      </c>
      <c r="S61" s="41">
        <f>IFERROR(ROUND(INDEX('배치점수 계산기'!P$11:P$1000,MATCH($C61,'배치점수 계산기'!$U$11:$U$1000,0)),2),"")</f>
        <v>736.5</v>
      </c>
      <c r="T61" s="41">
        <f>IFERROR(ROUND(INDEX('배치점수 계산기'!Q$11:Q$1000,MATCH($C61,'배치점수 계산기'!$U$11:$U$1000,0)),2),"")</f>
        <v>733.94</v>
      </c>
      <c r="U61" s="41">
        <f>IFERROR(INDEX(환산공식!$DC$16:$DC$301,MATCH(E61,환산공식!$A$16:$A$301,0)),"")</f>
        <v>0</v>
      </c>
      <c r="V61" s="113">
        <f t="shared" si="2"/>
        <v>6</v>
      </c>
      <c r="W61" s="110" t="str">
        <f>INDEX('배치점수 계산기'!$AG$11:$AG$800,MATCH('       나 군       '!$C61,'배치점수 계산기'!$U$11:$U$800,0))</f>
        <v>표점</v>
      </c>
      <c r="X61" s="108" t="str">
        <f>INDEX('배치점수 계산기'!$AH$11:$AH$800,MATCH('       나 군       '!$C61,'배치점수 계산기'!$U$11:$U$800,0))</f>
        <v>변표</v>
      </c>
      <c r="Y61" s="113">
        <f>INDEX('배치점수 계산기'!$AB$11:$AB$800,MATCH('       나 군       '!$C61,'배치점수 계산기'!$U$11:$U$800,0))</f>
        <v>0.4</v>
      </c>
      <c r="Z61" s="73">
        <f>INDEX('배치점수 계산기'!$AC$11:$AC$800,MATCH('       나 군       '!$C61,'배치점수 계산기'!$U$11:$U$800,0))</f>
        <v>0.4</v>
      </c>
      <c r="AA61" s="63">
        <f>INDEX('배치점수 계산기'!$AD$11:$AD$800,MATCH('       나 군       '!$C61,'배치점수 계산기'!$U$11:$U$800,0))</f>
        <v>0.2</v>
      </c>
      <c r="AE61" s="7">
        <v>54</v>
      </c>
    </row>
    <row r="62" spans="3:31" x14ac:dyDescent="0.3">
      <c r="C62" s="7" t="s">
        <v>1288</v>
      </c>
      <c r="D62" s="41" t="s">
        <v>1009</v>
      </c>
      <c r="E62" s="41">
        <v>26</v>
      </c>
      <c r="F62" s="113" t="s">
        <v>346</v>
      </c>
      <c r="G62" s="41" t="s">
        <v>342</v>
      </c>
      <c r="H62" s="41" t="s">
        <v>347</v>
      </c>
      <c r="I62" s="41" t="s">
        <v>275</v>
      </c>
      <c r="J62" s="41" t="str">
        <f t="shared" si="0"/>
        <v>X</v>
      </c>
      <c r="K62" s="113">
        <f>IFERROR(INDEX(환산공식!CI$16:CI$301,MATCH($E62,환산공식!$A$16:$A$301,0)),"")</f>
        <v>100</v>
      </c>
      <c r="L62" s="41" t="str">
        <f>IFERROR(CONCATENATE(ROUND(INDEX(환산공식!CJ$16:CJ$301,MATCH(E62,환산공식!$A$16:$A$301,0)),1),"%"),"")</f>
        <v>100%</v>
      </c>
      <c r="M62" s="41">
        <f>IFERROR(INDEX(환산공식!CK$16:CK$301,MATCH(E62,환산공식!$A$16:$A$301,0)),"")</f>
        <v>10</v>
      </c>
      <c r="N62" s="113" t="str">
        <f t="shared" si="1"/>
        <v>1% 이하</v>
      </c>
      <c r="O62" s="119">
        <f>IFERROR(ROUND(INDEX(환산공식!$EF$16:$EF$301,MATCH(E62,환산공식!$A$16:$A$301,0)),3),"")</f>
        <v>0</v>
      </c>
      <c r="P62" s="119">
        <f>IFERROR(ROUND(INDEX('배치점수 계산기'!M$11:M$1000,MATCH($C62,'배치점수 계산기'!$U$11:$U$1000,0)),2),"")</f>
        <v>748.71</v>
      </c>
      <c r="Q62" s="41">
        <f>IFERROR(ROUND(INDEX('배치점수 계산기'!N$11:N$1000,MATCH($C62,'배치점수 계산기'!$U$11:$U$1000,0)),2),"")</f>
        <v>745.95</v>
      </c>
      <c r="R62" s="41">
        <f>IFERROR(ROUND(INDEX('배치점수 계산기'!O$11:O$1000,MATCH($C62,'배치점수 계산기'!$U$11:$U$1000,0)),2),"")</f>
        <v>742.32</v>
      </c>
      <c r="S62" s="41">
        <f>IFERROR(ROUND(INDEX('배치점수 계산기'!P$11:P$1000,MATCH($C62,'배치점수 계산기'!$U$11:$U$1000,0)),2),"")</f>
        <v>739.06</v>
      </c>
      <c r="T62" s="41">
        <f>IFERROR(ROUND(INDEX('배치점수 계산기'!Q$11:Q$1000,MATCH($C62,'배치점수 계산기'!$U$11:$U$1000,0)),2),"")</f>
        <v>735.37</v>
      </c>
      <c r="U62" s="41">
        <f>IFERROR(INDEX(환산공식!$DC$16:$DC$301,MATCH(E62,환산공식!$A$16:$A$301,0)),"")</f>
        <v>0</v>
      </c>
      <c r="V62" s="113">
        <f t="shared" si="2"/>
        <v>6</v>
      </c>
      <c r="W62" s="110" t="str">
        <f>INDEX('배치점수 계산기'!$AG$11:$AG$800,MATCH('       나 군       '!$C62,'배치점수 계산기'!$U$11:$U$800,0))</f>
        <v>표점</v>
      </c>
      <c r="X62" s="108" t="str">
        <f>INDEX('배치점수 계산기'!$AH$11:$AH$800,MATCH('       나 군       '!$C62,'배치점수 계산기'!$U$11:$U$800,0))</f>
        <v>변표</v>
      </c>
      <c r="Y62" s="113">
        <f>INDEX('배치점수 계산기'!$AB$11:$AB$800,MATCH('       나 군       '!$C62,'배치점수 계산기'!$U$11:$U$800,0))</f>
        <v>0.4</v>
      </c>
      <c r="Z62" s="73">
        <f>INDEX('배치점수 계산기'!$AC$11:$AC$800,MATCH('       나 군       '!$C62,'배치점수 계산기'!$U$11:$U$800,0))</f>
        <v>0.4</v>
      </c>
      <c r="AA62" s="63">
        <f>INDEX('배치점수 계산기'!$AD$11:$AD$800,MATCH('       나 군       '!$C62,'배치점수 계산기'!$U$11:$U$800,0))</f>
        <v>0.2</v>
      </c>
      <c r="AE62" s="7">
        <v>55</v>
      </c>
    </row>
    <row r="63" spans="3:31" x14ac:dyDescent="0.3">
      <c r="C63" s="7" t="s">
        <v>1289</v>
      </c>
      <c r="D63" s="41" t="s">
        <v>1009</v>
      </c>
      <c r="E63" s="41">
        <v>26</v>
      </c>
      <c r="F63" s="113" t="s">
        <v>346</v>
      </c>
      <c r="G63" s="41" t="s">
        <v>342</v>
      </c>
      <c r="H63" s="41" t="s">
        <v>348</v>
      </c>
      <c r="I63" s="41" t="s">
        <v>275</v>
      </c>
      <c r="J63" s="41" t="str">
        <f t="shared" si="0"/>
        <v>X</v>
      </c>
      <c r="K63" s="113">
        <f>IFERROR(INDEX(환산공식!CI$16:CI$301,MATCH($E63,환산공식!$A$16:$A$301,0)),"")</f>
        <v>100</v>
      </c>
      <c r="L63" s="41" t="str">
        <f>IFERROR(CONCATENATE(ROUND(INDEX(환산공식!CJ$16:CJ$301,MATCH(E63,환산공식!$A$16:$A$301,0)),1),"%"),"")</f>
        <v>100%</v>
      </c>
      <c r="M63" s="41">
        <f>IFERROR(INDEX(환산공식!CK$16:CK$301,MATCH(E63,환산공식!$A$16:$A$301,0)),"")</f>
        <v>10</v>
      </c>
      <c r="N63" s="113" t="str">
        <f t="shared" si="1"/>
        <v>1% 이하</v>
      </c>
      <c r="O63" s="119">
        <f>IFERROR(ROUND(INDEX(환산공식!$EF$16:$EF$301,MATCH(E63,환산공식!$A$16:$A$301,0)),3),"")</f>
        <v>0</v>
      </c>
      <c r="P63" s="119">
        <f>IFERROR(ROUND(INDEX('배치점수 계산기'!M$11:M$1000,MATCH($C63,'배치점수 계산기'!$U$11:$U$1000,0)),2),"")</f>
        <v>750.84</v>
      </c>
      <c r="Q63" s="41">
        <f>IFERROR(ROUND(INDEX('배치점수 계산기'!N$11:N$1000,MATCH($C63,'배치점수 계산기'!$U$11:$U$1000,0)),2),"")</f>
        <v>748.08</v>
      </c>
      <c r="R63" s="41">
        <f>IFERROR(ROUND(INDEX('배치점수 계산기'!O$11:O$1000,MATCH($C63,'배치점수 계산기'!$U$11:$U$1000,0)),2),"")</f>
        <v>743.69</v>
      </c>
      <c r="S63" s="41">
        <f>IFERROR(ROUND(INDEX('배치점수 계산기'!P$11:P$1000,MATCH($C63,'배치점수 계산기'!$U$11:$U$1000,0)),2),"")</f>
        <v>739.36</v>
      </c>
      <c r="T63" s="41">
        <f>IFERROR(ROUND(INDEX('배치점수 계산기'!Q$11:Q$1000,MATCH($C63,'배치점수 계산기'!$U$11:$U$1000,0)),2),"")</f>
        <v>735.67</v>
      </c>
      <c r="U63" s="41">
        <f>IFERROR(INDEX(환산공식!$DC$16:$DC$301,MATCH(E63,환산공식!$A$16:$A$301,0)),"")</f>
        <v>0</v>
      </c>
      <c r="V63" s="113">
        <f t="shared" si="2"/>
        <v>6</v>
      </c>
      <c r="W63" s="110" t="str">
        <f>INDEX('배치점수 계산기'!$AG$11:$AG$800,MATCH('       나 군       '!$C63,'배치점수 계산기'!$U$11:$U$800,0))</f>
        <v>표점</v>
      </c>
      <c r="X63" s="108" t="str">
        <f>INDEX('배치점수 계산기'!$AH$11:$AH$800,MATCH('       나 군       '!$C63,'배치점수 계산기'!$U$11:$U$800,0))</f>
        <v>변표</v>
      </c>
      <c r="Y63" s="113">
        <f>INDEX('배치점수 계산기'!$AB$11:$AB$800,MATCH('       나 군       '!$C63,'배치점수 계산기'!$U$11:$U$800,0))</f>
        <v>0.4</v>
      </c>
      <c r="Z63" s="73">
        <f>INDEX('배치점수 계산기'!$AC$11:$AC$800,MATCH('       나 군       '!$C63,'배치점수 계산기'!$U$11:$U$800,0))</f>
        <v>0.4</v>
      </c>
      <c r="AA63" s="63">
        <f>INDEX('배치점수 계산기'!$AD$11:$AD$800,MATCH('       나 군       '!$C63,'배치점수 계산기'!$U$11:$U$800,0))</f>
        <v>0.2</v>
      </c>
      <c r="AE63" s="7">
        <v>56</v>
      </c>
    </row>
    <row r="64" spans="3:31" x14ac:dyDescent="0.3">
      <c r="C64" s="7" t="s">
        <v>1290</v>
      </c>
      <c r="D64" s="41" t="s">
        <v>1017</v>
      </c>
      <c r="E64" s="41">
        <v>25</v>
      </c>
      <c r="F64" s="113" t="s">
        <v>346</v>
      </c>
      <c r="G64" s="41" t="s">
        <v>342</v>
      </c>
      <c r="H64" s="41" t="s">
        <v>352</v>
      </c>
      <c r="I64" s="41" t="s">
        <v>274</v>
      </c>
      <c r="J64" s="41" t="str">
        <f t="shared" si="0"/>
        <v>X</v>
      </c>
      <c r="K64" s="113">
        <f>IFERROR(INDEX(환산공식!CI$16:CI$301,MATCH($E64,환산공식!$A$16:$A$301,0)),"")</f>
        <v>100</v>
      </c>
      <c r="L64" s="41" t="str">
        <f>IFERROR(CONCATENATE(ROUND(INDEX(환산공식!CJ$16:CJ$301,MATCH(E64,환산공식!$A$16:$A$301,0)),1),"%"),"")</f>
        <v>100%</v>
      </c>
      <c r="M64" s="41">
        <f>IFERROR(INDEX(환산공식!CK$16:CK$301,MATCH(E64,환산공식!$A$16:$A$301,0)),"")</f>
        <v>10</v>
      </c>
      <c r="N64" s="113" t="str">
        <f t="shared" si="1"/>
        <v>1% 이하</v>
      </c>
      <c r="O64" s="119">
        <f>IFERROR(ROUND(INDEX(환산공식!$EF$16:$EF$301,MATCH(E64,환산공식!$A$16:$A$301,0)),3),"")</f>
        <v>0</v>
      </c>
      <c r="P64" s="119">
        <f>IFERROR(ROUND(INDEX('배치점수 계산기'!M$11:M$1000,MATCH($C64,'배치점수 계산기'!$U$11:$U$1000,0)),2),"")</f>
        <v>759.81</v>
      </c>
      <c r="Q64" s="41">
        <f>IFERROR(ROUND(INDEX('배치점수 계산기'!N$11:N$1000,MATCH($C64,'배치점수 계산기'!$U$11:$U$1000,0)),2),"")</f>
        <v>758.48</v>
      </c>
      <c r="R64" s="41">
        <f>IFERROR(ROUND(INDEX('배치점수 계산기'!O$11:O$1000,MATCH($C64,'배치점수 계산기'!$U$11:$U$1000,0)),2),"")</f>
        <v>757.2</v>
      </c>
      <c r="S64" s="41">
        <f>IFERROR(ROUND(INDEX('배치점수 계산기'!P$11:P$1000,MATCH($C64,'배치점수 계산기'!$U$11:$U$1000,0)),2),"")</f>
        <v>755.5</v>
      </c>
      <c r="T64" s="41">
        <f>IFERROR(ROUND(INDEX('배치점수 계산기'!Q$11:Q$1000,MATCH($C64,'배치점수 계산기'!$U$11:$U$1000,0)),2),"")</f>
        <v>752.2</v>
      </c>
      <c r="U64" s="41">
        <f>IFERROR(INDEX(환산공식!$DC$16:$DC$301,MATCH(E64,환산공식!$A$16:$A$301,0)),"")</f>
        <v>0</v>
      </c>
      <c r="V64" s="113">
        <f t="shared" si="2"/>
        <v>6</v>
      </c>
      <c r="W64" s="110" t="str">
        <f>INDEX('배치점수 계산기'!$AG$11:$AG$800,MATCH('       나 군       '!$C64,'배치점수 계산기'!$U$11:$U$800,0))</f>
        <v>표점</v>
      </c>
      <c r="X64" s="108" t="str">
        <f>INDEX('배치점수 계산기'!$AH$11:$AH$800,MATCH('       나 군       '!$C64,'배치점수 계산기'!$U$11:$U$800,0))</f>
        <v>변표</v>
      </c>
      <c r="Y64" s="113">
        <f>INDEX('배치점수 계산기'!$AB$11:$AB$800,MATCH('       나 군       '!$C64,'배치점수 계산기'!$U$11:$U$800,0))</f>
        <v>0.25</v>
      </c>
      <c r="Z64" s="73">
        <f>INDEX('배치점수 계산기'!$AC$11:$AC$800,MATCH('       나 군       '!$C64,'배치점수 계산기'!$U$11:$U$800,0))</f>
        <v>0.4</v>
      </c>
      <c r="AA64" s="63">
        <f>INDEX('배치점수 계산기'!$AD$11:$AD$800,MATCH('       나 군       '!$C64,'배치점수 계산기'!$U$11:$U$800,0))</f>
        <v>0.35</v>
      </c>
      <c r="AE64" s="7">
        <v>57</v>
      </c>
    </row>
    <row r="65" spans="3:31" x14ac:dyDescent="0.3">
      <c r="C65" s="7" t="s">
        <v>1291</v>
      </c>
      <c r="D65" s="41" t="s">
        <v>1017</v>
      </c>
      <c r="E65" s="41">
        <v>25</v>
      </c>
      <c r="F65" s="113" t="s">
        <v>346</v>
      </c>
      <c r="G65" s="41" t="s">
        <v>342</v>
      </c>
      <c r="H65" s="41" t="s">
        <v>354</v>
      </c>
      <c r="I65" s="41" t="s">
        <v>274</v>
      </c>
      <c r="J65" s="41" t="str">
        <f t="shared" si="0"/>
        <v>X</v>
      </c>
      <c r="K65" s="113">
        <f>IFERROR(INDEX(환산공식!CI$16:CI$301,MATCH($E65,환산공식!$A$16:$A$301,0)),"")</f>
        <v>100</v>
      </c>
      <c r="L65" s="41" t="str">
        <f>IFERROR(CONCATENATE(ROUND(INDEX(환산공식!CJ$16:CJ$301,MATCH(E65,환산공식!$A$16:$A$301,0)),1),"%"),"")</f>
        <v>100%</v>
      </c>
      <c r="M65" s="41">
        <f>IFERROR(INDEX(환산공식!CK$16:CK$301,MATCH(E65,환산공식!$A$16:$A$301,0)),"")</f>
        <v>10</v>
      </c>
      <c r="N65" s="113" t="str">
        <f t="shared" si="1"/>
        <v>1% 이하</v>
      </c>
      <c r="O65" s="119">
        <f>IFERROR(ROUND(INDEX(환산공식!$EF$16:$EF$301,MATCH(E65,환산공식!$A$16:$A$301,0)),3),"")</f>
        <v>0</v>
      </c>
      <c r="P65" s="119">
        <f>IFERROR(ROUND(INDEX('배치점수 계산기'!M$11:M$1000,MATCH($C65,'배치점수 계산기'!$U$11:$U$1000,0)),2),"")</f>
        <v>762.1</v>
      </c>
      <c r="Q65" s="41">
        <f>IFERROR(ROUND(INDEX('배치점수 계산기'!N$11:N$1000,MATCH($C65,'배치점수 계산기'!$U$11:$U$1000,0)),2),"")</f>
        <v>760.82</v>
      </c>
      <c r="R65" s="41">
        <f>IFERROR(ROUND(INDEX('배치점수 계산기'!O$11:O$1000,MATCH($C65,'배치점수 계산기'!$U$11:$U$1000,0)),2),"")</f>
        <v>759.3</v>
      </c>
      <c r="S65" s="41">
        <f>IFERROR(ROUND(INDEX('배치점수 계산기'!P$11:P$1000,MATCH($C65,'배치점수 계산기'!$U$11:$U$1000,0)),2),"")</f>
        <v>757.2</v>
      </c>
      <c r="T65" s="41">
        <f>IFERROR(ROUND(INDEX('배치점수 계산기'!Q$11:Q$1000,MATCH($C65,'배치점수 계산기'!$U$11:$U$1000,0)),2),"")</f>
        <v>755.5</v>
      </c>
      <c r="U65" s="41">
        <f>IFERROR(INDEX(환산공식!$DC$16:$DC$301,MATCH(E65,환산공식!$A$16:$A$301,0)),"")</f>
        <v>0</v>
      </c>
      <c r="V65" s="113">
        <f t="shared" si="2"/>
        <v>6</v>
      </c>
      <c r="W65" s="110" t="str">
        <f>INDEX('배치점수 계산기'!$AG$11:$AG$800,MATCH('       나 군       '!$C65,'배치점수 계산기'!$U$11:$U$800,0))</f>
        <v>표점</v>
      </c>
      <c r="X65" s="108" t="str">
        <f>INDEX('배치점수 계산기'!$AH$11:$AH$800,MATCH('       나 군       '!$C65,'배치점수 계산기'!$U$11:$U$800,0))</f>
        <v>변표</v>
      </c>
      <c r="Y65" s="113">
        <f>INDEX('배치점수 계산기'!$AB$11:$AB$800,MATCH('       나 군       '!$C65,'배치점수 계산기'!$U$11:$U$800,0))</f>
        <v>0.25</v>
      </c>
      <c r="Z65" s="73">
        <f>INDEX('배치점수 계산기'!$AC$11:$AC$800,MATCH('       나 군       '!$C65,'배치점수 계산기'!$U$11:$U$800,0))</f>
        <v>0.4</v>
      </c>
      <c r="AA65" s="63">
        <f>INDEX('배치점수 계산기'!$AD$11:$AD$800,MATCH('       나 군       '!$C65,'배치점수 계산기'!$U$11:$U$800,0))</f>
        <v>0.35</v>
      </c>
      <c r="AE65" s="7">
        <v>58</v>
      </c>
    </row>
    <row r="66" spans="3:31" x14ac:dyDescent="0.3">
      <c r="C66" s="7" t="s">
        <v>1292</v>
      </c>
      <c r="D66" s="41" t="s">
        <v>1025</v>
      </c>
      <c r="E66" s="41">
        <v>27</v>
      </c>
      <c r="F66" s="113" t="s">
        <v>346</v>
      </c>
      <c r="G66" s="41" t="s">
        <v>359</v>
      </c>
      <c r="H66" s="41" t="s">
        <v>286</v>
      </c>
      <c r="I66" s="41" t="s">
        <v>274</v>
      </c>
      <c r="J66" s="41" t="str">
        <f t="shared" si="0"/>
        <v>X</v>
      </c>
      <c r="K66" s="113">
        <f>IFERROR(INDEX(환산공식!CI$16:CI$301,MATCH($E66,환산공식!$A$16:$A$301,0)),"")</f>
        <v>100</v>
      </c>
      <c r="L66" s="41" t="str">
        <f>IFERROR(CONCATENATE(ROUND(INDEX(환산공식!CJ$16:CJ$301,MATCH(E66,환산공식!$A$16:$A$301,0)),1),"%"),"")</f>
        <v>100%</v>
      </c>
      <c r="M66" s="41">
        <f>IFERROR(INDEX(환산공식!CK$16:CK$301,MATCH(E66,환산공식!$A$16:$A$301,0)),"")</f>
        <v>0</v>
      </c>
      <c r="N66" s="113" t="str">
        <f t="shared" si="1"/>
        <v>1% 이하</v>
      </c>
      <c r="O66" s="119">
        <f>IFERROR(ROUND(INDEX(환산공식!$EF$16:$EF$301,MATCH(E66,환산공식!$A$16:$A$301,0)),3),"")</f>
        <v>0</v>
      </c>
      <c r="P66" s="119">
        <f>IFERROR(ROUND(INDEX('배치점수 계산기'!M$11:M$1000,MATCH($C66,'배치점수 계산기'!$U$11:$U$1000,0)),2),"")</f>
        <v>899.69</v>
      </c>
      <c r="Q66" s="41">
        <f>IFERROR(ROUND(INDEX('배치점수 계산기'!N$11:N$1000,MATCH($C66,'배치점수 계산기'!$U$11:$U$1000,0)),2),"")</f>
        <v>898.14</v>
      </c>
      <c r="R66" s="41">
        <f>IFERROR(ROUND(INDEX('배치점수 계산기'!O$11:O$1000,MATCH($C66,'배치점수 계산기'!$U$11:$U$1000,0)),2),"")</f>
        <v>896.47</v>
      </c>
      <c r="S66" s="41">
        <f>IFERROR(ROUND(INDEX('배치점수 계산기'!P$11:P$1000,MATCH($C66,'배치점수 계산기'!$U$11:$U$1000,0)),2),"")</f>
        <v>892.09</v>
      </c>
      <c r="T66" s="41">
        <f>IFERROR(ROUND(INDEX('배치점수 계산기'!Q$11:Q$1000,MATCH($C66,'배치점수 계산기'!$U$11:$U$1000,0)),2),"")</f>
        <v>890.57</v>
      </c>
      <c r="U66" s="41">
        <f>IFERROR(INDEX(환산공식!$DC$16:$DC$301,MATCH(E66,환산공식!$A$16:$A$301,0)),"")</f>
        <v>0</v>
      </c>
      <c r="V66" s="113">
        <f t="shared" si="2"/>
        <v>6</v>
      </c>
      <c r="W66" s="110" t="str">
        <f>INDEX('배치점수 계산기'!$AG$11:$AG$800,MATCH('       나 군       '!$C66,'배치점수 계산기'!$U$11:$U$800,0))</f>
        <v>표점/만점</v>
      </c>
      <c r="X66" s="108" t="str">
        <f>INDEX('배치점수 계산기'!$AH$11:$AH$800,MATCH('       나 군       '!$C66,'배치점수 계산기'!$U$11:$U$800,0))</f>
        <v>변표/만점</v>
      </c>
      <c r="Y66" s="113">
        <f>INDEX('배치점수 계산기'!$AB$11:$AB$800,MATCH('       나 군       '!$C66,'배치점수 계산기'!$U$11:$U$800,0))</f>
        <v>0.21707413571547685</v>
      </c>
      <c r="Z66" s="73">
        <f>INDEX('배치점수 계산기'!$AC$11:$AC$800,MATCH('       나 군       '!$C66,'배치점수 계산기'!$U$11:$U$800,0))</f>
        <v>0.38504816930483388</v>
      </c>
      <c r="AA66" s="63">
        <f>INDEX('배치점수 계산기'!$AD$11:$AD$800,MATCH('       나 군       '!$C66,'배치점수 계산기'!$U$11:$U$800,0))</f>
        <v>0.39787769497968917</v>
      </c>
      <c r="AE66" s="7">
        <v>59</v>
      </c>
    </row>
    <row r="67" spans="3:31" x14ac:dyDescent="0.3">
      <c r="C67" s="7" t="s">
        <v>1293</v>
      </c>
      <c r="D67" s="41" t="s">
        <v>1025</v>
      </c>
      <c r="E67" s="41">
        <v>27</v>
      </c>
      <c r="F67" s="113" t="s">
        <v>346</v>
      </c>
      <c r="G67" s="41" t="s">
        <v>359</v>
      </c>
      <c r="H67" s="41" t="s">
        <v>288</v>
      </c>
      <c r="I67" s="41" t="s">
        <v>274</v>
      </c>
      <c r="J67" s="41" t="str">
        <f t="shared" si="0"/>
        <v>X</v>
      </c>
      <c r="K67" s="113">
        <f>IFERROR(INDEX(환산공식!CI$16:CI$301,MATCH($E67,환산공식!$A$16:$A$301,0)),"")</f>
        <v>100</v>
      </c>
      <c r="L67" s="41" t="str">
        <f>IFERROR(CONCATENATE(ROUND(INDEX(환산공식!CJ$16:CJ$301,MATCH(E67,환산공식!$A$16:$A$301,0)),1),"%"),"")</f>
        <v>100%</v>
      </c>
      <c r="M67" s="41">
        <f>IFERROR(INDEX(환산공식!CK$16:CK$301,MATCH(E67,환산공식!$A$16:$A$301,0)),"")</f>
        <v>0</v>
      </c>
      <c r="N67" s="113" t="str">
        <f t="shared" si="1"/>
        <v>1% 이하</v>
      </c>
      <c r="O67" s="119">
        <f>IFERROR(ROUND(INDEX(환산공식!$EF$16:$EF$301,MATCH(E67,환산공식!$A$16:$A$301,0)),3),"")</f>
        <v>0</v>
      </c>
      <c r="P67" s="119">
        <f>IFERROR(ROUND(INDEX('배치점수 계산기'!M$11:M$1000,MATCH($C67,'배치점수 계산기'!$U$11:$U$1000,0)),2),"")</f>
        <v>904.2</v>
      </c>
      <c r="Q67" s="41">
        <f>IFERROR(ROUND(INDEX('배치점수 계산기'!N$11:N$1000,MATCH($C67,'배치점수 계산기'!$U$11:$U$1000,0)),2),"")</f>
        <v>902.17</v>
      </c>
      <c r="R67" s="41">
        <f>IFERROR(ROUND(INDEX('배치점수 계산기'!O$11:O$1000,MATCH($C67,'배치점수 계산기'!$U$11:$U$1000,0)),2),"")</f>
        <v>898.34</v>
      </c>
      <c r="S67" s="41">
        <f>IFERROR(ROUND(INDEX('배치점수 계산기'!P$11:P$1000,MATCH($C67,'배치점수 계산기'!$U$11:$U$1000,0)),2),"")</f>
        <v>896.33</v>
      </c>
      <c r="T67" s="41">
        <f>IFERROR(ROUND(INDEX('배치점수 계산기'!Q$11:Q$1000,MATCH($C67,'배치점수 계산기'!$U$11:$U$1000,0)),2),"")</f>
        <v>892.29</v>
      </c>
      <c r="U67" s="41">
        <f>IFERROR(INDEX(환산공식!$DC$16:$DC$301,MATCH(E67,환산공식!$A$16:$A$301,0)),"")</f>
        <v>0</v>
      </c>
      <c r="V67" s="113">
        <f t="shared" si="2"/>
        <v>6</v>
      </c>
      <c r="W67" s="110" t="str">
        <f>INDEX('배치점수 계산기'!$AG$11:$AG$800,MATCH('       나 군       '!$C67,'배치점수 계산기'!$U$11:$U$800,0))</f>
        <v>표점/만점</v>
      </c>
      <c r="X67" s="108" t="str">
        <f>INDEX('배치점수 계산기'!$AH$11:$AH$800,MATCH('       나 군       '!$C67,'배치점수 계산기'!$U$11:$U$800,0))</f>
        <v>변표/만점</v>
      </c>
      <c r="Y67" s="113">
        <f>INDEX('배치점수 계산기'!$AB$11:$AB$800,MATCH('       나 군       '!$C67,'배치점수 계산기'!$U$11:$U$800,0))</f>
        <v>0.21707413571547685</v>
      </c>
      <c r="Z67" s="73">
        <f>INDEX('배치점수 계산기'!$AC$11:$AC$800,MATCH('       나 군       '!$C67,'배치점수 계산기'!$U$11:$U$800,0))</f>
        <v>0.38504816930483388</v>
      </c>
      <c r="AA67" s="63">
        <f>INDEX('배치점수 계산기'!$AD$11:$AD$800,MATCH('       나 군       '!$C67,'배치점수 계산기'!$U$11:$U$800,0))</f>
        <v>0.39787769497968917</v>
      </c>
      <c r="AE67" s="7">
        <v>60</v>
      </c>
    </row>
    <row r="68" spans="3:31" x14ac:dyDescent="0.3">
      <c r="C68" s="7" t="s">
        <v>1294</v>
      </c>
      <c r="D68" s="41" t="s">
        <v>1025</v>
      </c>
      <c r="E68" s="41">
        <v>27</v>
      </c>
      <c r="F68" s="113" t="s">
        <v>346</v>
      </c>
      <c r="G68" s="41" t="s">
        <v>359</v>
      </c>
      <c r="H68" s="41" t="s">
        <v>329</v>
      </c>
      <c r="I68" s="41" t="s">
        <v>274</v>
      </c>
      <c r="J68" s="41" t="str">
        <f t="shared" si="0"/>
        <v>X</v>
      </c>
      <c r="K68" s="113">
        <f>IFERROR(INDEX(환산공식!CI$16:CI$301,MATCH($E68,환산공식!$A$16:$A$301,0)),"")</f>
        <v>100</v>
      </c>
      <c r="L68" s="41" t="str">
        <f>IFERROR(CONCATENATE(ROUND(INDEX(환산공식!CJ$16:CJ$301,MATCH(E68,환산공식!$A$16:$A$301,0)),1),"%"),"")</f>
        <v>100%</v>
      </c>
      <c r="M68" s="41">
        <f>IFERROR(INDEX(환산공식!CK$16:CK$301,MATCH(E68,환산공식!$A$16:$A$301,0)),"")</f>
        <v>0</v>
      </c>
      <c r="N68" s="113" t="str">
        <f t="shared" si="1"/>
        <v>1% 이하</v>
      </c>
      <c r="O68" s="119">
        <f>IFERROR(ROUND(INDEX(환산공식!$EF$16:$EF$301,MATCH(E68,환산공식!$A$16:$A$301,0)),3),"")</f>
        <v>0</v>
      </c>
      <c r="P68" s="119">
        <f>IFERROR(ROUND(INDEX('배치점수 계산기'!M$11:M$1000,MATCH($C68,'배치점수 계산기'!$U$11:$U$1000,0)),2),"")</f>
        <v>896.13</v>
      </c>
      <c r="Q68" s="41">
        <f>IFERROR(ROUND(INDEX('배치점수 계산기'!N$11:N$1000,MATCH($C68,'배치점수 계산기'!$U$11:$U$1000,0)),2),"")</f>
        <v>894.94</v>
      </c>
      <c r="R68" s="41">
        <f>IFERROR(ROUND(INDEX('배치점수 계산기'!O$11:O$1000,MATCH($C68,'배치점수 계산기'!$U$11:$U$1000,0)),2),"")</f>
        <v>893.05</v>
      </c>
      <c r="S68" s="41">
        <f>IFERROR(ROUND(INDEX('배치점수 계산기'!P$11:P$1000,MATCH($C68,'배치점수 계산기'!$U$11:$U$1000,0)),2),"")</f>
        <v>889.84</v>
      </c>
      <c r="T68" s="41">
        <f>IFERROR(ROUND(INDEX('배치점수 계산기'!Q$11:Q$1000,MATCH($C68,'배치점수 계산기'!$U$11:$U$1000,0)),2),"")</f>
        <v>885.9</v>
      </c>
      <c r="U68" s="41">
        <f>IFERROR(INDEX(환산공식!$DC$16:$DC$301,MATCH(E68,환산공식!$A$16:$A$301,0)),"")</f>
        <v>0</v>
      </c>
      <c r="V68" s="113">
        <f t="shared" si="2"/>
        <v>6</v>
      </c>
      <c r="W68" s="110" t="str">
        <f>INDEX('배치점수 계산기'!$AG$11:$AG$800,MATCH('       나 군       '!$C68,'배치점수 계산기'!$U$11:$U$800,0))</f>
        <v>표점/만점</v>
      </c>
      <c r="X68" s="108" t="str">
        <f>INDEX('배치점수 계산기'!$AH$11:$AH$800,MATCH('       나 군       '!$C68,'배치점수 계산기'!$U$11:$U$800,0))</f>
        <v>변표/만점</v>
      </c>
      <c r="Y68" s="113">
        <f>INDEX('배치점수 계산기'!$AB$11:$AB$800,MATCH('       나 군       '!$C68,'배치점수 계산기'!$U$11:$U$800,0))</f>
        <v>0.21707413571547685</v>
      </c>
      <c r="Z68" s="73">
        <f>INDEX('배치점수 계산기'!$AC$11:$AC$800,MATCH('       나 군       '!$C68,'배치점수 계산기'!$U$11:$U$800,0))</f>
        <v>0.38504816930483388</v>
      </c>
      <c r="AA68" s="63">
        <f>INDEX('배치점수 계산기'!$AD$11:$AD$800,MATCH('       나 군       '!$C68,'배치점수 계산기'!$U$11:$U$800,0))</f>
        <v>0.39787769497968917</v>
      </c>
      <c r="AE68" s="7">
        <v>61</v>
      </c>
    </row>
    <row r="69" spans="3:31" x14ac:dyDescent="0.3">
      <c r="C69" s="7" t="s">
        <v>1295</v>
      </c>
      <c r="D69" s="41" t="s">
        <v>1025</v>
      </c>
      <c r="E69" s="41">
        <v>27</v>
      </c>
      <c r="F69" s="113" t="s">
        <v>346</v>
      </c>
      <c r="G69" s="41" t="s">
        <v>359</v>
      </c>
      <c r="H69" s="41" t="s">
        <v>364</v>
      </c>
      <c r="I69" s="41" t="s">
        <v>274</v>
      </c>
      <c r="J69" s="41" t="str">
        <f t="shared" si="0"/>
        <v>X</v>
      </c>
      <c r="K69" s="113">
        <f>IFERROR(INDEX(환산공식!CI$16:CI$301,MATCH($E69,환산공식!$A$16:$A$301,0)),"")</f>
        <v>100</v>
      </c>
      <c r="L69" s="41" t="str">
        <f>IFERROR(CONCATENATE(ROUND(INDEX(환산공식!CJ$16:CJ$301,MATCH(E69,환산공식!$A$16:$A$301,0)),1),"%"),"")</f>
        <v>100%</v>
      </c>
      <c r="M69" s="41">
        <f>IFERROR(INDEX(환산공식!CK$16:CK$301,MATCH(E69,환산공식!$A$16:$A$301,0)),"")</f>
        <v>0</v>
      </c>
      <c r="N69" s="113" t="str">
        <f t="shared" si="1"/>
        <v>1% 이하</v>
      </c>
      <c r="O69" s="119">
        <f>IFERROR(ROUND(INDEX(환산공식!$EF$16:$EF$301,MATCH(E69,환산공식!$A$16:$A$301,0)),3),"")</f>
        <v>0</v>
      </c>
      <c r="P69" s="119">
        <f>IFERROR(ROUND(INDEX('배치점수 계산기'!M$11:M$1000,MATCH($C69,'배치점수 계산기'!$U$11:$U$1000,0)),2),"")</f>
        <v>903.02</v>
      </c>
      <c r="Q69" s="41">
        <f>IFERROR(ROUND(INDEX('배치점수 계산기'!N$11:N$1000,MATCH($C69,'배치점수 계산기'!$U$11:$U$1000,0)),2),"")</f>
        <v>899.89</v>
      </c>
      <c r="R69" s="41">
        <f>IFERROR(ROUND(INDEX('배치점수 계산기'!O$11:O$1000,MATCH($C69,'배치점수 계산기'!$U$11:$U$1000,0)),2),"")</f>
        <v>896.33</v>
      </c>
      <c r="S69" s="41">
        <f>IFERROR(ROUND(INDEX('배치점수 계산기'!P$11:P$1000,MATCH($C69,'배치점수 계산기'!$U$11:$U$1000,0)),2),"")</f>
        <v>892.29</v>
      </c>
      <c r="T69" s="41">
        <f>IFERROR(ROUND(INDEX('배치점수 계산기'!Q$11:Q$1000,MATCH($C69,'배치점수 계산기'!$U$11:$U$1000,0)),2),"")</f>
        <v>890.77</v>
      </c>
      <c r="U69" s="41">
        <f>IFERROR(INDEX(환산공식!$DC$16:$DC$301,MATCH(E69,환산공식!$A$16:$A$301,0)),"")</f>
        <v>0</v>
      </c>
      <c r="V69" s="113">
        <f t="shared" si="2"/>
        <v>6</v>
      </c>
      <c r="W69" s="110" t="str">
        <f>INDEX('배치점수 계산기'!$AG$11:$AG$800,MATCH('       나 군       '!$C69,'배치점수 계산기'!$U$11:$U$800,0))</f>
        <v>표점/만점</v>
      </c>
      <c r="X69" s="108" t="str">
        <f>INDEX('배치점수 계산기'!$AH$11:$AH$800,MATCH('       나 군       '!$C69,'배치점수 계산기'!$U$11:$U$800,0))</f>
        <v>변표/만점</v>
      </c>
      <c r="Y69" s="113">
        <f>INDEX('배치점수 계산기'!$AB$11:$AB$800,MATCH('       나 군       '!$C69,'배치점수 계산기'!$U$11:$U$800,0))</f>
        <v>0.21707413571547685</v>
      </c>
      <c r="Z69" s="73">
        <f>INDEX('배치점수 계산기'!$AC$11:$AC$800,MATCH('       나 군       '!$C69,'배치점수 계산기'!$U$11:$U$800,0))</f>
        <v>0.38504816930483388</v>
      </c>
      <c r="AA69" s="63">
        <f>INDEX('배치점수 계산기'!$AD$11:$AD$800,MATCH('       나 군       '!$C69,'배치점수 계산기'!$U$11:$U$800,0))</f>
        <v>0.39787769497968917</v>
      </c>
      <c r="AE69" s="7">
        <v>62</v>
      </c>
    </row>
    <row r="70" spans="3:31" x14ac:dyDescent="0.3">
      <c r="C70" s="7" t="s">
        <v>1296</v>
      </c>
      <c r="D70" s="41" t="s">
        <v>1025</v>
      </c>
      <c r="E70" s="41">
        <v>27</v>
      </c>
      <c r="F70" s="113" t="s">
        <v>346</v>
      </c>
      <c r="G70" s="41" t="s">
        <v>359</v>
      </c>
      <c r="H70" s="41" t="s">
        <v>366</v>
      </c>
      <c r="I70" s="41" t="s">
        <v>274</v>
      </c>
      <c r="J70" s="41" t="str">
        <f t="shared" si="0"/>
        <v>X</v>
      </c>
      <c r="K70" s="113">
        <f>IFERROR(INDEX(환산공식!CI$16:CI$301,MATCH($E70,환산공식!$A$16:$A$301,0)),"")</f>
        <v>100</v>
      </c>
      <c r="L70" s="41" t="str">
        <f>IFERROR(CONCATENATE(ROUND(INDEX(환산공식!CJ$16:CJ$301,MATCH(E70,환산공식!$A$16:$A$301,0)),1),"%"),"")</f>
        <v>100%</v>
      </c>
      <c r="M70" s="41">
        <f>IFERROR(INDEX(환산공식!CK$16:CK$301,MATCH(E70,환산공식!$A$16:$A$301,0)),"")</f>
        <v>0</v>
      </c>
      <c r="N70" s="113" t="str">
        <f t="shared" si="1"/>
        <v>1% 이하</v>
      </c>
      <c r="O70" s="119">
        <f>IFERROR(ROUND(INDEX(환산공식!$EF$16:$EF$301,MATCH(E70,환산공식!$A$16:$A$301,0)),3),"")</f>
        <v>0</v>
      </c>
      <c r="P70" s="119">
        <f>IFERROR(ROUND(INDEX('배치점수 계산기'!M$11:M$1000,MATCH($C70,'배치점수 계산기'!$U$11:$U$1000,0)),2),"")</f>
        <v>904.2</v>
      </c>
      <c r="Q70" s="41">
        <f>IFERROR(ROUND(INDEX('배치점수 계산기'!N$11:N$1000,MATCH($C70,'배치점수 계산기'!$U$11:$U$1000,0)),2),"")</f>
        <v>902.65</v>
      </c>
      <c r="R70" s="41">
        <f>IFERROR(ROUND(INDEX('배치점수 계산기'!O$11:O$1000,MATCH($C70,'배치점수 계산기'!$U$11:$U$1000,0)),2),"")</f>
        <v>900.86</v>
      </c>
      <c r="S70" s="41">
        <f>IFERROR(ROUND(INDEX('배치점수 계산기'!P$11:P$1000,MATCH($C70,'배치점수 계산기'!$U$11:$U$1000,0)),2),"")</f>
        <v>896.19</v>
      </c>
      <c r="T70" s="41">
        <f>IFERROR(ROUND(INDEX('배치점수 계산기'!Q$11:Q$1000,MATCH($C70,'배치점수 계산기'!$U$11:$U$1000,0)),2),"")</f>
        <v>890.77</v>
      </c>
      <c r="U70" s="41">
        <f>IFERROR(INDEX(환산공식!$DC$16:$DC$301,MATCH(E70,환산공식!$A$16:$A$301,0)),"")</f>
        <v>0</v>
      </c>
      <c r="V70" s="113">
        <f t="shared" si="2"/>
        <v>6</v>
      </c>
      <c r="W70" s="110" t="str">
        <f>INDEX('배치점수 계산기'!$AG$11:$AG$800,MATCH('       나 군       '!$C70,'배치점수 계산기'!$U$11:$U$800,0))</f>
        <v>표점/만점</v>
      </c>
      <c r="X70" s="108" t="str">
        <f>INDEX('배치점수 계산기'!$AH$11:$AH$800,MATCH('       나 군       '!$C70,'배치점수 계산기'!$U$11:$U$800,0))</f>
        <v>변표/만점</v>
      </c>
      <c r="Y70" s="113">
        <f>INDEX('배치점수 계산기'!$AB$11:$AB$800,MATCH('       나 군       '!$C70,'배치점수 계산기'!$U$11:$U$800,0))</f>
        <v>0.21707413571547685</v>
      </c>
      <c r="Z70" s="73">
        <f>INDEX('배치점수 계산기'!$AC$11:$AC$800,MATCH('       나 군       '!$C70,'배치점수 계산기'!$U$11:$U$800,0))</f>
        <v>0.38504816930483388</v>
      </c>
      <c r="AA70" s="63">
        <f>INDEX('배치점수 계산기'!$AD$11:$AD$800,MATCH('       나 군       '!$C70,'배치점수 계산기'!$U$11:$U$800,0))</f>
        <v>0.39787769497968917</v>
      </c>
      <c r="AE70" s="7">
        <v>63</v>
      </c>
    </row>
    <row r="71" spans="3:31" x14ac:dyDescent="0.3">
      <c r="C71" s="7" t="s">
        <v>1297</v>
      </c>
      <c r="D71" s="41" t="s">
        <v>1025</v>
      </c>
      <c r="E71" s="41">
        <v>27</v>
      </c>
      <c r="F71" s="113" t="s">
        <v>346</v>
      </c>
      <c r="G71" s="41" t="s">
        <v>359</v>
      </c>
      <c r="H71" s="41" t="s">
        <v>319</v>
      </c>
      <c r="I71" s="41" t="s">
        <v>274</v>
      </c>
      <c r="J71" s="41" t="str">
        <f t="shared" si="0"/>
        <v>X</v>
      </c>
      <c r="K71" s="113">
        <f>IFERROR(INDEX(환산공식!CI$16:CI$301,MATCH($E71,환산공식!$A$16:$A$301,0)),"")</f>
        <v>100</v>
      </c>
      <c r="L71" s="41" t="str">
        <f>IFERROR(CONCATENATE(ROUND(INDEX(환산공식!CJ$16:CJ$301,MATCH(E71,환산공식!$A$16:$A$301,0)),1),"%"),"")</f>
        <v>100%</v>
      </c>
      <c r="M71" s="41">
        <f>IFERROR(INDEX(환산공식!CK$16:CK$301,MATCH(E71,환산공식!$A$16:$A$301,0)),"")</f>
        <v>0</v>
      </c>
      <c r="N71" s="113" t="str">
        <f t="shared" si="1"/>
        <v>1% 이하</v>
      </c>
      <c r="O71" s="119">
        <f>IFERROR(ROUND(INDEX(환산공식!$EF$16:$EF$301,MATCH(E71,환산공식!$A$16:$A$301,0)),3),"")</f>
        <v>0</v>
      </c>
      <c r="P71" s="119">
        <f>IFERROR(ROUND(INDEX('배치점수 계산기'!M$11:M$1000,MATCH($C71,'배치점수 계산기'!$U$11:$U$1000,0)),2),"")</f>
        <v>898.14</v>
      </c>
      <c r="Q71" s="41">
        <f>IFERROR(ROUND(INDEX('배치점수 계산기'!N$11:N$1000,MATCH($C71,'배치점수 계산기'!$U$11:$U$1000,0)),2),"")</f>
        <v>896.95</v>
      </c>
      <c r="R71" s="41">
        <f>IFERROR(ROUND(INDEX('배치점수 계산기'!O$11:O$1000,MATCH($C71,'배치점수 계산기'!$U$11:$U$1000,0)),2),"")</f>
        <v>894.94</v>
      </c>
      <c r="S71" s="41">
        <f>IFERROR(ROUND(INDEX('배치점수 계산기'!P$11:P$1000,MATCH($C71,'배치점수 계산기'!$U$11:$U$1000,0)),2),"")</f>
        <v>891.28</v>
      </c>
      <c r="T71" s="41">
        <f>IFERROR(ROUND(INDEX('배치점수 계산기'!Q$11:Q$1000,MATCH($C71,'배치점수 계산기'!$U$11:$U$1000,0)),2),"")</f>
        <v>889.71</v>
      </c>
      <c r="U71" s="41">
        <f>IFERROR(INDEX(환산공식!$DC$16:$DC$301,MATCH(E71,환산공식!$A$16:$A$301,0)),"")</f>
        <v>0</v>
      </c>
      <c r="V71" s="113">
        <f t="shared" si="2"/>
        <v>6</v>
      </c>
      <c r="W71" s="110" t="str">
        <f>INDEX('배치점수 계산기'!$AG$11:$AG$800,MATCH('       나 군       '!$C71,'배치점수 계산기'!$U$11:$U$800,0))</f>
        <v>표점/만점</v>
      </c>
      <c r="X71" s="108" t="str">
        <f>INDEX('배치점수 계산기'!$AH$11:$AH$800,MATCH('       나 군       '!$C71,'배치점수 계산기'!$U$11:$U$800,0))</f>
        <v>변표/만점</v>
      </c>
      <c r="Y71" s="113">
        <f>INDEX('배치점수 계산기'!$AB$11:$AB$800,MATCH('       나 군       '!$C71,'배치점수 계산기'!$U$11:$U$800,0))</f>
        <v>0.21707413571547685</v>
      </c>
      <c r="Z71" s="73">
        <f>INDEX('배치점수 계산기'!$AC$11:$AC$800,MATCH('       나 군       '!$C71,'배치점수 계산기'!$U$11:$U$800,0))</f>
        <v>0.38504816930483388</v>
      </c>
      <c r="AA71" s="63">
        <f>INDEX('배치점수 계산기'!$AD$11:$AD$800,MATCH('       나 군       '!$C71,'배치점수 계산기'!$U$11:$U$800,0))</f>
        <v>0.39787769497968917</v>
      </c>
      <c r="AE71" s="7">
        <v>64</v>
      </c>
    </row>
    <row r="72" spans="3:31" x14ac:dyDescent="0.3">
      <c r="C72" s="7" t="s">
        <v>1298</v>
      </c>
      <c r="D72" s="41" t="s">
        <v>1039</v>
      </c>
      <c r="E72" s="41">
        <v>28</v>
      </c>
      <c r="F72" s="113" t="s">
        <v>346</v>
      </c>
      <c r="G72" s="41" t="s">
        <v>359</v>
      </c>
      <c r="H72" s="41" t="s">
        <v>335</v>
      </c>
      <c r="I72" s="41" t="s">
        <v>275</v>
      </c>
      <c r="J72" s="41" t="str">
        <f t="shared" ref="J72:J135" si="3">IFERROR(IF(U72=1,"O",IF(U72=0,"X","")),"")</f>
        <v>X</v>
      </c>
      <c r="K72" s="113">
        <f>IFERROR(INDEX(환산공식!CI$16:CI$301,MATCH($E72,환산공식!$A$16:$A$301,0)),"")</f>
        <v>100</v>
      </c>
      <c r="L72" s="41" t="str">
        <f>IFERROR(CONCATENATE(ROUND(INDEX(환산공식!CJ$16:CJ$301,MATCH(E72,환산공식!$A$16:$A$301,0)),1),"%"),"")</f>
        <v>100%</v>
      </c>
      <c r="M72" s="41">
        <f>IFERROR(INDEX(환산공식!CK$16:CK$301,MATCH(E72,환산공식!$A$16:$A$301,0)),"")</f>
        <v>0</v>
      </c>
      <c r="N72" s="113" t="str">
        <f t="shared" ref="N72:N135" si="4">IF(E72="","",IF(O72&gt;P72,"90% 이상",IF(O72&gt;Q72,CONCATENATE(ROUND(((O72-Q72)/(P72-Q72))*20+70,0),"%"),IF(O72&gt;R72,CONCATENATE(ROUND(((O72-R72)/(Q72-R72))*30+40,0),"%"),IF(O72&gt;S72,CONCATENATE(ROUND(((O72-S72)/(R72-S72))*30+10,0),"%"),IF(O72&gt;T72,CONCATENATE(ROUND(((O72-T72)/(S72-T72))*9+1,0),"%"),"1% 이하"))))))</f>
        <v>1% 이하</v>
      </c>
      <c r="O72" s="119">
        <f>IFERROR(ROUND(INDEX(환산공식!$EF$16:$EF$301,MATCH(E72,환산공식!$A$16:$A$301,0)),3),"")</f>
        <v>0</v>
      </c>
      <c r="P72" s="119">
        <f>IFERROR(ROUND(INDEX('배치점수 계산기'!M$11:M$1000,MATCH($C72,'배치점수 계산기'!$U$11:$U$1000,0)),2),"")</f>
        <v>893.06</v>
      </c>
      <c r="Q72" s="41">
        <f>IFERROR(ROUND(INDEX('배치점수 계산기'!N$11:N$1000,MATCH($C72,'배치점수 계산기'!$U$11:$U$1000,0)),2),"")</f>
        <v>890.1</v>
      </c>
      <c r="R72" s="41">
        <f>IFERROR(ROUND(INDEX('배치점수 계산기'!O$11:O$1000,MATCH($C72,'배치점수 계산기'!$U$11:$U$1000,0)),2),"")</f>
        <v>888.1</v>
      </c>
      <c r="S72" s="41">
        <f>IFERROR(ROUND(INDEX('배치점수 계산기'!P$11:P$1000,MATCH($C72,'배치점수 계산기'!$U$11:$U$1000,0)),2),"")</f>
        <v>886.41</v>
      </c>
      <c r="T72" s="41">
        <f>IFERROR(ROUND(INDEX('배치점수 계산기'!Q$11:Q$1000,MATCH($C72,'배치점수 계산기'!$U$11:$U$1000,0)),2),"")</f>
        <v>884.04</v>
      </c>
      <c r="U72" s="41">
        <f>IFERROR(INDEX(환산공식!$DC$16:$DC$301,MATCH(E72,환산공식!$A$16:$A$301,0)),"")</f>
        <v>0</v>
      </c>
      <c r="V72" s="113">
        <f t="shared" ref="V72:V135" si="5">IFERROR(IF(T72="","",IF(O72&gt;P72,1,IF(O72&gt;Q72,2,IF(O72&gt;R72,3,IF(O72&gt;S72,4,IF(O72&gt;=T72,5,IF(O72&lt;T72,6))))))),"")</f>
        <v>6</v>
      </c>
      <c r="W72" s="110" t="str">
        <f>INDEX('배치점수 계산기'!$AG$11:$AG$800,MATCH('       나 군       '!$C72,'배치점수 계산기'!$U$11:$U$800,0))</f>
        <v>표점/만점</v>
      </c>
      <c r="X72" s="108" t="str">
        <f>INDEX('배치점수 계산기'!$AH$11:$AH$800,MATCH('       나 군       '!$C72,'배치점수 계산기'!$U$11:$U$800,0))</f>
        <v>변표/만점</v>
      </c>
      <c r="Y72" s="113">
        <f>INDEX('배치점수 계산기'!$AB$11:$AB$800,MATCH('       나 군       '!$C72,'배치점수 계산기'!$U$11:$U$800,0))</f>
        <v>0.31822878228782286</v>
      </c>
      <c r="Z72" s="73">
        <f>INDEX('배치점수 계산기'!$AC$11:$AC$800,MATCH('       나 군       '!$C72,'배치점수 계산기'!$U$11:$U$800,0))</f>
        <v>0.32255842558425585</v>
      </c>
      <c r="AA72" s="63">
        <f>INDEX('배치점수 계산기'!$AD$11:$AD$800,MATCH('       나 군       '!$C72,'배치점수 계산기'!$U$11:$U$800,0))</f>
        <v>0.35921279212792129</v>
      </c>
      <c r="AE72" s="7">
        <v>65</v>
      </c>
    </row>
    <row r="73" spans="3:31" x14ac:dyDescent="0.3">
      <c r="C73" s="7" t="s">
        <v>1299</v>
      </c>
      <c r="D73" s="41" t="s">
        <v>1039</v>
      </c>
      <c r="E73" s="41">
        <v>28</v>
      </c>
      <c r="F73" s="113" t="s">
        <v>346</v>
      </c>
      <c r="G73" s="41" t="s">
        <v>359</v>
      </c>
      <c r="H73" s="41" t="s">
        <v>367</v>
      </c>
      <c r="I73" s="41" t="s">
        <v>275</v>
      </c>
      <c r="J73" s="41" t="str">
        <f t="shared" si="3"/>
        <v>X</v>
      </c>
      <c r="K73" s="113">
        <f>IFERROR(INDEX(환산공식!CI$16:CI$301,MATCH($E73,환산공식!$A$16:$A$301,0)),"")</f>
        <v>100</v>
      </c>
      <c r="L73" s="41" t="str">
        <f>IFERROR(CONCATENATE(ROUND(INDEX(환산공식!CJ$16:CJ$301,MATCH(E73,환산공식!$A$16:$A$301,0)),1),"%"),"")</f>
        <v>100%</v>
      </c>
      <c r="M73" s="41">
        <f>IFERROR(INDEX(환산공식!CK$16:CK$301,MATCH(E73,환산공식!$A$16:$A$301,0)),"")</f>
        <v>0</v>
      </c>
      <c r="N73" s="113" t="str">
        <f t="shared" si="4"/>
        <v>1% 이하</v>
      </c>
      <c r="O73" s="119">
        <f>IFERROR(ROUND(INDEX(환산공식!$EF$16:$EF$301,MATCH(E73,환산공식!$A$16:$A$301,0)),3),"")</f>
        <v>0</v>
      </c>
      <c r="P73" s="119">
        <f>IFERROR(ROUND(INDEX('배치점수 계산기'!M$11:M$1000,MATCH($C73,'배치점수 계산기'!$U$11:$U$1000,0)),2),"")</f>
        <v>888.77</v>
      </c>
      <c r="Q73" s="41">
        <f>IFERROR(ROUND(INDEX('배치점수 계산기'!N$11:N$1000,MATCH($C73,'배치점수 계산기'!$U$11:$U$1000,0)),2),"")</f>
        <v>887.04</v>
      </c>
      <c r="R73" s="41">
        <f>IFERROR(ROUND(INDEX('배치점수 계산기'!O$11:O$1000,MATCH($C73,'배치점수 계산기'!$U$11:$U$1000,0)),2),"")</f>
        <v>885.28</v>
      </c>
      <c r="S73" s="41">
        <f>IFERROR(ROUND(INDEX('배치점수 계산기'!P$11:P$1000,MATCH($C73,'배치점수 계산기'!$U$11:$U$1000,0)),2),"")</f>
        <v>883.64</v>
      </c>
      <c r="T73" s="41">
        <f>IFERROR(ROUND(INDEX('배치점수 계산기'!Q$11:Q$1000,MATCH($C73,'배치점수 계산기'!$U$11:$U$1000,0)),2),"")</f>
        <v>882.85</v>
      </c>
      <c r="U73" s="41">
        <f>IFERROR(INDEX(환산공식!$DC$16:$DC$301,MATCH(E73,환산공식!$A$16:$A$301,0)),"")</f>
        <v>0</v>
      </c>
      <c r="V73" s="113">
        <f t="shared" si="5"/>
        <v>6</v>
      </c>
      <c r="W73" s="110" t="str">
        <f>INDEX('배치점수 계산기'!$AG$11:$AG$800,MATCH('       나 군       '!$C73,'배치점수 계산기'!$U$11:$U$800,0))</f>
        <v>표점/만점</v>
      </c>
      <c r="X73" s="108" t="str">
        <f>INDEX('배치점수 계산기'!$AH$11:$AH$800,MATCH('       나 군       '!$C73,'배치점수 계산기'!$U$11:$U$800,0))</f>
        <v>변표/만점</v>
      </c>
      <c r="Y73" s="113">
        <f>INDEX('배치점수 계산기'!$AB$11:$AB$800,MATCH('       나 군       '!$C73,'배치점수 계산기'!$U$11:$U$800,0))</f>
        <v>0.31822878228782286</v>
      </c>
      <c r="Z73" s="73">
        <f>INDEX('배치점수 계산기'!$AC$11:$AC$800,MATCH('       나 군       '!$C73,'배치점수 계산기'!$U$11:$U$800,0))</f>
        <v>0.32255842558425585</v>
      </c>
      <c r="AA73" s="63">
        <f>INDEX('배치점수 계산기'!$AD$11:$AD$800,MATCH('       나 군       '!$C73,'배치점수 계산기'!$U$11:$U$800,0))</f>
        <v>0.35921279212792129</v>
      </c>
      <c r="AE73" s="7">
        <v>66</v>
      </c>
    </row>
    <row r="74" spans="3:31" x14ac:dyDescent="0.3">
      <c r="C74" s="7" t="s">
        <v>1300</v>
      </c>
      <c r="D74" s="41" t="s">
        <v>1025</v>
      </c>
      <c r="E74" s="41">
        <v>27</v>
      </c>
      <c r="F74" s="113" t="s">
        <v>346</v>
      </c>
      <c r="G74" s="41" t="s">
        <v>359</v>
      </c>
      <c r="H74" s="41" t="s">
        <v>292</v>
      </c>
      <c r="I74" s="41" t="s">
        <v>274</v>
      </c>
      <c r="J74" s="41" t="str">
        <f t="shared" si="3"/>
        <v>X</v>
      </c>
      <c r="K74" s="113">
        <f>IFERROR(INDEX(환산공식!CI$16:CI$301,MATCH($E74,환산공식!$A$16:$A$301,0)),"")</f>
        <v>100</v>
      </c>
      <c r="L74" s="41" t="str">
        <f>IFERROR(CONCATENATE(ROUND(INDEX(환산공식!CJ$16:CJ$301,MATCH(E74,환산공식!$A$16:$A$301,0)),1),"%"),"")</f>
        <v>100%</v>
      </c>
      <c r="M74" s="41">
        <f>IFERROR(INDEX(환산공식!CK$16:CK$301,MATCH(E74,환산공식!$A$16:$A$301,0)),"")</f>
        <v>0</v>
      </c>
      <c r="N74" s="113" t="str">
        <f t="shared" si="4"/>
        <v>1% 이하</v>
      </c>
      <c r="O74" s="119">
        <f>IFERROR(ROUND(INDEX(환산공식!$EF$16:$EF$301,MATCH(E74,환산공식!$A$16:$A$301,0)),3),"")</f>
        <v>0</v>
      </c>
      <c r="P74" s="119">
        <f>IFERROR(ROUND(INDEX('배치점수 계산기'!M$11:M$1000,MATCH($C74,'배치점수 계산기'!$U$11:$U$1000,0)),2),"")</f>
        <v>898.74</v>
      </c>
      <c r="Q74" s="41">
        <f>IFERROR(ROUND(INDEX('배치점수 계산기'!N$11:N$1000,MATCH($C74,'배치점수 계산기'!$U$11:$U$1000,0)),2),"")</f>
        <v>896.95</v>
      </c>
      <c r="R74" s="41">
        <f>IFERROR(ROUND(INDEX('배치점수 계산기'!O$11:O$1000,MATCH($C74,'배치점수 계산기'!$U$11:$U$1000,0)),2),"")</f>
        <v>894.94</v>
      </c>
      <c r="S74" s="41">
        <f>IFERROR(ROUND(INDEX('배치점수 계산기'!P$11:P$1000,MATCH($C74,'배치점수 계산기'!$U$11:$U$1000,0)),2),"")</f>
        <v>891.28</v>
      </c>
      <c r="T74" s="41">
        <f>IFERROR(ROUND(INDEX('배치점수 계산기'!Q$11:Q$1000,MATCH($C74,'배치점수 계산기'!$U$11:$U$1000,0)),2),"")</f>
        <v>889</v>
      </c>
      <c r="U74" s="41">
        <f>IFERROR(INDEX(환산공식!$DC$16:$DC$301,MATCH(E74,환산공식!$A$16:$A$301,0)),"")</f>
        <v>0</v>
      </c>
      <c r="V74" s="113">
        <f t="shared" si="5"/>
        <v>6</v>
      </c>
      <c r="W74" s="110" t="str">
        <f>INDEX('배치점수 계산기'!$AG$11:$AG$800,MATCH('       나 군       '!$C74,'배치점수 계산기'!$U$11:$U$800,0))</f>
        <v>표점/만점</v>
      </c>
      <c r="X74" s="108" t="str">
        <f>INDEX('배치점수 계산기'!$AH$11:$AH$800,MATCH('       나 군       '!$C74,'배치점수 계산기'!$U$11:$U$800,0))</f>
        <v>변표/만점</v>
      </c>
      <c r="Y74" s="113">
        <f>INDEX('배치점수 계산기'!$AB$11:$AB$800,MATCH('       나 군       '!$C74,'배치점수 계산기'!$U$11:$U$800,0))</f>
        <v>0.21707413571547685</v>
      </c>
      <c r="Z74" s="73">
        <f>INDEX('배치점수 계산기'!$AC$11:$AC$800,MATCH('       나 군       '!$C74,'배치점수 계산기'!$U$11:$U$800,0))</f>
        <v>0.38504816930483388</v>
      </c>
      <c r="AA74" s="63">
        <f>INDEX('배치점수 계산기'!$AD$11:$AD$800,MATCH('       나 군       '!$C74,'배치점수 계산기'!$U$11:$U$800,0))</f>
        <v>0.39787769497968917</v>
      </c>
      <c r="AE74" s="7">
        <v>67</v>
      </c>
    </row>
    <row r="75" spans="3:31" x14ac:dyDescent="0.3">
      <c r="C75" s="7" t="s">
        <v>1301</v>
      </c>
      <c r="D75" s="41" t="s">
        <v>1025</v>
      </c>
      <c r="E75" s="41">
        <v>27</v>
      </c>
      <c r="F75" s="113" t="s">
        <v>346</v>
      </c>
      <c r="G75" s="41" t="s">
        <v>359</v>
      </c>
      <c r="H75" s="41" t="s">
        <v>368</v>
      </c>
      <c r="I75" s="41" t="s">
        <v>274</v>
      </c>
      <c r="J75" s="41" t="str">
        <f t="shared" si="3"/>
        <v>X</v>
      </c>
      <c r="K75" s="113">
        <f>IFERROR(INDEX(환산공식!CI$16:CI$301,MATCH($E75,환산공식!$A$16:$A$301,0)),"")</f>
        <v>100</v>
      </c>
      <c r="L75" s="41" t="str">
        <f>IFERROR(CONCATENATE(ROUND(INDEX(환산공식!CJ$16:CJ$301,MATCH(E75,환산공식!$A$16:$A$301,0)),1),"%"),"")</f>
        <v>100%</v>
      </c>
      <c r="M75" s="41">
        <f>IFERROR(INDEX(환산공식!CK$16:CK$301,MATCH(E75,환산공식!$A$16:$A$301,0)),"")</f>
        <v>0</v>
      </c>
      <c r="N75" s="113" t="str">
        <f t="shared" si="4"/>
        <v>1% 이하</v>
      </c>
      <c r="O75" s="119">
        <f>IFERROR(ROUND(INDEX(환산공식!$EF$16:$EF$301,MATCH(E75,환산공식!$A$16:$A$301,0)),3),"")</f>
        <v>0</v>
      </c>
      <c r="P75" s="119">
        <f>IFERROR(ROUND(INDEX('배치점수 계산기'!M$11:M$1000,MATCH($C75,'배치점수 계산기'!$U$11:$U$1000,0)),2),"")</f>
        <v>896.13</v>
      </c>
      <c r="Q75" s="41">
        <f>IFERROR(ROUND(INDEX('배치점수 계산기'!N$11:N$1000,MATCH($C75,'배치점수 계산기'!$U$11:$U$1000,0)),2),"")</f>
        <v>894.34</v>
      </c>
      <c r="R75" s="41">
        <f>IFERROR(ROUND(INDEX('배치점수 계산기'!O$11:O$1000,MATCH($C75,'배치점수 계산기'!$U$11:$U$1000,0)),2),"")</f>
        <v>891.86</v>
      </c>
      <c r="S75" s="41">
        <f>IFERROR(ROUND(INDEX('배치점수 계산기'!P$11:P$1000,MATCH($C75,'배치점수 계산기'!$U$11:$U$1000,0)),2),"")</f>
        <v>889.84</v>
      </c>
      <c r="T75" s="41">
        <f>IFERROR(ROUND(INDEX('배치점수 계산기'!Q$11:Q$1000,MATCH($C75,'배치점수 계산기'!$U$11:$U$1000,0)),2),"")</f>
        <v>887.36</v>
      </c>
      <c r="U75" s="41">
        <f>IFERROR(INDEX(환산공식!$DC$16:$DC$301,MATCH(E75,환산공식!$A$16:$A$301,0)),"")</f>
        <v>0</v>
      </c>
      <c r="V75" s="113">
        <f t="shared" si="5"/>
        <v>6</v>
      </c>
      <c r="W75" s="110" t="str">
        <f>INDEX('배치점수 계산기'!$AG$11:$AG$800,MATCH('       나 군       '!$C75,'배치점수 계산기'!$U$11:$U$800,0))</f>
        <v>표점/만점</v>
      </c>
      <c r="X75" s="108" t="str">
        <f>INDEX('배치점수 계산기'!$AH$11:$AH$800,MATCH('       나 군       '!$C75,'배치점수 계산기'!$U$11:$U$800,0))</f>
        <v>변표/만점</v>
      </c>
      <c r="Y75" s="113">
        <f>INDEX('배치점수 계산기'!$AB$11:$AB$800,MATCH('       나 군       '!$C75,'배치점수 계산기'!$U$11:$U$800,0))</f>
        <v>0.21707413571547685</v>
      </c>
      <c r="Z75" s="73">
        <f>INDEX('배치점수 계산기'!$AC$11:$AC$800,MATCH('       나 군       '!$C75,'배치점수 계산기'!$U$11:$U$800,0))</f>
        <v>0.38504816930483388</v>
      </c>
      <c r="AA75" s="63">
        <f>INDEX('배치점수 계산기'!$AD$11:$AD$800,MATCH('       나 군       '!$C75,'배치점수 계산기'!$U$11:$U$800,0))</f>
        <v>0.39787769497968917</v>
      </c>
      <c r="AE75" s="7">
        <v>68</v>
      </c>
    </row>
    <row r="76" spans="3:31" x14ac:dyDescent="0.3">
      <c r="C76" s="7" t="s">
        <v>1302</v>
      </c>
      <c r="D76" s="41" t="s">
        <v>1039</v>
      </c>
      <c r="E76" s="41">
        <v>28</v>
      </c>
      <c r="F76" s="113" t="s">
        <v>346</v>
      </c>
      <c r="G76" s="41" t="s">
        <v>359</v>
      </c>
      <c r="H76" s="41" t="s">
        <v>301</v>
      </c>
      <c r="I76" s="41" t="s">
        <v>275</v>
      </c>
      <c r="J76" s="41" t="str">
        <f t="shared" si="3"/>
        <v>X</v>
      </c>
      <c r="K76" s="113">
        <f>IFERROR(INDEX(환산공식!CI$16:CI$301,MATCH($E76,환산공식!$A$16:$A$301,0)),"")</f>
        <v>100</v>
      </c>
      <c r="L76" s="41" t="str">
        <f>IFERROR(CONCATENATE(ROUND(INDEX(환산공식!CJ$16:CJ$301,MATCH(E76,환산공식!$A$16:$A$301,0)),1),"%"),"")</f>
        <v>100%</v>
      </c>
      <c r="M76" s="41">
        <f>IFERROR(INDEX(환산공식!CK$16:CK$301,MATCH(E76,환산공식!$A$16:$A$301,0)),"")</f>
        <v>0</v>
      </c>
      <c r="N76" s="113" t="str">
        <f t="shared" si="4"/>
        <v>1% 이하</v>
      </c>
      <c r="O76" s="119">
        <f>IFERROR(ROUND(INDEX(환산공식!$EF$16:$EF$301,MATCH(E76,환산공식!$A$16:$A$301,0)),3),"")</f>
        <v>0</v>
      </c>
      <c r="P76" s="119">
        <f>IFERROR(ROUND(INDEX('배치점수 계산기'!M$11:M$1000,MATCH($C76,'배치점수 계산기'!$U$11:$U$1000,0)),2),"")</f>
        <v>897.99</v>
      </c>
      <c r="Q76" s="41">
        <f>IFERROR(ROUND(INDEX('배치점수 계산기'!N$11:N$1000,MATCH($C76,'배치점수 계산기'!$U$11:$U$1000,0)),2),"")</f>
        <v>894.82</v>
      </c>
      <c r="R76" s="41">
        <f>IFERROR(ROUND(INDEX('배치점수 계산기'!O$11:O$1000,MATCH($C76,'배치점수 계산기'!$U$11:$U$1000,0)),2),"")</f>
        <v>891.73</v>
      </c>
      <c r="S76" s="41">
        <f>IFERROR(ROUND(INDEX('배치점수 계산기'!P$11:P$1000,MATCH($C76,'배치점수 계산기'!$U$11:$U$1000,0)),2),"")</f>
        <v>886.41</v>
      </c>
      <c r="T76" s="41">
        <f>IFERROR(ROUND(INDEX('배치점수 계산기'!Q$11:Q$1000,MATCH($C76,'배치점수 계산기'!$U$11:$U$1000,0)),2),"")</f>
        <v>884.04</v>
      </c>
      <c r="U76" s="41">
        <f>IFERROR(INDEX(환산공식!$DC$16:$DC$301,MATCH(E76,환산공식!$A$16:$A$301,0)),"")</f>
        <v>0</v>
      </c>
      <c r="V76" s="113">
        <f t="shared" si="5"/>
        <v>6</v>
      </c>
      <c r="W76" s="110" t="str">
        <f>INDEX('배치점수 계산기'!$AG$11:$AG$800,MATCH('       나 군       '!$C76,'배치점수 계산기'!$U$11:$U$800,0))</f>
        <v>표점/만점</v>
      </c>
      <c r="X76" s="108" t="str">
        <f>INDEX('배치점수 계산기'!$AH$11:$AH$800,MATCH('       나 군       '!$C76,'배치점수 계산기'!$U$11:$U$800,0))</f>
        <v>변표/만점</v>
      </c>
      <c r="Y76" s="113">
        <f>INDEX('배치점수 계산기'!$AB$11:$AB$800,MATCH('       나 군       '!$C76,'배치점수 계산기'!$U$11:$U$800,0))</f>
        <v>0.31822878228782286</v>
      </c>
      <c r="Z76" s="73">
        <f>INDEX('배치점수 계산기'!$AC$11:$AC$800,MATCH('       나 군       '!$C76,'배치점수 계산기'!$U$11:$U$800,0))</f>
        <v>0.32255842558425585</v>
      </c>
      <c r="AA76" s="63">
        <f>INDEX('배치점수 계산기'!$AD$11:$AD$800,MATCH('       나 군       '!$C76,'배치점수 계산기'!$U$11:$U$800,0))</f>
        <v>0.35921279212792129</v>
      </c>
      <c r="AE76" s="7">
        <v>69</v>
      </c>
    </row>
    <row r="77" spans="3:31" x14ac:dyDescent="0.3">
      <c r="C77" s="7" t="s">
        <v>1303</v>
      </c>
      <c r="D77" s="41" t="s">
        <v>1051</v>
      </c>
      <c r="E77" s="41">
        <v>2802</v>
      </c>
      <c r="F77" s="113" t="s">
        <v>346</v>
      </c>
      <c r="G77" s="41" t="s">
        <v>359</v>
      </c>
      <c r="H77" s="41" t="s">
        <v>371</v>
      </c>
      <c r="I77" s="41" t="s">
        <v>275</v>
      </c>
      <c r="J77" s="41" t="str">
        <f t="shared" si="3"/>
        <v>X</v>
      </c>
      <c r="K77" s="113">
        <f>IFERROR(INDEX(환산공식!CI$16:CI$301,MATCH($E77,환산공식!$A$16:$A$301,0)),"")</f>
        <v>100</v>
      </c>
      <c r="L77" s="41" t="str">
        <f>IFERROR(CONCATENATE(ROUND(INDEX(환산공식!CJ$16:CJ$301,MATCH(E77,환산공식!$A$16:$A$301,0)),1),"%"),"")</f>
        <v>100%</v>
      </c>
      <c r="M77" s="41">
        <f>IFERROR(INDEX(환산공식!CK$16:CK$301,MATCH(E77,환산공식!$A$16:$A$301,0)),"")</f>
        <v>0</v>
      </c>
      <c r="N77" s="113" t="str">
        <f t="shared" si="4"/>
        <v>1% 이하</v>
      </c>
      <c r="O77" s="119">
        <f>IFERROR(ROUND(INDEX(환산공식!$EF$16:$EF$301,MATCH(E77,환산공식!$A$16:$A$301,0)),3),"")</f>
        <v>0</v>
      </c>
      <c r="P77" s="119">
        <f>IFERROR(ROUND(INDEX('배치점수 계산기'!M$11:M$1000,MATCH($C77,'배치점수 계산기'!$U$11:$U$1000,0)),2),"")</f>
        <v>891.56</v>
      </c>
      <c r="Q77" s="41">
        <f>IFERROR(ROUND(INDEX('배치점수 계산기'!N$11:N$1000,MATCH($C77,'배치점수 계산기'!$U$11:$U$1000,0)),2),"")</f>
        <v>889.81</v>
      </c>
      <c r="R77" s="41">
        <f>IFERROR(ROUND(INDEX('배치점수 계산기'!O$11:O$1000,MATCH($C77,'배치점수 계산기'!$U$11:$U$1000,0)),2),"")</f>
        <v>887.33</v>
      </c>
      <c r="S77" s="41">
        <f>IFERROR(ROUND(INDEX('배치점수 계산기'!P$11:P$1000,MATCH($C77,'배치점수 계산기'!$U$11:$U$1000,0)),2),"")</f>
        <v>884.82</v>
      </c>
      <c r="T77" s="41">
        <f>IFERROR(ROUND(INDEX('배치점수 계산기'!Q$11:Q$1000,MATCH($C77,'배치점수 계산기'!$U$11:$U$1000,0)),2),"")</f>
        <v>879.61</v>
      </c>
      <c r="U77" s="41">
        <f>IFERROR(INDEX(환산공식!$DC$16:$DC$301,MATCH(E77,환산공식!$A$16:$A$301,0)),"")</f>
        <v>0</v>
      </c>
      <c r="V77" s="113">
        <f t="shared" si="5"/>
        <v>6</v>
      </c>
      <c r="W77" s="110" t="str">
        <f>INDEX('배치점수 계산기'!$AG$11:$AG$800,MATCH('       나 군       '!$C77,'배치점수 계산기'!$U$11:$U$800,0))</f>
        <v>표점/만점</v>
      </c>
      <c r="X77" s="108" t="str">
        <f>INDEX('배치점수 계산기'!$AH$11:$AH$800,MATCH('       나 군       '!$C77,'배치점수 계산기'!$U$11:$U$800,0))</f>
        <v>변표/만점</v>
      </c>
      <c r="Y77" s="113">
        <f>INDEX('배치점수 계산기'!$AB$11:$AB$800,MATCH('       나 군       '!$C77,'배치점수 계산기'!$U$11:$U$800,0))</f>
        <v>0.32216503403619462</v>
      </c>
      <c r="Z77" s="73">
        <f>INDEX('배치점수 계산기'!$AC$11:$AC$800,MATCH('       나 군       '!$C77,'배치점수 계산기'!$U$11:$U$800,0))</f>
        <v>0.4353976423709115</v>
      </c>
      <c r="AA77" s="63">
        <f>INDEX('배치점수 계산기'!$AD$11:$AD$800,MATCH('       나 군       '!$C77,'배치점수 계산기'!$U$11:$U$800,0))</f>
        <v>0.24243732359289391</v>
      </c>
      <c r="AE77" s="7">
        <v>70</v>
      </c>
    </row>
    <row r="78" spans="3:31" x14ac:dyDescent="0.3">
      <c r="C78" s="7" t="s">
        <v>1304</v>
      </c>
      <c r="D78" s="41" t="s">
        <v>1039</v>
      </c>
      <c r="E78" s="41">
        <v>28</v>
      </c>
      <c r="F78" s="113" t="s">
        <v>346</v>
      </c>
      <c r="G78" s="41" t="s">
        <v>359</v>
      </c>
      <c r="H78" s="41" t="s">
        <v>375</v>
      </c>
      <c r="I78" s="41" t="s">
        <v>275</v>
      </c>
      <c r="J78" s="41" t="str">
        <f t="shared" si="3"/>
        <v>X</v>
      </c>
      <c r="K78" s="113">
        <f>IFERROR(INDEX(환산공식!CI$16:CI$301,MATCH($E78,환산공식!$A$16:$A$301,0)),"")</f>
        <v>100</v>
      </c>
      <c r="L78" s="41" t="str">
        <f>IFERROR(CONCATENATE(ROUND(INDEX(환산공식!CJ$16:CJ$301,MATCH(E78,환산공식!$A$16:$A$301,0)),1),"%"),"")</f>
        <v>100%</v>
      </c>
      <c r="M78" s="41">
        <f>IFERROR(INDEX(환산공식!CK$16:CK$301,MATCH(E78,환산공식!$A$16:$A$301,0)),"")</f>
        <v>0</v>
      </c>
      <c r="N78" s="113" t="str">
        <f t="shared" si="4"/>
        <v>1% 이하</v>
      </c>
      <c r="O78" s="119">
        <f>IFERROR(ROUND(INDEX(환산공식!$EF$16:$EF$301,MATCH(E78,환산공식!$A$16:$A$301,0)),3),"")</f>
        <v>0</v>
      </c>
      <c r="P78" s="119">
        <f>IFERROR(ROUND(INDEX('배치점수 계산기'!M$11:M$1000,MATCH($C78,'배치점수 계산기'!$U$11:$U$1000,0)),2),"")</f>
        <v>903.91</v>
      </c>
      <c r="Q78" s="41">
        <f>IFERROR(ROUND(INDEX('배치점수 계산기'!N$11:N$1000,MATCH($C78,'배치점수 계산기'!$U$11:$U$1000,0)),2),"")</f>
        <v>902.18</v>
      </c>
      <c r="R78" s="41">
        <f>IFERROR(ROUND(INDEX('배치점수 계산기'!O$11:O$1000,MATCH($C78,'배치점수 계산기'!$U$11:$U$1000,0)),2),"")</f>
        <v>899.62</v>
      </c>
      <c r="S78" s="41">
        <f>IFERROR(ROUND(INDEX('배치점수 계산기'!P$11:P$1000,MATCH($C78,'배치점수 계산기'!$U$11:$U$1000,0)),2),"")</f>
        <v>896.86</v>
      </c>
      <c r="T78" s="41">
        <f>IFERROR(ROUND(INDEX('배치점수 계산기'!Q$11:Q$1000,MATCH($C78,'배치점수 계산기'!$U$11:$U$1000,0)),2),"")</f>
        <v>895.22</v>
      </c>
      <c r="U78" s="41">
        <f>IFERROR(INDEX(환산공식!$DC$16:$DC$301,MATCH(E78,환산공식!$A$16:$A$301,0)),"")</f>
        <v>0</v>
      </c>
      <c r="V78" s="113">
        <f t="shared" si="5"/>
        <v>6</v>
      </c>
      <c r="W78" s="110" t="str">
        <f>INDEX('배치점수 계산기'!$AG$11:$AG$800,MATCH('       나 군       '!$C78,'배치점수 계산기'!$U$11:$U$800,0))</f>
        <v>표점/만점</v>
      </c>
      <c r="X78" s="108" t="str">
        <f>INDEX('배치점수 계산기'!$AH$11:$AH$800,MATCH('       나 군       '!$C78,'배치점수 계산기'!$U$11:$U$800,0))</f>
        <v>변표/만점</v>
      </c>
      <c r="Y78" s="113">
        <f>INDEX('배치점수 계산기'!$AB$11:$AB$800,MATCH('       나 군       '!$C78,'배치점수 계산기'!$U$11:$U$800,0))</f>
        <v>0.31822878228782286</v>
      </c>
      <c r="Z78" s="73">
        <f>INDEX('배치점수 계산기'!$AC$11:$AC$800,MATCH('       나 군       '!$C78,'배치점수 계산기'!$U$11:$U$800,0))</f>
        <v>0.32255842558425585</v>
      </c>
      <c r="AA78" s="63">
        <f>INDEX('배치점수 계산기'!$AD$11:$AD$800,MATCH('       나 군       '!$C78,'배치점수 계산기'!$U$11:$U$800,0))</f>
        <v>0.35921279212792129</v>
      </c>
      <c r="AE78" s="7">
        <v>71</v>
      </c>
    </row>
    <row r="79" spans="3:31" x14ac:dyDescent="0.3">
      <c r="C79" s="7" t="s">
        <v>1305</v>
      </c>
      <c r="D79" s="41" t="s">
        <v>1061</v>
      </c>
      <c r="E79" s="41">
        <v>30</v>
      </c>
      <c r="F79" s="113" t="s">
        <v>346</v>
      </c>
      <c r="G79" s="41" t="s">
        <v>747</v>
      </c>
      <c r="H79" s="41" t="s">
        <v>343</v>
      </c>
      <c r="I79" s="41" t="s">
        <v>275</v>
      </c>
      <c r="J79" s="41" t="str">
        <f t="shared" si="3"/>
        <v>X</v>
      </c>
      <c r="K79" s="113">
        <f>IFERROR(INDEX(환산공식!CI$16:CI$301,MATCH($E79,환산공식!$A$16:$A$301,0)),"")</f>
        <v>100</v>
      </c>
      <c r="L79" s="41" t="str">
        <f>IFERROR(CONCATENATE(ROUND(INDEX(환산공식!CJ$16:CJ$301,MATCH(E79,환산공식!$A$16:$A$301,0)),1),"%"),"")</f>
        <v>100%</v>
      </c>
      <c r="M79" s="41">
        <f>IFERROR(INDEX(환산공식!CK$16:CK$301,MATCH(E79,환산공식!$A$16:$A$301,0)),"")</f>
        <v>10</v>
      </c>
      <c r="N79" s="113" t="str">
        <f t="shared" si="4"/>
        <v>1% 이하</v>
      </c>
      <c r="O79" s="119">
        <f>IFERROR(ROUND(INDEX(환산공식!$EF$16:$EF$301,MATCH(E79,환산공식!$A$16:$A$301,0)),3),"")</f>
        <v>0</v>
      </c>
      <c r="P79" s="119">
        <f>IFERROR(ROUND(INDEX('배치점수 계산기'!M$11:M$1000,MATCH($C79,'배치점수 계산기'!$U$11:$U$1000,0)),2),"")</f>
        <v>738.53</v>
      </c>
      <c r="Q79" s="41">
        <f>IFERROR(ROUND(INDEX('배치점수 계산기'!N$11:N$1000,MATCH($C79,'배치점수 계산기'!$U$11:$U$1000,0)),2),"")</f>
        <v>734.74</v>
      </c>
      <c r="R79" s="41">
        <f>IFERROR(ROUND(INDEX('배치점수 계산기'!O$11:O$1000,MATCH($C79,'배치점수 계산기'!$U$11:$U$1000,0)),2),"")</f>
        <v>730.48</v>
      </c>
      <c r="S79" s="41">
        <f>IFERROR(ROUND(INDEX('배치점수 계산기'!P$11:P$1000,MATCH($C79,'배치점수 계산기'!$U$11:$U$1000,0)),2),"")</f>
        <v>728.53</v>
      </c>
      <c r="T79" s="41">
        <f>IFERROR(ROUND(INDEX('배치점수 계산기'!Q$11:Q$1000,MATCH($C79,'배치점수 계산기'!$U$11:$U$1000,0)),2),"")</f>
        <v>727.07</v>
      </c>
      <c r="U79" s="41">
        <f>IFERROR(INDEX(환산공식!$DC$16:$DC$301,MATCH(E79,환산공식!$A$16:$A$301,0)),"")</f>
        <v>0</v>
      </c>
      <c r="V79" s="113">
        <f t="shared" si="5"/>
        <v>6</v>
      </c>
      <c r="W79" s="110" t="str">
        <f>INDEX('배치점수 계산기'!$AG$11:$AG$800,MATCH('       나 군       '!$C79,'배치점수 계산기'!$U$11:$U$800,0))</f>
        <v>표점</v>
      </c>
      <c r="X79" s="108" t="str">
        <f>INDEX('배치점수 계산기'!$AH$11:$AH$800,MATCH('       나 군       '!$C79,'배치점수 계산기'!$U$11:$U$800,0))</f>
        <v>변표</v>
      </c>
      <c r="Y79" s="113">
        <f>INDEX('배치점수 계산기'!$AB$11:$AB$800,MATCH('       나 군       '!$C79,'배치점수 계산기'!$U$11:$U$800,0))</f>
        <v>0.4</v>
      </c>
      <c r="Z79" s="73">
        <f>INDEX('배치점수 계산기'!$AC$11:$AC$800,MATCH('       나 군       '!$C79,'배치점수 계산기'!$U$11:$U$800,0))</f>
        <v>0.4</v>
      </c>
      <c r="AA79" s="63">
        <f>INDEX('배치점수 계산기'!$AD$11:$AD$800,MATCH('       나 군       '!$C79,'배치점수 계산기'!$U$11:$U$800,0))</f>
        <v>0.2</v>
      </c>
      <c r="AE79" s="7">
        <v>72</v>
      </c>
    </row>
    <row r="80" spans="3:31" x14ac:dyDescent="0.3">
      <c r="C80" s="7" t="s">
        <v>1306</v>
      </c>
      <c r="D80" s="41" t="s">
        <v>1061</v>
      </c>
      <c r="E80" s="41">
        <v>30</v>
      </c>
      <c r="F80" s="113" t="s">
        <v>346</v>
      </c>
      <c r="G80" s="41" t="s">
        <v>747</v>
      </c>
      <c r="H80" s="41" t="s">
        <v>748</v>
      </c>
      <c r="I80" s="41" t="s">
        <v>275</v>
      </c>
      <c r="J80" s="41" t="str">
        <f t="shared" si="3"/>
        <v>X</v>
      </c>
      <c r="K80" s="113">
        <f>IFERROR(INDEX(환산공식!CI$16:CI$301,MATCH($E80,환산공식!$A$16:$A$301,0)),"")</f>
        <v>100</v>
      </c>
      <c r="L80" s="41" t="str">
        <f>IFERROR(CONCATENATE(ROUND(INDEX(환산공식!CJ$16:CJ$301,MATCH(E80,환산공식!$A$16:$A$301,0)),1),"%"),"")</f>
        <v>100%</v>
      </c>
      <c r="M80" s="41">
        <f>IFERROR(INDEX(환산공식!CK$16:CK$301,MATCH(E80,환산공식!$A$16:$A$301,0)),"")</f>
        <v>10</v>
      </c>
      <c r="N80" s="113" t="str">
        <f t="shared" si="4"/>
        <v>1% 이하</v>
      </c>
      <c r="O80" s="119">
        <f>IFERROR(ROUND(INDEX(환산공식!$EF$16:$EF$301,MATCH(E80,환산공식!$A$16:$A$301,0)),3),"")</f>
        <v>0</v>
      </c>
      <c r="P80" s="119">
        <f>IFERROR(ROUND(INDEX('배치점수 계산기'!M$11:M$1000,MATCH($C80,'배치점수 계산기'!$U$11:$U$1000,0)),2),"")</f>
        <v>737.46</v>
      </c>
      <c r="Q80" s="41">
        <f>IFERROR(ROUND(INDEX('배치점수 계산기'!N$11:N$1000,MATCH($C80,'배치점수 계산기'!$U$11:$U$1000,0)),2),"")</f>
        <v>733.41</v>
      </c>
      <c r="R80" s="41">
        <f>IFERROR(ROUND(INDEX('배치점수 계산기'!O$11:O$1000,MATCH($C80,'배치점수 계산기'!$U$11:$U$1000,0)),2),"")</f>
        <v>729.88</v>
      </c>
      <c r="S80" s="41">
        <f>IFERROR(ROUND(INDEX('배치점수 계산기'!P$11:P$1000,MATCH($C80,'배치점수 계산기'!$U$11:$U$1000,0)),2),"")</f>
        <v>727.87</v>
      </c>
      <c r="T80" s="41">
        <f>IFERROR(ROUND(INDEX('배치점수 계산기'!Q$11:Q$1000,MATCH($C80,'배치점수 계산기'!$U$11:$U$1000,0)),2),"")</f>
        <v>726.05</v>
      </c>
      <c r="U80" s="41">
        <f>IFERROR(INDEX(환산공식!$DC$16:$DC$301,MATCH(E80,환산공식!$A$16:$A$301,0)),"")</f>
        <v>0</v>
      </c>
      <c r="V80" s="113">
        <f t="shared" si="5"/>
        <v>6</v>
      </c>
      <c r="W80" s="110" t="str">
        <f>INDEX('배치점수 계산기'!$AG$11:$AG$800,MATCH('       나 군       '!$C80,'배치점수 계산기'!$U$11:$U$800,0))</f>
        <v>표점</v>
      </c>
      <c r="X80" s="108" t="str">
        <f>INDEX('배치점수 계산기'!$AH$11:$AH$800,MATCH('       나 군       '!$C80,'배치점수 계산기'!$U$11:$U$800,0))</f>
        <v>변표</v>
      </c>
      <c r="Y80" s="113">
        <f>INDEX('배치점수 계산기'!$AB$11:$AB$800,MATCH('       나 군       '!$C80,'배치점수 계산기'!$U$11:$U$800,0))</f>
        <v>0.4</v>
      </c>
      <c r="Z80" s="73">
        <f>INDEX('배치점수 계산기'!$AC$11:$AC$800,MATCH('       나 군       '!$C80,'배치점수 계산기'!$U$11:$U$800,0))</f>
        <v>0.4</v>
      </c>
      <c r="AA80" s="63">
        <f>INDEX('배치점수 계산기'!$AD$11:$AD$800,MATCH('       나 군       '!$C80,'배치점수 계산기'!$U$11:$U$800,0))</f>
        <v>0.2</v>
      </c>
      <c r="AE80" s="7">
        <v>73</v>
      </c>
    </row>
    <row r="81" spans="3:31" x14ac:dyDescent="0.3">
      <c r="C81" s="7" t="s">
        <v>1307</v>
      </c>
      <c r="D81" s="41" t="s">
        <v>1061</v>
      </c>
      <c r="E81" s="41">
        <v>30</v>
      </c>
      <c r="F81" s="113" t="s">
        <v>346</v>
      </c>
      <c r="G81" s="41" t="s">
        <v>747</v>
      </c>
      <c r="H81" s="41" t="s">
        <v>377</v>
      </c>
      <c r="I81" s="41" t="s">
        <v>275</v>
      </c>
      <c r="J81" s="41" t="str">
        <f t="shared" si="3"/>
        <v>X</v>
      </c>
      <c r="K81" s="113">
        <f>IFERROR(INDEX(환산공식!CI$16:CI$301,MATCH($E81,환산공식!$A$16:$A$301,0)),"")</f>
        <v>100</v>
      </c>
      <c r="L81" s="41" t="str">
        <f>IFERROR(CONCATENATE(ROUND(INDEX(환산공식!CJ$16:CJ$301,MATCH(E81,환산공식!$A$16:$A$301,0)),1),"%"),"")</f>
        <v>100%</v>
      </c>
      <c r="M81" s="41">
        <f>IFERROR(INDEX(환산공식!CK$16:CK$301,MATCH(E81,환산공식!$A$16:$A$301,0)),"")</f>
        <v>10</v>
      </c>
      <c r="N81" s="113" t="str">
        <f t="shared" si="4"/>
        <v>1% 이하</v>
      </c>
      <c r="O81" s="119">
        <f>IFERROR(ROUND(INDEX(환산공식!$EF$16:$EF$301,MATCH(E81,환산공식!$A$16:$A$301,0)),3),"")</f>
        <v>0</v>
      </c>
      <c r="P81" s="119">
        <f>IFERROR(ROUND(INDEX('배치점수 계산기'!M$11:M$1000,MATCH($C81,'배치점수 계산기'!$U$11:$U$1000,0)),2),"")</f>
        <v>737.46</v>
      </c>
      <c r="Q81" s="41">
        <f>IFERROR(ROUND(INDEX('배치점수 계산기'!N$11:N$1000,MATCH($C81,'배치점수 계산기'!$U$11:$U$1000,0)),2),"")</f>
        <v>733.41</v>
      </c>
      <c r="R81" s="41">
        <f>IFERROR(ROUND(INDEX('배치점수 계산기'!O$11:O$1000,MATCH($C81,'배치점수 계산기'!$U$11:$U$1000,0)),2),"")</f>
        <v>729.88</v>
      </c>
      <c r="S81" s="41">
        <f>IFERROR(ROUND(INDEX('배치점수 계산기'!P$11:P$1000,MATCH($C81,'배치점수 계산기'!$U$11:$U$1000,0)),2),"")</f>
        <v>727.87</v>
      </c>
      <c r="T81" s="41">
        <f>IFERROR(ROUND(INDEX('배치점수 계산기'!Q$11:Q$1000,MATCH($C81,'배치점수 계산기'!$U$11:$U$1000,0)),2),"")</f>
        <v>726.05</v>
      </c>
      <c r="U81" s="41">
        <f>IFERROR(INDEX(환산공식!$DC$16:$DC$301,MATCH(E81,환산공식!$A$16:$A$301,0)),"")</f>
        <v>0</v>
      </c>
      <c r="V81" s="113">
        <f t="shared" si="5"/>
        <v>6</v>
      </c>
      <c r="W81" s="110" t="str">
        <f>INDEX('배치점수 계산기'!$AG$11:$AG$800,MATCH('       나 군       '!$C81,'배치점수 계산기'!$U$11:$U$800,0))</f>
        <v>표점</v>
      </c>
      <c r="X81" s="108" t="str">
        <f>INDEX('배치점수 계산기'!$AH$11:$AH$800,MATCH('       나 군       '!$C81,'배치점수 계산기'!$U$11:$U$800,0))</f>
        <v>변표</v>
      </c>
      <c r="Y81" s="113">
        <f>INDEX('배치점수 계산기'!$AB$11:$AB$800,MATCH('       나 군       '!$C81,'배치점수 계산기'!$U$11:$U$800,0))</f>
        <v>0.4</v>
      </c>
      <c r="Z81" s="73">
        <f>INDEX('배치점수 계산기'!$AC$11:$AC$800,MATCH('       나 군       '!$C81,'배치점수 계산기'!$U$11:$U$800,0))</f>
        <v>0.4</v>
      </c>
      <c r="AA81" s="63">
        <f>INDEX('배치점수 계산기'!$AD$11:$AD$800,MATCH('       나 군       '!$C81,'배치점수 계산기'!$U$11:$U$800,0))</f>
        <v>0.2</v>
      </c>
      <c r="AE81" s="7">
        <v>74</v>
      </c>
    </row>
    <row r="82" spans="3:31" x14ac:dyDescent="0.3">
      <c r="C82" s="7" t="s">
        <v>1308</v>
      </c>
      <c r="D82" s="41" t="s">
        <v>1064</v>
      </c>
      <c r="E82" s="41">
        <v>29</v>
      </c>
      <c r="F82" s="113" t="s">
        <v>346</v>
      </c>
      <c r="G82" s="41" t="s">
        <v>747</v>
      </c>
      <c r="H82" s="41" t="s">
        <v>352</v>
      </c>
      <c r="I82" s="41" t="s">
        <v>274</v>
      </c>
      <c r="J82" s="41" t="str">
        <f t="shared" si="3"/>
        <v>X</v>
      </c>
      <c r="K82" s="113">
        <f>IFERROR(INDEX(환산공식!CI$16:CI$301,MATCH($E82,환산공식!$A$16:$A$301,0)),"")</f>
        <v>100</v>
      </c>
      <c r="L82" s="41" t="str">
        <f>IFERROR(CONCATENATE(ROUND(INDEX(환산공식!CJ$16:CJ$301,MATCH(E82,환산공식!$A$16:$A$301,0)),1),"%"),"")</f>
        <v>100%</v>
      </c>
      <c r="M82" s="41">
        <f>IFERROR(INDEX(환산공식!CK$16:CK$301,MATCH(E82,환산공식!$A$16:$A$301,0)),"")</f>
        <v>10</v>
      </c>
      <c r="N82" s="113" t="str">
        <f t="shared" si="4"/>
        <v>1% 이하</v>
      </c>
      <c r="O82" s="119">
        <f>IFERROR(ROUND(INDEX(환산공식!$EF$16:$EF$301,MATCH(E82,환산공식!$A$16:$A$301,0)),3),"")</f>
        <v>0</v>
      </c>
      <c r="P82" s="119">
        <f>IFERROR(ROUND(INDEX('배치점수 계산기'!M$11:M$1000,MATCH($C82,'배치점수 계산기'!$U$11:$U$1000,0)),2),"")</f>
        <v>756.42</v>
      </c>
      <c r="Q82" s="41">
        <f>IFERROR(ROUND(INDEX('배치점수 계산기'!N$11:N$1000,MATCH($C82,'배치점수 계산기'!$U$11:$U$1000,0)),2),"")</f>
        <v>753.78</v>
      </c>
      <c r="R82" s="41">
        <f>IFERROR(ROUND(INDEX('배치점수 계산기'!O$11:O$1000,MATCH($C82,'배치점수 계산기'!$U$11:$U$1000,0)),2),"")</f>
        <v>751.85</v>
      </c>
      <c r="S82" s="41">
        <f>IFERROR(ROUND(INDEX('배치점수 계산기'!P$11:P$1000,MATCH($C82,'배치점수 계산기'!$U$11:$U$1000,0)),2),"")</f>
        <v>749.59</v>
      </c>
      <c r="T82" s="41">
        <f>IFERROR(ROUND(INDEX('배치점수 계산기'!Q$11:Q$1000,MATCH($C82,'배치점수 계산기'!$U$11:$U$1000,0)),2),"")</f>
        <v>745.61</v>
      </c>
      <c r="U82" s="41">
        <f>IFERROR(INDEX(환산공식!$DC$16:$DC$301,MATCH(E82,환산공식!$A$16:$A$301,0)),"")</f>
        <v>0</v>
      </c>
      <c r="V82" s="113">
        <f t="shared" si="5"/>
        <v>6</v>
      </c>
      <c r="W82" s="110" t="str">
        <f>INDEX('배치점수 계산기'!$AG$11:$AG$800,MATCH('       나 군       '!$C82,'배치점수 계산기'!$U$11:$U$800,0))</f>
        <v>표점</v>
      </c>
      <c r="X82" s="108" t="str">
        <f>INDEX('배치점수 계산기'!$AH$11:$AH$800,MATCH('       나 군       '!$C82,'배치점수 계산기'!$U$11:$U$800,0))</f>
        <v>변표</v>
      </c>
      <c r="Y82" s="113">
        <f>INDEX('배치점수 계산기'!$AB$11:$AB$800,MATCH('       나 군       '!$C82,'배치점수 계산기'!$U$11:$U$800,0))</f>
        <v>0.25</v>
      </c>
      <c r="Z82" s="73">
        <f>INDEX('배치점수 계산기'!$AC$11:$AC$800,MATCH('       나 군       '!$C82,'배치점수 계산기'!$U$11:$U$800,0))</f>
        <v>0.4</v>
      </c>
      <c r="AA82" s="63">
        <f>INDEX('배치점수 계산기'!$AD$11:$AD$800,MATCH('       나 군       '!$C82,'배치점수 계산기'!$U$11:$U$800,0))</f>
        <v>0.35</v>
      </c>
      <c r="AE82" s="7">
        <v>75</v>
      </c>
    </row>
    <row r="83" spans="3:31" x14ac:dyDescent="0.3">
      <c r="C83" s="7" t="s">
        <v>1309</v>
      </c>
      <c r="D83" s="41" t="s">
        <v>1064</v>
      </c>
      <c r="E83" s="41">
        <v>29</v>
      </c>
      <c r="F83" s="113" t="s">
        <v>346</v>
      </c>
      <c r="G83" s="41" t="s">
        <v>747</v>
      </c>
      <c r="H83" s="41" t="s">
        <v>753</v>
      </c>
      <c r="I83" s="41" t="s">
        <v>274</v>
      </c>
      <c r="J83" s="41" t="str">
        <f t="shared" si="3"/>
        <v>X</v>
      </c>
      <c r="K83" s="113">
        <f>IFERROR(INDEX(환산공식!CI$16:CI$301,MATCH($E83,환산공식!$A$16:$A$301,0)),"")</f>
        <v>100</v>
      </c>
      <c r="L83" s="41" t="str">
        <f>IFERROR(CONCATENATE(ROUND(INDEX(환산공식!CJ$16:CJ$301,MATCH(E83,환산공식!$A$16:$A$301,0)),1),"%"),"")</f>
        <v>100%</v>
      </c>
      <c r="M83" s="41">
        <f>IFERROR(INDEX(환산공식!CK$16:CK$301,MATCH(E83,환산공식!$A$16:$A$301,0)),"")</f>
        <v>10</v>
      </c>
      <c r="N83" s="113" t="str">
        <f t="shared" si="4"/>
        <v>1% 이하</v>
      </c>
      <c r="O83" s="119">
        <f>IFERROR(ROUND(INDEX(환산공식!$EF$16:$EF$301,MATCH(E83,환산공식!$A$16:$A$301,0)),3),"")</f>
        <v>0</v>
      </c>
      <c r="P83" s="119">
        <f>IFERROR(ROUND(INDEX('배치점수 계산기'!M$11:M$1000,MATCH($C83,'배치점수 계산기'!$U$11:$U$1000,0)),2),"")</f>
        <v>757.67</v>
      </c>
      <c r="Q83" s="41">
        <f>IFERROR(ROUND(INDEX('배치점수 계산기'!N$11:N$1000,MATCH($C83,'배치점수 계산기'!$U$11:$U$1000,0)),2),"")</f>
        <v>754.91</v>
      </c>
      <c r="R83" s="41">
        <f>IFERROR(ROUND(INDEX('배치점수 계산기'!O$11:O$1000,MATCH($C83,'배치점수 계산기'!$U$11:$U$1000,0)),2),"")</f>
        <v>751.85</v>
      </c>
      <c r="S83" s="41">
        <f>IFERROR(ROUND(INDEX('배치점수 계산기'!P$11:P$1000,MATCH($C83,'배치점수 계산기'!$U$11:$U$1000,0)),2),"")</f>
        <v>749.59</v>
      </c>
      <c r="T83" s="41">
        <f>IFERROR(ROUND(INDEX('배치점수 계산기'!Q$11:Q$1000,MATCH($C83,'배치점수 계산기'!$U$11:$U$1000,0)),2),"")</f>
        <v>747.61</v>
      </c>
      <c r="U83" s="41">
        <f>IFERROR(INDEX(환산공식!$DC$16:$DC$301,MATCH(E83,환산공식!$A$16:$A$301,0)),"")</f>
        <v>0</v>
      </c>
      <c r="V83" s="113">
        <f t="shared" si="5"/>
        <v>6</v>
      </c>
      <c r="W83" s="110" t="str">
        <f>INDEX('배치점수 계산기'!$AG$11:$AG$800,MATCH('       나 군       '!$C83,'배치점수 계산기'!$U$11:$U$800,0))</f>
        <v>표점</v>
      </c>
      <c r="X83" s="108" t="str">
        <f>INDEX('배치점수 계산기'!$AH$11:$AH$800,MATCH('       나 군       '!$C83,'배치점수 계산기'!$U$11:$U$800,0))</f>
        <v>변표</v>
      </c>
      <c r="Y83" s="113">
        <f>INDEX('배치점수 계산기'!$AB$11:$AB$800,MATCH('       나 군       '!$C83,'배치점수 계산기'!$U$11:$U$800,0))</f>
        <v>0.25</v>
      </c>
      <c r="Z83" s="73">
        <f>INDEX('배치점수 계산기'!$AC$11:$AC$800,MATCH('       나 군       '!$C83,'배치점수 계산기'!$U$11:$U$800,0))</f>
        <v>0.4</v>
      </c>
      <c r="AA83" s="63">
        <f>INDEX('배치점수 계산기'!$AD$11:$AD$800,MATCH('       나 군       '!$C83,'배치점수 계산기'!$U$11:$U$800,0))</f>
        <v>0.35</v>
      </c>
      <c r="AE83" s="7">
        <v>76</v>
      </c>
    </row>
    <row r="84" spans="3:31" x14ac:dyDescent="0.3">
      <c r="C84" s="7" t="s">
        <v>1310</v>
      </c>
      <c r="D84" s="41" t="s">
        <v>1311</v>
      </c>
      <c r="E84" s="41">
        <v>32</v>
      </c>
      <c r="F84" s="113" t="s">
        <v>346</v>
      </c>
      <c r="G84" s="41" t="s">
        <v>747</v>
      </c>
      <c r="H84" s="41" t="s">
        <v>755</v>
      </c>
      <c r="I84" s="41" t="s">
        <v>275</v>
      </c>
      <c r="J84" s="41" t="str">
        <f t="shared" si="3"/>
        <v>X</v>
      </c>
      <c r="K84" s="113">
        <f>IFERROR(INDEX(환산공식!CI$16:CI$301,MATCH($E84,환산공식!$A$16:$A$301,0)),"")</f>
        <v>100</v>
      </c>
      <c r="L84" s="41" t="str">
        <f>IFERROR(CONCATENATE(ROUND(INDEX(환산공식!CJ$16:CJ$301,MATCH(E84,환산공식!$A$16:$A$301,0)),1),"%"),"")</f>
        <v>100%</v>
      </c>
      <c r="M84" s="41">
        <f>IFERROR(INDEX(환산공식!CK$16:CK$301,MATCH(E84,환산공식!$A$16:$A$301,0)),"")</f>
        <v>10</v>
      </c>
      <c r="N84" s="113" t="str">
        <f t="shared" si="4"/>
        <v>1% 이하</v>
      </c>
      <c r="O84" s="119">
        <f>IFERROR(ROUND(INDEX(환산공식!$EF$16:$EF$301,MATCH(E84,환산공식!$A$16:$A$301,0)),3),"")</f>
        <v>0</v>
      </c>
      <c r="P84" s="119">
        <f>IFERROR(ROUND(INDEX('배치점수 계산기'!M$11:M$1000,MATCH($C84,'배치점수 계산기'!$U$11:$U$1000,0)),2),"")</f>
        <v>738.86</v>
      </c>
      <c r="Q84" s="41">
        <f>IFERROR(ROUND(INDEX('배치점수 계산기'!N$11:N$1000,MATCH($C84,'배치점수 계산기'!$U$11:$U$1000,0)),2),"")</f>
        <v>736.47</v>
      </c>
      <c r="R84" s="41">
        <f>IFERROR(ROUND(INDEX('배치점수 계산기'!O$11:O$1000,MATCH($C84,'배치점수 계산기'!$U$11:$U$1000,0)),2),"")</f>
        <v>734.74</v>
      </c>
      <c r="S84" s="41">
        <f>IFERROR(ROUND(INDEX('배치점수 계산기'!P$11:P$1000,MATCH($C84,'배치점수 계산기'!$U$11:$U$1000,0)),2),"")</f>
        <v>730.11</v>
      </c>
      <c r="T84" s="41">
        <f>IFERROR(ROUND(INDEX('배치점수 계산기'!Q$11:Q$1000,MATCH($C84,'배치점수 계산기'!$U$11:$U$1000,0)),2),"")</f>
        <v>727.35</v>
      </c>
      <c r="U84" s="41">
        <f>IFERROR(INDEX(환산공식!$DC$16:$DC$301,MATCH(E84,환산공식!$A$16:$A$301,0)),"")</f>
        <v>0</v>
      </c>
      <c r="V84" s="113">
        <f t="shared" si="5"/>
        <v>6</v>
      </c>
      <c r="W84" s="110" t="str">
        <f>INDEX('배치점수 계산기'!$AG$11:$AG$800,MATCH('       나 군       '!$C84,'배치점수 계산기'!$U$11:$U$800,0))</f>
        <v>표점</v>
      </c>
      <c r="X84" s="108" t="str">
        <f>INDEX('배치점수 계산기'!$AH$11:$AH$800,MATCH('       나 군       '!$C84,'배치점수 계산기'!$U$11:$U$800,0))</f>
        <v>변표</v>
      </c>
      <c r="Y84" s="113">
        <f>INDEX('배치점수 계산기'!$AB$11:$AB$800,MATCH('       나 군       '!$C84,'배치점수 계산기'!$U$11:$U$800,0))</f>
        <v>0.35</v>
      </c>
      <c r="Z84" s="73">
        <f>INDEX('배치점수 계산기'!$AC$11:$AC$800,MATCH('       나 군       '!$C84,'배치점수 계산기'!$U$11:$U$800,0))</f>
        <v>0.45</v>
      </c>
      <c r="AA84" s="63">
        <f>INDEX('배치점수 계산기'!$AD$11:$AD$800,MATCH('       나 군       '!$C84,'배치점수 계산기'!$U$11:$U$800,0))</f>
        <v>0.2</v>
      </c>
      <c r="AE84" s="7">
        <v>77</v>
      </c>
    </row>
    <row r="85" spans="3:31" x14ac:dyDescent="0.3">
      <c r="C85" s="7" t="s">
        <v>1312</v>
      </c>
      <c r="D85" s="41" t="s">
        <v>1092</v>
      </c>
      <c r="E85" s="41">
        <v>33</v>
      </c>
      <c r="F85" s="113" t="s">
        <v>346</v>
      </c>
      <c r="G85" s="41" t="s">
        <v>410</v>
      </c>
      <c r="H85" s="41" t="s">
        <v>280</v>
      </c>
      <c r="I85" s="41" t="s">
        <v>274</v>
      </c>
      <c r="J85" s="41" t="str">
        <f t="shared" si="3"/>
        <v>X</v>
      </c>
      <c r="K85" s="113">
        <f>IFERROR(INDEX(환산공식!CI$16:CI$301,MATCH($E85,환산공식!$A$16:$A$301,0)),"")</f>
        <v>120</v>
      </c>
      <c r="L85" s="41" t="str">
        <f>IFERROR(CONCATENATE(ROUND(INDEX(환산공식!CJ$16:CJ$301,MATCH(E85,환산공식!$A$16:$A$301,0)),1),"%"),"")</f>
        <v>100%</v>
      </c>
      <c r="M85" s="41">
        <f>IFERROR(INDEX(환산공식!CK$16:CK$301,MATCH(E85,환산공식!$A$16:$A$301,0)),"")</f>
        <v>40</v>
      </c>
      <c r="N85" s="113" t="str">
        <f t="shared" si="4"/>
        <v>1% 이하</v>
      </c>
      <c r="O85" s="119">
        <f>IFERROR(ROUND(INDEX(환산공식!$EF$16:$EF$301,MATCH(E85,환산공식!$A$16:$A$301,0)),3),"")</f>
        <v>0</v>
      </c>
      <c r="P85" s="119">
        <f>IFERROR(ROUND(INDEX('배치점수 계산기'!M$11:M$1000,MATCH($C85,'배치점수 계산기'!$U$11:$U$1000,0)),2),"")</f>
        <v>561.94000000000005</v>
      </c>
      <c r="Q85" s="41">
        <f>IFERROR(ROUND(INDEX('배치점수 계산기'!N$11:N$1000,MATCH($C85,'배치점수 계산기'!$U$11:$U$1000,0)),2),"")</f>
        <v>560.72</v>
      </c>
      <c r="R85" s="41">
        <f>IFERROR(ROUND(INDEX('배치점수 계산기'!O$11:O$1000,MATCH($C85,'배치점수 계산기'!$U$11:$U$1000,0)),2),"")</f>
        <v>559.52</v>
      </c>
      <c r="S85" s="41">
        <f>IFERROR(ROUND(INDEX('배치점수 계산기'!P$11:P$1000,MATCH($C85,'배치점수 계산기'!$U$11:$U$1000,0)),2),"")</f>
        <v>558.48</v>
      </c>
      <c r="T85" s="41">
        <f>IFERROR(ROUND(INDEX('배치점수 계산기'!Q$11:Q$1000,MATCH($C85,'배치점수 계산기'!$U$11:$U$1000,0)),2),"")</f>
        <v>555.04</v>
      </c>
      <c r="U85" s="41">
        <f>IFERROR(INDEX(환산공식!$DC$16:$DC$301,MATCH(E85,환산공식!$A$16:$A$301,0)),"")</f>
        <v>0</v>
      </c>
      <c r="V85" s="113">
        <f t="shared" si="5"/>
        <v>6</v>
      </c>
      <c r="W85" s="110" t="str">
        <f>INDEX('배치점수 계산기'!$AG$11:$AG$800,MATCH('       나 군       '!$C85,'배치점수 계산기'!$U$11:$U$800,0))</f>
        <v>표점</v>
      </c>
      <c r="X85" s="108" t="str">
        <f>INDEX('배치점수 계산기'!$AH$11:$AH$800,MATCH('       나 군       '!$C85,'배치점수 계산기'!$U$11:$U$800,0))</f>
        <v>변표</v>
      </c>
      <c r="Y85" s="113">
        <f>INDEX('배치점수 계산기'!$AB$11:$AB$800,MATCH('       나 군       '!$C85,'배치점수 계산기'!$U$11:$U$800,0))</f>
        <v>0.25</v>
      </c>
      <c r="Z85" s="73">
        <f>INDEX('배치점수 계산기'!$AC$11:$AC$800,MATCH('       나 군       '!$C85,'배치점수 계산기'!$U$11:$U$800,0))</f>
        <v>0.43749999999999994</v>
      </c>
      <c r="AA85" s="63">
        <f>INDEX('배치점수 계산기'!$AD$11:$AD$800,MATCH('       나 군       '!$C85,'배치점수 계산기'!$U$11:$U$800,0))</f>
        <v>0.3125</v>
      </c>
      <c r="AE85" s="7">
        <v>78</v>
      </c>
    </row>
    <row r="86" spans="3:31" x14ac:dyDescent="0.3">
      <c r="C86" s="7" t="s">
        <v>1313</v>
      </c>
      <c r="D86" s="41" t="s">
        <v>1092</v>
      </c>
      <c r="E86" s="41">
        <v>33</v>
      </c>
      <c r="F86" s="113" t="s">
        <v>346</v>
      </c>
      <c r="G86" s="41" t="s">
        <v>410</v>
      </c>
      <c r="H86" s="41" t="s">
        <v>281</v>
      </c>
      <c r="I86" s="41" t="s">
        <v>274</v>
      </c>
      <c r="J86" s="41" t="str">
        <f t="shared" si="3"/>
        <v>X</v>
      </c>
      <c r="K86" s="113">
        <f>IFERROR(INDEX(환산공식!CI$16:CI$301,MATCH($E86,환산공식!$A$16:$A$301,0)),"")</f>
        <v>120</v>
      </c>
      <c r="L86" s="41" t="str">
        <f>IFERROR(CONCATENATE(ROUND(INDEX(환산공식!CJ$16:CJ$301,MATCH(E86,환산공식!$A$16:$A$301,0)),1),"%"),"")</f>
        <v>100%</v>
      </c>
      <c r="M86" s="41">
        <f>IFERROR(INDEX(환산공식!CK$16:CK$301,MATCH(E86,환산공식!$A$16:$A$301,0)),"")</f>
        <v>40</v>
      </c>
      <c r="N86" s="113" t="str">
        <f t="shared" si="4"/>
        <v>1% 이하</v>
      </c>
      <c r="O86" s="119">
        <f>IFERROR(ROUND(INDEX(환산공식!$EF$16:$EF$301,MATCH(E86,환산공식!$A$16:$A$301,0)),3),"")</f>
        <v>0</v>
      </c>
      <c r="P86" s="119">
        <f>IFERROR(ROUND(INDEX('배치점수 계산기'!M$11:M$1000,MATCH($C86,'배치점수 계산기'!$U$11:$U$1000,0)),2),"")</f>
        <v>560.24</v>
      </c>
      <c r="Q86" s="41">
        <f>IFERROR(ROUND(INDEX('배치점수 계산기'!N$11:N$1000,MATCH($C86,'배치점수 계산기'!$U$11:$U$1000,0)),2),"")</f>
        <v>557.02</v>
      </c>
      <c r="R86" s="41">
        <f>IFERROR(ROUND(INDEX('배치점수 계산기'!O$11:O$1000,MATCH($C86,'배치점수 계산기'!$U$11:$U$1000,0)),2),"")</f>
        <v>555.52</v>
      </c>
      <c r="S86" s="41">
        <f>IFERROR(ROUND(INDEX('배치점수 계산기'!P$11:P$1000,MATCH($C86,'배치점수 계산기'!$U$11:$U$1000,0)),2),"")</f>
        <v>554.55999999999995</v>
      </c>
      <c r="T86" s="41">
        <f>IFERROR(ROUND(INDEX('배치점수 계산기'!Q$11:Q$1000,MATCH($C86,'배치점수 계산기'!$U$11:$U$1000,0)),2),"")</f>
        <v>554.03</v>
      </c>
      <c r="U86" s="41">
        <f>IFERROR(INDEX(환산공식!$DC$16:$DC$301,MATCH(E86,환산공식!$A$16:$A$301,0)),"")</f>
        <v>0</v>
      </c>
      <c r="V86" s="113">
        <f t="shared" si="5"/>
        <v>6</v>
      </c>
      <c r="W86" s="110" t="str">
        <f>INDEX('배치점수 계산기'!$AG$11:$AG$800,MATCH('       나 군       '!$C86,'배치점수 계산기'!$U$11:$U$800,0))</f>
        <v>표점</v>
      </c>
      <c r="X86" s="108" t="str">
        <f>INDEX('배치점수 계산기'!$AH$11:$AH$800,MATCH('       나 군       '!$C86,'배치점수 계산기'!$U$11:$U$800,0))</f>
        <v>변표</v>
      </c>
      <c r="Y86" s="113">
        <f>INDEX('배치점수 계산기'!$AB$11:$AB$800,MATCH('       나 군       '!$C86,'배치점수 계산기'!$U$11:$U$800,0))</f>
        <v>0.25</v>
      </c>
      <c r="Z86" s="73">
        <f>INDEX('배치점수 계산기'!$AC$11:$AC$800,MATCH('       나 군       '!$C86,'배치점수 계산기'!$U$11:$U$800,0))</f>
        <v>0.43749999999999994</v>
      </c>
      <c r="AA86" s="63">
        <f>INDEX('배치점수 계산기'!$AD$11:$AD$800,MATCH('       나 군       '!$C86,'배치점수 계산기'!$U$11:$U$800,0))</f>
        <v>0.3125</v>
      </c>
      <c r="AE86" s="7">
        <v>79</v>
      </c>
    </row>
    <row r="87" spans="3:31" x14ac:dyDescent="0.3">
      <c r="C87" s="7" t="s">
        <v>1314</v>
      </c>
      <c r="D87" s="41" t="s">
        <v>1092</v>
      </c>
      <c r="E87" s="41">
        <v>33</v>
      </c>
      <c r="F87" s="113" t="s">
        <v>346</v>
      </c>
      <c r="G87" s="41" t="s">
        <v>410</v>
      </c>
      <c r="H87" s="41" t="s">
        <v>365</v>
      </c>
      <c r="I87" s="41" t="s">
        <v>274</v>
      </c>
      <c r="J87" s="41" t="str">
        <f t="shared" si="3"/>
        <v>X</v>
      </c>
      <c r="K87" s="113">
        <f>IFERROR(INDEX(환산공식!CI$16:CI$301,MATCH($E87,환산공식!$A$16:$A$301,0)),"")</f>
        <v>120</v>
      </c>
      <c r="L87" s="41" t="str">
        <f>IFERROR(CONCATENATE(ROUND(INDEX(환산공식!CJ$16:CJ$301,MATCH(E87,환산공식!$A$16:$A$301,0)),1),"%"),"")</f>
        <v>100%</v>
      </c>
      <c r="M87" s="41">
        <f>IFERROR(INDEX(환산공식!CK$16:CK$301,MATCH(E87,환산공식!$A$16:$A$301,0)),"")</f>
        <v>40</v>
      </c>
      <c r="N87" s="113" t="str">
        <f t="shared" si="4"/>
        <v>1% 이하</v>
      </c>
      <c r="O87" s="119">
        <f>IFERROR(ROUND(INDEX(환산공식!$EF$16:$EF$301,MATCH(E87,환산공식!$A$16:$A$301,0)),3),"")</f>
        <v>0</v>
      </c>
      <c r="P87" s="119">
        <f>IFERROR(ROUND(INDEX('배치점수 계산기'!M$11:M$1000,MATCH($C87,'배치점수 계산기'!$U$11:$U$1000,0)),2),"")</f>
        <v>559.04</v>
      </c>
      <c r="Q87" s="41">
        <f>IFERROR(ROUND(INDEX('배치점수 계산기'!N$11:N$1000,MATCH($C87,'배치점수 계산기'!$U$11:$U$1000,0)),2),"")</f>
        <v>557.02</v>
      </c>
      <c r="R87" s="41">
        <f>IFERROR(ROUND(INDEX('배치점수 계산기'!O$11:O$1000,MATCH($C87,'배치점수 계산기'!$U$11:$U$1000,0)),2),"")</f>
        <v>555.52</v>
      </c>
      <c r="S87" s="41">
        <f>IFERROR(ROUND(INDEX('배치점수 계산기'!P$11:P$1000,MATCH($C87,'배치점수 계산기'!$U$11:$U$1000,0)),2),"")</f>
        <v>554.37</v>
      </c>
      <c r="T87" s="41">
        <f>IFERROR(ROUND(INDEX('배치점수 계산기'!Q$11:Q$1000,MATCH($C87,'배치점수 계산기'!$U$11:$U$1000,0)),2),"")</f>
        <v>553.5</v>
      </c>
      <c r="U87" s="41">
        <f>IFERROR(INDEX(환산공식!$DC$16:$DC$301,MATCH(E87,환산공식!$A$16:$A$301,0)),"")</f>
        <v>0</v>
      </c>
      <c r="V87" s="113">
        <f t="shared" si="5"/>
        <v>6</v>
      </c>
      <c r="W87" s="110" t="str">
        <f>INDEX('배치점수 계산기'!$AG$11:$AG$800,MATCH('       나 군       '!$C87,'배치점수 계산기'!$U$11:$U$800,0))</f>
        <v>표점</v>
      </c>
      <c r="X87" s="108" t="str">
        <f>INDEX('배치점수 계산기'!$AH$11:$AH$800,MATCH('       나 군       '!$C87,'배치점수 계산기'!$U$11:$U$800,0))</f>
        <v>변표</v>
      </c>
      <c r="Y87" s="113">
        <f>INDEX('배치점수 계산기'!$AB$11:$AB$800,MATCH('       나 군       '!$C87,'배치점수 계산기'!$U$11:$U$800,0))</f>
        <v>0.25</v>
      </c>
      <c r="Z87" s="73">
        <f>INDEX('배치점수 계산기'!$AC$11:$AC$800,MATCH('       나 군       '!$C87,'배치점수 계산기'!$U$11:$U$800,0))</f>
        <v>0.43749999999999994</v>
      </c>
      <c r="AA87" s="63">
        <f>INDEX('배치점수 계산기'!$AD$11:$AD$800,MATCH('       나 군       '!$C87,'배치점수 계산기'!$U$11:$U$800,0))</f>
        <v>0.3125</v>
      </c>
      <c r="AE87" s="7">
        <v>80</v>
      </c>
    </row>
    <row r="88" spans="3:31" x14ac:dyDescent="0.3">
      <c r="C88" s="7" t="s">
        <v>1315</v>
      </c>
      <c r="D88" s="41" t="s">
        <v>1092</v>
      </c>
      <c r="E88" s="41">
        <v>33</v>
      </c>
      <c r="F88" s="113" t="s">
        <v>346</v>
      </c>
      <c r="G88" s="41" t="s">
        <v>410</v>
      </c>
      <c r="H88" s="41" t="s">
        <v>288</v>
      </c>
      <c r="I88" s="41" t="s">
        <v>274</v>
      </c>
      <c r="J88" s="41" t="str">
        <f t="shared" si="3"/>
        <v>X</v>
      </c>
      <c r="K88" s="113">
        <f>IFERROR(INDEX(환산공식!CI$16:CI$301,MATCH($E88,환산공식!$A$16:$A$301,0)),"")</f>
        <v>120</v>
      </c>
      <c r="L88" s="41" t="str">
        <f>IFERROR(CONCATENATE(ROUND(INDEX(환산공식!CJ$16:CJ$301,MATCH(E88,환산공식!$A$16:$A$301,0)),1),"%"),"")</f>
        <v>100%</v>
      </c>
      <c r="M88" s="41">
        <f>IFERROR(INDEX(환산공식!CK$16:CK$301,MATCH(E88,환산공식!$A$16:$A$301,0)),"")</f>
        <v>40</v>
      </c>
      <c r="N88" s="113" t="str">
        <f t="shared" si="4"/>
        <v>1% 이하</v>
      </c>
      <c r="O88" s="119">
        <f>IFERROR(ROUND(INDEX(환산공식!$EF$16:$EF$301,MATCH(E88,환산공식!$A$16:$A$301,0)),3),"")</f>
        <v>0</v>
      </c>
      <c r="P88" s="119">
        <f>IFERROR(ROUND(INDEX('배치점수 계산기'!M$11:M$1000,MATCH($C88,'배치점수 계산기'!$U$11:$U$1000,0)),2),"")</f>
        <v>561.94000000000005</v>
      </c>
      <c r="Q88" s="41">
        <f>IFERROR(ROUND(INDEX('배치점수 계산기'!N$11:N$1000,MATCH($C88,'배치점수 계산기'!$U$11:$U$1000,0)),2),"")</f>
        <v>560.72</v>
      </c>
      <c r="R88" s="41">
        <f>IFERROR(ROUND(INDEX('배치점수 계산기'!O$11:O$1000,MATCH($C88,'배치점수 계산기'!$U$11:$U$1000,0)),2),"")</f>
        <v>559.52</v>
      </c>
      <c r="S88" s="41">
        <f>IFERROR(ROUND(INDEX('배치점수 계산기'!P$11:P$1000,MATCH($C88,'배치점수 계산기'!$U$11:$U$1000,0)),2),"")</f>
        <v>558.48</v>
      </c>
      <c r="T88" s="41">
        <f>IFERROR(ROUND(INDEX('배치점수 계산기'!Q$11:Q$1000,MATCH($C88,'배치점수 계산기'!$U$11:$U$1000,0)),2),"")</f>
        <v>556</v>
      </c>
      <c r="U88" s="41">
        <f>IFERROR(INDEX(환산공식!$DC$16:$DC$301,MATCH(E88,환산공식!$A$16:$A$301,0)),"")</f>
        <v>0</v>
      </c>
      <c r="V88" s="113">
        <f t="shared" si="5"/>
        <v>6</v>
      </c>
      <c r="W88" s="110" t="str">
        <f>INDEX('배치점수 계산기'!$AG$11:$AG$800,MATCH('       나 군       '!$C88,'배치점수 계산기'!$U$11:$U$800,0))</f>
        <v>표점</v>
      </c>
      <c r="X88" s="108" t="str">
        <f>INDEX('배치점수 계산기'!$AH$11:$AH$800,MATCH('       나 군       '!$C88,'배치점수 계산기'!$U$11:$U$800,0))</f>
        <v>변표</v>
      </c>
      <c r="Y88" s="113">
        <f>INDEX('배치점수 계산기'!$AB$11:$AB$800,MATCH('       나 군       '!$C88,'배치점수 계산기'!$U$11:$U$800,0))</f>
        <v>0.25</v>
      </c>
      <c r="Z88" s="73">
        <f>INDEX('배치점수 계산기'!$AC$11:$AC$800,MATCH('       나 군       '!$C88,'배치점수 계산기'!$U$11:$U$800,0))</f>
        <v>0.43749999999999994</v>
      </c>
      <c r="AA88" s="63">
        <f>INDEX('배치점수 계산기'!$AD$11:$AD$800,MATCH('       나 군       '!$C88,'배치점수 계산기'!$U$11:$U$800,0))</f>
        <v>0.3125</v>
      </c>
      <c r="AE88" s="7">
        <v>81</v>
      </c>
    </row>
    <row r="89" spans="3:31" x14ac:dyDescent="0.3">
      <c r="C89" s="7" t="s">
        <v>1316</v>
      </c>
      <c r="D89" s="41" t="s">
        <v>1092</v>
      </c>
      <c r="E89" s="41">
        <v>33</v>
      </c>
      <c r="F89" s="113" t="s">
        <v>346</v>
      </c>
      <c r="G89" s="41" t="s">
        <v>410</v>
      </c>
      <c r="H89" s="41" t="s">
        <v>392</v>
      </c>
      <c r="I89" s="41" t="s">
        <v>274</v>
      </c>
      <c r="J89" s="41" t="str">
        <f t="shared" si="3"/>
        <v>X</v>
      </c>
      <c r="K89" s="113">
        <f>IFERROR(INDEX(환산공식!CI$16:CI$301,MATCH($E89,환산공식!$A$16:$A$301,0)),"")</f>
        <v>120</v>
      </c>
      <c r="L89" s="41" t="str">
        <f>IFERROR(CONCATENATE(ROUND(INDEX(환산공식!CJ$16:CJ$301,MATCH(E89,환산공식!$A$16:$A$301,0)),1),"%"),"")</f>
        <v>100%</v>
      </c>
      <c r="M89" s="41">
        <f>IFERROR(INDEX(환산공식!CK$16:CK$301,MATCH(E89,환산공식!$A$16:$A$301,0)),"")</f>
        <v>40</v>
      </c>
      <c r="N89" s="113" t="str">
        <f t="shared" si="4"/>
        <v>1% 이하</v>
      </c>
      <c r="O89" s="119">
        <f>IFERROR(ROUND(INDEX(환산공식!$EF$16:$EF$301,MATCH(E89,환산공식!$A$16:$A$301,0)),3),"")</f>
        <v>0</v>
      </c>
      <c r="P89" s="119">
        <f>IFERROR(ROUND(INDEX('배치점수 계산기'!M$11:M$1000,MATCH($C89,'배치점수 계산기'!$U$11:$U$1000,0)),2),"")</f>
        <v>558</v>
      </c>
      <c r="Q89" s="41">
        <f>IFERROR(ROUND(INDEX('배치점수 계산기'!N$11:N$1000,MATCH($C89,'배치점수 계산기'!$U$11:$U$1000,0)),2),"")</f>
        <v>556.79</v>
      </c>
      <c r="R89" s="41">
        <f>IFERROR(ROUND(INDEX('배치점수 계산기'!O$11:O$1000,MATCH($C89,'배치점수 계산기'!$U$11:$U$1000,0)),2),"")</f>
        <v>555.52</v>
      </c>
      <c r="S89" s="41">
        <f>IFERROR(ROUND(INDEX('배치점수 계산기'!P$11:P$1000,MATCH($C89,'배치점수 계산기'!$U$11:$U$1000,0)),2),"")</f>
        <v>554.37</v>
      </c>
      <c r="T89" s="41">
        <f>IFERROR(ROUND(INDEX('배치점수 계산기'!Q$11:Q$1000,MATCH($C89,'배치점수 계산기'!$U$11:$U$1000,0)),2),"")</f>
        <v>553.5</v>
      </c>
      <c r="U89" s="41">
        <f>IFERROR(INDEX(환산공식!$DC$16:$DC$301,MATCH(E89,환산공식!$A$16:$A$301,0)),"")</f>
        <v>0</v>
      </c>
      <c r="V89" s="113">
        <f t="shared" si="5"/>
        <v>6</v>
      </c>
      <c r="W89" s="110" t="str">
        <f>INDEX('배치점수 계산기'!$AG$11:$AG$800,MATCH('       나 군       '!$C89,'배치점수 계산기'!$U$11:$U$800,0))</f>
        <v>표점</v>
      </c>
      <c r="X89" s="108" t="str">
        <f>INDEX('배치점수 계산기'!$AH$11:$AH$800,MATCH('       나 군       '!$C89,'배치점수 계산기'!$U$11:$U$800,0))</f>
        <v>변표</v>
      </c>
      <c r="Y89" s="113">
        <f>INDEX('배치점수 계산기'!$AB$11:$AB$800,MATCH('       나 군       '!$C89,'배치점수 계산기'!$U$11:$U$800,0))</f>
        <v>0.25</v>
      </c>
      <c r="Z89" s="73">
        <f>INDEX('배치점수 계산기'!$AC$11:$AC$800,MATCH('       나 군       '!$C89,'배치점수 계산기'!$U$11:$U$800,0))</f>
        <v>0.43749999999999994</v>
      </c>
      <c r="AA89" s="63">
        <f>INDEX('배치점수 계산기'!$AD$11:$AD$800,MATCH('       나 군       '!$C89,'배치점수 계산기'!$U$11:$U$800,0))</f>
        <v>0.3125</v>
      </c>
      <c r="AE89" s="7">
        <v>82</v>
      </c>
    </row>
    <row r="90" spans="3:31" x14ac:dyDescent="0.3">
      <c r="C90" s="7" t="s">
        <v>1317</v>
      </c>
      <c r="D90" s="41" t="s">
        <v>1092</v>
      </c>
      <c r="E90" s="41">
        <v>33</v>
      </c>
      <c r="F90" s="113" t="s">
        <v>346</v>
      </c>
      <c r="G90" s="41" t="s">
        <v>410</v>
      </c>
      <c r="H90" s="41" t="s">
        <v>393</v>
      </c>
      <c r="I90" s="41" t="s">
        <v>274</v>
      </c>
      <c r="J90" s="41" t="str">
        <f t="shared" si="3"/>
        <v>X</v>
      </c>
      <c r="K90" s="113">
        <f>IFERROR(INDEX(환산공식!CI$16:CI$301,MATCH($E90,환산공식!$A$16:$A$301,0)),"")</f>
        <v>120</v>
      </c>
      <c r="L90" s="41" t="str">
        <f>IFERROR(CONCATENATE(ROUND(INDEX(환산공식!CJ$16:CJ$301,MATCH(E90,환산공식!$A$16:$A$301,0)),1),"%"),"")</f>
        <v>100%</v>
      </c>
      <c r="M90" s="41">
        <f>IFERROR(INDEX(환산공식!CK$16:CK$301,MATCH(E90,환산공식!$A$16:$A$301,0)),"")</f>
        <v>40</v>
      </c>
      <c r="N90" s="113" t="str">
        <f t="shared" si="4"/>
        <v>1% 이하</v>
      </c>
      <c r="O90" s="119">
        <f>IFERROR(ROUND(INDEX(환산공식!$EF$16:$EF$301,MATCH(E90,환산공식!$A$16:$A$301,0)),3),"")</f>
        <v>0</v>
      </c>
      <c r="P90" s="119">
        <f>IFERROR(ROUND(INDEX('배치점수 계산기'!M$11:M$1000,MATCH($C90,'배치점수 계산기'!$U$11:$U$1000,0)),2),"")</f>
        <v>558</v>
      </c>
      <c r="Q90" s="41">
        <f>IFERROR(ROUND(INDEX('배치점수 계산기'!N$11:N$1000,MATCH($C90,'배치점수 계산기'!$U$11:$U$1000,0)),2),"")</f>
        <v>556.79</v>
      </c>
      <c r="R90" s="41">
        <f>IFERROR(ROUND(INDEX('배치점수 계산기'!O$11:O$1000,MATCH($C90,'배치점수 계산기'!$U$11:$U$1000,0)),2),"")</f>
        <v>555.52</v>
      </c>
      <c r="S90" s="41">
        <f>IFERROR(ROUND(INDEX('배치점수 계산기'!P$11:P$1000,MATCH($C90,'배치점수 계산기'!$U$11:$U$1000,0)),2),"")</f>
        <v>554.37</v>
      </c>
      <c r="T90" s="41">
        <f>IFERROR(ROUND(INDEX('배치점수 계산기'!Q$11:Q$1000,MATCH($C90,'배치점수 계산기'!$U$11:$U$1000,0)),2),"")</f>
        <v>552.76</v>
      </c>
      <c r="U90" s="41">
        <f>IFERROR(INDEX(환산공식!$DC$16:$DC$301,MATCH(E90,환산공식!$A$16:$A$301,0)),"")</f>
        <v>0</v>
      </c>
      <c r="V90" s="113">
        <f t="shared" si="5"/>
        <v>6</v>
      </c>
      <c r="W90" s="110" t="str">
        <f>INDEX('배치점수 계산기'!$AG$11:$AG$800,MATCH('       나 군       '!$C90,'배치점수 계산기'!$U$11:$U$800,0))</f>
        <v>표점</v>
      </c>
      <c r="X90" s="108" t="str">
        <f>INDEX('배치점수 계산기'!$AH$11:$AH$800,MATCH('       나 군       '!$C90,'배치점수 계산기'!$U$11:$U$800,0))</f>
        <v>변표</v>
      </c>
      <c r="Y90" s="113">
        <f>INDEX('배치점수 계산기'!$AB$11:$AB$800,MATCH('       나 군       '!$C90,'배치점수 계산기'!$U$11:$U$800,0))</f>
        <v>0.25</v>
      </c>
      <c r="Z90" s="73">
        <f>INDEX('배치점수 계산기'!$AC$11:$AC$800,MATCH('       나 군       '!$C90,'배치점수 계산기'!$U$11:$U$800,0))</f>
        <v>0.43749999999999994</v>
      </c>
      <c r="AA90" s="63">
        <f>INDEX('배치점수 계산기'!$AD$11:$AD$800,MATCH('       나 군       '!$C90,'배치점수 계산기'!$U$11:$U$800,0))</f>
        <v>0.3125</v>
      </c>
      <c r="AE90" s="7">
        <v>83</v>
      </c>
    </row>
    <row r="91" spans="3:31" x14ac:dyDescent="0.3">
      <c r="C91" s="7" t="s">
        <v>1318</v>
      </c>
      <c r="D91" s="41" t="s">
        <v>1092</v>
      </c>
      <c r="E91" s="41">
        <v>33</v>
      </c>
      <c r="F91" s="113" t="s">
        <v>346</v>
      </c>
      <c r="G91" s="41" t="s">
        <v>410</v>
      </c>
      <c r="H91" s="41" t="s">
        <v>291</v>
      </c>
      <c r="I91" s="41" t="s">
        <v>274</v>
      </c>
      <c r="J91" s="41" t="str">
        <f t="shared" si="3"/>
        <v>X</v>
      </c>
      <c r="K91" s="113">
        <f>IFERROR(INDEX(환산공식!CI$16:CI$301,MATCH($E91,환산공식!$A$16:$A$301,0)),"")</f>
        <v>120</v>
      </c>
      <c r="L91" s="41" t="str">
        <f>IFERROR(CONCATENATE(ROUND(INDEX(환산공식!CJ$16:CJ$301,MATCH(E91,환산공식!$A$16:$A$301,0)),1),"%"),"")</f>
        <v>100%</v>
      </c>
      <c r="M91" s="41">
        <f>IFERROR(INDEX(환산공식!CK$16:CK$301,MATCH(E91,환산공식!$A$16:$A$301,0)),"")</f>
        <v>40</v>
      </c>
      <c r="N91" s="113" t="str">
        <f t="shared" si="4"/>
        <v>1% 이하</v>
      </c>
      <c r="O91" s="119">
        <f>IFERROR(ROUND(INDEX(환산공식!$EF$16:$EF$301,MATCH(E91,환산공식!$A$16:$A$301,0)),3),"")</f>
        <v>0</v>
      </c>
      <c r="P91" s="119">
        <f>IFERROR(ROUND(INDEX('배치점수 계산기'!M$11:M$1000,MATCH($C91,'배치점수 계산기'!$U$11:$U$1000,0)),2),"")</f>
        <v>558</v>
      </c>
      <c r="Q91" s="41">
        <f>IFERROR(ROUND(INDEX('배치점수 계산기'!N$11:N$1000,MATCH($C91,'배치점수 계산기'!$U$11:$U$1000,0)),2),"")</f>
        <v>556.79</v>
      </c>
      <c r="R91" s="41">
        <f>IFERROR(ROUND(INDEX('배치점수 계산기'!O$11:O$1000,MATCH($C91,'배치점수 계산기'!$U$11:$U$1000,0)),2),"")</f>
        <v>555.52</v>
      </c>
      <c r="S91" s="41">
        <f>IFERROR(ROUND(INDEX('배치점수 계산기'!P$11:P$1000,MATCH($C91,'배치점수 계산기'!$U$11:$U$1000,0)),2),"")</f>
        <v>554.37</v>
      </c>
      <c r="T91" s="41">
        <f>IFERROR(ROUND(INDEX('배치점수 계산기'!Q$11:Q$1000,MATCH($C91,'배치점수 계산기'!$U$11:$U$1000,0)),2),"")</f>
        <v>553.5</v>
      </c>
      <c r="U91" s="41">
        <f>IFERROR(INDEX(환산공식!$DC$16:$DC$301,MATCH(E91,환산공식!$A$16:$A$301,0)),"")</f>
        <v>0</v>
      </c>
      <c r="V91" s="113">
        <f t="shared" si="5"/>
        <v>6</v>
      </c>
      <c r="W91" s="110" t="str">
        <f>INDEX('배치점수 계산기'!$AG$11:$AG$800,MATCH('       나 군       '!$C91,'배치점수 계산기'!$U$11:$U$800,0))</f>
        <v>표점</v>
      </c>
      <c r="X91" s="108" t="str">
        <f>INDEX('배치점수 계산기'!$AH$11:$AH$800,MATCH('       나 군       '!$C91,'배치점수 계산기'!$U$11:$U$800,0))</f>
        <v>변표</v>
      </c>
      <c r="Y91" s="113">
        <f>INDEX('배치점수 계산기'!$AB$11:$AB$800,MATCH('       나 군       '!$C91,'배치점수 계산기'!$U$11:$U$800,0))</f>
        <v>0.25</v>
      </c>
      <c r="Z91" s="73">
        <f>INDEX('배치점수 계산기'!$AC$11:$AC$800,MATCH('       나 군       '!$C91,'배치점수 계산기'!$U$11:$U$800,0))</f>
        <v>0.43749999999999994</v>
      </c>
      <c r="AA91" s="63">
        <f>INDEX('배치점수 계산기'!$AD$11:$AD$800,MATCH('       나 군       '!$C91,'배치점수 계산기'!$U$11:$U$800,0))</f>
        <v>0.3125</v>
      </c>
      <c r="AE91" s="7">
        <v>84</v>
      </c>
    </row>
    <row r="92" spans="3:31" x14ac:dyDescent="0.3">
      <c r="C92" s="7" t="s">
        <v>1319</v>
      </c>
      <c r="D92" s="41" t="s">
        <v>1092</v>
      </c>
      <c r="E92" s="41">
        <v>33</v>
      </c>
      <c r="F92" s="113" t="s">
        <v>346</v>
      </c>
      <c r="G92" s="41" t="s">
        <v>410</v>
      </c>
      <c r="H92" s="41" t="s">
        <v>394</v>
      </c>
      <c r="I92" s="41" t="s">
        <v>274</v>
      </c>
      <c r="J92" s="41" t="str">
        <f t="shared" si="3"/>
        <v>X</v>
      </c>
      <c r="K92" s="113">
        <f>IFERROR(INDEX(환산공식!CI$16:CI$301,MATCH($E92,환산공식!$A$16:$A$301,0)),"")</f>
        <v>120</v>
      </c>
      <c r="L92" s="41" t="str">
        <f>IFERROR(CONCATENATE(ROUND(INDEX(환산공식!CJ$16:CJ$301,MATCH(E92,환산공식!$A$16:$A$301,0)),1),"%"),"")</f>
        <v>100%</v>
      </c>
      <c r="M92" s="41">
        <f>IFERROR(INDEX(환산공식!CK$16:CK$301,MATCH(E92,환산공식!$A$16:$A$301,0)),"")</f>
        <v>40</v>
      </c>
      <c r="N92" s="113" t="str">
        <f t="shared" si="4"/>
        <v>1% 이하</v>
      </c>
      <c r="O92" s="119">
        <f>IFERROR(ROUND(INDEX(환산공식!$EF$16:$EF$301,MATCH(E92,환산공식!$A$16:$A$301,0)),3),"")</f>
        <v>0</v>
      </c>
      <c r="P92" s="119">
        <f>IFERROR(ROUND(INDEX('배치점수 계산기'!M$11:M$1000,MATCH($C92,'배치점수 계산기'!$U$11:$U$1000,0)),2),"")</f>
        <v>558</v>
      </c>
      <c r="Q92" s="41">
        <f>IFERROR(ROUND(INDEX('배치점수 계산기'!N$11:N$1000,MATCH($C92,'배치점수 계산기'!$U$11:$U$1000,0)),2),"")</f>
        <v>556.79</v>
      </c>
      <c r="R92" s="41">
        <f>IFERROR(ROUND(INDEX('배치점수 계산기'!O$11:O$1000,MATCH($C92,'배치점수 계산기'!$U$11:$U$1000,0)),2),"")</f>
        <v>555.52</v>
      </c>
      <c r="S92" s="41">
        <f>IFERROR(ROUND(INDEX('배치점수 계산기'!P$11:P$1000,MATCH($C92,'배치점수 계산기'!$U$11:$U$1000,0)),2),"")</f>
        <v>554.37</v>
      </c>
      <c r="T92" s="41">
        <f>IFERROR(ROUND(INDEX('배치점수 계산기'!Q$11:Q$1000,MATCH($C92,'배치점수 계산기'!$U$11:$U$1000,0)),2),"")</f>
        <v>552.76</v>
      </c>
      <c r="U92" s="41">
        <f>IFERROR(INDEX(환산공식!$DC$16:$DC$301,MATCH(E92,환산공식!$A$16:$A$301,0)),"")</f>
        <v>0</v>
      </c>
      <c r="V92" s="113">
        <f t="shared" si="5"/>
        <v>6</v>
      </c>
      <c r="W92" s="110" t="str">
        <f>INDEX('배치점수 계산기'!$AG$11:$AG$800,MATCH('       나 군       '!$C92,'배치점수 계산기'!$U$11:$U$800,0))</f>
        <v>표점</v>
      </c>
      <c r="X92" s="108" t="str">
        <f>INDEX('배치점수 계산기'!$AH$11:$AH$800,MATCH('       나 군       '!$C92,'배치점수 계산기'!$U$11:$U$800,0))</f>
        <v>변표</v>
      </c>
      <c r="Y92" s="113">
        <f>INDEX('배치점수 계산기'!$AB$11:$AB$800,MATCH('       나 군       '!$C92,'배치점수 계산기'!$U$11:$U$800,0))</f>
        <v>0.25</v>
      </c>
      <c r="Z92" s="73">
        <f>INDEX('배치점수 계산기'!$AC$11:$AC$800,MATCH('       나 군       '!$C92,'배치점수 계산기'!$U$11:$U$800,0))</f>
        <v>0.43749999999999994</v>
      </c>
      <c r="AA92" s="63">
        <f>INDEX('배치점수 계산기'!$AD$11:$AD$800,MATCH('       나 군       '!$C92,'배치점수 계산기'!$U$11:$U$800,0))</f>
        <v>0.3125</v>
      </c>
      <c r="AE92" s="7">
        <v>85</v>
      </c>
    </row>
    <row r="93" spans="3:31" x14ac:dyDescent="0.3">
      <c r="C93" s="7" t="s">
        <v>1320</v>
      </c>
      <c r="D93" s="41" t="s">
        <v>1092</v>
      </c>
      <c r="E93" s="41">
        <v>33</v>
      </c>
      <c r="F93" s="113" t="s">
        <v>346</v>
      </c>
      <c r="G93" s="41" t="s">
        <v>410</v>
      </c>
      <c r="H93" s="41" t="s">
        <v>395</v>
      </c>
      <c r="I93" s="41" t="s">
        <v>274</v>
      </c>
      <c r="J93" s="41" t="str">
        <f t="shared" si="3"/>
        <v>X</v>
      </c>
      <c r="K93" s="113">
        <f>IFERROR(INDEX(환산공식!CI$16:CI$301,MATCH($E93,환산공식!$A$16:$A$301,0)),"")</f>
        <v>120</v>
      </c>
      <c r="L93" s="41" t="str">
        <f>IFERROR(CONCATENATE(ROUND(INDEX(환산공식!CJ$16:CJ$301,MATCH(E93,환산공식!$A$16:$A$301,0)),1),"%"),"")</f>
        <v>100%</v>
      </c>
      <c r="M93" s="41">
        <f>IFERROR(INDEX(환산공식!CK$16:CK$301,MATCH(E93,환산공식!$A$16:$A$301,0)),"")</f>
        <v>40</v>
      </c>
      <c r="N93" s="113" t="str">
        <f t="shared" si="4"/>
        <v>1% 이하</v>
      </c>
      <c r="O93" s="119">
        <f>IFERROR(ROUND(INDEX(환산공식!$EF$16:$EF$301,MATCH(E93,환산공식!$A$16:$A$301,0)),3),"")</f>
        <v>0</v>
      </c>
      <c r="P93" s="119">
        <f>IFERROR(ROUND(INDEX('배치점수 계산기'!M$11:M$1000,MATCH($C93,'배치점수 계산기'!$U$11:$U$1000,0)),2),"")</f>
        <v>558</v>
      </c>
      <c r="Q93" s="41">
        <f>IFERROR(ROUND(INDEX('배치점수 계산기'!N$11:N$1000,MATCH($C93,'배치점수 계산기'!$U$11:$U$1000,0)),2),"")</f>
        <v>556.79</v>
      </c>
      <c r="R93" s="41">
        <f>IFERROR(ROUND(INDEX('배치점수 계산기'!O$11:O$1000,MATCH($C93,'배치점수 계산기'!$U$11:$U$1000,0)),2),"")</f>
        <v>555.52</v>
      </c>
      <c r="S93" s="41">
        <f>IFERROR(ROUND(INDEX('배치점수 계산기'!P$11:P$1000,MATCH($C93,'배치점수 계산기'!$U$11:$U$1000,0)),2),"")</f>
        <v>554.37</v>
      </c>
      <c r="T93" s="41">
        <f>IFERROR(ROUND(INDEX('배치점수 계산기'!Q$11:Q$1000,MATCH($C93,'배치점수 계산기'!$U$11:$U$1000,0)),2),"")</f>
        <v>553.5</v>
      </c>
      <c r="U93" s="41">
        <f>IFERROR(INDEX(환산공식!$DC$16:$DC$301,MATCH(E93,환산공식!$A$16:$A$301,0)),"")</f>
        <v>0</v>
      </c>
      <c r="V93" s="113">
        <f t="shared" si="5"/>
        <v>6</v>
      </c>
      <c r="W93" s="110" t="str">
        <f>INDEX('배치점수 계산기'!$AG$11:$AG$800,MATCH('       나 군       '!$C93,'배치점수 계산기'!$U$11:$U$800,0))</f>
        <v>표점</v>
      </c>
      <c r="X93" s="108" t="str">
        <f>INDEX('배치점수 계산기'!$AH$11:$AH$800,MATCH('       나 군       '!$C93,'배치점수 계산기'!$U$11:$U$800,0))</f>
        <v>변표</v>
      </c>
      <c r="Y93" s="113">
        <f>INDEX('배치점수 계산기'!$AB$11:$AB$800,MATCH('       나 군       '!$C93,'배치점수 계산기'!$U$11:$U$800,0))</f>
        <v>0.25</v>
      </c>
      <c r="Z93" s="73">
        <f>INDEX('배치점수 계산기'!$AC$11:$AC$800,MATCH('       나 군       '!$C93,'배치점수 계산기'!$U$11:$U$800,0))</f>
        <v>0.43749999999999994</v>
      </c>
      <c r="AA93" s="63">
        <f>INDEX('배치점수 계산기'!$AD$11:$AD$800,MATCH('       나 군       '!$C93,'배치점수 계산기'!$U$11:$U$800,0))</f>
        <v>0.3125</v>
      </c>
      <c r="AE93" s="7">
        <v>86</v>
      </c>
    </row>
    <row r="94" spans="3:31" x14ac:dyDescent="0.3">
      <c r="C94" s="7" t="s">
        <v>1321</v>
      </c>
      <c r="D94" s="41" t="s">
        <v>1092</v>
      </c>
      <c r="E94" s="41">
        <v>33</v>
      </c>
      <c r="F94" s="113" t="s">
        <v>346</v>
      </c>
      <c r="G94" s="41" t="s">
        <v>410</v>
      </c>
      <c r="H94" s="41" t="s">
        <v>353</v>
      </c>
      <c r="I94" s="41" t="s">
        <v>274</v>
      </c>
      <c r="J94" s="41" t="str">
        <f t="shared" si="3"/>
        <v>X</v>
      </c>
      <c r="K94" s="113">
        <f>IFERROR(INDEX(환산공식!CI$16:CI$301,MATCH($E94,환산공식!$A$16:$A$301,0)),"")</f>
        <v>120</v>
      </c>
      <c r="L94" s="41" t="str">
        <f>IFERROR(CONCATENATE(ROUND(INDEX(환산공식!CJ$16:CJ$301,MATCH(E94,환산공식!$A$16:$A$301,0)),1),"%"),"")</f>
        <v>100%</v>
      </c>
      <c r="M94" s="41">
        <f>IFERROR(INDEX(환산공식!CK$16:CK$301,MATCH(E94,환산공식!$A$16:$A$301,0)),"")</f>
        <v>40</v>
      </c>
      <c r="N94" s="113" t="str">
        <f t="shared" si="4"/>
        <v>1% 이하</v>
      </c>
      <c r="O94" s="119">
        <f>IFERROR(ROUND(INDEX(환산공식!$EF$16:$EF$301,MATCH(E94,환산공식!$A$16:$A$301,0)),3),"")</f>
        <v>0</v>
      </c>
      <c r="P94" s="119">
        <f>IFERROR(ROUND(INDEX('배치점수 계산기'!M$11:M$1000,MATCH($C94,'배치점수 계산기'!$U$11:$U$1000,0)),2),"")</f>
        <v>561.94000000000005</v>
      </c>
      <c r="Q94" s="41">
        <f>IFERROR(ROUND(INDEX('배치점수 계산기'!N$11:N$1000,MATCH($C94,'배치점수 계산기'!$U$11:$U$1000,0)),2),"")</f>
        <v>560.94000000000005</v>
      </c>
      <c r="R94" s="41">
        <f>IFERROR(ROUND(INDEX('배치점수 계산기'!O$11:O$1000,MATCH($C94,'배치점수 계산기'!$U$11:$U$1000,0)),2),"")</f>
        <v>560.03</v>
      </c>
      <c r="S94" s="41">
        <f>IFERROR(ROUND(INDEX('배치점수 계산기'!P$11:P$1000,MATCH($C94,'배치점수 계산기'!$U$11:$U$1000,0)),2),"")</f>
        <v>558.48</v>
      </c>
      <c r="T94" s="41">
        <f>IFERROR(ROUND(INDEX('배치점수 계산기'!Q$11:Q$1000,MATCH($C94,'배치점수 계산기'!$U$11:$U$1000,0)),2),"")</f>
        <v>555.04</v>
      </c>
      <c r="U94" s="41">
        <f>IFERROR(INDEX(환산공식!$DC$16:$DC$301,MATCH(E94,환산공식!$A$16:$A$301,0)),"")</f>
        <v>0</v>
      </c>
      <c r="V94" s="113">
        <f t="shared" si="5"/>
        <v>6</v>
      </c>
      <c r="W94" s="110" t="str">
        <f>INDEX('배치점수 계산기'!$AG$11:$AG$800,MATCH('       나 군       '!$C94,'배치점수 계산기'!$U$11:$U$800,0))</f>
        <v>표점</v>
      </c>
      <c r="X94" s="108" t="str">
        <f>INDEX('배치점수 계산기'!$AH$11:$AH$800,MATCH('       나 군       '!$C94,'배치점수 계산기'!$U$11:$U$800,0))</f>
        <v>변표</v>
      </c>
      <c r="Y94" s="113">
        <f>INDEX('배치점수 계산기'!$AB$11:$AB$800,MATCH('       나 군       '!$C94,'배치점수 계산기'!$U$11:$U$800,0))</f>
        <v>0.25</v>
      </c>
      <c r="Z94" s="73">
        <f>INDEX('배치점수 계산기'!$AC$11:$AC$800,MATCH('       나 군       '!$C94,'배치점수 계산기'!$U$11:$U$800,0))</f>
        <v>0.43749999999999994</v>
      </c>
      <c r="AA94" s="63">
        <f>INDEX('배치점수 계산기'!$AD$11:$AD$800,MATCH('       나 군       '!$C94,'배치점수 계산기'!$U$11:$U$800,0))</f>
        <v>0.3125</v>
      </c>
      <c r="AE94" s="7">
        <v>87</v>
      </c>
    </row>
    <row r="95" spans="3:31" x14ac:dyDescent="0.3">
      <c r="C95" s="7" t="s">
        <v>1322</v>
      </c>
      <c r="D95" s="41" t="s">
        <v>1092</v>
      </c>
      <c r="E95" s="41">
        <v>33</v>
      </c>
      <c r="F95" s="113" t="s">
        <v>346</v>
      </c>
      <c r="G95" s="41" t="s">
        <v>410</v>
      </c>
      <c r="H95" s="41" t="s">
        <v>396</v>
      </c>
      <c r="I95" s="41" t="s">
        <v>274</v>
      </c>
      <c r="J95" s="41" t="str">
        <f t="shared" si="3"/>
        <v>X</v>
      </c>
      <c r="K95" s="113">
        <f>IFERROR(INDEX(환산공식!CI$16:CI$301,MATCH($E95,환산공식!$A$16:$A$301,0)),"")</f>
        <v>120</v>
      </c>
      <c r="L95" s="41" t="str">
        <f>IFERROR(CONCATENATE(ROUND(INDEX(환산공식!CJ$16:CJ$301,MATCH(E95,환산공식!$A$16:$A$301,0)),1),"%"),"")</f>
        <v>100%</v>
      </c>
      <c r="M95" s="41">
        <f>IFERROR(INDEX(환산공식!CK$16:CK$301,MATCH(E95,환산공식!$A$16:$A$301,0)),"")</f>
        <v>40</v>
      </c>
      <c r="N95" s="113" t="str">
        <f t="shared" si="4"/>
        <v>1% 이하</v>
      </c>
      <c r="O95" s="119">
        <f>IFERROR(ROUND(INDEX(환산공식!$EF$16:$EF$301,MATCH(E95,환산공식!$A$16:$A$301,0)),3),"")</f>
        <v>0</v>
      </c>
      <c r="P95" s="119">
        <f>IFERROR(ROUND(INDEX('배치점수 계산기'!M$11:M$1000,MATCH($C95,'배치점수 계산기'!$U$11:$U$1000,0)),2),"")</f>
        <v>561.94000000000005</v>
      </c>
      <c r="Q95" s="41">
        <f>IFERROR(ROUND(INDEX('배치점수 계산기'!N$11:N$1000,MATCH($C95,'배치점수 계산기'!$U$11:$U$1000,0)),2),"")</f>
        <v>560.94000000000005</v>
      </c>
      <c r="R95" s="41">
        <f>IFERROR(ROUND(INDEX('배치점수 계산기'!O$11:O$1000,MATCH($C95,'배치점수 계산기'!$U$11:$U$1000,0)),2),"")</f>
        <v>560.03</v>
      </c>
      <c r="S95" s="41">
        <f>IFERROR(ROUND(INDEX('배치점수 계산기'!P$11:P$1000,MATCH($C95,'배치점수 계산기'!$U$11:$U$1000,0)),2),"")</f>
        <v>558.48</v>
      </c>
      <c r="T95" s="41">
        <f>IFERROR(ROUND(INDEX('배치점수 계산기'!Q$11:Q$1000,MATCH($C95,'배치점수 계산기'!$U$11:$U$1000,0)),2),"")</f>
        <v>555.04</v>
      </c>
      <c r="U95" s="41">
        <f>IFERROR(INDEX(환산공식!$DC$16:$DC$301,MATCH(E95,환산공식!$A$16:$A$301,0)),"")</f>
        <v>0</v>
      </c>
      <c r="V95" s="113">
        <f t="shared" si="5"/>
        <v>6</v>
      </c>
      <c r="W95" s="110" t="str">
        <f>INDEX('배치점수 계산기'!$AG$11:$AG$800,MATCH('       나 군       '!$C95,'배치점수 계산기'!$U$11:$U$800,0))</f>
        <v>표점</v>
      </c>
      <c r="X95" s="108" t="str">
        <f>INDEX('배치점수 계산기'!$AH$11:$AH$800,MATCH('       나 군       '!$C95,'배치점수 계산기'!$U$11:$U$800,0))</f>
        <v>변표</v>
      </c>
      <c r="Y95" s="113">
        <f>INDEX('배치점수 계산기'!$AB$11:$AB$800,MATCH('       나 군       '!$C95,'배치점수 계산기'!$U$11:$U$800,0))</f>
        <v>0.25</v>
      </c>
      <c r="Z95" s="73">
        <f>INDEX('배치점수 계산기'!$AC$11:$AC$800,MATCH('       나 군       '!$C95,'배치점수 계산기'!$U$11:$U$800,0))</f>
        <v>0.43749999999999994</v>
      </c>
      <c r="AA95" s="63">
        <f>INDEX('배치점수 계산기'!$AD$11:$AD$800,MATCH('       나 군       '!$C95,'배치점수 계산기'!$U$11:$U$800,0))</f>
        <v>0.3125</v>
      </c>
      <c r="AE95" s="7">
        <v>88</v>
      </c>
    </row>
    <row r="96" spans="3:31" x14ac:dyDescent="0.3">
      <c r="C96" s="7" t="s">
        <v>1323</v>
      </c>
      <c r="D96" s="41" t="s">
        <v>1092</v>
      </c>
      <c r="E96" s="41">
        <v>33</v>
      </c>
      <c r="F96" s="113" t="s">
        <v>346</v>
      </c>
      <c r="G96" s="41" t="s">
        <v>410</v>
      </c>
      <c r="H96" s="41" t="s">
        <v>397</v>
      </c>
      <c r="I96" s="41" t="s">
        <v>274</v>
      </c>
      <c r="J96" s="41" t="str">
        <f t="shared" si="3"/>
        <v>X</v>
      </c>
      <c r="K96" s="113">
        <f>IFERROR(INDEX(환산공식!CI$16:CI$301,MATCH($E96,환산공식!$A$16:$A$301,0)),"")</f>
        <v>120</v>
      </c>
      <c r="L96" s="41" t="str">
        <f>IFERROR(CONCATENATE(ROUND(INDEX(환산공식!CJ$16:CJ$301,MATCH(E96,환산공식!$A$16:$A$301,0)),1),"%"),"")</f>
        <v>100%</v>
      </c>
      <c r="M96" s="41">
        <f>IFERROR(INDEX(환산공식!CK$16:CK$301,MATCH(E96,환산공식!$A$16:$A$301,0)),"")</f>
        <v>40</v>
      </c>
      <c r="N96" s="113" t="str">
        <f t="shared" si="4"/>
        <v>1% 이하</v>
      </c>
      <c r="O96" s="119">
        <f>IFERROR(ROUND(INDEX(환산공식!$EF$16:$EF$301,MATCH(E96,환산공식!$A$16:$A$301,0)),3),"")</f>
        <v>0</v>
      </c>
      <c r="P96" s="119">
        <f>IFERROR(ROUND(INDEX('배치점수 계산기'!M$11:M$1000,MATCH($C96,'배치점수 계산기'!$U$11:$U$1000,0)),2),"")</f>
        <v>561.94000000000005</v>
      </c>
      <c r="Q96" s="41">
        <f>IFERROR(ROUND(INDEX('배치점수 계산기'!N$11:N$1000,MATCH($C96,'배치점수 계산기'!$U$11:$U$1000,0)),2),"")</f>
        <v>560.94000000000005</v>
      </c>
      <c r="R96" s="41">
        <f>IFERROR(ROUND(INDEX('배치점수 계산기'!O$11:O$1000,MATCH($C96,'배치점수 계산기'!$U$11:$U$1000,0)),2),"")</f>
        <v>560.03</v>
      </c>
      <c r="S96" s="41">
        <f>IFERROR(ROUND(INDEX('배치점수 계산기'!P$11:P$1000,MATCH($C96,'배치점수 계산기'!$U$11:$U$1000,0)),2),"")</f>
        <v>558.48</v>
      </c>
      <c r="T96" s="41">
        <f>IFERROR(ROUND(INDEX('배치점수 계산기'!Q$11:Q$1000,MATCH($C96,'배치점수 계산기'!$U$11:$U$1000,0)),2),"")</f>
        <v>555.04</v>
      </c>
      <c r="U96" s="41">
        <f>IFERROR(INDEX(환산공식!$DC$16:$DC$301,MATCH(E96,환산공식!$A$16:$A$301,0)),"")</f>
        <v>0</v>
      </c>
      <c r="V96" s="113">
        <f t="shared" si="5"/>
        <v>6</v>
      </c>
      <c r="W96" s="110" t="str">
        <f>INDEX('배치점수 계산기'!$AG$11:$AG$800,MATCH('       나 군       '!$C96,'배치점수 계산기'!$U$11:$U$800,0))</f>
        <v>표점</v>
      </c>
      <c r="X96" s="108" t="str">
        <f>INDEX('배치점수 계산기'!$AH$11:$AH$800,MATCH('       나 군       '!$C96,'배치점수 계산기'!$U$11:$U$800,0))</f>
        <v>변표</v>
      </c>
      <c r="Y96" s="113">
        <f>INDEX('배치점수 계산기'!$AB$11:$AB$800,MATCH('       나 군       '!$C96,'배치점수 계산기'!$U$11:$U$800,0))</f>
        <v>0.25</v>
      </c>
      <c r="Z96" s="73">
        <f>INDEX('배치점수 계산기'!$AC$11:$AC$800,MATCH('       나 군       '!$C96,'배치점수 계산기'!$U$11:$U$800,0))</f>
        <v>0.43749999999999994</v>
      </c>
      <c r="AA96" s="63">
        <f>INDEX('배치점수 계산기'!$AD$11:$AD$800,MATCH('       나 군       '!$C96,'배치점수 계산기'!$U$11:$U$800,0))</f>
        <v>0.3125</v>
      </c>
      <c r="AE96" s="7">
        <v>89</v>
      </c>
    </row>
    <row r="97" spans="3:31" x14ac:dyDescent="0.3">
      <c r="C97" s="7" t="s">
        <v>1324</v>
      </c>
      <c r="D97" s="41" t="s">
        <v>1092</v>
      </c>
      <c r="E97" s="41">
        <v>33</v>
      </c>
      <c r="F97" s="113" t="s">
        <v>346</v>
      </c>
      <c r="G97" s="41" t="s">
        <v>410</v>
      </c>
      <c r="H97" s="41" t="s">
        <v>289</v>
      </c>
      <c r="I97" s="41" t="s">
        <v>274</v>
      </c>
      <c r="J97" s="41" t="str">
        <f t="shared" si="3"/>
        <v>X</v>
      </c>
      <c r="K97" s="113">
        <f>IFERROR(INDEX(환산공식!CI$16:CI$301,MATCH($E97,환산공식!$A$16:$A$301,0)),"")</f>
        <v>120</v>
      </c>
      <c r="L97" s="41" t="str">
        <f>IFERROR(CONCATENATE(ROUND(INDEX(환산공식!CJ$16:CJ$301,MATCH(E97,환산공식!$A$16:$A$301,0)),1),"%"),"")</f>
        <v>100%</v>
      </c>
      <c r="M97" s="41">
        <f>IFERROR(INDEX(환산공식!CK$16:CK$301,MATCH(E97,환산공식!$A$16:$A$301,0)),"")</f>
        <v>40</v>
      </c>
      <c r="N97" s="113" t="str">
        <f t="shared" si="4"/>
        <v>1% 이하</v>
      </c>
      <c r="O97" s="119">
        <f>IFERROR(ROUND(INDEX(환산공식!$EF$16:$EF$301,MATCH(E97,환산공식!$A$16:$A$301,0)),3),"")</f>
        <v>0</v>
      </c>
      <c r="P97" s="119">
        <f>IFERROR(ROUND(INDEX('배치점수 계산기'!M$11:M$1000,MATCH($C97,'배치점수 계산기'!$U$11:$U$1000,0)),2),"")</f>
        <v>561.94000000000005</v>
      </c>
      <c r="Q97" s="41">
        <f>IFERROR(ROUND(INDEX('배치점수 계산기'!N$11:N$1000,MATCH($C97,'배치점수 계산기'!$U$11:$U$1000,0)),2),"")</f>
        <v>560.94000000000005</v>
      </c>
      <c r="R97" s="41">
        <f>IFERROR(ROUND(INDEX('배치점수 계산기'!O$11:O$1000,MATCH($C97,'배치점수 계산기'!$U$11:$U$1000,0)),2),"")</f>
        <v>560.03</v>
      </c>
      <c r="S97" s="41">
        <f>IFERROR(ROUND(INDEX('배치점수 계산기'!P$11:P$1000,MATCH($C97,'배치점수 계산기'!$U$11:$U$1000,0)),2),"")</f>
        <v>558.48</v>
      </c>
      <c r="T97" s="41">
        <f>IFERROR(ROUND(INDEX('배치점수 계산기'!Q$11:Q$1000,MATCH($C97,'배치점수 계산기'!$U$11:$U$1000,0)),2),"")</f>
        <v>555.04</v>
      </c>
      <c r="U97" s="41">
        <f>IFERROR(INDEX(환산공식!$DC$16:$DC$301,MATCH(E97,환산공식!$A$16:$A$301,0)),"")</f>
        <v>0</v>
      </c>
      <c r="V97" s="113">
        <f t="shared" si="5"/>
        <v>6</v>
      </c>
      <c r="W97" s="110" t="str">
        <f>INDEX('배치점수 계산기'!$AG$11:$AG$800,MATCH('       나 군       '!$C97,'배치점수 계산기'!$U$11:$U$800,0))</f>
        <v>표점</v>
      </c>
      <c r="X97" s="108" t="str">
        <f>INDEX('배치점수 계산기'!$AH$11:$AH$800,MATCH('       나 군       '!$C97,'배치점수 계산기'!$U$11:$U$800,0))</f>
        <v>변표</v>
      </c>
      <c r="Y97" s="113">
        <f>INDEX('배치점수 계산기'!$AB$11:$AB$800,MATCH('       나 군       '!$C97,'배치점수 계산기'!$U$11:$U$800,0))</f>
        <v>0.25</v>
      </c>
      <c r="Z97" s="73">
        <f>INDEX('배치점수 계산기'!$AC$11:$AC$800,MATCH('       나 군       '!$C97,'배치점수 계산기'!$U$11:$U$800,0))</f>
        <v>0.43749999999999994</v>
      </c>
      <c r="AA97" s="63">
        <f>INDEX('배치점수 계산기'!$AD$11:$AD$800,MATCH('       나 군       '!$C97,'배치점수 계산기'!$U$11:$U$800,0))</f>
        <v>0.3125</v>
      </c>
      <c r="AE97" s="7">
        <v>90</v>
      </c>
    </row>
    <row r="98" spans="3:31" x14ac:dyDescent="0.3">
      <c r="C98" s="7" t="s">
        <v>1325</v>
      </c>
      <c r="D98" s="41" t="s">
        <v>1092</v>
      </c>
      <c r="E98" s="41">
        <v>33</v>
      </c>
      <c r="F98" s="113" t="s">
        <v>346</v>
      </c>
      <c r="G98" s="41" t="s">
        <v>410</v>
      </c>
      <c r="H98" s="41" t="s">
        <v>355</v>
      </c>
      <c r="I98" s="41" t="s">
        <v>274</v>
      </c>
      <c r="J98" s="41" t="str">
        <f t="shared" si="3"/>
        <v>X</v>
      </c>
      <c r="K98" s="113">
        <f>IFERROR(INDEX(환산공식!CI$16:CI$301,MATCH($E98,환산공식!$A$16:$A$301,0)),"")</f>
        <v>120</v>
      </c>
      <c r="L98" s="41" t="str">
        <f>IFERROR(CONCATENATE(ROUND(INDEX(환산공식!CJ$16:CJ$301,MATCH(E98,환산공식!$A$16:$A$301,0)),1),"%"),"")</f>
        <v>100%</v>
      </c>
      <c r="M98" s="41">
        <f>IFERROR(INDEX(환산공식!CK$16:CK$301,MATCH(E98,환산공식!$A$16:$A$301,0)),"")</f>
        <v>40</v>
      </c>
      <c r="N98" s="113" t="str">
        <f t="shared" si="4"/>
        <v>1% 이하</v>
      </c>
      <c r="O98" s="119">
        <f>IFERROR(ROUND(INDEX(환산공식!$EF$16:$EF$301,MATCH(E98,환산공식!$A$16:$A$301,0)),3),"")</f>
        <v>0</v>
      </c>
      <c r="P98" s="119">
        <f>IFERROR(ROUND(INDEX('배치점수 계산기'!M$11:M$1000,MATCH($C98,'배치점수 계산기'!$U$11:$U$1000,0)),2),"")</f>
        <v>561.94000000000005</v>
      </c>
      <c r="Q98" s="41">
        <f>IFERROR(ROUND(INDEX('배치점수 계산기'!N$11:N$1000,MATCH($C98,'배치점수 계산기'!$U$11:$U$1000,0)),2),"")</f>
        <v>560.94000000000005</v>
      </c>
      <c r="R98" s="41">
        <f>IFERROR(ROUND(INDEX('배치점수 계산기'!O$11:O$1000,MATCH($C98,'배치점수 계산기'!$U$11:$U$1000,0)),2),"")</f>
        <v>560.03</v>
      </c>
      <c r="S98" s="41">
        <f>IFERROR(ROUND(INDEX('배치점수 계산기'!P$11:P$1000,MATCH($C98,'배치점수 계산기'!$U$11:$U$1000,0)),2),"")</f>
        <v>558.48</v>
      </c>
      <c r="T98" s="41">
        <f>IFERROR(ROUND(INDEX('배치점수 계산기'!Q$11:Q$1000,MATCH($C98,'배치점수 계산기'!$U$11:$U$1000,0)),2),"")</f>
        <v>555.04</v>
      </c>
      <c r="U98" s="41">
        <f>IFERROR(INDEX(환산공식!$DC$16:$DC$301,MATCH(E98,환산공식!$A$16:$A$301,0)),"")</f>
        <v>0</v>
      </c>
      <c r="V98" s="113">
        <f t="shared" si="5"/>
        <v>6</v>
      </c>
      <c r="W98" s="110" t="str">
        <f>INDEX('배치점수 계산기'!$AG$11:$AG$800,MATCH('       나 군       '!$C98,'배치점수 계산기'!$U$11:$U$800,0))</f>
        <v>표점</v>
      </c>
      <c r="X98" s="108" t="str">
        <f>INDEX('배치점수 계산기'!$AH$11:$AH$800,MATCH('       나 군       '!$C98,'배치점수 계산기'!$U$11:$U$800,0))</f>
        <v>변표</v>
      </c>
      <c r="Y98" s="113">
        <f>INDEX('배치점수 계산기'!$AB$11:$AB$800,MATCH('       나 군       '!$C98,'배치점수 계산기'!$U$11:$U$800,0))</f>
        <v>0.25</v>
      </c>
      <c r="Z98" s="73">
        <f>INDEX('배치점수 계산기'!$AC$11:$AC$800,MATCH('       나 군       '!$C98,'배치점수 계산기'!$U$11:$U$800,0))</f>
        <v>0.43749999999999994</v>
      </c>
      <c r="AA98" s="63">
        <f>INDEX('배치점수 계산기'!$AD$11:$AD$800,MATCH('       나 군       '!$C98,'배치점수 계산기'!$U$11:$U$800,0))</f>
        <v>0.3125</v>
      </c>
      <c r="AE98" s="7">
        <v>91</v>
      </c>
    </row>
    <row r="99" spans="3:31" x14ac:dyDescent="0.3">
      <c r="C99" s="7" t="s">
        <v>1326</v>
      </c>
      <c r="D99" s="41" t="s">
        <v>1092</v>
      </c>
      <c r="E99" s="41">
        <v>33</v>
      </c>
      <c r="F99" s="113" t="s">
        <v>346</v>
      </c>
      <c r="G99" s="41" t="s">
        <v>410</v>
      </c>
      <c r="H99" s="41" t="s">
        <v>398</v>
      </c>
      <c r="I99" s="41" t="s">
        <v>274</v>
      </c>
      <c r="J99" s="41" t="str">
        <f t="shared" si="3"/>
        <v>X</v>
      </c>
      <c r="K99" s="113">
        <f>IFERROR(INDEX(환산공식!CI$16:CI$301,MATCH($E99,환산공식!$A$16:$A$301,0)),"")</f>
        <v>120</v>
      </c>
      <c r="L99" s="41" t="str">
        <f>IFERROR(CONCATENATE(ROUND(INDEX(환산공식!CJ$16:CJ$301,MATCH(E99,환산공식!$A$16:$A$301,0)),1),"%"),"")</f>
        <v>100%</v>
      </c>
      <c r="M99" s="41">
        <f>IFERROR(INDEX(환산공식!CK$16:CK$301,MATCH(E99,환산공식!$A$16:$A$301,0)),"")</f>
        <v>40</v>
      </c>
      <c r="N99" s="113" t="str">
        <f t="shared" si="4"/>
        <v>1% 이하</v>
      </c>
      <c r="O99" s="119">
        <f>IFERROR(ROUND(INDEX(환산공식!$EF$16:$EF$301,MATCH(E99,환산공식!$A$16:$A$301,0)),3),"")</f>
        <v>0</v>
      </c>
      <c r="P99" s="119">
        <f>IFERROR(ROUND(INDEX('배치점수 계산기'!M$11:M$1000,MATCH($C99,'배치점수 계산기'!$U$11:$U$1000,0)),2),"")</f>
        <v>557.32000000000005</v>
      </c>
      <c r="Q99" s="41">
        <f>IFERROR(ROUND(INDEX('배치점수 계산기'!N$11:N$1000,MATCH($C99,'배치점수 계산기'!$U$11:$U$1000,0)),2),"")</f>
        <v>555.52</v>
      </c>
      <c r="R99" s="41">
        <f>IFERROR(ROUND(INDEX('배치점수 계산기'!O$11:O$1000,MATCH($C99,'배치점수 계산기'!$U$11:$U$1000,0)),2),"")</f>
        <v>554.03</v>
      </c>
      <c r="S99" s="41">
        <f>IFERROR(ROUND(INDEX('배치점수 계산기'!P$11:P$1000,MATCH($C99,'배치점수 계산기'!$U$11:$U$1000,0)),2),"")</f>
        <v>553.5</v>
      </c>
      <c r="T99" s="41">
        <f>IFERROR(ROUND(INDEX('배치점수 계산기'!Q$11:Q$1000,MATCH($C99,'배치점수 계산기'!$U$11:$U$1000,0)),2),"")</f>
        <v>552.76</v>
      </c>
      <c r="U99" s="41">
        <f>IFERROR(INDEX(환산공식!$DC$16:$DC$301,MATCH(E99,환산공식!$A$16:$A$301,0)),"")</f>
        <v>0</v>
      </c>
      <c r="V99" s="113">
        <f t="shared" si="5"/>
        <v>6</v>
      </c>
      <c r="W99" s="110" t="str">
        <f>INDEX('배치점수 계산기'!$AG$11:$AG$800,MATCH('       나 군       '!$C99,'배치점수 계산기'!$U$11:$U$800,0))</f>
        <v>표점</v>
      </c>
      <c r="X99" s="108" t="str">
        <f>INDEX('배치점수 계산기'!$AH$11:$AH$800,MATCH('       나 군       '!$C99,'배치점수 계산기'!$U$11:$U$800,0))</f>
        <v>변표</v>
      </c>
      <c r="Y99" s="113">
        <f>INDEX('배치점수 계산기'!$AB$11:$AB$800,MATCH('       나 군       '!$C99,'배치점수 계산기'!$U$11:$U$800,0))</f>
        <v>0.25</v>
      </c>
      <c r="Z99" s="73">
        <f>INDEX('배치점수 계산기'!$AC$11:$AC$800,MATCH('       나 군       '!$C99,'배치점수 계산기'!$U$11:$U$800,0))</f>
        <v>0.43749999999999994</v>
      </c>
      <c r="AA99" s="63">
        <f>INDEX('배치점수 계산기'!$AD$11:$AD$800,MATCH('       나 군       '!$C99,'배치점수 계산기'!$U$11:$U$800,0))</f>
        <v>0.3125</v>
      </c>
      <c r="AE99" s="7">
        <v>92</v>
      </c>
    </row>
    <row r="100" spans="3:31" x14ac:dyDescent="0.3">
      <c r="C100" s="7" t="s">
        <v>1327</v>
      </c>
      <c r="D100" s="41" t="s">
        <v>1092</v>
      </c>
      <c r="E100" s="41">
        <v>33</v>
      </c>
      <c r="F100" s="113" t="s">
        <v>346</v>
      </c>
      <c r="G100" s="41" t="s">
        <v>410</v>
      </c>
      <c r="H100" s="41" t="s">
        <v>399</v>
      </c>
      <c r="I100" s="41" t="s">
        <v>274</v>
      </c>
      <c r="J100" s="41" t="str">
        <f t="shared" si="3"/>
        <v>X</v>
      </c>
      <c r="K100" s="113">
        <f>IFERROR(INDEX(환산공식!CI$16:CI$301,MATCH($E100,환산공식!$A$16:$A$301,0)),"")</f>
        <v>120</v>
      </c>
      <c r="L100" s="41" t="str">
        <f>IFERROR(CONCATENATE(ROUND(INDEX(환산공식!CJ$16:CJ$301,MATCH(E100,환산공식!$A$16:$A$301,0)),1),"%"),"")</f>
        <v>100%</v>
      </c>
      <c r="M100" s="41">
        <f>IFERROR(INDEX(환산공식!CK$16:CK$301,MATCH(E100,환산공식!$A$16:$A$301,0)),"")</f>
        <v>40</v>
      </c>
      <c r="N100" s="113" t="str">
        <f t="shared" si="4"/>
        <v>1% 이하</v>
      </c>
      <c r="O100" s="119">
        <f>IFERROR(ROUND(INDEX(환산공식!$EF$16:$EF$301,MATCH(E100,환산공식!$A$16:$A$301,0)),3),"")</f>
        <v>0</v>
      </c>
      <c r="P100" s="119">
        <f>IFERROR(ROUND(INDEX('배치점수 계산기'!M$11:M$1000,MATCH($C100,'배치점수 계산기'!$U$11:$U$1000,0)),2),"")</f>
        <v>557.32000000000005</v>
      </c>
      <c r="Q100" s="41">
        <f>IFERROR(ROUND(INDEX('배치점수 계산기'!N$11:N$1000,MATCH($C100,'배치점수 계산기'!$U$11:$U$1000,0)),2),"")</f>
        <v>555.52</v>
      </c>
      <c r="R100" s="41">
        <f>IFERROR(ROUND(INDEX('배치점수 계산기'!O$11:O$1000,MATCH($C100,'배치점수 계산기'!$U$11:$U$1000,0)),2),"")</f>
        <v>554.03</v>
      </c>
      <c r="S100" s="41">
        <f>IFERROR(ROUND(INDEX('배치점수 계산기'!P$11:P$1000,MATCH($C100,'배치점수 계산기'!$U$11:$U$1000,0)),2),"")</f>
        <v>553.5</v>
      </c>
      <c r="T100" s="41">
        <f>IFERROR(ROUND(INDEX('배치점수 계산기'!Q$11:Q$1000,MATCH($C100,'배치점수 계산기'!$U$11:$U$1000,0)),2),"")</f>
        <v>552.76</v>
      </c>
      <c r="U100" s="41">
        <f>IFERROR(INDEX(환산공식!$DC$16:$DC$301,MATCH(E100,환산공식!$A$16:$A$301,0)),"")</f>
        <v>0</v>
      </c>
      <c r="V100" s="113">
        <f t="shared" si="5"/>
        <v>6</v>
      </c>
      <c r="W100" s="110" t="str">
        <f>INDEX('배치점수 계산기'!$AG$11:$AG$800,MATCH('       나 군       '!$C100,'배치점수 계산기'!$U$11:$U$800,0))</f>
        <v>표점</v>
      </c>
      <c r="X100" s="108" t="str">
        <f>INDEX('배치점수 계산기'!$AH$11:$AH$800,MATCH('       나 군       '!$C100,'배치점수 계산기'!$U$11:$U$800,0))</f>
        <v>변표</v>
      </c>
      <c r="Y100" s="113">
        <f>INDEX('배치점수 계산기'!$AB$11:$AB$800,MATCH('       나 군       '!$C100,'배치점수 계산기'!$U$11:$U$800,0))</f>
        <v>0.25</v>
      </c>
      <c r="Z100" s="73">
        <f>INDEX('배치점수 계산기'!$AC$11:$AC$800,MATCH('       나 군       '!$C100,'배치점수 계산기'!$U$11:$U$800,0))</f>
        <v>0.43749999999999994</v>
      </c>
      <c r="AA100" s="63">
        <f>INDEX('배치점수 계산기'!$AD$11:$AD$800,MATCH('       나 군       '!$C100,'배치점수 계산기'!$U$11:$U$800,0))</f>
        <v>0.3125</v>
      </c>
      <c r="AE100" s="7">
        <v>93</v>
      </c>
    </row>
    <row r="101" spans="3:31" x14ac:dyDescent="0.3">
      <c r="C101" s="7" t="s">
        <v>1328</v>
      </c>
      <c r="D101" s="41" t="s">
        <v>1092</v>
      </c>
      <c r="E101" s="41">
        <v>33</v>
      </c>
      <c r="F101" s="113" t="s">
        <v>346</v>
      </c>
      <c r="G101" s="41" t="s">
        <v>410</v>
      </c>
      <c r="H101" s="41" t="s">
        <v>400</v>
      </c>
      <c r="I101" s="41" t="s">
        <v>274</v>
      </c>
      <c r="J101" s="41" t="str">
        <f t="shared" si="3"/>
        <v>X</v>
      </c>
      <c r="K101" s="113">
        <f>IFERROR(INDEX(환산공식!CI$16:CI$301,MATCH($E101,환산공식!$A$16:$A$301,0)),"")</f>
        <v>120</v>
      </c>
      <c r="L101" s="41" t="str">
        <f>IFERROR(CONCATENATE(ROUND(INDEX(환산공식!CJ$16:CJ$301,MATCH(E101,환산공식!$A$16:$A$301,0)),1),"%"),"")</f>
        <v>100%</v>
      </c>
      <c r="M101" s="41">
        <f>IFERROR(INDEX(환산공식!CK$16:CK$301,MATCH(E101,환산공식!$A$16:$A$301,0)),"")</f>
        <v>40</v>
      </c>
      <c r="N101" s="113" t="str">
        <f t="shared" si="4"/>
        <v>1% 이하</v>
      </c>
      <c r="O101" s="119">
        <f>IFERROR(ROUND(INDEX(환산공식!$EF$16:$EF$301,MATCH(E101,환산공식!$A$16:$A$301,0)),3),"")</f>
        <v>0</v>
      </c>
      <c r="P101" s="119">
        <f>IFERROR(ROUND(INDEX('배치점수 계산기'!M$11:M$1000,MATCH($C101,'배치점수 계산기'!$U$11:$U$1000,0)),2),"")</f>
        <v>557.32000000000005</v>
      </c>
      <c r="Q101" s="41">
        <f>IFERROR(ROUND(INDEX('배치점수 계산기'!N$11:N$1000,MATCH($C101,'배치점수 계산기'!$U$11:$U$1000,0)),2),"")</f>
        <v>555.52</v>
      </c>
      <c r="R101" s="41">
        <f>IFERROR(ROUND(INDEX('배치점수 계산기'!O$11:O$1000,MATCH($C101,'배치점수 계산기'!$U$11:$U$1000,0)),2),"")</f>
        <v>554.03</v>
      </c>
      <c r="S101" s="41">
        <f>IFERROR(ROUND(INDEX('배치점수 계산기'!P$11:P$1000,MATCH($C101,'배치점수 계산기'!$U$11:$U$1000,0)),2),"")</f>
        <v>553.5</v>
      </c>
      <c r="T101" s="41">
        <f>IFERROR(ROUND(INDEX('배치점수 계산기'!Q$11:Q$1000,MATCH($C101,'배치점수 계산기'!$U$11:$U$1000,0)),2),"")</f>
        <v>552.76</v>
      </c>
      <c r="U101" s="41">
        <f>IFERROR(INDEX(환산공식!$DC$16:$DC$301,MATCH(E101,환산공식!$A$16:$A$301,0)),"")</f>
        <v>0</v>
      </c>
      <c r="V101" s="113">
        <f t="shared" si="5"/>
        <v>6</v>
      </c>
      <c r="W101" s="110" t="str">
        <f>INDEX('배치점수 계산기'!$AG$11:$AG$800,MATCH('       나 군       '!$C101,'배치점수 계산기'!$U$11:$U$800,0))</f>
        <v>표점</v>
      </c>
      <c r="X101" s="108" t="str">
        <f>INDEX('배치점수 계산기'!$AH$11:$AH$800,MATCH('       나 군       '!$C101,'배치점수 계산기'!$U$11:$U$800,0))</f>
        <v>변표</v>
      </c>
      <c r="Y101" s="113">
        <f>INDEX('배치점수 계산기'!$AB$11:$AB$800,MATCH('       나 군       '!$C101,'배치점수 계산기'!$U$11:$U$800,0))</f>
        <v>0.25</v>
      </c>
      <c r="Z101" s="73">
        <f>INDEX('배치점수 계산기'!$AC$11:$AC$800,MATCH('       나 군       '!$C101,'배치점수 계산기'!$U$11:$U$800,0))</f>
        <v>0.43749999999999994</v>
      </c>
      <c r="AA101" s="63">
        <f>INDEX('배치점수 계산기'!$AD$11:$AD$800,MATCH('       나 군       '!$C101,'배치점수 계산기'!$U$11:$U$800,0))</f>
        <v>0.3125</v>
      </c>
      <c r="AE101" s="7">
        <v>94</v>
      </c>
    </row>
    <row r="102" spans="3:31" x14ac:dyDescent="0.3">
      <c r="C102" s="7" t="s">
        <v>1329</v>
      </c>
      <c r="D102" s="41" t="s">
        <v>1092</v>
      </c>
      <c r="E102" s="41">
        <v>33</v>
      </c>
      <c r="F102" s="113" t="s">
        <v>346</v>
      </c>
      <c r="G102" s="41" t="s">
        <v>410</v>
      </c>
      <c r="H102" s="41" t="s">
        <v>401</v>
      </c>
      <c r="I102" s="41" t="s">
        <v>274</v>
      </c>
      <c r="J102" s="41" t="str">
        <f t="shared" si="3"/>
        <v>X</v>
      </c>
      <c r="K102" s="113">
        <f>IFERROR(INDEX(환산공식!CI$16:CI$301,MATCH($E102,환산공식!$A$16:$A$301,0)),"")</f>
        <v>120</v>
      </c>
      <c r="L102" s="41" t="str">
        <f>IFERROR(CONCATENATE(ROUND(INDEX(환산공식!CJ$16:CJ$301,MATCH(E102,환산공식!$A$16:$A$301,0)),1),"%"),"")</f>
        <v>100%</v>
      </c>
      <c r="M102" s="41">
        <f>IFERROR(INDEX(환산공식!CK$16:CK$301,MATCH(E102,환산공식!$A$16:$A$301,0)),"")</f>
        <v>40</v>
      </c>
      <c r="N102" s="113" t="str">
        <f t="shared" si="4"/>
        <v>1% 이하</v>
      </c>
      <c r="O102" s="119">
        <f>IFERROR(ROUND(INDEX(환산공식!$EF$16:$EF$301,MATCH(E102,환산공식!$A$16:$A$301,0)),3),"")</f>
        <v>0</v>
      </c>
      <c r="P102" s="119">
        <f>IFERROR(ROUND(INDEX('배치점수 계산기'!M$11:M$1000,MATCH($C102,'배치점수 계산기'!$U$11:$U$1000,0)),2),"")</f>
        <v>557.32000000000005</v>
      </c>
      <c r="Q102" s="41">
        <f>IFERROR(ROUND(INDEX('배치점수 계산기'!N$11:N$1000,MATCH($C102,'배치점수 계산기'!$U$11:$U$1000,0)),2),"")</f>
        <v>555.52</v>
      </c>
      <c r="R102" s="41">
        <f>IFERROR(ROUND(INDEX('배치점수 계산기'!O$11:O$1000,MATCH($C102,'배치점수 계산기'!$U$11:$U$1000,0)),2),"")</f>
        <v>554.03</v>
      </c>
      <c r="S102" s="41">
        <f>IFERROR(ROUND(INDEX('배치점수 계산기'!P$11:P$1000,MATCH($C102,'배치점수 계산기'!$U$11:$U$1000,0)),2),"")</f>
        <v>553.5</v>
      </c>
      <c r="T102" s="41">
        <f>IFERROR(ROUND(INDEX('배치점수 계산기'!Q$11:Q$1000,MATCH($C102,'배치점수 계산기'!$U$11:$U$1000,0)),2),"")</f>
        <v>552.76</v>
      </c>
      <c r="U102" s="41">
        <f>IFERROR(INDEX(환산공식!$DC$16:$DC$301,MATCH(E102,환산공식!$A$16:$A$301,0)),"")</f>
        <v>0</v>
      </c>
      <c r="V102" s="113">
        <f t="shared" si="5"/>
        <v>6</v>
      </c>
      <c r="W102" s="110" t="str">
        <f>INDEX('배치점수 계산기'!$AG$11:$AG$800,MATCH('       나 군       '!$C102,'배치점수 계산기'!$U$11:$U$800,0))</f>
        <v>표점</v>
      </c>
      <c r="X102" s="108" t="str">
        <f>INDEX('배치점수 계산기'!$AH$11:$AH$800,MATCH('       나 군       '!$C102,'배치점수 계산기'!$U$11:$U$800,0))</f>
        <v>변표</v>
      </c>
      <c r="Y102" s="113">
        <f>INDEX('배치점수 계산기'!$AB$11:$AB$800,MATCH('       나 군       '!$C102,'배치점수 계산기'!$U$11:$U$800,0))</f>
        <v>0.25</v>
      </c>
      <c r="Z102" s="73">
        <f>INDEX('배치점수 계산기'!$AC$11:$AC$800,MATCH('       나 군       '!$C102,'배치점수 계산기'!$U$11:$U$800,0))</f>
        <v>0.43749999999999994</v>
      </c>
      <c r="AA102" s="63">
        <f>INDEX('배치점수 계산기'!$AD$11:$AD$800,MATCH('       나 군       '!$C102,'배치점수 계산기'!$U$11:$U$800,0))</f>
        <v>0.3125</v>
      </c>
      <c r="AE102" s="7">
        <v>95</v>
      </c>
    </row>
    <row r="103" spans="3:31" x14ac:dyDescent="0.3">
      <c r="C103" s="7" t="s">
        <v>1330</v>
      </c>
      <c r="D103" s="41" t="s">
        <v>1092</v>
      </c>
      <c r="E103" s="41">
        <v>33</v>
      </c>
      <c r="F103" s="113" t="s">
        <v>346</v>
      </c>
      <c r="G103" s="41" t="s">
        <v>410</v>
      </c>
      <c r="H103" s="41" t="s">
        <v>402</v>
      </c>
      <c r="I103" s="41" t="s">
        <v>274</v>
      </c>
      <c r="J103" s="41" t="str">
        <f t="shared" si="3"/>
        <v>X</v>
      </c>
      <c r="K103" s="113">
        <f>IFERROR(INDEX(환산공식!CI$16:CI$301,MATCH($E103,환산공식!$A$16:$A$301,0)),"")</f>
        <v>120</v>
      </c>
      <c r="L103" s="41" t="str">
        <f>IFERROR(CONCATENATE(ROUND(INDEX(환산공식!CJ$16:CJ$301,MATCH(E103,환산공식!$A$16:$A$301,0)),1),"%"),"")</f>
        <v>100%</v>
      </c>
      <c r="M103" s="41">
        <f>IFERROR(INDEX(환산공식!CK$16:CK$301,MATCH(E103,환산공식!$A$16:$A$301,0)),"")</f>
        <v>40</v>
      </c>
      <c r="N103" s="113" t="str">
        <f t="shared" si="4"/>
        <v>1% 이하</v>
      </c>
      <c r="O103" s="119">
        <f>IFERROR(ROUND(INDEX(환산공식!$EF$16:$EF$301,MATCH(E103,환산공식!$A$16:$A$301,0)),3),"")</f>
        <v>0</v>
      </c>
      <c r="P103" s="119">
        <f>IFERROR(ROUND(INDEX('배치점수 계산기'!M$11:M$1000,MATCH($C103,'배치점수 계산기'!$U$11:$U$1000,0)),2),"")</f>
        <v>559.04</v>
      </c>
      <c r="Q103" s="41">
        <f>IFERROR(ROUND(INDEX('배치점수 계산기'!N$11:N$1000,MATCH($C103,'배치점수 계산기'!$U$11:$U$1000,0)),2),"")</f>
        <v>558.48</v>
      </c>
      <c r="R103" s="41">
        <f>IFERROR(ROUND(INDEX('배치점수 계산기'!O$11:O$1000,MATCH($C103,'배치점수 계산기'!$U$11:$U$1000,0)),2),"")</f>
        <v>557.02</v>
      </c>
      <c r="S103" s="41">
        <f>IFERROR(ROUND(INDEX('배치점수 계산기'!P$11:P$1000,MATCH($C103,'배치점수 계산기'!$U$11:$U$1000,0)),2),"")</f>
        <v>555.52</v>
      </c>
      <c r="T103" s="41">
        <f>IFERROR(ROUND(INDEX('배치점수 계산기'!Q$11:Q$1000,MATCH($C103,'배치점수 계산기'!$U$11:$U$1000,0)),2),"")</f>
        <v>554.03</v>
      </c>
      <c r="U103" s="41">
        <f>IFERROR(INDEX(환산공식!$DC$16:$DC$301,MATCH(E103,환산공식!$A$16:$A$301,0)),"")</f>
        <v>0</v>
      </c>
      <c r="V103" s="113">
        <f t="shared" si="5"/>
        <v>6</v>
      </c>
      <c r="W103" s="110" t="str">
        <f>INDEX('배치점수 계산기'!$AG$11:$AG$800,MATCH('       나 군       '!$C103,'배치점수 계산기'!$U$11:$U$800,0))</f>
        <v>표점</v>
      </c>
      <c r="X103" s="108" t="str">
        <f>INDEX('배치점수 계산기'!$AH$11:$AH$800,MATCH('       나 군       '!$C103,'배치점수 계산기'!$U$11:$U$800,0))</f>
        <v>변표</v>
      </c>
      <c r="Y103" s="113">
        <f>INDEX('배치점수 계산기'!$AB$11:$AB$800,MATCH('       나 군       '!$C103,'배치점수 계산기'!$U$11:$U$800,0))</f>
        <v>0.25</v>
      </c>
      <c r="Z103" s="73">
        <f>INDEX('배치점수 계산기'!$AC$11:$AC$800,MATCH('       나 군       '!$C103,'배치점수 계산기'!$U$11:$U$800,0))</f>
        <v>0.43749999999999994</v>
      </c>
      <c r="AA103" s="63">
        <f>INDEX('배치점수 계산기'!$AD$11:$AD$800,MATCH('       나 군       '!$C103,'배치점수 계산기'!$U$11:$U$800,0))</f>
        <v>0.3125</v>
      </c>
      <c r="AE103" s="7">
        <v>96</v>
      </c>
    </row>
    <row r="104" spans="3:31" x14ac:dyDescent="0.3">
      <c r="C104" s="7" t="s">
        <v>1331</v>
      </c>
      <c r="D104" s="41" t="s">
        <v>1092</v>
      </c>
      <c r="E104" s="41">
        <v>33</v>
      </c>
      <c r="F104" s="113" t="s">
        <v>346</v>
      </c>
      <c r="G104" s="41" t="s">
        <v>410</v>
      </c>
      <c r="H104" s="41" t="s">
        <v>403</v>
      </c>
      <c r="I104" s="41" t="s">
        <v>274</v>
      </c>
      <c r="J104" s="41" t="str">
        <f t="shared" si="3"/>
        <v>X</v>
      </c>
      <c r="K104" s="113">
        <f>IFERROR(INDEX(환산공식!CI$16:CI$301,MATCH($E104,환산공식!$A$16:$A$301,0)),"")</f>
        <v>120</v>
      </c>
      <c r="L104" s="41" t="str">
        <f>IFERROR(CONCATENATE(ROUND(INDEX(환산공식!CJ$16:CJ$301,MATCH(E104,환산공식!$A$16:$A$301,0)),1),"%"),"")</f>
        <v>100%</v>
      </c>
      <c r="M104" s="41">
        <f>IFERROR(INDEX(환산공식!CK$16:CK$301,MATCH(E104,환산공식!$A$16:$A$301,0)),"")</f>
        <v>40</v>
      </c>
      <c r="N104" s="113" t="str">
        <f t="shared" si="4"/>
        <v>1% 이하</v>
      </c>
      <c r="O104" s="119">
        <f>IFERROR(ROUND(INDEX(환산공식!$EF$16:$EF$301,MATCH(E104,환산공식!$A$16:$A$301,0)),3),"")</f>
        <v>0</v>
      </c>
      <c r="P104" s="119">
        <f>IFERROR(ROUND(INDEX('배치점수 계산기'!M$11:M$1000,MATCH($C104,'배치점수 계산기'!$U$11:$U$1000,0)),2),"")</f>
        <v>556.79</v>
      </c>
      <c r="Q104" s="41">
        <f>IFERROR(ROUND(INDEX('배치점수 계산기'!N$11:N$1000,MATCH($C104,'배치점수 계산기'!$U$11:$U$1000,0)),2),"")</f>
        <v>554.55999999999995</v>
      </c>
      <c r="R104" s="41">
        <f>IFERROR(ROUND(INDEX('배치점수 계산기'!O$11:O$1000,MATCH($C104,'배치점수 계산기'!$U$11:$U$1000,0)),2),"")</f>
        <v>553.5</v>
      </c>
      <c r="S104" s="41">
        <f>IFERROR(ROUND(INDEX('배치점수 계산기'!P$11:P$1000,MATCH($C104,'배치점수 계산기'!$U$11:$U$1000,0)),2),"")</f>
        <v>552.38</v>
      </c>
      <c r="T104" s="41">
        <f>IFERROR(ROUND(INDEX('배치점수 계산기'!Q$11:Q$1000,MATCH($C104,'배치점수 계산기'!$U$11:$U$1000,0)),2),"")</f>
        <v>551.69000000000005</v>
      </c>
      <c r="U104" s="41">
        <f>IFERROR(INDEX(환산공식!$DC$16:$DC$301,MATCH(E104,환산공식!$A$16:$A$301,0)),"")</f>
        <v>0</v>
      </c>
      <c r="V104" s="113">
        <f t="shared" si="5"/>
        <v>6</v>
      </c>
      <c r="W104" s="110" t="str">
        <f>INDEX('배치점수 계산기'!$AG$11:$AG$800,MATCH('       나 군       '!$C104,'배치점수 계산기'!$U$11:$U$800,0))</f>
        <v>표점</v>
      </c>
      <c r="X104" s="108" t="str">
        <f>INDEX('배치점수 계산기'!$AH$11:$AH$800,MATCH('       나 군       '!$C104,'배치점수 계산기'!$U$11:$U$800,0))</f>
        <v>변표</v>
      </c>
      <c r="Y104" s="113">
        <f>INDEX('배치점수 계산기'!$AB$11:$AB$800,MATCH('       나 군       '!$C104,'배치점수 계산기'!$U$11:$U$800,0))</f>
        <v>0.25</v>
      </c>
      <c r="Z104" s="73">
        <f>INDEX('배치점수 계산기'!$AC$11:$AC$800,MATCH('       나 군       '!$C104,'배치점수 계산기'!$U$11:$U$800,0))</f>
        <v>0.43749999999999994</v>
      </c>
      <c r="AA104" s="63">
        <f>INDEX('배치점수 계산기'!$AD$11:$AD$800,MATCH('       나 군       '!$C104,'배치점수 계산기'!$U$11:$U$800,0))</f>
        <v>0.3125</v>
      </c>
      <c r="AE104" s="7">
        <v>97</v>
      </c>
    </row>
    <row r="105" spans="3:31" x14ac:dyDescent="0.3">
      <c r="C105" s="7" t="s">
        <v>1332</v>
      </c>
      <c r="D105" s="41" t="s">
        <v>1092</v>
      </c>
      <c r="E105" s="41">
        <v>33</v>
      </c>
      <c r="F105" s="113" t="s">
        <v>346</v>
      </c>
      <c r="G105" s="41" t="s">
        <v>410</v>
      </c>
      <c r="H105" s="41" t="s">
        <v>404</v>
      </c>
      <c r="I105" s="41" t="s">
        <v>274</v>
      </c>
      <c r="J105" s="41" t="str">
        <f t="shared" si="3"/>
        <v>X</v>
      </c>
      <c r="K105" s="113">
        <f>IFERROR(INDEX(환산공식!CI$16:CI$301,MATCH($E105,환산공식!$A$16:$A$301,0)),"")</f>
        <v>120</v>
      </c>
      <c r="L105" s="41" t="str">
        <f>IFERROR(CONCATENATE(ROUND(INDEX(환산공식!CJ$16:CJ$301,MATCH(E105,환산공식!$A$16:$A$301,0)),1),"%"),"")</f>
        <v>100%</v>
      </c>
      <c r="M105" s="41">
        <f>IFERROR(INDEX(환산공식!CK$16:CK$301,MATCH(E105,환산공식!$A$16:$A$301,0)),"")</f>
        <v>40</v>
      </c>
      <c r="N105" s="113" t="str">
        <f t="shared" si="4"/>
        <v>1% 이하</v>
      </c>
      <c r="O105" s="119">
        <f>IFERROR(ROUND(INDEX(환산공식!$EF$16:$EF$301,MATCH(E105,환산공식!$A$16:$A$301,0)),3),"")</f>
        <v>0</v>
      </c>
      <c r="P105" s="119">
        <f>IFERROR(ROUND(INDEX('배치점수 계산기'!M$11:M$1000,MATCH($C105,'배치점수 계산기'!$U$11:$U$1000,0)),2),"")</f>
        <v>556.79</v>
      </c>
      <c r="Q105" s="41">
        <f>IFERROR(ROUND(INDEX('배치점수 계산기'!N$11:N$1000,MATCH($C105,'배치점수 계산기'!$U$11:$U$1000,0)),2),"")</f>
        <v>554.55999999999995</v>
      </c>
      <c r="R105" s="41">
        <f>IFERROR(ROUND(INDEX('배치점수 계산기'!O$11:O$1000,MATCH($C105,'배치점수 계산기'!$U$11:$U$1000,0)),2),"")</f>
        <v>553.5</v>
      </c>
      <c r="S105" s="41">
        <f>IFERROR(ROUND(INDEX('배치점수 계산기'!P$11:P$1000,MATCH($C105,'배치점수 계산기'!$U$11:$U$1000,0)),2),"")</f>
        <v>552.38</v>
      </c>
      <c r="T105" s="41">
        <f>IFERROR(ROUND(INDEX('배치점수 계산기'!Q$11:Q$1000,MATCH($C105,'배치점수 계산기'!$U$11:$U$1000,0)),2),"")</f>
        <v>551.69000000000005</v>
      </c>
      <c r="U105" s="41">
        <f>IFERROR(INDEX(환산공식!$DC$16:$DC$301,MATCH(E105,환산공식!$A$16:$A$301,0)),"")</f>
        <v>0</v>
      </c>
      <c r="V105" s="113">
        <f t="shared" si="5"/>
        <v>6</v>
      </c>
      <c r="W105" s="110" t="str">
        <f>INDEX('배치점수 계산기'!$AG$11:$AG$800,MATCH('       나 군       '!$C105,'배치점수 계산기'!$U$11:$U$800,0))</f>
        <v>표점</v>
      </c>
      <c r="X105" s="108" t="str">
        <f>INDEX('배치점수 계산기'!$AH$11:$AH$800,MATCH('       나 군       '!$C105,'배치점수 계산기'!$U$11:$U$800,0))</f>
        <v>변표</v>
      </c>
      <c r="Y105" s="113">
        <f>INDEX('배치점수 계산기'!$AB$11:$AB$800,MATCH('       나 군       '!$C105,'배치점수 계산기'!$U$11:$U$800,0))</f>
        <v>0.25</v>
      </c>
      <c r="Z105" s="73">
        <f>INDEX('배치점수 계산기'!$AC$11:$AC$800,MATCH('       나 군       '!$C105,'배치점수 계산기'!$U$11:$U$800,0))</f>
        <v>0.43749999999999994</v>
      </c>
      <c r="AA105" s="63">
        <f>INDEX('배치점수 계산기'!$AD$11:$AD$800,MATCH('       나 군       '!$C105,'배치점수 계산기'!$U$11:$U$800,0))</f>
        <v>0.3125</v>
      </c>
      <c r="AE105" s="7">
        <v>98</v>
      </c>
    </row>
    <row r="106" spans="3:31" x14ac:dyDescent="0.3">
      <c r="C106" s="7" t="s">
        <v>1333</v>
      </c>
      <c r="D106" s="41" t="s">
        <v>1092</v>
      </c>
      <c r="E106" s="41">
        <v>33</v>
      </c>
      <c r="F106" s="113" t="s">
        <v>346</v>
      </c>
      <c r="G106" s="41" t="s">
        <v>410</v>
      </c>
      <c r="H106" s="41" t="s">
        <v>405</v>
      </c>
      <c r="I106" s="41" t="s">
        <v>274</v>
      </c>
      <c r="J106" s="41" t="str">
        <f t="shared" si="3"/>
        <v>X</v>
      </c>
      <c r="K106" s="113">
        <f>IFERROR(INDEX(환산공식!CI$16:CI$301,MATCH($E106,환산공식!$A$16:$A$301,0)),"")</f>
        <v>120</v>
      </c>
      <c r="L106" s="41" t="str">
        <f>IFERROR(CONCATENATE(ROUND(INDEX(환산공식!CJ$16:CJ$301,MATCH(E106,환산공식!$A$16:$A$301,0)),1),"%"),"")</f>
        <v>100%</v>
      </c>
      <c r="M106" s="41">
        <f>IFERROR(INDEX(환산공식!CK$16:CK$301,MATCH(E106,환산공식!$A$16:$A$301,0)),"")</f>
        <v>40</v>
      </c>
      <c r="N106" s="113" t="str">
        <f t="shared" si="4"/>
        <v>1% 이하</v>
      </c>
      <c r="O106" s="119">
        <f>IFERROR(ROUND(INDEX(환산공식!$EF$16:$EF$301,MATCH(E106,환산공식!$A$16:$A$301,0)),3),"")</f>
        <v>0</v>
      </c>
      <c r="P106" s="119">
        <f>IFERROR(ROUND(INDEX('배치점수 계산기'!M$11:M$1000,MATCH($C106,'배치점수 계산기'!$U$11:$U$1000,0)),2),"")</f>
        <v>556.79</v>
      </c>
      <c r="Q106" s="41">
        <f>IFERROR(ROUND(INDEX('배치점수 계산기'!N$11:N$1000,MATCH($C106,'배치점수 계산기'!$U$11:$U$1000,0)),2),"")</f>
        <v>554.55999999999995</v>
      </c>
      <c r="R106" s="41">
        <f>IFERROR(ROUND(INDEX('배치점수 계산기'!O$11:O$1000,MATCH($C106,'배치점수 계산기'!$U$11:$U$1000,0)),2),"")</f>
        <v>553.5</v>
      </c>
      <c r="S106" s="41">
        <f>IFERROR(ROUND(INDEX('배치점수 계산기'!P$11:P$1000,MATCH($C106,'배치점수 계산기'!$U$11:$U$1000,0)),2),"")</f>
        <v>552.38</v>
      </c>
      <c r="T106" s="41">
        <f>IFERROR(ROUND(INDEX('배치점수 계산기'!Q$11:Q$1000,MATCH($C106,'배치점수 계산기'!$U$11:$U$1000,0)),2),"")</f>
        <v>551.69000000000005</v>
      </c>
      <c r="U106" s="41">
        <f>IFERROR(INDEX(환산공식!$DC$16:$DC$301,MATCH(E106,환산공식!$A$16:$A$301,0)),"")</f>
        <v>0</v>
      </c>
      <c r="V106" s="113">
        <f t="shared" si="5"/>
        <v>6</v>
      </c>
      <c r="W106" s="110" t="str">
        <f>INDEX('배치점수 계산기'!$AG$11:$AG$800,MATCH('       나 군       '!$C106,'배치점수 계산기'!$U$11:$U$800,0))</f>
        <v>표점</v>
      </c>
      <c r="X106" s="108" t="str">
        <f>INDEX('배치점수 계산기'!$AH$11:$AH$800,MATCH('       나 군       '!$C106,'배치점수 계산기'!$U$11:$U$800,0))</f>
        <v>변표</v>
      </c>
      <c r="Y106" s="113">
        <f>INDEX('배치점수 계산기'!$AB$11:$AB$800,MATCH('       나 군       '!$C106,'배치점수 계산기'!$U$11:$U$800,0))</f>
        <v>0.25</v>
      </c>
      <c r="Z106" s="73">
        <f>INDEX('배치점수 계산기'!$AC$11:$AC$800,MATCH('       나 군       '!$C106,'배치점수 계산기'!$U$11:$U$800,0))</f>
        <v>0.43749999999999994</v>
      </c>
      <c r="AA106" s="63">
        <f>INDEX('배치점수 계산기'!$AD$11:$AD$800,MATCH('       나 군       '!$C106,'배치점수 계산기'!$U$11:$U$800,0))</f>
        <v>0.3125</v>
      </c>
      <c r="AE106" s="7">
        <v>99</v>
      </c>
    </row>
    <row r="107" spans="3:31" x14ac:dyDescent="0.3">
      <c r="C107" s="7" t="s">
        <v>1334</v>
      </c>
      <c r="D107" s="41" t="s">
        <v>1092</v>
      </c>
      <c r="E107" s="41">
        <v>33</v>
      </c>
      <c r="F107" s="113" t="s">
        <v>346</v>
      </c>
      <c r="G107" s="41" t="s">
        <v>410</v>
      </c>
      <c r="H107" s="41" t="s">
        <v>406</v>
      </c>
      <c r="I107" s="41" t="s">
        <v>274</v>
      </c>
      <c r="J107" s="41" t="str">
        <f t="shared" si="3"/>
        <v>X</v>
      </c>
      <c r="K107" s="113">
        <f>IFERROR(INDEX(환산공식!CI$16:CI$301,MATCH($E107,환산공식!$A$16:$A$301,0)),"")</f>
        <v>120</v>
      </c>
      <c r="L107" s="41" t="str">
        <f>IFERROR(CONCATENATE(ROUND(INDEX(환산공식!CJ$16:CJ$301,MATCH(E107,환산공식!$A$16:$A$301,0)),1),"%"),"")</f>
        <v>100%</v>
      </c>
      <c r="M107" s="41">
        <f>IFERROR(INDEX(환산공식!CK$16:CK$301,MATCH(E107,환산공식!$A$16:$A$301,0)),"")</f>
        <v>40</v>
      </c>
      <c r="N107" s="113" t="str">
        <f t="shared" si="4"/>
        <v>1% 이하</v>
      </c>
      <c r="O107" s="119">
        <f>IFERROR(ROUND(INDEX(환산공식!$EF$16:$EF$301,MATCH(E107,환산공식!$A$16:$A$301,0)),3),"")</f>
        <v>0</v>
      </c>
      <c r="P107" s="119">
        <f>IFERROR(ROUND(INDEX('배치점수 계산기'!M$11:M$1000,MATCH($C107,'배치점수 계산기'!$U$11:$U$1000,0)),2),"")</f>
        <v>556.79</v>
      </c>
      <c r="Q107" s="41">
        <f>IFERROR(ROUND(INDEX('배치점수 계산기'!N$11:N$1000,MATCH($C107,'배치점수 계산기'!$U$11:$U$1000,0)),2),"")</f>
        <v>554.55999999999995</v>
      </c>
      <c r="R107" s="41">
        <f>IFERROR(ROUND(INDEX('배치점수 계산기'!O$11:O$1000,MATCH($C107,'배치점수 계산기'!$U$11:$U$1000,0)),2),"")</f>
        <v>553.5</v>
      </c>
      <c r="S107" s="41">
        <f>IFERROR(ROUND(INDEX('배치점수 계산기'!P$11:P$1000,MATCH($C107,'배치점수 계산기'!$U$11:$U$1000,0)),2),"")</f>
        <v>552.38</v>
      </c>
      <c r="T107" s="41">
        <f>IFERROR(ROUND(INDEX('배치점수 계산기'!Q$11:Q$1000,MATCH($C107,'배치점수 계산기'!$U$11:$U$1000,0)),2),"")</f>
        <v>551.69000000000005</v>
      </c>
      <c r="U107" s="41">
        <f>IFERROR(INDEX(환산공식!$DC$16:$DC$301,MATCH(E107,환산공식!$A$16:$A$301,0)),"")</f>
        <v>0</v>
      </c>
      <c r="V107" s="113">
        <f t="shared" si="5"/>
        <v>6</v>
      </c>
      <c r="W107" s="110" t="str">
        <f>INDEX('배치점수 계산기'!$AG$11:$AG$800,MATCH('       나 군       '!$C107,'배치점수 계산기'!$U$11:$U$800,0))</f>
        <v>표점</v>
      </c>
      <c r="X107" s="108" t="str">
        <f>INDEX('배치점수 계산기'!$AH$11:$AH$800,MATCH('       나 군       '!$C107,'배치점수 계산기'!$U$11:$U$800,0))</f>
        <v>변표</v>
      </c>
      <c r="Y107" s="113">
        <f>INDEX('배치점수 계산기'!$AB$11:$AB$800,MATCH('       나 군       '!$C107,'배치점수 계산기'!$U$11:$U$800,0))</f>
        <v>0.25</v>
      </c>
      <c r="Z107" s="73">
        <f>INDEX('배치점수 계산기'!$AC$11:$AC$800,MATCH('       나 군       '!$C107,'배치점수 계산기'!$U$11:$U$800,0))</f>
        <v>0.43749999999999994</v>
      </c>
      <c r="AA107" s="63">
        <f>INDEX('배치점수 계산기'!$AD$11:$AD$800,MATCH('       나 군       '!$C107,'배치점수 계산기'!$U$11:$U$800,0))</f>
        <v>0.3125</v>
      </c>
      <c r="AE107" s="7">
        <v>100</v>
      </c>
    </row>
    <row r="108" spans="3:31" x14ac:dyDescent="0.3">
      <c r="C108" s="7" t="s">
        <v>1335</v>
      </c>
      <c r="D108" s="41" t="s">
        <v>1068</v>
      </c>
      <c r="E108" s="41">
        <v>34</v>
      </c>
      <c r="F108" s="113" t="s">
        <v>346</v>
      </c>
      <c r="G108" s="41" t="s">
        <v>410</v>
      </c>
      <c r="H108" s="41" t="s">
        <v>411</v>
      </c>
      <c r="I108" s="41" t="s">
        <v>275</v>
      </c>
      <c r="J108" s="41" t="str">
        <f t="shared" si="3"/>
        <v>X</v>
      </c>
      <c r="K108" s="113">
        <f>IFERROR(INDEX(환산공식!CI$16:CI$301,MATCH($E108,환산공식!$A$16:$A$301,0)),"")</f>
        <v>120</v>
      </c>
      <c r="L108" s="41" t="str">
        <f>IFERROR(CONCATENATE(ROUND(INDEX(환산공식!CJ$16:CJ$301,MATCH(E108,환산공식!$A$16:$A$301,0)),1),"%"),"")</f>
        <v>100%</v>
      </c>
      <c r="M108" s="41">
        <f>IFERROR(INDEX(환산공식!CK$16:CK$301,MATCH(E108,환산공식!$A$16:$A$301,0)),"")</f>
        <v>40</v>
      </c>
      <c r="N108" s="113" t="str">
        <f t="shared" si="4"/>
        <v>1% 이하</v>
      </c>
      <c r="O108" s="119">
        <f>IFERROR(ROUND(INDEX(환산공식!$EF$16:$EF$301,MATCH(E108,환산공식!$A$16:$A$301,0)),3),"")</f>
        <v>0</v>
      </c>
      <c r="P108" s="119">
        <f>IFERROR(ROUND(INDEX('배치점수 계산기'!M$11:M$1000,MATCH($C108,'배치점수 계산기'!$U$11:$U$1000,0)),2),"")</f>
        <v>545.4</v>
      </c>
      <c r="Q108" s="41">
        <f>IFERROR(ROUND(INDEX('배치점수 계산기'!N$11:N$1000,MATCH($C108,'배치점수 계산기'!$U$11:$U$1000,0)),2),"")</f>
        <v>543.04999999999995</v>
      </c>
      <c r="R108" s="41">
        <f>IFERROR(ROUND(INDEX('배치점수 계산기'!O$11:O$1000,MATCH($C108,'배치점수 계산기'!$U$11:$U$1000,0)),2),"")</f>
        <v>540.89</v>
      </c>
      <c r="S108" s="41">
        <f>IFERROR(ROUND(INDEX('배치점수 계산기'!P$11:P$1000,MATCH($C108,'배치점수 계산기'!$U$11:$U$1000,0)),2),"")</f>
        <v>538.82000000000005</v>
      </c>
      <c r="T108" s="41">
        <f>IFERROR(ROUND(INDEX('배치점수 계산기'!Q$11:Q$1000,MATCH($C108,'배치점수 계산기'!$U$11:$U$1000,0)),2),"")</f>
        <v>536.58000000000004</v>
      </c>
      <c r="U108" s="41">
        <f>IFERROR(INDEX(환산공식!$DC$16:$DC$301,MATCH(E108,환산공식!$A$16:$A$301,0)),"")</f>
        <v>0</v>
      </c>
      <c r="V108" s="113">
        <f t="shared" si="5"/>
        <v>6</v>
      </c>
      <c r="W108" s="110" t="str">
        <f>INDEX('배치점수 계산기'!$AG$11:$AG$800,MATCH('       나 군       '!$C108,'배치점수 계산기'!$U$11:$U$800,0))</f>
        <v>표점</v>
      </c>
      <c r="X108" s="108" t="str">
        <f>INDEX('배치점수 계산기'!$AH$11:$AH$800,MATCH('       나 군       '!$C108,'배치점수 계산기'!$U$11:$U$800,0))</f>
        <v>변표</v>
      </c>
      <c r="Y108" s="113">
        <f>INDEX('배치점수 계산기'!$AB$11:$AB$800,MATCH('       나 군       '!$C108,'배치점수 계산기'!$U$11:$U$800,0))</f>
        <v>0.43749999999999994</v>
      </c>
      <c r="Z108" s="73">
        <f>INDEX('배치점수 계산기'!$AC$11:$AC$800,MATCH('       나 군       '!$C108,'배치점수 계산기'!$U$11:$U$800,0))</f>
        <v>0.3125</v>
      </c>
      <c r="AA108" s="63">
        <f>INDEX('배치점수 계산기'!$AD$11:$AD$800,MATCH('       나 군       '!$C108,'배치점수 계산기'!$U$11:$U$800,0))</f>
        <v>0.25</v>
      </c>
      <c r="AE108" s="7">
        <v>101</v>
      </c>
    </row>
    <row r="109" spans="3:31" x14ac:dyDescent="0.3">
      <c r="C109" s="7" t="s">
        <v>1336</v>
      </c>
      <c r="D109" s="41" t="s">
        <v>1068</v>
      </c>
      <c r="E109" s="41">
        <v>34</v>
      </c>
      <c r="F109" s="113" t="s">
        <v>346</v>
      </c>
      <c r="G109" s="41" t="s">
        <v>410</v>
      </c>
      <c r="H109" s="41" t="s">
        <v>412</v>
      </c>
      <c r="I109" s="41" t="s">
        <v>275</v>
      </c>
      <c r="J109" s="41" t="str">
        <f t="shared" si="3"/>
        <v>X</v>
      </c>
      <c r="K109" s="113">
        <f>IFERROR(INDEX(환산공식!CI$16:CI$301,MATCH($E109,환산공식!$A$16:$A$301,0)),"")</f>
        <v>120</v>
      </c>
      <c r="L109" s="41" t="str">
        <f>IFERROR(CONCATENATE(ROUND(INDEX(환산공식!CJ$16:CJ$301,MATCH(E109,환산공식!$A$16:$A$301,0)),1),"%"),"")</f>
        <v>100%</v>
      </c>
      <c r="M109" s="41">
        <f>IFERROR(INDEX(환산공식!CK$16:CK$301,MATCH(E109,환산공식!$A$16:$A$301,0)),"")</f>
        <v>40</v>
      </c>
      <c r="N109" s="113" t="str">
        <f t="shared" si="4"/>
        <v>1% 이하</v>
      </c>
      <c r="O109" s="119">
        <f>IFERROR(ROUND(INDEX(환산공식!$EF$16:$EF$301,MATCH(E109,환산공식!$A$16:$A$301,0)),3),"")</f>
        <v>0</v>
      </c>
      <c r="P109" s="119">
        <f>IFERROR(ROUND(INDEX('배치점수 계산기'!M$11:M$1000,MATCH($C109,'배치점수 계산기'!$U$11:$U$1000,0)),2),"")</f>
        <v>545.4</v>
      </c>
      <c r="Q109" s="41">
        <f>IFERROR(ROUND(INDEX('배치점수 계산기'!N$11:N$1000,MATCH($C109,'배치점수 계산기'!$U$11:$U$1000,0)),2),"")</f>
        <v>543.04999999999995</v>
      </c>
      <c r="R109" s="41">
        <f>IFERROR(ROUND(INDEX('배치점수 계산기'!O$11:O$1000,MATCH($C109,'배치점수 계산기'!$U$11:$U$1000,0)),2),"")</f>
        <v>541.36</v>
      </c>
      <c r="S109" s="41">
        <f>IFERROR(ROUND(INDEX('배치점수 계산기'!P$11:P$1000,MATCH($C109,'배치점수 계산기'!$U$11:$U$1000,0)),2),"")</f>
        <v>539.25</v>
      </c>
      <c r="T109" s="41">
        <f>IFERROR(ROUND(INDEX('배치점수 계산기'!Q$11:Q$1000,MATCH($C109,'배치점수 계산기'!$U$11:$U$1000,0)),2),"")</f>
        <v>537.94000000000005</v>
      </c>
      <c r="U109" s="41">
        <f>IFERROR(INDEX(환산공식!$DC$16:$DC$301,MATCH(E109,환산공식!$A$16:$A$301,0)),"")</f>
        <v>0</v>
      </c>
      <c r="V109" s="113">
        <f t="shared" si="5"/>
        <v>6</v>
      </c>
      <c r="W109" s="110" t="str">
        <f>INDEX('배치점수 계산기'!$AG$11:$AG$800,MATCH('       나 군       '!$C109,'배치점수 계산기'!$U$11:$U$800,0))</f>
        <v>표점</v>
      </c>
      <c r="X109" s="108" t="str">
        <f>INDEX('배치점수 계산기'!$AH$11:$AH$800,MATCH('       나 군       '!$C109,'배치점수 계산기'!$U$11:$U$800,0))</f>
        <v>변표</v>
      </c>
      <c r="Y109" s="113">
        <f>INDEX('배치점수 계산기'!$AB$11:$AB$800,MATCH('       나 군       '!$C109,'배치점수 계산기'!$U$11:$U$800,0))</f>
        <v>0.43749999999999994</v>
      </c>
      <c r="Z109" s="73">
        <f>INDEX('배치점수 계산기'!$AC$11:$AC$800,MATCH('       나 군       '!$C109,'배치점수 계산기'!$U$11:$U$800,0))</f>
        <v>0.3125</v>
      </c>
      <c r="AA109" s="63">
        <f>INDEX('배치점수 계산기'!$AD$11:$AD$800,MATCH('       나 군       '!$C109,'배치점수 계산기'!$U$11:$U$800,0))</f>
        <v>0.25</v>
      </c>
      <c r="AE109" s="7">
        <v>102</v>
      </c>
    </row>
    <row r="110" spans="3:31" x14ac:dyDescent="0.3">
      <c r="C110" s="7" t="s">
        <v>1337</v>
      </c>
      <c r="D110" s="41" t="s">
        <v>1068</v>
      </c>
      <c r="E110" s="41">
        <v>34</v>
      </c>
      <c r="F110" s="113" t="s">
        <v>346</v>
      </c>
      <c r="G110" s="41" t="s">
        <v>410</v>
      </c>
      <c r="H110" s="41" t="s">
        <v>413</v>
      </c>
      <c r="I110" s="41" t="s">
        <v>275</v>
      </c>
      <c r="J110" s="41" t="str">
        <f t="shared" si="3"/>
        <v>X</v>
      </c>
      <c r="K110" s="113">
        <f>IFERROR(INDEX(환산공식!CI$16:CI$301,MATCH($E110,환산공식!$A$16:$A$301,0)),"")</f>
        <v>120</v>
      </c>
      <c r="L110" s="41" t="str">
        <f>IFERROR(CONCATENATE(ROUND(INDEX(환산공식!CJ$16:CJ$301,MATCH(E110,환산공식!$A$16:$A$301,0)),1),"%"),"")</f>
        <v>100%</v>
      </c>
      <c r="M110" s="41">
        <f>IFERROR(INDEX(환산공식!CK$16:CK$301,MATCH(E110,환산공식!$A$16:$A$301,0)),"")</f>
        <v>40</v>
      </c>
      <c r="N110" s="113" t="str">
        <f t="shared" si="4"/>
        <v>1% 이하</v>
      </c>
      <c r="O110" s="119">
        <f>IFERROR(ROUND(INDEX(환산공식!$EF$16:$EF$301,MATCH(E110,환산공식!$A$16:$A$301,0)),3),"")</f>
        <v>0</v>
      </c>
      <c r="P110" s="119">
        <f>IFERROR(ROUND(INDEX('배치점수 계산기'!M$11:M$1000,MATCH($C110,'배치점수 계산기'!$U$11:$U$1000,0)),2),"")</f>
        <v>545.4</v>
      </c>
      <c r="Q110" s="41">
        <f>IFERROR(ROUND(INDEX('배치점수 계산기'!N$11:N$1000,MATCH($C110,'배치점수 계산기'!$U$11:$U$1000,0)),2),"")</f>
        <v>543.04999999999995</v>
      </c>
      <c r="R110" s="41">
        <f>IFERROR(ROUND(INDEX('배치점수 계산기'!O$11:O$1000,MATCH($C110,'배치점수 계산기'!$U$11:$U$1000,0)),2),"")</f>
        <v>540.89</v>
      </c>
      <c r="S110" s="41">
        <f>IFERROR(ROUND(INDEX('배치점수 계산기'!P$11:P$1000,MATCH($C110,'배치점수 계산기'!$U$11:$U$1000,0)),2),"")</f>
        <v>538.82000000000005</v>
      </c>
      <c r="T110" s="41">
        <f>IFERROR(ROUND(INDEX('배치점수 계산기'!Q$11:Q$1000,MATCH($C110,'배치점수 계산기'!$U$11:$U$1000,0)),2),"")</f>
        <v>536.58000000000004</v>
      </c>
      <c r="U110" s="41">
        <f>IFERROR(INDEX(환산공식!$DC$16:$DC$301,MATCH(E110,환산공식!$A$16:$A$301,0)),"")</f>
        <v>0</v>
      </c>
      <c r="V110" s="113">
        <f t="shared" si="5"/>
        <v>6</v>
      </c>
      <c r="W110" s="110" t="str">
        <f>INDEX('배치점수 계산기'!$AG$11:$AG$800,MATCH('       나 군       '!$C110,'배치점수 계산기'!$U$11:$U$800,0))</f>
        <v>표점</v>
      </c>
      <c r="X110" s="108" t="str">
        <f>INDEX('배치점수 계산기'!$AH$11:$AH$800,MATCH('       나 군       '!$C110,'배치점수 계산기'!$U$11:$U$800,0))</f>
        <v>변표</v>
      </c>
      <c r="Y110" s="113">
        <f>INDEX('배치점수 계산기'!$AB$11:$AB$800,MATCH('       나 군       '!$C110,'배치점수 계산기'!$U$11:$U$800,0))</f>
        <v>0.43749999999999994</v>
      </c>
      <c r="Z110" s="73">
        <f>INDEX('배치점수 계산기'!$AC$11:$AC$800,MATCH('       나 군       '!$C110,'배치점수 계산기'!$U$11:$U$800,0))</f>
        <v>0.3125</v>
      </c>
      <c r="AA110" s="63">
        <f>INDEX('배치점수 계산기'!$AD$11:$AD$800,MATCH('       나 군       '!$C110,'배치점수 계산기'!$U$11:$U$800,0))</f>
        <v>0.25</v>
      </c>
      <c r="AE110" s="7">
        <v>103</v>
      </c>
    </row>
    <row r="111" spans="3:31" x14ac:dyDescent="0.3">
      <c r="C111" s="7" t="s">
        <v>1338</v>
      </c>
      <c r="D111" s="41" t="s">
        <v>1068</v>
      </c>
      <c r="E111" s="41">
        <v>34</v>
      </c>
      <c r="F111" s="113" t="s">
        <v>346</v>
      </c>
      <c r="G111" s="41" t="s">
        <v>410</v>
      </c>
      <c r="H111" s="41" t="s">
        <v>414</v>
      </c>
      <c r="I111" s="41" t="s">
        <v>275</v>
      </c>
      <c r="J111" s="41" t="str">
        <f t="shared" si="3"/>
        <v>X</v>
      </c>
      <c r="K111" s="113">
        <f>IFERROR(INDEX(환산공식!CI$16:CI$301,MATCH($E111,환산공식!$A$16:$A$301,0)),"")</f>
        <v>120</v>
      </c>
      <c r="L111" s="41" t="str">
        <f>IFERROR(CONCATENATE(ROUND(INDEX(환산공식!CJ$16:CJ$301,MATCH(E111,환산공식!$A$16:$A$301,0)),1),"%"),"")</f>
        <v>100%</v>
      </c>
      <c r="M111" s="41">
        <f>IFERROR(INDEX(환산공식!CK$16:CK$301,MATCH(E111,환산공식!$A$16:$A$301,0)),"")</f>
        <v>40</v>
      </c>
      <c r="N111" s="113" t="str">
        <f t="shared" si="4"/>
        <v>1% 이하</v>
      </c>
      <c r="O111" s="119">
        <f>IFERROR(ROUND(INDEX(환산공식!$EF$16:$EF$301,MATCH(E111,환산공식!$A$16:$A$301,0)),3),"")</f>
        <v>0</v>
      </c>
      <c r="P111" s="119">
        <f>IFERROR(ROUND(INDEX('배치점수 계산기'!M$11:M$1000,MATCH($C111,'배치점수 계산기'!$U$11:$U$1000,0)),2),"")</f>
        <v>545.4</v>
      </c>
      <c r="Q111" s="41">
        <f>IFERROR(ROUND(INDEX('배치점수 계산기'!N$11:N$1000,MATCH($C111,'배치점수 계산기'!$U$11:$U$1000,0)),2),"")</f>
        <v>543.04999999999995</v>
      </c>
      <c r="R111" s="41">
        <f>IFERROR(ROUND(INDEX('배치점수 계산기'!O$11:O$1000,MATCH($C111,'배치점수 계산기'!$U$11:$U$1000,0)),2),"")</f>
        <v>541.36</v>
      </c>
      <c r="S111" s="41">
        <f>IFERROR(ROUND(INDEX('배치점수 계산기'!P$11:P$1000,MATCH($C111,'배치점수 계산기'!$U$11:$U$1000,0)),2),"")</f>
        <v>539.25</v>
      </c>
      <c r="T111" s="41">
        <f>IFERROR(ROUND(INDEX('배치점수 계산기'!Q$11:Q$1000,MATCH($C111,'배치점수 계산기'!$U$11:$U$1000,0)),2),"")</f>
        <v>537.94000000000005</v>
      </c>
      <c r="U111" s="41">
        <f>IFERROR(INDEX(환산공식!$DC$16:$DC$301,MATCH(E111,환산공식!$A$16:$A$301,0)),"")</f>
        <v>0</v>
      </c>
      <c r="V111" s="113">
        <f t="shared" si="5"/>
        <v>6</v>
      </c>
      <c r="W111" s="110" t="str">
        <f>INDEX('배치점수 계산기'!$AG$11:$AG$800,MATCH('       나 군       '!$C111,'배치점수 계산기'!$U$11:$U$800,0))</f>
        <v>표점</v>
      </c>
      <c r="X111" s="108" t="str">
        <f>INDEX('배치점수 계산기'!$AH$11:$AH$800,MATCH('       나 군       '!$C111,'배치점수 계산기'!$U$11:$U$800,0))</f>
        <v>변표</v>
      </c>
      <c r="Y111" s="113">
        <f>INDEX('배치점수 계산기'!$AB$11:$AB$800,MATCH('       나 군       '!$C111,'배치점수 계산기'!$U$11:$U$800,0))</f>
        <v>0.43749999999999994</v>
      </c>
      <c r="Z111" s="73">
        <f>INDEX('배치점수 계산기'!$AC$11:$AC$800,MATCH('       나 군       '!$C111,'배치점수 계산기'!$U$11:$U$800,0))</f>
        <v>0.3125</v>
      </c>
      <c r="AA111" s="63">
        <f>INDEX('배치점수 계산기'!$AD$11:$AD$800,MATCH('       나 군       '!$C111,'배치점수 계산기'!$U$11:$U$800,0))</f>
        <v>0.25</v>
      </c>
      <c r="AE111" s="7">
        <v>104</v>
      </c>
    </row>
    <row r="112" spans="3:31" x14ac:dyDescent="0.3">
      <c r="C112" s="7" t="s">
        <v>1339</v>
      </c>
      <c r="D112" s="41" t="s">
        <v>1068</v>
      </c>
      <c r="E112" s="41">
        <v>34</v>
      </c>
      <c r="F112" s="113" t="s">
        <v>346</v>
      </c>
      <c r="G112" s="41" t="s">
        <v>410</v>
      </c>
      <c r="H112" s="41" t="s">
        <v>415</v>
      </c>
      <c r="I112" s="41" t="s">
        <v>275</v>
      </c>
      <c r="J112" s="41" t="str">
        <f t="shared" si="3"/>
        <v>X</v>
      </c>
      <c r="K112" s="113">
        <f>IFERROR(INDEX(환산공식!CI$16:CI$301,MATCH($E112,환산공식!$A$16:$A$301,0)),"")</f>
        <v>120</v>
      </c>
      <c r="L112" s="41" t="str">
        <f>IFERROR(CONCATENATE(ROUND(INDEX(환산공식!CJ$16:CJ$301,MATCH(E112,환산공식!$A$16:$A$301,0)),1),"%"),"")</f>
        <v>100%</v>
      </c>
      <c r="M112" s="41">
        <f>IFERROR(INDEX(환산공식!CK$16:CK$301,MATCH(E112,환산공식!$A$16:$A$301,0)),"")</f>
        <v>40</v>
      </c>
      <c r="N112" s="113" t="str">
        <f t="shared" si="4"/>
        <v>1% 이하</v>
      </c>
      <c r="O112" s="119">
        <f>IFERROR(ROUND(INDEX(환산공식!$EF$16:$EF$301,MATCH(E112,환산공식!$A$16:$A$301,0)),3),"")</f>
        <v>0</v>
      </c>
      <c r="P112" s="119">
        <f>IFERROR(ROUND(INDEX('배치점수 계산기'!M$11:M$1000,MATCH($C112,'배치점수 계산기'!$U$11:$U$1000,0)),2),"")</f>
        <v>545.4</v>
      </c>
      <c r="Q112" s="41">
        <f>IFERROR(ROUND(INDEX('배치점수 계산기'!N$11:N$1000,MATCH($C112,'배치점수 계산기'!$U$11:$U$1000,0)),2),"")</f>
        <v>543.04999999999995</v>
      </c>
      <c r="R112" s="41">
        <f>IFERROR(ROUND(INDEX('배치점수 계산기'!O$11:O$1000,MATCH($C112,'배치점수 계산기'!$U$11:$U$1000,0)),2),"")</f>
        <v>541.36</v>
      </c>
      <c r="S112" s="41">
        <f>IFERROR(ROUND(INDEX('배치점수 계산기'!P$11:P$1000,MATCH($C112,'배치점수 계산기'!$U$11:$U$1000,0)),2),"")</f>
        <v>539.25</v>
      </c>
      <c r="T112" s="41">
        <f>IFERROR(ROUND(INDEX('배치점수 계산기'!Q$11:Q$1000,MATCH($C112,'배치점수 계산기'!$U$11:$U$1000,0)),2),"")</f>
        <v>537.94000000000005</v>
      </c>
      <c r="U112" s="41">
        <f>IFERROR(INDEX(환산공식!$DC$16:$DC$301,MATCH(E112,환산공식!$A$16:$A$301,0)),"")</f>
        <v>0</v>
      </c>
      <c r="V112" s="113">
        <f t="shared" si="5"/>
        <v>6</v>
      </c>
      <c r="W112" s="110" t="str">
        <f>INDEX('배치점수 계산기'!$AG$11:$AG$800,MATCH('       나 군       '!$C112,'배치점수 계산기'!$U$11:$U$800,0))</f>
        <v>표점</v>
      </c>
      <c r="X112" s="108" t="str">
        <f>INDEX('배치점수 계산기'!$AH$11:$AH$800,MATCH('       나 군       '!$C112,'배치점수 계산기'!$U$11:$U$800,0))</f>
        <v>변표</v>
      </c>
      <c r="Y112" s="113">
        <f>INDEX('배치점수 계산기'!$AB$11:$AB$800,MATCH('       나 군       '!$C112,'배치점수 계산기'!$U$11:$U$800,0))</f>
        <v>0.43749999999999994</v>
      </c>
      <c r="Z112" s="73">
        <f>INDEX('배치점수 계산기'!$AC$11:$AC$800,MATCH('       나 군       '!$C112,'배치점수 계산기'!$U$11:$U$800,0))</f>
        <v>0.3125</v>
      </c>
      <c r="AA112" s="63">
        <f>INDEX('배치점수 계산기'!$AD$11:$AD$800,MATCH('       나 군       '!$C112,'배치점수 계산기'!$U$11:$U$800,0))</f>
        <v>0.25</v>
      </c>
      <c r="AE112" s="7">
        <v>105</v>
      </c>
    </row>
    <row r="113" spans="3:31" x14ac:dyDescent="0.3">
      <c r="C113" s="7" t="s">
        <v>1340</v>
      </c>
      <c r="D113" s="41" t="s">
        <v>1068</v>
      </c>
      <c r="E113" s="41">
        <v>34</v>
      </c>
      <c r="F113" s="113" t="s">
        <v>346</v>
      </c>
      <c r="G113" s="41" t="s">
        <v>410</v>
      </c>
      <c r="H113" s="41" t="s">
        <v>416</v>
      </c>
      <c r="I113" s="41" t="s">
        <v>275</v>
      </c>
      <c r="J113" s="41" t="str">
        <f t="shared" si="3"/>
        <v>X</v>
      </c>
      <c r="K113" s="113">
        <f>IFERROR(INDEX(환산공식!CI$16:CI$301,MATCH($E113,환산공식!$A$16:$A$301,0)),"")</f>
        <v>120</v>
      </c>
      <c r="L113" s="41" t="str">
        <f>IFERROR(CONCATENATE(ROUND(INDEX(환산공식!CJ$16:CJ$301,MATCH(E113,환산공식!$A$16:$A$301,0)),1),"%"),"")</f>
        <v>100%</v>
      </c>
      <c r="M113" s="41">
        <f>IFERROR(INDEX(환산공식!CK$16:CK$301,MATCH(E113,환산공식!$A$16:$A$301,0)),"")</f>
        <v>40</v>
      </c>
      <c r="N113" s="113" t="str">
        <f t="shared" si="4"/>
        <v>1% 이하</v>
      </c>
      <c r="O113" s="119">
        <f>IFERROR(ROUND(INDEX(환산공식!$EF$16:$EF$301,MATCH(E113,환산공식!$A$16:$A$301,0)),3),"")</f>
        <v>0</v>
      </c>
      <c r="P113" s="119">
        <f>IFERROR(ROUND(INDEX('배치점수 계산기'!M$11:M$1000,MATCH($C113,'배치점수 계산기'!$U$11:$U$1000,0)),2),"")</f>
        <v>545.4</v>
      </c>
      <c r="Q113" s="41">
        <f>IFERROR(ROUND(INDEX('배치점수 계산기'!N$11:N$1000,MATCH($C113,'배치점수 계산기'!$U$11:$U$1000,0)),2),"")</f>
        <v>543.04999999999995</v>
      </c>
      <c r="R113" s="41">
        <f>IFERROR(ROUND(INDEX('배치점수 계산기'!O$11:O$1000,MATCH($C113,'배치점수 계산기'!$U$11:$U$1000,0)),2),"")</f>
        <v>541.36</v>
      </c>
      <c r="S113" s="41">
        <f>IFERROR(ROUND(INDEX('배치점수 계산기'!P$11:P$1000,MATCH($C113,'배치점수 계산기'!$U$11:$U$1000,0)),2),"")</f>
        <v>539.25</v>
      </c>
      <c r="T113" s="41">
        <f>IFERROR(ROUND(INDEX('배치점수 계산기'!Q$11:Q$1000,MATCH($C113,'배치점수 계산기'!$U$11:$U$1000,0)),2),"")</f>
        <v>537.94000000000005</v>
      </c>
      <c r="U113" s="41">
        <f>IFERROR(INDEX(환산공식!$DC$16:$DC$301,MATCH(E113,환산공식!$A$16:$A$301,0)),"")</f>
        <v>0</v>
      </c>
      <c r="V113" s="113">
        <f t="shared" si="5"/>
        <v>6</v>
      </c>
      <c r="W113" s="110" t="str">
        <f>INDEX('배치점수 계산기'!$AG$11:$AG$800,MATCH('       나 군       '!$C113,'배치점수 계산기'!$U$11:$U$800,0))</f>
        <v>표점</v>
      </c>
      <c r="X113" s="108" t="str">
        <f>INDEX('배치점수 계산기'!$AH$11:$AH$800,MATCH('       나 군       '!$C113,'배치점수 계산기'!$U$11:$U$800,0))</f>
        <v>변표</v>
      </c>
      <c r="Y113" s="113">
        <f>INDEX('배치점수 계산기'!$AB$11:$AB$800,MATCH('       나 군       '!$C113,'배치점수 계산기'!$U$11:$U$800,0))</f>
        <v>0.43749999999999994</v>
      </c>
      <c r="Z113" s="73">
        <f>INDEX('배치점수 계산기'!$AC$11:$AC$800,MATCH('       나 군       '!$C113,'배치점수 계산기'!$U$11:$U$800,0))</f>
        <v>0.3125</v>
      </c>
      <c r="AA113" s="63">
        <f>INDEX('배치점수 계산기'!$AD$11:$AD$800,MATCH('       나 군       '!$C113,'배치점수 계산기'!$U$11:$U$800,0))</f>
        <v>0.25</v>
      </c>
      <c r="AE113" s="7">
        <v>106</v>
      </c>
    </row>
    <row r="114" spans="3:31" x14ac:dyDescent="0.3">
      <c r="C114" s="7" t="s">
        <v>1341</v>
      </c>
      <c r="D114" s="41" t="s">
        <v>1068</v>
      </c>
      <c r="E114" s="41">
        <v>34</v>
      </c>
      <c r="F114" s="113" t="s">
        <v>346</v>
      </c>
      <c r="G114" s="41" t="s">
        <v>410</v>
      </c>
      <c r="H114" s="41" t="s">
        <v>417</v>
      </c>
      <c r="I114" s="41" t="s">
        <v>275</v>
      </c>
      <c r="J114" s="41" t="str">
        <f t="shared" si="3"/>
        <v>X</v>
      </c>
      <c r="K114" s="113">
        <f>IFERROR(INDEX(환산공식!CI$16:CI$301,MATCH($E114,환산공식!$A$16:$A$301,0)),"")</f>
        <v>120</v>
      </c>
      <c r="L114" s="41" t="str">
        <f>IFERROR(CONCATENATE(ROUND(INDEX(환산공식!CJ$16:CJ$301,MATCH(E114,환산공식!$A$16:$A$301,0)),1),"%"),"")</f>
        <v>100%</v>
      </c>
      <c r="M114" s="41">
        <f>IFERROR(INDEX(환산공식!CK$16:CK$301,MATCH(E114,환산공식!$A$16:$A$301,0)),"")</f>
        <v>40</v>
      </c>
      <c r="N114" s="113" t="str">
        <f t="shared" si="4"/>
        <v>1% 이하</v>
      </c>
      <c r="O114" s="119">
        <f>IFERROR(ROUND(INDEX(환산공식!$EF$16:$EF$301,MATCH(E114,환산공식!$A$16:$A$301,0)),3),"")</f>
        <v>0</v>
      </c>
      <c r="P114" s="119">
        <f>IFERROR(ROUND(INDEX('배치점수 계산기'!M$11:M$1000,MATCH($C114,'배치점수 계산기'!$U$11:$U$1000,0)),2),"")</f>
        <v>547.25</v>
      </c>
      <c r="Q114" s="41">
        <f>IFERROR(ROUND(INDEX('배치점수 계산기'!N$11:N$1000,MATCH($C114,'배치점수 계산기'!$U$11:$U$1000,0)),2),"")</f>
        <v>545.92999999999995</v>
      </c>
      <c r="R114" s="41">
        <f>IFERROR(ROUND(INDEX('배치점수 계산기'!O$11:O$1000,MATCH($C114,'배치점수 계산기'!$U$11:$U$1000,0)),2),"")</f>
        <v>544.16999999999996</v>
      </c>
      <c r="S114" s="41">
        <f>IFERROR(ROUND(INDEX('배치점수 계산기'!P$11:P$1000,MATCH($C114,'배치점수 계산기'!$U$11:$U$1000,0)),2),"")</f>
        <v>542.51</v>
      </c>
      <c r="T114" s="41">
        <f>IFERROR(ROUND(INDEX('배치점수 계산기'!Q$11:Q$1000,MATCH($C114,'배치점수 계산기'!$U$11:$U$1000,0)),2),"")</f>
        <v>539.83000000000004</v>
      </c>
      <c r="U114" s="41">
        <f>IFERROR(INDEX(환산공식!$DC$16:$DC$301,MATCH(E114,환산공식!$A$16:$A$301,0)),"")</f>
        <v>0</v>
      </c>
      <c r="V114" s="113">
        <f t="shared" si="5"/>
        <v>6</v>
      </c>
      <c r="W114" s="110" t="str">
        <f>INDEX('배치점수 계산기'!$AG$11:$AG$800,MATCH('       나 군       '!$C114,'배치점수 계산기'!$U$11:$U$800,0))</f>
        <v>표점</v>
      </c>
      <c r="X114" s="108" t="str">
        <f>INDEX('배치점수 계산기'!$AH$11:$AH$800,MATCH('       나 군       '!$C114,'배치점수 계산기'!$U$11:$U$800,0))</f>
        <v>변표</v>
      </c>
      <c r="Y114" s="113">
        <f>INDEX('배치점수 계산기'!$AB$11:$AB$800,MATCH('       나 군       '!$C114,'배치점수 계산기'!$U$11:$U$800,0))</f>
        <v>0.43749999999999994</v>
      </c>
      <c r="Z114" s="73">
        <f>INDEX('배치점수 계산기'!$AC$11:$AC$800,MATCH('       나 군       '!$C114,'배치점수 계산기'!$U$11:$U$800,0))</f>
        <v>0.3125</v>
      </c>
      <c r="AA114" s="63">
        <f>INDEX('배치점수 계산기'!$AD$11:$AD$800,MATCH('       나 군       '!$C114,'배치점수 계산기'!$U$11:$U$800,0))</f>
        <v>0.25</v>
      </c>
      <c r="AE114" s="7">
        <v>107</v>
      </c>
    </row>
    <row r="115" spans="3:31" x14ac:dyDescent="0.3">
      <c r="C115" s="7" t="s">
        <v>1342</v>
      </c>
      <c r="D115" s="41" t="s">
        <v>1074</v>
      </c>
      <c r="E115" s="41">
        <v>35</v>
      </c>
      <c r="F115" s="113" t="s">
        <v>346</v>
      </c>
      <c r="G115" s="41" t="s">
        <v>410</v>
      </c>
      <c r="H115" s="41" t="s">
        <v>418</v>
      </c>
      <c r="I115" s="41" t="s">
        <v>275</v>
      </c>
      <c r="J115" s="41" t="str">
        <f t="shared" si="3"/>
        <v>X</v>
      </c>
      <c r="K115" s="113">
        <f>IFERROR(INDEX(환산공식!CI$16:CI$301,MATCH($E115,환산공식!$A$16:$A$301,0)),"")</f>
        <v>120</v>
      </c>
      <c r="L115" s="41" t="str">
        <f>IFERROR(CONCATENATE(ROUND(INDEX(환산공식!CJ$16:CJ$301,MATCH(E115,환산공식!$A$16:$A$301,0)),1),"%"),"")</f>
        <v>100%</v>
      </c>
      <c r="M115" s="41">
        <f>IFERROR(INDEX(환산공식!CK$16:CK$301,MATCH(E115,환산공식!$A$16:$A$301,0)),"")</f>
        <v>40</v>
      </c>
      <c r="N115" s="113" t="str">
        <f t="shared" si="4"/>
        <v>1% 이하</v>
      </c>
      <c r="O115" s="119">
        <f>IFERROR(ROUND(INDEX(환산공식!$EF$16:$EF$301,MATCH(E115,환산공식!$A$16:$A$301,0)),3),"")</f>
        <v>0</v>
      </c>
      <c r="P115" s="119">
        <f>IFERROR(ROUND(INDEX('배치점수 계산기'!M$11:M$1000,MATCH($C115,'배치점수 계산기'!$U$11:$U$1000,0)),2),"")</f>
        <v>545.77</v>
      </c>
      <c r="Q115" s="41">
        <f>IFERROR(ROUND(INDEX('배치점수 계산기'!N$11:N$1000,MATCH($C115,'배치점수 계산기'!$U$11:$U$1000,0)),2),"")</f>
        <v>544.57000000000005</v>
      </c>
      <c r="R115" s="41">
        <f>IFERROR(ROUND(INDEX('배치점수 계산기'!O$11:O$1000,MATCH($C115,'배치점수 계산기'!$U$11:$U$1000,0)),2),"")</f>
        <v>542.64</v>
      </c>
      <c r="S115" s="41">
        <f>IFERROR(ROUND(INDEX('배치점수 계산기'!P$11:P$1000,MATCH($C115,'배치점수 계산기'!$U$11:$U$1000,0)),2),"")</f>
        <v>540.80999999999995</v>
      </c>
      <c r="T115" s="41">
        <f>IFERROR(ROUND(INDEX('배치점수 계산기'!Q$11:Q$1000,MATCH($C115,'배치점수 계산기'!$U$11:$U$1000,0)),2),"")</f>
        <v>538.55999999999995</v>
      </c>
      <c r="U115" s="41">
        <f>IFERROR(INDEX(환산공식!$DC$16:$DC$301,MATCH(E115,환산공식!$A$16:$A$301,0)),"")</f>
        <v>0</v>
      </c>
      <c r="V115" s="113">
        <f t="shared" si="5"/>
        <v>6</v>
      </c>
      <c r="W115" s="110" t="str">
        <f>INDEX('배치점수 계산기'!$AG$11:$AG$800,MATCH('       나 군       '!$C115,'배치점수 계산기'!$U$11:$U$800,0))</f>
        <v>표점</v>
      </c>
      <c r="X115" s="108" t="str">
        <f>INDEX('배치점수 계산기'!$AH$11:$AH$800,MATCH('       나 군       '!$C115,'배치점수 계산기'!$U$11:$U$800,0))</f>
        <v>변표</v>
      </c>
      <c r="Y115" s="113">
        <f>INDEX('배치점수 계산기'!$AB$11:$AB$800,MATCH('       나 군       '!$C115,'배치점수 계산기'!$U$11:$U$800,0))</f>
        <v>0.3125</v>
      </c>
      <c r="Z115" s="73">
        <f>INDEX('배치점수 계산기'!$AC$11:$AC$800,MATCH('       나 군       '!$C115,'배치점수 계산기'!$U$11:$U$800,0))</f>
        <v>0.43749999999999994</v>
      </c>
      <c r="AA115" s="63">
        <f>INDEX('배치점수 계산기'!$AD$11:$AD$800,MATCH('       나 군       '!$C115,'배치점수 계산기'!$U$11:$U$800,0))</f>
        <v>0.25</v>
      </c>
      <c r="AE115" s="7">
        <v>108</v>
      </c>
    </row>
    <row r="116" spans="3:31" x14ac:dyDescent="0.3">
      <c r="C116" s="7" t="s">
        <v>1343</v>
      </c>
      <c r="D116" s="41" t="s">
        <v>1104</v>
      </c>
      <c r="E116" s="41">
        <v>39</v>
      </c>
      <c r="F116" s="113" t="s">
        <v>346</v>
      </c>
      <c r="G116" s="41" t="s">
        <v>419</v>
      </c>
      <c r="H116" s="41" t="s">
        <v>301</v>
      </c>
      <c r="I116" s="41" t="s">
        <v>275</v>
      </c>
      <c r="J116" s="41" t="str">
        <f t="shared" si="3"/>
        <v>X</v>
      </c>
      <c r="K116" s="113">
        <f>IFERROR(INDEX(환산공식!CI$16:CI$301,MATCH($E116,환산공식!$A$16:$A$301,0)),"")</f>
        <v>250</v>
      </c>
      <c r="L116" s="41" t="str">
        <f>IFERROR(CONCATENATE(ROUND(INDEX(환산공식!CJ$16:CJ$301,MATCH(E116,환산공식!$A$16:$A$301,0)),1),"%"),"")</f>
        <v>100%</v>
      </c>
      <c r="M116" s="41">
        <f>IFERROR(INDEX(환산공식!CK$16:CK$301,MATCH(E116,환산공식!$A$16:$A$301,0)),"")</f>
        <v>0</v>
      </c>
      <c r="N116" s="113" t="str">
        <f t="shared" si="4"/>
        <v>1% 이하</v>
      </c>
      <c r="O116" s="119">
        <f>IFERROR(ROUND(INDEX(환산공식!$EF$16:$EF$301,MATCH(E116,환산공식!$A$16:$A$301,0)),3),"")</f>
        <v>0</v>
      </c>
      <c r="P116" s="119">
        <f>IFERROR(ROUND(INDEX('배치점수 계산기'!M$11:M$1000,MATCH($C116,'배치점수 계산기'!$U$11:$U$1000,0)),2),"")</f>
        <v>894.74</v>
      </c>
      <c r="Q116" s="41">
        <f>IFERROR(ROUND(INDEX('배치점수 계산기'!N$11:N$1000,MATCH($C116,'배치점수 계산기'!$U$11:$U$1000,0)),2),"")</f>
        <v>891.56</v>
      </c>
      <c r="R116" s="41">
        <f>IFERROR(ROUND(INDEX('배치점수 계산기'!O$11:O$1000,MATCH($C116,'배치점수 계산기'!$U$11:$U$1000,0)),2),"")</f>
        <v>888.13</v>
      </c>
      <c r="S116" s="41">
        <f>IFERROR(ROUND(INDEX('배치점수 계산기'!P$11:P$1000,MATCH($C116,'배치점수 계산기'!$U$11:$U$1000,0)),2),"")</f>
        <v>881.27</v>
      </c>
      <c r="T116" s="41">
        <f>IFERROR(ROUND(INDEX('배치점수 계산기'!Q$11:Q$1000,MATCH($C116,'배치점수 계산기'!$U$11:$U$1000,0)),2),"")</f>
        <v>875.28</v>
      </c>
      <c r="U116" s="41">
        <f>IFERROR(INDEX(환산공식!$DC$16:$DC$301,MATCH(E116,환산공식!$A$16:$A$301,0)),"")</f>
        <v>0</v>
      </c>
      <c r="V116" s="113">
        <f t="shared" si="5"/>
        <v>6</v>
      </c>
      <c r="W116" s="110" t="str">
        <f>INDEX('배치점수 계산기'!$AG$11:$AG$800,MATCH('       나 군       '!$C116,'배치점수 계산기'!$U$11:$U$800,0))</f>
        <v>표점/만점</v>
      </c>
      <c r="X116" s="108" t="str">
        <f>INDEX('배치점수 계산기'!$AH$11:$AH$800,MATCH('       나 군       '!$C116,'배치점수 계산기'!$U$11:$U$800,0))</f>
        <v>변표/만점</v>
      </c>
      <c r="Y116" s="113">
        <f>INDEX('배치점수 계산기'!$AB$11:$AB$800,MATCH('       나 군       '!$C116,'배치점수 계산기'!$U$11:$U$800,0))</f>
        <v>0.3878976880865993</v>
      </c>
      <c r="Z116" s="73">
        <f>INDEX('배치점수 계산기'!$AC$11:$AC$800,MATCH('       나 군       '!$C116,'배치점수 계산기'!$U$11:$U$800,0))</f>
        <v>0.39317520765240338</v>
      </c>
      <c r="AA116" s="63">
        <f>INDEX('배치점수 계산기'!$AD$11:$AD$800,MATCH('       나 군       '!$C116,'배치점수 계산기'!$U$11:$U$800,0))</f>
        <v>0.21892710426099735</v>
      </c>
      <c r="AE116" s="7">
        <v>109</v>
      </c>
    </row>
    <row r="117" spans="3:31" x14ac:dyDescent="0.3">
      <c r="C117" s="7" t="s">
        <v>1344</v>
      </c>
      <c r="D117" s="41" t="s">
        <v>1104</v>
      </c>
      <c r="E117" s="41">
        <v>39</v>
      </c>
      <c r="F117" s="113" t="s">
        <v>346</v>
      </c>
      <c r="G117" s="41" t="s">
        <v>419</v>
      </c>
      <c r="H117" s="41" t="s">
        <v>420</v>
      </c>
      <c r="I117" s="41" t="s">
        <v>275</v>
      </c>
      <c r="J117" s="41" t="str">
        <f t="shared" si="3"/>
        <v>X</v>
      </c>
      <c r="K117" s="113">
        <f>IFERROR(INDEX(환산공식!CI$16:CI$301,MATCH($E117,환산공식!$A$16:$A$301,0)),"")</f>
        <v>250</v>
      </c>
      <c r="L117" s="41" t="str">
        <f>IFERROR(CONCATENATE(ROUND(INDEX(환산공식!CJ$16:CJ$301,MATCH(E117,환산공식!$A$16:$A$301,0)),1),"%"),"")</f>
        <v>100%</v>
      </c>
      <c r="M117" s="41">
        <f>IFERROR(INDEX(환산공식!CK$16:CK$301,MATCH(E117,환산공식!$A$16:$A$301,0)),"")</f>
        <v>0</v>
      </c>
      <c r="N117" s="113" t="str">
        <f t="shared" si="4"/>
        <v>1% 이하</v>
      </c>
      <c r="O117" s="119">
        <f>IFERROR(ROUND(INDEX(환산공식!$EF$16:$EF$301,MATCH(E117,환산공식!$A$16:$A$301,0)),3),"")</f>
        <v>0</v>
      </c>
      <c r="P117" s="119">
        <f>IFERROR(ROUND(INDEX('배치점수 계산기'!M$11:M$1000,MATCH($C117,'배치점수 계산기'!$U$11:$U$1000,0)),2),"")</f>
        <v>888.13</v>
      </c>
      <c r="Q117" s="41">
        <f>IFERROR(ROUND(INDEX('배치점수 계산기'!N$11:N$1000,MATCH($C117,'배치점수 계산기'!$U$11:$U$1000,0)),2),"")</f>
        <v>885.62</v>
      </c>
      <c r="R117" s="41">
        <f>IFERROR(ROUND(INDEX('배치점수 계산기'!O$11:O$1000,MATCH($C117,'배치점수 계산기'!$U$11:$U$1000,0)),2),"")</f>
        <v>881.27</v>
      </c>
      <c r="S117" s="41">
        <f>IFERROR(ROUND(INDEX('배치점수 계산기'!P$11:P$1000,MATCH($C117,'배치점수 계산기'!$U$11:$U$1000,0)),2),"")</f>
        <v>877.97</v>
      </c>
      <c r="T117" s="41">
        <f>IFERROR(ROUND(INDEX('배치점수 계산기'!Q$11:Q$1000,MATCH($C117,'배치점수 계산기'!$U$11:$U$1000,0)),2),"")</f>
        <v>871.11</v>
      </c>
      <c r="U117" s="41">
        <f>IFERROR(INDEX(환산공식!$DC$16:$DC$301,MATCH(E117,환산공식!$A$16:$A$301,0)),"")</f>
        <v>0</v>
      </c>
      <c r="V117" s="113">
        <f t="shared" si="5"/>
        <v>6</v>
      </c>
      <c r="W117" s="110" t="str">
        <f>INDEX('배치점수 계산기'!$AG$11:$AG$800,MATCH('       나 군       '!$C117,'배치점수 계산기'!$U$11:$U$800,0))</f>
        <v>표점/만점</v>
      </c>
      <c r="X117" s="108" t="str">
        <f>INDEX('배치점수 계산기'!$AH$11:$AH$800,MATCH('       나 군       '!$C117,'배치점수 계산기'!$U$11:$U$800,0))</f>
        <v>변표/만점</v>
      </c>
      <c r="Y117" s="113">
        <f>INDEX('배치점수 계산기'!$AB$11:$AB$800,MATCH('       나 군       '!$C117,'배치점수 계산기'!$U$11:$U$800,0))</f>
        <v>0.3878976880865993</v>
      </c>
      <c r="Z117" s="73">
        <f>INDEX('배치점수 계산기'!$AC$11:$AC$800,MATCH('       나 군       '!$C117,'배치점수 계산기'!$U$11:$U$800,0))</f>
        <v>0.39317520765240338</v>
      </c>
      <c r="AA117" s="63">
        <f>INDEX('배치점수 계산기'!$AD$11:$AD$800,MATCH('       나 군       '!$C117,'배치점수 계산기'!$U$11:$U$800,0))</f>
        <v>0.21892710426099735</v>
      </c>
      <c r="AE117" s="7">
        <v>110</v>
      </c>
    </row>
    <row r="118" spans="3:31" x14ac:dyDescent="0.3">
      <c r="C118" s="7" t="s">
        <v>1345</v>
      </c>
      <c r="D118" s="41" t="s">
        <v>1346</v>
      </c>
      <c r="E118" s="41">
        <v>40</v>
      </c>
      <c r="F118" s="113" t="s">
        <v>346</v>
      </c>
      <c r="G118" s="41" t="s">
        <v>419</v>
      </c>
      <c r="H118" s="41" t="s">
        <v>261</v>
      </c>
      <c r="I118" s="41" t="s">
        <v>275</v>
      </c>
      <c r="J118" s="41" t="str">
        <f t="shared" si="3"/>
        <v>X</v>
      </c>
      <c r="K118" s="113">
        <f>IFERROR(INDEX(환산공식!CI$16:CI$301,MATCH($E118,환산공식!$A$16:$A$301,0)),"")</f>
        <v>250</v>
      </c>
      <c r="L118" s="41" t="str">
        <f>IFERROR(CONCATENATE(ROUND(INDEX(환산공식!CJ$16:CJ$301,MATCH(E118,환산공식!$A$16:$A$301,0)),1),"%"),"")</f>
        <v>100%</v>
      </c>
      <c r="M118" s="41">
        <f>IFERROR(INDEX(환산공식!CK$16:CK$301,MATCH(E118,환산공식!$A$16:$A$301,0)),"")</f>
        <v>0</v>
      </c>
      <c r="N118" s="113" t="str">
        <f t="shared" si="4"/>
        <v>1% 이하</v>
      </c>
      <c r="O118" s="119">
        <f>IFERROR(ROUND(INDEX(환산공식!$EF$16:$EF$301,MATCH(E118,환산공식!$A$16:$A$301,0)),3),"")</f>
        <v>0</v>
      </c>
      <c r="P118" s="119">
        <f>IFERROR(ROUND(INDEX('배치점수 계산기'!M$11:M$1000,MATCH($C118,'배치점수 계산기'!$U$11:$U$1000,0)),2),"")</f>
        <v>887.19</v>
      </c>
      <c r="Q118" s="41">
        <f>IFERROR(ROUND(INDEX('배치점수 계산기'!N$11:N$1000,MATCH($C118,'배치점수 계산기'!$U$11:$U$1000,0)),2),"")</f>
        <v>883.78</v>
      </c>
      <c r="R118" s="41">
        <f>IFERROR(ROUND(INDEX('배치점수 계산기'!O$11:O$1000,MATCH($C118,'배치점수 계산기'!$U$11:$U$1000,0)),2),"")</f>
        <v>880.19</v>
      </c>
      <c r="S118" s="41">
        <f>IFERROR(ROUND(INDEX('배치점수 계산기'!P$11:P$1000,MATCH($C118,'배치점수 계산기'!$U$11:$U$1000,0)),2),"")</f>
        <v>874.47</v>
      </c>
      <c r="T118" s="41">
        <f>IFERROR(ROUND(INDEX('배치점수 계산기'!Q$11:Q$1000,MATCH($C118,'배치점수 계산기'!$U$11:$U$1000,0)),2),"")</f>
        <v>870.42</v>
      </c>
      <c r="U118" s="41">
        <f>IFERROR(INDEX(환산공식!$DC$16:$DC$301,MATCH(E118,환산공식!$A$16:$A$301,0)),"")</f>
        <v>0</v>
      </c>
      <c r="V118" s="113">
        <f t="shared" si="5"/>
        <v>6</v>
      </c>
      <c r="W118" s="110" t="str">
        <f>INDEX('배치점수 계산기'!$AG$11:$AG$800,MATCH('       나 군       '!$C118,'배치점수 계산기'!$U$11:$U$800,0))</f>
        <v>표점/만점</v>
      </c>
      <c r="X118" s="108" t="str">
        <f>INDEX('배치점수 계산기'!$AH$11:$AH$800,MATCH('       나 군       '!$C118,'배치점수 계산기'!$U$11:$U$800,0))</f>
        <v>변표/만점</v>
      </c>
      <c r="Y118" s="113">
        <f>INDEX('배치점수 계산기'!$AB$11:$AB$800,MATCH('       나 군       '!$C118,'배치점수 계산기'!$U$11:$U$800,0))</f>
        <v>0.39080783871422525</v>
      </c>
      <c r="Z118" s="73">
        <f>INDEX('배치점수 계산기'!$AC$11:$AC$800,MATCH('       나 군       '!$C118,'배치점수 계산기'!$U$11:$U$800,0))</f>
        <v>0.46214577752713937</v>
      </c>
      <c r="AA118" s="63">
        <f>INDEX('배치점수 계산기'!$AD$11:$AD$800,MATCH('       나 군       '!$C118,'배치점수 계산기'!$U$11:$U$800,0))</f>
        <v>0.14704638375863524</v>
      </c>
      <c r="AE118" s="7">
        <v>111</v>
      </c>
    </row>
    <row r="119" spans="3:31" x14ac:dyDescent="0.3">
      <c r="C119" s="7" t="s">
        <v>1347</v>
      </c>
      <c r="D119" s="41" t="s">
        <v>1104</v>
      </c>
      <c r="E119" s="41">
        <v>39</v>
      </c>
      <c r="F119" s="113" t="s">
        <v>346</v>
      </c>
      <c r="G119" s="41" t="s">
        <v>419</v>
      </c>
      <c r="H119" s="41" t="s">
        <v>421</v>
      </c>
      <c r="I119" s="41" t="s">
        <v>275</v>
      </c>
      <c r="J119" s="41" t="str">
        <f t="shared" si="3"/>
        <v>X</v>
      </c>
      <c r="K119" s="113">
        <f>IFERROR(INDEX(환산공식!CI$16:CI$301,MATCH($E119,환산공식!$A$16:$A$301,0)),"")</f>
        <v>250</v>
      </c>
      <c r="L119" s="41" t="str">
        <f>IFERROR(CONCATENATE(ROUND(INDEX(환산공식!CJ$16:CJ$301,MATCH(E119,환산공식!$A$16:$A$301,0)),1),"%"),"")</f>
        <v>100%</v>
      </c>
      <c r="M119" s="41">
        <f>IFERROR(INDEX(환산공식!CK$16:CK$301,MATCH(E119,환산공식!$A$16:$A$301,0)),"")</f>
        <v>0</v>
      </c>
      <c r="N119" s="113" t="str">
        <f t="shared" si="4"/>
        <v>1% 이하</v>
      </c>
      <c r="O119" s="119">
        <f>IFERROR(ROUND(INDEX(환산공식!$EF$16:$EF$301,MATCH(E119,환산공식!$A$16:$A$301,0)),3),"")</f>
        <v>0</v>
      </c>
      <c r="P119" s="119">
        <f>IFERROR(ROUND(INDEX('배치점수 계산기'!M$11:M$1000,MATCH($C119,'배치점수 계산기'!$U$11:$U$1000,0)),2),"")</f>
        <v>888.13</v>
      </c>
      <c r="Q119" s="41">
        <f>IFERROR(ROUND(INDEX('배치점수 계산기'!N$11:N$1000,MATCH($C119,'배치점수 계산기'!$U$11:$U$1000,0)),2),"")</f>
        <v>885.62</v>
      </c>
      <c r="R119" s="41">
        <f>IFERROR(ROUND(INDEX('배치점수 계산기'!O$11:O$1000,MATCH($C119,'배치점수 계산기'!$U$11:$U$1000,0)),2),"")</f>
        <v>881.27</v>
      </c>
      <c r="S119" s="41">
        <f>IFERROR(ROUND(INDEX('배치점수 계산기'!P$11:P$1000,MATCH($C119,'배치점수 계산기'!$U$11:$U$1000,0)),2),"")</f>
        <v>877.97</v>
      </c>
      <c r="T119" s="41">
        <f>IFERROR(ROUND(INDEX('배치점수 계산기'!Q$11:Q$1000,MATCH($C119,'배치점수 계산기'!$U$11:$U$1000,0)),2),"")</f>
        <v>874.35</v>
      </c>
      <c r="U119" s="41">
        <f>IFERROR(INDEX(환산공식!$DC$16:$DC$301,MATCH(E119,환산공식!$A$16:$A$301,0)),"")</f>
        <v>0</v>
      </c>
      <c r="V119" s="113">
        <f t="shared" si="5"/>
        <v>6</v>
      </c>
      <c r="W119" s="110" t="str">
        <f>INDEX('배치점수 계산기'!$AG$11:$AG$800,MATCH('       나 군       '!$C119,'배치점수 계산기'!$U$11:$U$800,0))</f>
        <v>표점/만점</v>
      </c>
      <c r="X119" s="108" t="str">
        <f>INDEX('배치점수 계산기'!$AH$11:$AH$800,MATCH('       나 군       '!$C119,'배치점수 계산기'!$U$11:$U$800,0))</f>
        <v>변표/만점</v>
      </c>
      <c r="Y119" s="113">
        <f>INDEX('배치점수 계산기'!$AB$11:$AB$800,MATCH('       나 군       '!$C119,'배치점수 계산기'!$U$11:$U$800,0))</f>
        <v>0.3878976880865993</v>
      </c>
      <c r="Z119" s="73">
        <f>INDEX('배치점수 계산기'!$AC$11:$AC$800,MATCH('       나 군       '!$C119,'배치점수 계산기'!$U$11:$U$800,0))</f>
        <v>0.39317520765240338</v>
      </c>
      <c r="AA119" s="63">
        <f>INDEX('배치점수 계산기'!$AD$11:$AD$800,MATCH('       나 군       '!$C119,'배치점수 계산기'!$U$11:$U$800,0))</f>
        <v>0.21892710426099735</v>
      </c>
      <c r="AE119" s="7">
        <v>112</v>
      </c>
    </row>
    <row r="120" spans="3:31" x14ac:dyDescent="0.3">
      <c r="C120" s="7" t="s">
        <v>1348</v>
      </c>
      <c r="D120" s="41" t="s">
        <v>1346</v>
      </c>
      <c r="E120" s="41">
        <v>40</v>
      </c>
      <c r="F120" s="113" t="s">
        <v>346</v>
      </c>
      <c r="G120" s="41" t="s">
        <v>419</v>
      </c>
      <c r="H120" s="41" t="s">
        <v>422</v>
      </c>
      <c r="I120" s="41" t="s">
        <v>275</v>
      </c>
      <c r="J120" s="41" t="str">
        <f t="shared" si="3"/>
        <v>X</v>
      </c>
      <c r="K120" s="113">
        <f>IFERROR(INDEX(환산공식!CI$16:CI$301,MATCH($E120,환산공식!$A$16:$A$301,0)),"")</f>
        <v>250</v>
      </c>
      <c r="L120" s="41" t="str">
        <f>IFERROR(CONCATENATE(ROUND(INDEX(환산공식!CJ$16:CJ$301,MATCH(E120,환산공식!$A$16:$A$301,0)),1),"%"),"")</f>
        <v>100%</v>
      </c>
      <c r="M120" s="41">
        <f>IFERROR(INDEX(환산공식!CK$16:CK$301,MATCH(E120,환산공식!$A$16:$A$301,0)),"")</f>
        <v>0</v>
      </c>
      <c r="N120" s="113" t="str">
        <f t="shared" si="4"/>
        <v>1% 이하</v>
      </c>
      <c r="O120" s="119">
        <f>IFERROR(ROUND(INDEX(환산공식!$EF$16:$EF$301,MATCH(E120,환산공식!$A$16:$A$301,0)),3),"")</f>
        <v>0</v>
      </c>
      <c r="P120" s="119">
        <f>IFERROR(ROUND(INDEX('배치점수 계산기'!M$11:M$1000,MATCH($C120,'배치점수 계산기'!$U$11:$U$1000,0)),2),"")</f>
        <v>887.19</v>
      </c>
      <c r="Q120" s="41">
        <f>IFERROR(ROUND(INDEX('배치점수 계산기'!N$11:N$1000,MATCH($C120,'배치점수 계산기'!$U$11:$U$1000,0)),2),"")</f>
        <v>883.78</v>
      </c>
      <c r="R120" s="41">
        <f>IFERROR(ROUND(INDEX('배치점수 계산기'!O$11:O$1000,MATCH($C120,'배치점수 계산기'!$U$11:$U$1000,0)),2),"")</f>
        <v>881.26</v>
      </c>
      <c r="S120" s="41">
        <f>IFERROR(ROUND(INDEX('배치점수 계산기'!P$11:P$1000,MATCH($C120,'배치점수 계산기'!$U$11:$U$1000,0)),2),"")</f>
        <v>876.08</v>
      </c>
      <c r="T120" s="41">
        <f>IFERROR(ROUND(INDEX('배치점수 계산기'!Q$11:Q$1000,MATCH($C120,'배치점수 계산기'!$U$11:$U$1000,0)),2),"")</f>
        <v>872.88</v>
      </c>
      <c r="U120" s="41">
        <f>IFERROR(INDEX(환산공식!$DC$16:$DC$301,MATCH(E120,환산공식!$A$16:$A$301,0)),"")</f>
        <v>0</v>
      </c>
      <c r="V120" s="113">
        <f t="shared" si="5"/>
        <v>6</v>
      </c>
      <c r="W120" s="110" t="str">
        <f>INDEX('배치점수 계산기'!$AG$11:$AG$800,MATCH('       나 군       '!$C120,'배치점수 계산기'!$U$11:$U$800,0))</f>
        <v>표점/만점</v>
      </c>
      <c r="X120" s="108" t="str">
        <f>INDEX('배치점수 계산기'!$AH$11:$AH$800,MATCH('       나 군       '!$C120,'배치점수 계산기'!$U$11:$U$800,0))</f>
        <v>변표/만점</v>
      </c>
      <c r="Y120" s="113">
        <f>INDEX('배치점수 계산기'!$AB$11:$AB$800,MATCH('       나 군       '!$C120,'배치점수 계산기'!$U$11:$U$800,0))</f>
        <v>0.39080783871422525</v>
      </c>
      <c r="Z120" s="73">
        <f>INDEX('배치점수 계산기'!$AC$11:$AC$800,MATCH('       나 군       '!$C120,'배치점수 계산기'!$U$11:$U$800,0))</f>
        <v>0.46214577752713937</v>
      </c>
      <c r="AA120" s="63">
        <f>INDEX('배치점수 계산기'!$AD$11:$AD$800,MATCH('       나 군       '!$C120,'배치점수 계산기'!$U$11:$U$800,0))</f>
        <v>0.14704638375863524</v>
      </c>
      <c r="AE120" s="7">
        <v>113</v>
      </c>
    </row>
    <row r="121" spans="3:31" x14ac:dyDescent="0.3">
      <c r="C121" s="7" t="s">
        <v>1349</v>
      </c>
      <c r="D121" s="41" t="s">
        <v>1346</v>
      </c>
      <c r="E121" s="41">
        <v>40</v>
      </c>
      <c r="F121" s="113" t="s">
        <v>346</v>
      </c>
      <c r="G121" s="41" t="s">
        <v>419</v>
      </c>
      <c r="H121" s="41" t="s">
        <v>262</v>
      </c>
      <c r="I121" s="41" t="s">
        <v>275</v>
      </c>
      <c r="J121" s="41" t="str">
        <f t="shared" si="3"/>
        <v>X</v>
      </c>
      <c r="K121" s="113">
        <f>IFERROR(INDEX(환산공식!CI$16:CI$301,MATCH($E121,환산공식!$A$16:$A$301,0)),"")</f>
        <v>250</v>
      </c>
      <c r="L121" s="41" t="str">
        <f>IFERROR(CONCATENATE(ROUND(INDEX(환산공식!CJ$16:CJ$301,MATCH(E121,환산공식!$A$16:$A$301,0)),1),"%"),"")</f>
        <v>100%</v>
      </c>
      <c r="M121" s="41">
        <f>IFERROR(INDEX(환산공식!CK$16:CK$301,MATCH(E121,환산공식!$A$16:$A$301,0)),"")</f>
        <v>0</v>
      </c>
      <c r="N121" s="113" t="str">
        <f t="shared" si="4"/>
        <v>1% 이하</v>
      </c>
      <c r="O121" s="119">
        <f>IFERROR(ROUND(INDEX(환산공식!$EF$16:$EF$301,MATCH(E121,환산공식!$A$16:$A$301,0)),3),"")</f>
        <v>0</v>
      </c>
      <c r="P121" s="119">
        <f>IFERROR(ROUND(INDEX('배치점수 계산기'!M$11:M$1000,MATCH($C121,'배치점수 계산기'!$U$11:$U$1000,0)),2),"")</f>
        <v>887.19</v>
      </c>
      <c r="Q121" s="41">
        <f>IFERROR(ROUND(INDEX('배치점수 계산기'!N$11:N$1000,MATCH($C121,'배치점수 계산기'!$U$11:$U$1000,0)),2),"")</f>
        <v>883.78</v>
      </c>
      <c r="R121" s="41">
        <f>IFERROR(ROUND(INDEX('배치점수 계산기'!O$11:O$1000,MATCH($C121,'배치점수 계산기'!$U$11:$U$1000,0)),2),"")</f>
        <v>880.19</v>
      </c>
      <c r="S121" s="41">
        <f>IFERROR(ROUND(INDEX('배치점수 계산기'!P$11:P$1000,MATCH($C121,'배치점수 계산기'!$U$11:$U$1000,0)),2),"")</f>
        <v>874.47</v>
      </c>
      <c r="T121" s="41">
        <f>IFERROR(ROUND(INDEX('배치점수 계산기'!Q$11:Q$1000,MATCH($C121,'배치점수 계산기'!$U$11:$U$1000,0)),2),"")</f>
        <v>870.42</v>
      </c>
      <c r="U121" s="41">
        <f>IFERROR(INDEX(환산공식!$DC$16:$DC$301,MATCH(E121,환산공식!$A$16:$A$301,0)),"")</f>
        <v>0</v>
      </c>
      <c r="V121" s="113">
        <f t="shared" si="5"/>
        <v>6</v>
      </c>
      <c r="W121" s="110" t="str">
        <f>INDEX('배치점수 계산기'!$AG$11:$AG$800,MATCH('       나 군       '!$C121,'배치점수 계산기'!$U$11:$U$800,0))</f>
        <v>표점/만점</v>
      </c>
      <c r="X121" s="108" t="str">
        <f>INDEX('배치점수 계산기'!$AH$11:$AH$800,MATCH('       나 군       '!$C121,'배치점수 계산기'!$U$11:$U$800,0))</f>
        <v>변표/만점</v>
      </c>
      <c r="Y121" s="113">
        <f>INDEX('배치점수 계산기'!$AB$11:$AB$800,MATCH('       나 군       '!$C121,'배치점수 계산기'!$U$11:$U$800,0))</f>
        <v>0.39080783871422525</v>
      </c>
      <c r="Z121" s="73">
        <f>INDEX('배치점수 계산기'!$AC$11:$AC$800,MATCH('       나 군       '!$C121,'배치점수 계산기'!$U$11:$U$800,0))</f>
        <v>0.46214577752713937</v>
      </c>
      <c r="AA121" s="63">
        <f>INDEX('배치점수 계산기'!$AD$11:$AD$800,MATCH('       나 군       '!$C121,'배치점수 계산기'!$U$11:$U$800,0))</f>
        <v>0.14704638375863524</v>
      </c>
      <c r="AE121" s="7">
        <v>114</v>
      </c>
    </row>
    <row r="122" spans="3:31" x14ac:dyDescent="0.3">
      <c r="C122" s="7" t="s">
        <v>1350</v>
      </c>
      <c r="D122" s="41" t="s">
        <v>1104</v>
      </c>
      <c r="E122" s="41">
        <v>39</v>
      </c>
      <c r="F122" s="113" t="s">
        <v>346</v>
      </c>
      <c r="G122" s="41" t="s">
        <v>419</v>
      </c>
      <c r="H122" s="41" t="s">
        <v>299</v>
      </c>
      <c r="I122" s="41" t="s">
        <v>275</v>
      </c>
      <c r="J122" s="41" t="str">
        <f t="shared" si="3"/>
        <v>X</v>
      </c>
      <c r="K122" s="113">
        <f>IFERROR(INDEX(환산공식!CI$16:CI$301,MATCH($E122,환산공식!$A$16:$A$301,0)),"")</f>
        <v>250</v>
      </c>
      <c r="L122" s="41" t="str">
        <f>IFERROR(CONCATENATE(ROUND(INDEX(환산공식!CJ$16:CJ$301,MATCH(E122,환산공식!$A$16:$A$301,0)),1),"%"),"")</f>
        <v>100%</v>
      </c>
      <c r="M122" s="41">
        <f>IFERROR(INDEX(환산공식!CK$16:CK$301,MATCH(E122,환산공식!$A$16:$A$301,0)),"")</f>
        <v>0</v>
      </c>
      <c r="N122" s="113" t="str">
        <f t="shared" si="4"/>
        <v>1% 이하</v>
      </c>
      <c r="O122" s="119">
        <f>IFERROR(ROUND(INDEX(환산공식!$EF$16:$EF$301,MATCH(E122,환산공식!$A$16:$A$301,0)),3),"")</f>
        <v>0</v>
      </c>
      <c r="P122" s="119">
        <f>IFERROR(ROUND(INDEX('배치점수 계산기'!M$11:M$1000,MATCH($C122,'배치점수 계산기'!$U$11:$U$1000,0)),2),"")</f>
        <v>888.13</v>
      </c>
      <c r="Q122" s="41">
        <f>IFERROR(ROUND(INDEX('배치점수 계산기'!N$11:N$1000,MATCH($C122,'배치점수 계산기'!$U$11:$U$1000,0)),2),"")</f>
        <v>885.62</v>
      </c>
      <c r="R122" s="41">
        <f>IFERROR(ROUND(INDEX('배치점수 계산기'!O$11:O$1000,MATCH($C122,'배치점수 계산기'!$U$11:$U$1000,0)),2),"")</f>
        <v>881.27</v>
      </c>
      <c r="S122" s="41">
        <f>IFERROR(ROUND(INDEX('배치점수 계산기'!P$11:P$1000,MATCH($C122,'배치점수 계산기'!$U$11:$U$1000,0)),2),"")</f>
        <v>877.97</v>
      </c>
      <c r="T122" s="41">
        <f>IFERROR(ROUND(INDEX('배치점수 계산기'!Q$11:Q$1000,MATCH($C122,'배치점수 계산기'!$U$11:$U$1000,0)),2),"")</f>
        <v>874.35</v>
      </c>
      <c r="U122" s="41">
        <f>IFERROR(INDEX(환산공식!$DC$16:$DC$301,MATCH(E122,환산공식!$A$16:$A$301,0)),"")</f>
        <v>0</v>
      </c>
      <c r="V122" s="113">
        <f t="shared" si="5"/>
        <v>6</v>
      </c>
      <c r="W122" s="110" t="str">
        <f>INDEX('배치점수 계산기'!$AG$11:$AG$800,MATCH('       나 군       '!$C122,'배치점수 계산기'!$U$11:$U$800,0))</f>
        <v>표점/만점</v>
      </c>
      <c r="X122" s="108" t="str">
        <f>INDEX('배치점수 계산기'!$AH$11:$AH$800,MATCH('       나 군       '!$C122,'배치점수 계산기'!$U$11:$U$800,0))</f>
        <v>변표/만점</v>
      </c>
      <c r="Y122" s="113">
        <f>INDEX('배치점수 계산기'!$AB$11:$AB$800,MATCH('       나 군       '!$C122,'배치점수 계산기'!$U$11:$U$800,0))</f>
        <v>0.3878976880865993</v>
      </c>
      <c r="Z122" s="73">
        <f>INDEX('배치점수 계산기'!$AC$11:$AC$800,MATCH('       나 군       '!$C122,'배치점수 계산기'!$U$11:$U$800,0))</f>
        <v>0.39317520765240338</v>
      </c>
      <c r="AA122" s="63">
        <f>INDEX('배치점수 계산기'!$AD$11:$AD$800,MATCH('       나 군       '!$C122,'배치점수 계산기'!$U$11:$U$800,0))</f>
        <v>0.21892710426099735</v>
      </c>
      <c r="AE122" s="7">
        <v>115</v>
      </c>
    </row>
    <row r="123" spans="3:31" x14ac:dyDescent="0.3">
      <c r="C123" s="7" t="s">
        <v>1351</v>
      </c>
      <c r="D123" s="41" t="s">
        <v>1104</v>
      </c>
      <c r="E123" s="41">
        <v>39</v>
      </c>
      <c r="F123" s="113" t="s">
        <v>346</v>
      </c>
      <c r="G123" s="41" t="s">
        <v>419</v>
      </c>
      <c r="H123" s="41" t="s">
        <v>303</v>
      </c>
      <c r="I123" s="41" t="s">
        <v>275</v>
      </c>
      <c r="J123" s="41" t="str">
        <f t="shared" si="3"/>
        <v>X</v>
      </c>
      <c r="K123" s="113">
        <f>IFERROR(INDEX(환산공식!CI$16:CI$301,MATCH($E123,환산공식!$A$16:$A$301,0)),"")</f>
        <v>250</v>
      </c>
      <c r="L123" s="41" t="str">
        <f>IFERROR(CONCATENATE(ROUND(INDEX(환산공식!CJ$16:CJ$301,MATCH(E123,환산공식!$A$16:$A$301,0)),1),"%"),"")</f>
        <v>100%</v>
      </c>
      <c r="M123" s="41">
        <f>IFERROR(INDEX(환산공식!CK$16:CK$301,MATCH(E123,환산공식!$A$16:$A$301,0)),"")</f>
        <v>0</v>
      </c>
      <c r="N123" s="113" t="str">
        <f t="shared" si="4"/>
        <v>1% 이하</v>
      </c>
      <c r="O123" s="119">
        <f>IFERROR(ROUND(INDEX(환산공식!$EF$16:$EF$301,MATCH(E123,환산공식!$A$16:$A$301,0)),3),"")</f>
        <v>0</v>
      </c>
      <c r="P123" s="119">
        <f>IFERROR(ROUND(INDEX('배치점수 계산기'!M$11:M$1000,MATCH($C123,'배치점수 계산기'!$U$11:$U$1000,0)),2),"")</f>
        <v>888.13</v>
      </c>
      <c r="Q123" s="41">
        <f>IFERROR(ROUND(INDEX('배치점수 계산기'!N$11:N$1000,MATCH($C123,'배치점수 계산기'!$U$11:$U$1000,0)),2),"")</f>
        <v>885.62</v>
      </c>
      <c r="R123" s="41">
        <f>IFERROR(ROUND(INDEX('배치점수 계산기'!O$11:O$1000,MATCH($C123,'배치점수 계산기'!$U$11:$U$1000,0)),2),"")</f>
        <v>881.27</v>
      </c>
      <c r="S123" s="41">
        <f>IFERROR(ROUND(INDEX('배치점수 계산기'!P$11:P$1000,MATCH($C123,'배치점수 계산기'!$U$11:$U$1000,0)),2),"")</f>
        <v>877.97</v>
      </c>
      <c r="T123" s="41">
        <f>IFERROR(ROUND(INDEX('배치점수 계산기'!Q$11:Q$1000,MATCH($C123,'배치점수 계산기'!$U$11:$U$1000,0)),2),"")</f>
        <v>874.35</v>
      </c>
      <c r="U123" s="41">
        <f>IFERROR(INDEX(환산공식!$DC$16:$DC$301,MATCH(E123,환산공식!$A$16:$A$301,0)),"")</f>
        <v>0</v>
      </c>
      <c r="V123" s="113">
        <f t="shared" si="5"/>
        <v>6</v>
      </c>
      <c r="W123" s="110" t="str">
        <f>INDEX('배치점수 계산기'!$AG$11:$AG$800,MATCH('       나 군       '!$C123,'배치점수 계산기'!$U$11:$U$800,0))</f>
        <v>표점/만점</v>
      </c>
      <c r="X123" s="108" t="str">
        <f>INDEX('배치점수 계산기'!$AH$11:$AH$800,MATCH('       나 군       '!$C123,'배치점수 계산기'!$U$11:$U$800,0))</f>
        <v>변표/만점</v>
      </c>
      <c r="Y123" s="113">
        <f>INDEX('배치점수 계산기'!$AB$11:$AB$800,MATCH('       나 군       '!$C123,'배치점수 계산기'!$U$11:$U$800,0))</f>
        <v>0.3878976880865993</v>
      </c>
      <c r="Z123" s="73">
        <f>INDEX('배치점수 계산기'!$AC$11:$AC$800,MATCH('       나 군       '!$C123,'배치점수 계산기'!$U$11:$U$800,0))</f>
        <v>0.39317520765240338</v>
      </c>
      <c r="AA123" s="63">
        <f>INDEX('배치점수 계산기'!$AD$11:$AD$800,MATCH('       나 군       '!$C123,'배치점수 계산기'!$U$11:$U$800,0))</f>
        <v>0.21892710426099735</v>
      </c>
      <c r="AE123" s="7">
        <v>116</v>
      </c>
    </row>
    <row r="124" spans="3:31" x14ac:dyDescent="0.3">
      <c r="C124" s="7" t="s">
        <v>1352</v>
      </c>
      <c r="D124" s="41" t="s">
        <v>1104</v>
      </c>
      <c r="E124" s="41">
        <v>39</v>
      </c>
      <c r="F124" s="113" t="s">
        <v>346</v>
      </c>
      <c r="G124" s="41" t="s">
        <v>419</v>
      </c>
      <c r="H124" s="41" t="s">
        <v>339</v>
      </c>
      <c r="I124" s="41" t="s">
        <v>275</v>
      </c>
      <c r="J124" s="41" t="str">
        <f t="shared" si="3"/>
        <v>X</v>
      </c>
      <c r="K124" s="113">
        <f>IFERROR(INDEX(환산공식!CI$16:CI$301,MATCH($E124,환산공식!$A$16:$A$301,0)),"")</f>
        <v>250</v>
      </c>
      <c r="L124" s="41" t="str">
        <f>IFERROR(CONCATENATE(ROUND(INDEX(환산공식!CJ$16:CJ$301,MATCH(E124,환산공식!$A$16:$A$301,0)),1),"%"),"")</f>
        <v>100%</v>
      </c>
      <c r="M124" s="41">
        <f>IFERROR(INDEX(환산공식!CK$16:CK$301,MATCH(E124,환산공식!$A$16:$A$301,0)),"")</f>
        <v>0</v>
      </c>
      <c r="N124" s="113" t="str">
        <f t="shared" si="4"/>
        <v>1% 이하</v>
      </c>
      <c r="O124" s="119">
        <f>IFERROR(ROUND(INDEX(환산공식!$EF$16:$EF$301,MATCH(E124,환산공식!$A$16:$A$301,0)),3),"")</f>
        <v>0</v>
      </c>
      <c r="P124" s="119">
        <f>IFERROR(ROUND(INDEX('배치점수 계산기'!M$11:M$1000,MATCH($C124,'배치점수 계산기'!$U$11:$U$1000,0)),2),"")</f>
        <v>886.95</v>
      </c>
      <c r="Q124" s="41">
        <f>IFERROR(ROUND(INDEX('배치점수 계산기'!N$11:N$1000,MATCH($C124,'배치점수 계산기'!$U$11:$U$1000,0)),2),"")</f>
        <v>884.25</v>
      </c>
      <c r="R124" s="41">
        <f>IFERROR(ROUND(INDEX('배치점수 계산기'!O$11:O$1000,MATCH($C124,'배치점수 계산기'!$U$11:$U$1000,0)),2),"")</f>
        <v>880.01</v>
      </c>
      <c r="S124" s="41">
        <f>IFERROR(ROUND(INDEX('배치점수 계산기'!P$11:P$1000,MATCH($C124,'배치점수 계산기'!$U$11:$U$1000,0)),2),"")</f>
        <v>877.05</v>
      </c>
      <c r="T124" s="41">
        <f>IFERROR(ROUND(INDEX('배치점수 계산기'!Q$11:Q$1000,MATCH($C124,'배치점수 계산기'!$U$11:$U$1000,0)),2),"")</f>
        <v>871.11</v>
      </c>
      <c r="U124" s="41">
        <f>IFERROR(INDEX(환산공식!$DC$16:$DC$301,MATCH(E124,환산공식!$A$16:$A$301,0)),"")</f>
        <v>0</v>
      </c>
      <c r="V124" s="113">
        <f t="shared" si="5"/>
        <v>6</v>
      </c>
      <c r="W124" s="110" t="str">
        <f>INDEX('배치점수 계산기'!$AG$11:$AG$800,MATCH('       나 군       '!$C124,'배치점수 계산기'!$U$11:$U$800,0))</f>
        <v>표점/만점</v>
      </c>
      <c r="X124" s="108" t="str">
        <f>INDEX('배치점수 계산기'!$AH$11:$AH$800,MATCH('       나 군       '!$C124,'배치점수 계산기'!$U$11:$U$800,0))</f>
        <v>변표/만점</v>
      </c>
      <c r="Y124" s="113">
        <f>INDEX('배치점수 계산기'!$AB$11:$AB$800,MATCH('       나 군       '!$C124,'배치점수 계산기'!$U$11:$U$800,0))</f>
        <v>0.3878976880865993</v>
      </c>
      <c r="Z124" s="73">
        <f>INDEX('배치점수 계산기'!$AC$11:$AC$800,MATCH('       나 군       '!$C124,'배치점수 계산기'!$U$11:$U$800,0))</f>
        <v>0.39317520765240338</v>
      </c>
      <c r="AA124" s="63">
        <f>INDEX('배치점수 계산기'!$AD$11:$AD$800,MATCH('       나 군       '!$C124,'배치점수 계산기'!$U$11:$U$800,0))</f>
        <v>0.21892710426099735</v>
      </c>
      <c r="AE124" s="7">
        <v>117</v>
      </c>
    </row>
    <row r="125" spans="3:31" x14ac:dyDescent="0.3">
      <c r="C125" s="7" t="s">
        <v>1353</v>
      </c>
      <c r="D125" s="41" t="s">
        <v>1104</v>
      </c>
      <c r="E125" s="41">
        <v>39</v>
      </c>
      <c r="F125" s="113" t="s">
        <v>346</v>
      </c>
      <c r="G125" s="41" t="s">
        <v>419</v>
      </c>
      <c r="H125" s="41" t="s">
        <v>309</v>
      </c>
      <c r="I125" s="41" t="s">
        <v>275</v>
      </c>
      <c r="J125" s="41" t="str">
        <f t="shared" si="3"/>
        <v>X</v>
      </c>
      <c r="K125" s="113">
        <f>IFERROR(INDEX(환산공식!CI$16:CI$301,MATCH($E125,환산공식!$A$16:$A$301,0)),"")</f>
        <v>250</v>
      </c>
      <c r="L125" s="41" t="str">
        <f>IFERROR(CONCATENATE(ROUND(INDEX(환산공식!CJ$16:CJ$301,MATCH(E125,환산공식!$A$16:$A$301,0)),1),"%"),"")</f>
        <v>100%</v>
      </c>
      <c r="M125" s="41">
        <f>IFERROR(INDEX(환산공식!CK$16:CK$301,MATCH(E125,환산공식!$A$16:$A$301,0)),"")</f>
        <v>0</v>
      </c>
      <c r="N125" s="113" t="str">
        <f t="shared" si="4"/>
        <v>1% 이하</v>
      </c>
      <c r="O125" s="119">
        <f>IFERROR(ROUND(INDEX(환산공식!$EF$16:$EF$301,MATCH(E125,환산공식!$A$16:$A$301,0)),3),"")</f>
        <v>0</v>
      </c>
      <c r="P125" s="119">
        <f>IFERROR(ROUND(INDEX('배치점수 계산기'!M$11:M$1000,MATCH($C125,'배치점수 계산기'!$U$11:$U$1000,0)),2),"")</f>
        <v>886.95</v>
      </c>
      <c r="Q125" s="41">
        <f>IFERROR(ROUND(INDEX('배치점수 계산기'!N$11:N$1000,MATCH($C125,'배치점수 계산기'!$U$11:$U$1000,0)),2),"")</f>
        <v>884.25</v>
      </c>
      <c r="R125" s="41">
        <f>IFERROR(ROUND(INDEX('배치점수 계산기'!O$11:O$1000,MATCH($C125,'배치점수 계산기'!$U$11:$U$1000,0)),2),"")</f>
        <v>880.01</v>
      </c>
      <c r="S125" s="41">
        <f>IFERROR(ROUND(INDEX('배치점수 계산기'!P$11:P$1000,MATCH($C125,'배치점수 계산기'!$U$11:$U$1000,0)),2),"")</f>
        <v>876.32</v>
      </c>
      <c r="T125" s="41">
        <f>IFERROR(ROUND(INDEX('배치점수 계산기'!Q$11:Q$1000,MATCH($C125,'배치점수 계산기'!$U$11:$U$1000,0)),2),"")</f>
        <v>869.37</v>
      </c>
      <c r="U125" s="41">
        <f>IFERROR(INDEX(환산공식!$DC$16:$DC$301,MATCH(E125,환산공식!$A$16:$A$301,0)),"")</f>
        <v>0</v>
      </c>
      <c r="V125" s="113">
        <f t="shared" si="5"/>
        <v>6</v>
      </c>
      <c r="W125" s="110" t="str">
        <f>INDEX('배치점수 계산기'!$AG$11:$AG$800,MATCH('       나 군       '!$C125,'배치점수 계산기'!$U$11:$U$800,0))</f>
        <v>표점/만점</v>
      </c>
      <c r="X125" s="108" t="str">
        <f>INDEX('배치점수 계산기'!$AH$11:$AH$800,MATCH('       나 군       '!$C125,'배치점수 계산기'!$U$11:$U$800,0))</f>
        <v>변표/만점</v>
      </c>
      <c r="Y125" s="113">
        <f>INDEX('배치점수 계산기'!$AB$11:$AB$800,MATCH('       나 군       '!$C125,'배치점수 계산기'!$U$11:$U$800,0))</f>
        <v>0.3878976880865993</v>
      </c>
      <c r="Z125" s="73">
        <f>INDEX('배치점수 계산기'!$AC$11:$AC$800,MATCH('       나 군       '!$C125,'배치점수 계산기'!$U$11:$U$800,0))</f>
        <v>0.39317520765240338</v>
      </c>
      <c r="AA125" s="63">
        <f>INDEX('배치점수 계산기'!$AD$11:$AD$800,MATCH('       나 군       '!$C125,'배치점수 계산기'!$U$11:$U$800,0))</f>
        <v>0.21892710426099735</v>
      </c>
      <c r="AE125" s="7">
        <v>118</v>
      </c>
    </row>
    <row r="126" spans="3:31" x14ac:dyDescent="0.3">
      <c r="C126" s="7" t="s">
        <v>1354</v>
      </c>
      <c r="D126" s="41" t="s">
        <v>1104</v>
      </c>
      <c r="E126" s="41">
        <v>39</v>
      </c>
      <c r="F126" s="113" t="s">
        <v>346</v>
      </c>
      <c r="G126" s="41" t="s">
        <v>419</v>
      </c>
      <c r="H126" s="41" t="s">
        <v>312</v>
      </c>
      <c r="I126" s="41" t="s">
        <v>275</v>
      </c>
      <c r="J126" s="41" t="str">
        <f t="shared" si="3"/>
        <v>X</v>
      </c>
      <c r="K126" s="113">
        <f>IFERROR(INDEX(환산공식!CI$16:CI$301,MATCH($E126,환산공식!$A$16:$A$301,0)),"")</f>
        <v>250</v>
      </c>
      <c r="L126" s="41" t="str">
        <f>IFERROR(CONCATENATE(ROUND(INDEX(환산공식!CJ$16:CJ$301,MATCH(E126,환산공식!$A$16:$A$301,0)),1),"%"),"")</f>
        <v>100%</v>
      </c>
      <c r="M126" s="41">
        <f>IFERROR(INDEX(환산공식!CK$16:CK$301,MATCH(E126,환산공식!$A$16:$A$301,0)),"")</f>
        <v>0</v>
      </c>
      <c r="N126" s="113" t="str">
        <f t="shared" si="4"/>
        <v>1% 이하</v>
      </c>
      <c r="O126" s="119">
        <f>IFERROR(ROUND(INDEX(환산공식!$EF$16:$EF$301,MATCH(E126,환산공식!$A$16:$A$301,0)),3),"")</f>
        <v>0</v>
      </c>
      <c r="P126" s="119">
        <f>IFERROR(ROUND(INDEX('배치점수 계산기'!M$11:M$1000,MATCH($C126,'배치점수 계산기'!$U$11:$U$1000,0)),2),"")</f>
        <v>886.95</v>
      </c>
      <c r="Q126" s="41">
        <f>IFERROR(ROUND(INDEX('배치점수 계산기'!N$11:N$1000,MATCH($C126,'배치점수 계산기'!$U$11:$U$1000,0)),2),"")</f>
        <v>884.25</v>
      </c>
      <c r="R126" s="41">
        <f>IFERROR(ROUND(INDEX('배치점수 계산기'!O$11:O$1000,MATCH($C126,'배치점수 계산기'!$U$11:$U$1000,0)),2),"")</f>
        <v>880.01</v>
      </c>
      <c r="S126" s="41">
        <f>IFERROR(ROUND(INDEX('배치점수 계산기'!P$11:P$1000,MATCH($C126,'배치점수 계산기'!$U$11:$U$1000,0)),2),"")</f>
        <v>876.32</v>
      </c>
      <c r="T126" s="41">
        <f>IFERROR(ROUND(INDEX('배치점수 계산기'!Q$11:Q$1000,MATCH($C126,'배치점수 계산기'!$U$11:$U$1000,0)),2),"")</f>
        <v>869.37</v>
      </c>
      <c r="U126" s="41">
        <f>IFERROR(INDEX(환산공식!$DC$16:$DC$301,MATCH(E126,환산공식!$A$16:$A$301,0)),"")</f>
        <v>0</v>
      </c>
      <c r="V126" s="113">
        <f t="shared" si="5"/>
        <v>6</v>
      </c>
      <c r="W126" s="110" t="str">
        <f>INDEX('배치점수 계산기'!$AG$11:$AG$800,MATCH('       나 군       '!$C126,'배치점수 계산기'!$U$11:$U$800,0))</f>
        <v>표점/만점</v>
      </c>
      <c r="X126" s="108" t="str">
        <f>INDEX('배치점수 계산기'!$AH$11:$AH$800,MATCH('       나 군       '!$C126,'배치점수 계산기'!$U$11:$U$800,0))</f>
        <v>변표/만점</v>
      </c>
      <c r="Y126" s="113">
        <f>INDEX('배치점수 계산기'!$AB$11:$AB$800,MATCH('       나 군       '!$C126,'배치점수 계산기'!$U$11:$U$800,0))</f>
        <v>0.3878976880865993</v>
      </c>
      <c r="Z126" s="73">
        <f>INDEX('배치점수 계산기'!$AC$11:$AC$800,MATCH('       나 군       '!$C126,'배치점수 계산기'!$U$11:$U$800,0))</f>
        <v>0.39317520765240338</v>
      </c>
      <c r="AA126" s="63">
        <f>INDEX('배치점수 계산기'!$AD$11:$AD$800,MATCH('       나 군       '!$C126,'배치점수 계산기'!$U$11:$U$800,0))</f>
        <v>0.21892710426099735</v>
      </c>
      <c r="AE126" s="7">
        <v>119</v>
      </c>
    </row>
    <row r="127" spans="3:31" x14ac:dyDescent="0.3">
      <c r="C127" s="7" t="s">
        <v>1355</v>
      </c>
      <c r="D127" s="41" t="s">
        <v>1104</v>
      </c>
      <c r="E127" s="41">
        <v>39</v>
      </c>
      <c r="F127" s="113" t="s">
        <v>346</v>
      </c>
      <c r="G127" s="41" t="s">
        <v>419</v>
      </c>
      <c r="H127" s="41" t="s">
        <v>424</v>
      </c>
      <c r="I127" s="41" t="s">
        <v>275</v>
      </c>
      <c r="J127" s="41" t="str">
        <f t="shared" si="3"/>
        <v>X</v>
      </c>
      <c r="K127" s="113">
        <f>IFERROR(INDEX(환산공식!CI$16:CI$301,MATCH($E127,환산공식!$A$16:$A$301,0)),"")</f>
        <v>250</v>
      </c>
      <c r="L127" s="41" t="str">
        <f>IFERROR(CONCATENATE(ROUND(INDEX(환산공식!CJ$16:CJ$301,MATCH(E127,환산공식!$A$16:$A$301,0)),1),"%"),"")</f>
        <v>100%</v>
      </c>
      <c r="M127" s="41">
        <f>IFERROR(INDEX(환산공식!CK$16:CK$301,MATCH(E127,환산공식!$A$16:$A$301,0)),"")</f>
        <v>0</v>
      </c>
      <c r="N127" s="113" t="str">
        <f t="shared" si="4"/>
        <v>1% 이하</v>
      </c>
      <c r="O127" s="119">
        <f>IFERROR(ROUND(INDEX(환산공식!$EF$16:$EF$301,MATCH(E127,환산공식!$A$16:$A$301,0)),3),"")</f>
        <v>0</v>
      </c>
      <c r="P127" s="119">
        <f>IFERROR(ROUND(INDEX('배치점수 계산기'!M$11:M$1000,MATCH($C127,'배치점수 계산기'!$U$11:$U$1000,0)),2),"")</f>
        <v>888.13</v>
      </c>
      <c r="Q127" s="41">
        <f>IFERROR(ROUND(INDEX('배치점수 계산기'!N$11:N$1000,MATCH($C127,'배치점수 계산기'!$U$11:$U$1000,0)),2),"")</f>
        <v>886.95</v>
      </c>
      <c r="R127" s="41">
        <f>IFERROR(ROUND(INDEX('배치점수 계산기'!O$11:O$1000,MATCH($C127,'배치점수 계산기'!$U$11:$U$1000,0)),2),"")</f>
        <v>884.25</v>
      </c>
      <c r="S127" s="41">
        <f>IFERROR(ROUND(INDEX('배치점수 계산기'!P$11:P$1000,MATCH($C127,'배치점수 계산기'!$U$11:$U$1000,0)),2),"")</f>
        <v>878.96</v>
      </c>
      <c r="T127" s="41">
        <f>IFERROR(ROUND(INDEX('배치점수 계산기'!Q$11:Q$1000,MATCH($C127,'배치점수 계산기'!$U$11:$U$1000,0)),2),"")</f>
        <v>875.28</v>
      </c>
      <c r="U127" s="41">
        <f>IFERROR(INDEX(환산공식!$DC$16:$DC$301,MATCH(E127,환산공식!$A$16:$A$301,0)),"")</f>
        <v>0</v>
      </c>
      <c r="V127" s="113">
        <f t="shared" si="5"/>
        <v>6</v>
      </c>
      <c r="W127" s="110" t="str">
        <f>INDEX('배치점수 계산기'!$AG$11:$AG$800,MATCH('       나 군       '!$C127,'배치점수 계산기'!$U$11:$U$800,0))</f>
        <v>표점/만점</v>
      </c>
      <c r="X127" s="108" t="str">
        <f>INDEX('배치점수 계산기'!$AH$11:$AH$800,MATCH('       나 군       '!$C127,'배치점수 계산기'!$U$11:$U$800,0))</f>
        <v>변표/만점</v>
      </c>
      <c r="Y127" s="113">
        <f>INDEX('배치점수 계산기'!$AB$11:$AB$800,MATCH('       나 군       '!$C127,'배치점수 계산기'!$U$11:$U$800,0))</f>
        <v>0.3878976880865993</v>
      </c>
      <c r="Z127" s="73">
        <f>INDEX('배치점수 계산기'!$AC$11:$AC$800,MATCH('       나 군       '!$C127,'배치점수 계산기'!$U$11:$U$800,0))</f>
        <v>0.39317520765240338</v>
      </c>
      <c r="AA127" s="63">
        <f>INDEX('배치점수 계산기'!$AD$11:$AD$800,MATCH('       나 군       '!$C127,'배치점수 계산기'!$U$11:$U$800,0))</f>
        <v>0.21892710426099735</v>
      </c>
      <c r="AE127" s="7">
        <v>120</v>
      </c>
    </row>
    <row r="128" spans="3:31" x14ac:dyDescent="0.3">
      <c r="C128" s="7" t="s">
        <v>1356</v>
      </c>
      <c r="D128" s="41" t="s">
        <v>1106</v>
      </c>
      <c r="E128" s="41">
        <v>41</v>
      </c>
      <c r="F128" s="113" t="s">
        <v>346</v>
      </c>
      <c r="G128" s="41" t="s">
        <v>419</v>
      </c>
      <c r="H128" s="41" t="s">
        <v>425</v>
      </c>
      <c r="I128" s="41" t="s">
        <v>274</v>
      </c>
      <c r="J128" s="41" t="str">
        <f t="shared" si="3"/>
        <v>X</v>
      </c>
      <c r="K128" s="113">
        <f>IFERROR(INDEX(환산공식!CI$16:CI$301,MATCH($E128,환산공식!$A$16:$A$301,0)),"")</f>
        <v>250</v>
      </c>
      <c r="L128" s="41" t="str">
        <f>IFERROR(CONCATENATE(ROUND(INDEX(환산공식!CJ$16:CJ$301,MATCH(E128,환산공식!$A$16:$A$301,0)),1),"%"),"")</f>
        <v>100%</v>
      </c>
      <c r="M128" s="41">
        <f>IFERROR(INDEX(환산공식!CK$16:CK$301,MATCH(E128,환산공식!$A$16:$A$301,0)),"")</f>
        <v>0</v>
      </c>
      <c r="N128" s="113" t="str">
        <f t="shared" si="4"/>
        <v>1% 이하</v>
      </c>
      <c r="O128" s="119">
        <f>IFERROR(ROUND(INDEX(환산공식!$EF$16:$EF$301,MATCH(E128,환산공식!$A$16:$A$301,0)),3),"")</f>
        <v>0</v>
      </c>
      <c r="P128" s="119">
        <f>IFERROR(ROUND(INDEX('배치점수 계산기'!M$11:M$1000,MATCH($C128,'배치점수 계산기'!$U$11:$U$1000,0)),2),"")</f>
        <v>898.87</v>
      </c>
      <c r="Q128" s="41">
        <f>IFERROR(ROUND(INDEX('배치점수 계산기'!N$11:N$1000,MATCH($C128,'배치점수 계산기'!$U$11:$U$1000,0)),2),"")</f>
        <v>895.79</v>
      </c>
      <c r="R128" s="41">
        <f>IFERROR(ROUND(INDEX('배치점수 계산기'!O$11:O$1000,MATCH($C128,'배치점수 계산기'!$U$11:$U$1000,0)),2),"")</f>
        <v>891.62</v>
      </c>
      <c r="S128" s="41">
        <f>IFERROR(ROUND(INDEX('배치점수 계산기'!P$11:P$1000,MATCH($C128,'배치점수 계산기'!$U$11:$U$1000,0)),2),"")</f>
        <v>889.69</v>
      </c>
      <c r="T128" s="41">
        <f>IFERROR(ROUND(INDEX('배치점수 계산기'!Q$11:Q$1000,MATCH($C128,'배치점수 계산기'!$U$11:$U$1000,0)),2),"")</f>
        <v>886.86</v>
      </c>
      <c r="U128" s="41">
        <f>IFERROR(INDEX(환산공식!$DC$16:$DC$301,MATCH(E128,환산공식!$A$16:$A$301,0)),"")</f>
        <v>0</v>
      </c>
      <c r="V128" s="113">
        <f t="shared" si="5"/>
        <v>6</v>
      </c>
      <c r="W128" s="110" t="str">
        <f>INDEX('배치점수 계산기'!$AG$11:$AG$800,MATCH('       나 군       '!$C128,'배치점수 계산기'!$U$11:$U$800,0))</f>
        <v>표점/만점</v>
      </c>
      <c r="X128" s="108" t="str">
        <f>INDEX('배치점수 계산기'!$AH$11:$AH$800,MATCH('       나 군       '!$C128,'배치점수 계산기'!$U$11:$U$800,0))</f>
        <v>변표/만점</v>
      </c>
      <c r="Y128" s="113">
        <f>INDEX('배치점수 계산기'!$AB$11:$AB$800,MATCH('       나 군       '!$C128,'배치점수 계산기'!$U$11:$U$800,0))</f>
        <v>0.26169874763975232</v>
      </c>
      <c r="Z128" s="73">
        <f>INDEX('배치점수 계산기'!$AC$11:$AC$800,MATCH('       나 군       '!$C128,'배치점수 계산기'!$U$11:$U$800,0))</f>
        <v>0.46420373093241774</v>
      </c>
      <c r="AA128" s="63">
        <f>INDEX('배치점수 계산기'!$AD$11:$AD$800,MATCH('       나 군       '!$C128,'배치점수 계산기'!$U$11:$U$800,0))</f>
        <v>0.27409752142783</v>
      </c>
      <c r="AE128" s="7">
        <v>121</v>
      </c>
    </row>
    <row r="129" spans="3:31" x14ac:dyDescent="0.3">
      <c r="C129" s="7" t="s">
        <v>1357</v>
      </c>
      <c r="D129" s="41" t="s">
        <v>1106</v>
      </c>
      <c r="E129" s="41">
        <v>41</v>
      </c>
      <c r="F129" s="113" t="s">
        <v>346</v>
      </c>
      <c r="G129" s="41" t="s">
        <v>419</v>
      </c>
      <c r="H129" s="41" t="s">
        <v>288</v>
      </c>
      <c r="I129" s="41" t="s">
        <v>274</v>
      </c>
      <c r="J129" s="41" t="str">
        <f t="shared" si="3"/>
        <v>X</v>
      </c>
      <c r="K129" s="113">
        <f>IFERROR(INDEX(환산공식!CI$16:CI$301,MATCH($E129,환산공식!$A$16:$A$301,0)),"")</f>
        <v>250</v>
      </c>
      <c r="L129" s="41" t="str">
        <f>IFERROR(CONCATENATE(ROUND(INDEX(환산공식!CJ$16:CJ$301,MATCH(E129,환산공식!$A$16:$A$301,0)),1),"%"),"")</f>
        <v>100%</v>
      </c>
      <c r="M129" s="41">
        <f>IFERROR(INDEX(환산공식!CK$16:CK$301,MATCH(E129,환산공식!$A$16:$A$301,0)),"")</f>
        <v>0</v>
      </c>
      <c r="N129" s="113" t="str">
        <f t="shared" si="4"/>
        <v>1% 이하</v>
      </c>
      <c r="O129" s="119">
        <f>IFERROR(ROUND(INDEX(환산공식!$EF$16:$EF$301,MATCH(E129,환산공식!$A$16:$A$301,0)),3),"")</f>
        <v>0</v>
      </c>
      <c r="P129" s="119">
        <f>IFERROR(ROUND(INDEX('배치점수 계산기'!M$11:M$1000,MATCH($C129,'배치점수 계산기'!$U$11:$U$1000,0)),2),"")</f>
        <v>898.17</v>
      </c>
      <c r="Q129" s="41">
        <f>IFERROR(ROUND(INDEX('배치점수 계산기'!N$11:N$1000,MATCH($C129,'배치점수 계산기'!$U$11:$U$1000,0)),2),"")</f>
        <v>894.2</v>
      </c>
      <c r="R129" s="41">
        <f>IFERROR(ROUND(INDEX('배치점수 계산기'!O$11:O$1000,MATCH($C129,'배치점수 계산기'!$U$11:$U$1000,0)),2),"")</f>
        <v>892.24</v>
      </c>
      <c r="S129" s="41">
        <f>IFERROR(ROUND(INDEX('배치점수 계산기'!P$11:P$1000,MATCH($C129,'배치점수 계산기'!$U$11:$U$1000,0)),2),"")</f>
        <v>888.75</v>
      </c>
      <c r="T129" s="41">
        <f>IFERROR(ROUND(INDEX('배치점수 계산기'!Q$11:Q$1000,MATCH($C129,'배치점수 계산기'!$U$11:$U$1000,0)),2),"")</f>
        <v>886.86</v>
      </c>
      <c r="U129" s="41">
        <f>IFERROR(INDEX(환산공식!$DC$16:$DC$301,MATCH(E129,환산공식!$A$16:$A$301,0)),"")</f>
        <v>0</v>
      </c>
      <c r="V129" s="113">
        <f t="shared" si="5"/>
        <v>6</v>
      </c>
      <c r="W129" s="110" t="str">
        <f>INDEX('배치점수 계산기'!$AG$11:$AG$800,MATCH('       나 군       '!$C129,'배치점수 계산기'!$U$11:$U$800,0))</f>
        <v>표점/만점</v>
      </c>
      <c r="X129" s="108" t="str">
        <f>INDEX('배치점수 계산기'!$AH$11:$AH$800,MATCH('       나 군       '!$C129,'배치점수 계산기'!$U$11:$U$800,0))</f>
        <v>변표/만점</v>
      </c>
      <c r="Y129" s="113">
        <f>INDEX('배치점수 계산기'!$AB$11:$AB$800,MATCH('       나 군       '!$C129,'배치점수 계산기'!$U$11:$U$800,0))</f>
        <v>0.26169874763975232</v>
      </c>
      <c r="Z129" s="73">
        <f>INDEX('배치점수 계산기'!$AC$11:$AC$800,MATCH('       나 군       '!$C129,'배치점수 계산기'!$U$11:$U$800,0))</f>
        <v>0.46420373093241774</v>
      </c>
      <c r="AA129" s="63">
        <f>INDEX('배치점수 계산기'!$AD$11:$AD$800,MATCH('       나 군       '!$C129,'배치점수 계산기'!$U$11:$U$800,0))</f>
        <v>0.27409752142783</v>
      </c>
      <c r="AE129" s="7">
        <v>122</v>
      </c>
    </row>
    <row r="130" spans="3:31" x14ac:dyDescent="0.3">
      <c r="C130" s="7" t="s">
        <v>1358</v>
      </c>
      <c r="D130" s="41" t="s">
        <v>1106</v>
      </c>
      <c r="E130" s="41">
        <v>41</v>
      </c>
      <c r="F130" s="113" t="s">
        <v>346</v>
      </c>
      <c r="G130" s="41" t="s">
        <v>419</v>
      </c>
      <c r="H130" s="41" t="s">
        <v>280</v>
      </c>
      <c r="I130" s="41" t="s">
        <v>274</v>
      </c>
      <c r="J130" s="41" t="str">
        <f t="shared" si="3"/>
        <v>X</v>
      </c>
      <c r="K130" s="113">
        <f>IFERROR(INDEX(환산공식!CI$16:CI$301,MATCH($E130,환산공식!$A$16:$A$301,0)),"")</f>
        <v>250</v>
      </c>
      <c r="L130" s="41" t="str">
        <f>IFERROR(CONCATENATE(ROUND(INDEX(환산공식!CJ$16:CJ$301,MATCH(E130,환산공식!$A$16:$A$301,0)),1),"%"),"")</f>
        <v>100%</v>
      </c>
      <c r="M130" s="41">
        <f>IFERROR(INDEX(환산공식!CK$16:CK$301,MATCH(E130,환산공식!$A$16:$A$301,0)),"")</f>
        <v>0</v>
      </c>
      <c r="N130" s="113" t="str">
        <f t="shared" si="4"/>
        <v>1% 이하</v>
      </c>
      <c r="O130" s="119">
        <f>IFERROR(ROUND(INDEX(환산공식!$EF$16:$EF$301,MATCH(E130,환산공식!$A$16:$A$301,0)),3),"")</f>
        <v>0</v>
      </c>
      <c r="P130" s="119">
        <f>IFERROR(ROUND(INDEX('배치점수 계산기'!M$11:M$1000,MATCH($C130,'배치점수 계산기'!$U$11:$U$1000,0)),2),"")</f>
        <v>896.67</v>
      </c>
      <c r="Q130" s="41">
        <f>IFERROR(ROUND(INDEX('배치점수 계산기'!N$11:N$1000,MATCH($C130,'배치점수 계산기'!$U$11:$U$1000,0)),2),"")</f>
        <v>892.86</v>
      </c>
      <c r="R130" s="41">
        <f>IFERROR(ROUND(INDEX('배치점수 계산기'!O$11:O$1000,MATCH($C130,'배치점수 계산기'!$U$11:$U$1000,0)),2),"")</f>
        <v>890.67</v>
      </c>
      <c r="S130" s="41">
        <f>IFERROR(ROUND(INDEX('배치점수 계산기'!P$11:P$1000,MATCH($C130,'배치점수 계산기'!$U$11:$U$1000,0)),2),"")</f>
        <v>887.77</v>
      </c>
      <c r="T130" s="41">
        <f>IFERROR(ROUND(INDEX('배치점수 계산기'!Q$11:Q$1000,MATCH($C130,'배치점수 계산기'!$U$11:$U$1000,0)),2),"")</f>
        <v>885.95</v>
      </c>
      <c r="U130" s="41">
        <f>IFERROR(INDEX(환산공식!$DC$16:$DC$301,MATCH(E130,환산공식!$A$16:$A$301,0)),"")</f>
        <v>0</v>
      </c>
      <c r="V130" s="113">
        <f t="shared" si="5"/>
        <v>6</v>
      </c>
      <c r="W130" s="110" t="str">
        <f>INDEX('배치점수 계산기'!$AG$11:$AG$800,MATCH('       나 군       '!$C130,'배치점수 계산기'!$U$11:$U$800,0))</f>
        <v>표점/만점</v>
      </c>
      <c r="X130" s="108" t="str">
        <f>INDEX('배치점수 계산기'!$AH$11:$AH$800,MATCH('       나 군       '!$C130,'배치점수 계산기'!$U$11:$U$800,0))</f>
        <v>변표/만점</v>
      </c>
      <c r="Y130" s="113">
        <f>INDEX('배치점수 계산기'!$AB$11:$AB$800,MATCH('       나 군       '!$C130,'배치점수 계산기'!$U$11:$U$800,0))</f>
        <v>0.26169874763975232</v>
      </c>
      <c r="Z130" s="73">
        <f>INDEX('배치점수 계산기'!$AC$11:$AC$800,MATCH('       나 군       '!$C130,'배치점수 계산기'!$U$11:$U$800,0))</f>
        <v>0.46420373093241774</v>
      </c>
      <c r="AA130" s="63">
        <f>INDEX('배치점수 계산기'!$AD$11:$AD$800,MATCH('       나 군       '!$C130,'배치점수 계산기'!$U$11:$U$800,0))</f>
        <v>0.27409752142783</v>
      </c>
      <c r="AE130" s="7">
        <v>123</v>
      </c>
    </row>
    <row r="131" spans="3:31" x14ac:dyDescent="0.3">
      <c r="C131" s="7" t="s">
        <v>1359</v>
      </c>
      <c r="D131" s="41" t="s">
        <v>1106</v>
      </c>
      <c r="E131" s="41">
        <v>41</v>
      </c>
      <c r="F131" s="113" t="s">
        <v>346</v>
      </c>
      <c r="G131" s="41" t="s">
        <v>419</v>
      </c>
      <c r="H131" s="41" t="s">
        <v>286</v>
      </c>
      <c r="I131" s="41" t="s">
        <v>274</v>
      </c>
      <c r="J131" s="41" t="str">
        <f t="shared" si="3"/>
        <v>X</v>
      </c>
      <c r="K131" s="113">
        <f>IFERROR(INDEX(환산공식!CI$16:CI$301,MATCH($E131,환산공식!$A$16:$A$301,0)),"")</f>
        <v>250</v>
      </c>
      <c r="L131" s="41" t="str">
        <f>IFERROR(CONCATENATE(ROUND(INDEX(환산공식!CJ$16:CJ$301,MATCH(E131,환산공식!$A$16:$A$301,0)),1),"%"),"")</f>
        <v>100%</v>
      </c>
      <c r="M131" s="41">
        <f>IFERROR(INDEX(환산공식!CK$16:CK$301,MATCH(E131,환산공식!$A$16:$A$301,0)),"")</f>
        <v>0</v>
      </c>
      <c r="N131" s="113" t="str">
        <f t="shared" si="4"/>
        <v>1% 이하</v>
      </c>
      <c r="O131" s="119">
        <f>IFERROR(ROUND(INDEX(환산공식!$EF$16:$EF$301,MATCH(E131,환산공식!$A$16:$A$301,0)),3),"")</f>
        <v>0</v>
      </c>
      <c r="P131" s="119">
        <f>IFERROR(ROUND(INDEX('배치점수 계산기'!M$11:M$1000,MATCH($C131,'배치점수 계산기'!$U$11:$U$1000,0)),2),"")</f>
        <v>898.17</v>
      </c>
      <c r="Q131" s="41">
        <f>IFERROR(ROUND(INDEX('배치점수 계산기'!N$11:N$1000,MATCH($C131,'배치점수 계산기'!$U$11:$U$1000,0)),2),"")</f>
        <v>894.2</v>
      </c>
      <c r="R131" s="41">
        <f>IFERROR(ROUND(INDEX('배치점수 계산기'!O$11:O$1000,MATCH($C131,'배치점수 계산기'!$U$11:$U$1000,0)),2),"")</f>
        <v>892.24</v>
      </c>
      <c r="S131" s="41">
        <f>IFERROR(ROUND(INDEX('배치점수 계산기'!P$11:P$1000,MATCH($C131,'배치점수 계산기'!$U$11:$U$1000,0)),2),"")</f>
        <v>890.67</v>
      </c>
      <c r="T131" s="41">
        <f>IFERROR(ROUND(INDEX('배치점수 계산기'!Q$11:Q$1000,MATCH($C131,'배치점수 계산기'!$U$11:$U$1000,0)),2),"")</f>
        <v>887.77</v>
      </c>
      <c r="U131" s="41">
        <f>IFERROR(INDEX(환산공식!$DC$16:$DC$301,MATCH(E131,환산공식!$A$16:$A$301,0)),"")</f>
        <v>0</v>
      </c>
      <c r="V131" s="113">
        <f t="shared" si="5"/>
        <v>6</v>
      </c>
      <c r="W131" s="110" t="str">
        <f>INDEX('배치점수 계산기'!$AG$11:$AG$800,MATCH('       나 군       '!$C131,'배치점수 계산기'!$U$11:$U$800,0))</f>
        <v>표점/만점</v>
      </c>
      <c r="X131" s="108" t="str">
        <f>INDEX('배치점수 계산기'!$AH$11:$AH$800,MATCH('       나 군       '!$C131,'배치점수 계산기'!$U$11:$U$800,0))</f>
        <v>변표/만점</v>
      </c>
      <c r="Y131" s="113">
        <f>INDEX('배치점수 계산기'!$AB$11:$AB$800,MATCH('       나 군       '!$C131,'배치점수 계산기'!$U$11:$U$800,0))</f>
        <v>0.26169874763975232</v>
      </c>
      <c r="Z131" s="73">
        <f>INDEX('배치점수 계산기'!$AC$11:$AC$800,MATCH('       나 군       '!$C131,'배치점수 계산기'!$U$11:$U$800,0))</f>
        <v>0.46420373093241774</v>
      </c>
      <c r="AA131" s="63">
        <f>INDEX('배치점수 계산기'!$AD$11:$AD$800,MATCH('       나 군       '!$C131,'배치점수 계산기'!$U$11:$U$800,0))</f>
        <v>0.27409752142783</v>
      </c>
      <c r="AE131" s="7">
        <v>124</v>
      </c>
    </row>
    <row r="132" spans="3:31" x14ac:dyDescent="0.3">
      <c r="C132" s="7" t="s">
        <v>1360</v>
      </c>
      <c r="D132" s="41" t="s">
        <v>1106</v>
      </c>
      <c r="E132" s="41">
        <v>41</v>
      </c>
      <c r="F132" s="113" t="s">
        <v>346</v>
      </c>
      <c r="G132" s="41" t="s">
        <v>419</v>
      </c>
      <c r="H132" s="41" t="s">
        <v>426</v>
      </c>
      <c r="I132" s="41" t="s">
        <v>274</v>
      </c>
      <c r="J132" s="41" t="str">
        <f t="shared" si="3"/>
        <v>X</v>
      </c>
      <c r="K132" s="113">
        <f>IFERROR(INDEX(환산공식!CI$16:CI$301,MATCH($E132,환산공식!$A$16:$A$301,0)),"")</f>
        <v>250</v>
      </c>
      <c r="L132" s="41" t="str">
        <f>IFERROR(CONCATENATE(ROUND(INDEX(환산공식!CJ$16:CJ$301,MATCH(E132,환산공식!$A$16:$A$301,0)),1),"%"),"")</f>
        <v>100%</v>
      </c>
      <c r="M132" s="41">
        <f>IFERROR(INDEX(환산공식!CK$16:CK$301,MATCH(E132,환산공식!$A$16:$A$301,0)),"")</f>
        <v>0</v>
      </c>
      <c r="N132" s="113" t="str">
        <f t="shared" si="4"/>
        <v>1% 이하</v>
      </c>
      <c r="O132" s="119">
        <f>IFERROR(ROUND(INDEX(환산공식!$EF$16:$EF$301,MATCH(E132,환산공식!$A$16:$A$301,0)),3),"")</f>
        <v>0</v>
      </c>
      <c r="P132" s="119">
        <f>IFERROR(ROUND(INDEX('배치점수 계산기'!M$11:M$1000,MATCH($C132,'배치점수 계산기'!$U$11:$U$1000,0)),2),"")</f>
        <v>886.66</v>
      </c>
      <c r="Q132" s="41">
        <f>IFERROR(ROUND(INDEX('배치점수 계산기'!N$11:N$1000,MATCH($C132,'배치점수 계산기'!$U$11:$U$1000,0)),2),"")</f>
        <v>885.75</v>
      </c>
      <c r="R132" s="41">
        <f>IFERROR(ROUND(INDEX('배치점수 계산기'!O$11:O$1000,MATCH($C132,'배치점수 계산기'!$U$11:$U$1000,0)),2),"")</f>
        <v>883.95</v>
      </c>
      <c r="S132" s="41">
        <f>IFERROR(ROUND(INDEX('배치점수 계산기'!P$11:P$1000,MATCH($C132,'배치점수 계산기'!$U$11:$U$1000,0)),2),"")</f>
        <v>881.03</v>
      </c>
      <c r="T132" s="41">
        <f>IFERROR(ROUND(INDEX('배치점수 계산기'!Q$11:Q$1000,MATCH($C132,'배치점수 계산기'!$U$11:$U$1000,0)),2),"")</f>
        <v>878.15</v>
      </c>
      <c r="U132" s="41">
        <f>IFERROR(INDEX(환산공식!$DC$16:$DC$301,MATCH(E132,환산공식!$A$16:$A$301,0)),"")</f>
        <v>0</v>
      </c>
      <c r="V132" s="113">
        <f t="shared" si="5"/>
        <v>6</v>
      </c>
      <c r="W132" s="110" t="str">
        <f>INDEX('배치점수 계산기'!$AG$11:$AG$800,MATCH('       나 군       '!$C132,'배치점수 계산기'!$U$11:$U$800,0))</f>
        <v>표점/만점</v>
      </c>
      <c r="X132" s="108" t="str">
        <f>INDEX('배치점수 계산기'!$AH$11:$AH$800,MATCH('       나 군       '!$C132,'배치점수 계산기'!$U$11:$U$800,0))</f>
        <v>변표/만점</v>
      </c>
      <c r="Y132" s="113">
        <f>INDEX('배치점수 계산기'!$AB$11:$AB$800,MATCH('       나 군       '!$C132,'배치점수 계산기'!$U$11:$U$800,0))</f>
        <v>0.26169874763975232</v>
      </c>
      <c r="Z132" s="73">
        <f>INDEX('배치점수 계산기'!$AC$11:$AC$800,MATCH('       나 군       '!$C132,'배치점수 계산기'!$U$11:$U$800,0))</f>
        <v>0.46420373093241774</v>
      </c>
      <c r="AA132" s="63">
        <f>INDEX('배치점수 계산기'!$AD$11:$AD$800,MATCH('       나 군       '!$C132,'배치점수 계산기'!$U$11:$U$800,0))</f>
        <v>0.27409752142783</v>
      </c>
      <c r="AE132" s="7">
        <v>125</v>
      </c>
    </row>
    <row r="133" spans="3:31" x14ac:dyDescent="0.3">
      <c r="C133" s="7" t="s">
        <v>1361</v>
      </c>
      <c r="D133" s="41" t="s">
        <v>1106</v>
      </c>
      <c r="E133" s="41">
        <v>41</v>
      </c>
      <c r="F133" s="113" t="s">
        <v>346</v>
      </c>
      <c r="G133" s="41" t="s">
        <v>419</v>
      </c>
      <c r="H133" s="41" t="s">
        <v>278</v>
      </c>
      <c r="I133" s="41" t="s">
        <v>274</v>
      </c>
      <c r="J133" s="41" t="str">
        <f t="shared" si="3"/>
        <v>X</v>
      </c>
      <c r="K133" s="113">
        <f>IFERROR(INDEX(환산공식!CI$16:CI$301,MATCH($E133,환산공식!$A$16:$A$301,0)),"")</f>
        <v>250</v>
      </c>
      <c r="L133" s="41" t="str">
        <f>IFERROR(CONCATENATE(ROUND(INDEX(환산공식!CJ$16:CJ$301,MATCH(E133,환산공식!$A$16:$A$301,0)),1),"%"),"")</f>
        <v>100%</v>
      </c>
      <c r="M133" s="41">
        <f>IFERROR(INDEX(환산공식!CK$16:CK$301,MATCH(E133,환산공식!$A$16:$A$301,0)),"")</f>
        <v>0</v>
      </c>
      <c r="N133" s="113" t="str">
        <f t="shared" si="4"/>
        <v>1% 이하</v>
      </c>
      <c r="O133" s="119">
        <f>IFERROR(ROUND(INDEX(환산공식!$EF$16:$EF$301,MATCH(E133,환산공식!$A$16:$A$301,0)),3),"")</f>
        <v>0</v>
      </c>
      <c r="P133" s="119">
        <f>IFERROR(ROUND(INDEX('배치점수 계산기'!M$11:M$1000,MATCH($C133,'배치점수 계산기'!$U$11:$U$1000,0)),2),"")</f>
        <v>898.87</v>
      </c>
      <c r="Q133" s="41">
        <f>IFERROR(ROUND(INDEX('배치점수 계산기'!N$11:N$1000,MATCH($C133,'배치점수 계산기'!$U$11:$U$1000,0)),2),"")</f>
        <v>895.79</v>
      </c>
      <c r="R133" s="41">
        <f>IFERROR(ROUND(INDEX('배치점수 계산기'!O$11:O$1000,MATCH($C133,'배치점수 계산기'!$U$11:$U$1000,0)),2),"")</f>
        <v>892.86</v>
      </c>
      <c r="S133" s="41">
        <f>IFERROR(ROUND(INDEX('배치점수 계산기'!P$11:P$1000,MATCH($C133,'배치점수 계산기'!$U$11:$U$1000,0)),2),"")</f>
        <v>890.67</v>
      </c>
      <c r="T133" s="41">
        <f>IFERROR(ROUND(INDEX('배치점수 계산기'!Q$11:Q$1000,MATCH($C133,'배치점수 계산기'!$U$11:$U$1000,0)),2),"")</f>
        <v>886.86</v>
      </c>
      <c r="U133" s="41">
        <f>IFERROR(INDEX(환산공식!$DC$16:$DC$301,MATCH(E133,환산공식!$A$16:$A$301,0)),"")</f>
        <v>0</v>
      </c>
      <c r="V133" s="113">
        <f t="shared" si="5"/>
        <v>6</v>
      </c>
      <c r="W133" s="110" t="str">
        <f>INDEX('배치점수 계산기'!$AG$11:$AG$800,MATCH('       나 군       '!$C133,'배치점수 계산기'!$U$11:$U$800,0))</f>
        <v>표점/만점</v>
      </c>
      <c r="X133" s="108" t="str">
        <f>INDEX('배치점수 계산기'!$AH$11:$AH$800,MATCH('       나 군       '!$C133,'배치점수 계산기'!$U$11:$U$800,0))</f>
        <v>변표/만점</v>
      </c>
      <c r="Y133" s="113">
        <f>INDEX('배치점수 계산기'!$AB$11:$AB$800,MATCH('       나 군       '!$C133,'배치점수 계산기'!$U$11:$U$800,0))</f>
        <v>0.26169874763975232</v>
      </c>
      <c r="Z133" s="73">
        <f>INDEX('배치점수 계산기'!$AC$11:$AC$800,MATCH('       나 군       '!$C133,'배치점수 계산기'!$U$11:$U$800,0))</f>
        <v>0.46420373093241774</v>
      </c>
      <c r="AA133" s="63">
        <f>INDEX('배치점수 계산기'!$AD$11:$AD$800,MATCH('       나 군       '!$C133,'배치점수 계산기'!$U$11:$U$800,0))</f>
        <v>0.27409752142783</v>
      </c>
      <c r="AE133" s="7">
        <v>126</v>
      </c>
    </row>
    <row r="134" spans="3:31" x14ac:dyDescent="0.3">
      <c r="C134" s="7" t="s">
        <v>1362</v>
      </c>
      <c r="D134" s="41" t="s">
        <v>1106</v>
      </c>
      <c r="E134" s="41">
        <v>41</v>
      </c>
      <c r="F134" s="113" t="s">
        <v>346</v>
      </c>
      <c r="G134" s="41" t="s">
        <v>419</v>
      </c>
      <c r="H134" s="41" t="s">
        <v>292</v>
      </c>
      <c r="I134" s="41" t="s">
        <v>274</v>
      </c>
      <c r="J134" s="41" t="str">
        <f t="shared" si="3"/>
        <v>X</v>
      </c>
      <c r="K134" s="113">
        <f>IFERROR(INDEX(환산공식!CI$16:CI$301,MATCH($E134,환산공식!$A$16:$A$301,0)),"")</f>
        <v>250</v>
      </c>
      <c r="L134" s="41" t="str">
        <f>IFERROR(CONCATENATE(ROUND(INDEX(환산공식!CJ$16:CJ$301,MATCH(E134,환산공식!$A$16:$A$301,0)),1),"%"),"")</f>
        <v>100%</v>
      </c>
      <c r="M134" s="41">
        <f>IFERROR(INDEX(환산공식!CK$16:CK$301,MATCH(E134,환산공식!$A$16:$A$301,0)),"")</f>
        <v>0</v>
      </c>
      <c r="N134" s="113" t="str">
        <f t="shared" si="4"/>
        <v>1% 이하</v>
      </c>
      <c r="O134" s="119">
        <f>IFERROR(ROUND(INDEX(환산공식!$EF$16:$EF$301,MATCH(E134,환산공식!$A$16:$A$301,0)),3),"")</f>
        <v>0</v>
      </c>
      <c r="P134" s="119">
        <f>IFERROR(ROUND(INDEX('배치점수 계산기'!M$11:M$1000,MATCH($C134,'배치점수 계산기'!$U$11:$U$1000,0)),2),"")</f>
        <v>895.79</v>
      </c>
      <c r="Q134" s="41">
        <f>IFERROR(ROUND(INDEX('배치점수 계산기'!N$11:N$1000,MATCH($C134,'배치점수 계산기'!$U$11:$U$1000,0)),2),"")</f>
        <v>892.73</v>
      </c>
      <c r="R134" s="41">
        <f>IFERROR(ROUND(INDEX('배치점수 계산기'!O$11:O$1000,MATCH($C134,'배치점수 계산기'!$U$11:$U$1000,0)),2),"")</f>
        <v>889.69</v>
      </c>
      <c r="S134" s="41">
        <f>IFERROR(ROUND(INDEX('배치점수 계산기'!P$11:P$1000,MATCH($C134,'배치점수 계산기'!$U$11:$U$1000,0)),2),"")</f>
        <v>887.77</v>
      </c>
      <c r="T134" s="41">
        <f>IFERROR(ROUND(INDEX('배치점수 계산기'!Q$11:Q$1000,MATCH($C134,'배치점수 계산기'!$U$11:$U$1000,0)),2),"")</f>
        <v>886.86</v>
      </c>
      <c r="U134" s="41">
        <f>IFERROR(INDEX(환산공식!$DC$16:$DC$301,MATCH(E134,환산공식!$A$16:$A$301,0)),"")</f>
        <v>0</v>
      </c>
      <c r="V134" s="113">
        <f t="shared" si="5"/>
        <v>6</v>
      </c>
      <c r="W134" s="110" t="str">
        <f>INDEX('배치점수 계산기'!$AG$11:$AG$800,MATCH('       나 군       '!$C134,'배치점수 계산기'!$U$11:$U$800,0))</f>
        <v>표점/만점</v>
      </c>
      <c r="X134" s="108" t="str">
        <f>INDEX('배치점수 계산기'!$AH$11:$AH$800,MATCH('       나 군       '!$C134,'배치점수 계산기'!$U$11:$U$800,0))</f>
        <v>변표/만점</v>
      </c>
      <c r="Y134" s="113">
        <f>INDEX('배치점수 계산기'!$AB$11:$AB$800,MATCH('       나 군       '!$C134,'배치점수 계산기'!$U$11:$U$800,0))</f>
        <v>0.26169874763975232</v>
      </c>
      <c r="Z134" s="73">
        <f>INDEX('배치점수 계산기'!$AC$11:$AC$800,MATCH('       나 군       '!$C134,'배치점수 계산기'!$U$11:$U$800,0))</f>
        <v>0.46420373093241774</v>
      </c>
      <c r="AA134" s="63">
        <f>INDEX('배치점수 계산기'!$AD$11:$AD$800,MATCH('       나 군       '!$C134,'배치점수 계산기'!$U$11:$U$800,0))</f>
        <v>0.27409752142783</v>
      </c>
      <c r="AE134" s="7">
        <v>127</v>
      </c>
    </row>
    <row r="135" spans="3:31" x14ac:dyDescent="0.3">
      <c r="C135" s="7" t="s">
        <v>1363</v>
      </c>
      <c r="D135" s="41" t="s">
        <v>1106</v>
      </c>
      <c r="E135" s="41">
        <v>41</v>
      </c>
      <c r="F135" s="113" t="s">
        <v>346</v>
      </c>
      <c r="G135" s="41" t="s">
        <v>419</v>
      </c>
      <c r="H135" s="41" t="s">
        <v>255</v>
      </c>
      <c r="I135" s="41" t="s">
        <v>274</v>
      </c>
      <c r="J135" s="41" t="str">
        <f t="shared" si="3"/>
        <v>X</v>
      </c>
      <c r="K135" s="113">
        <f>IFERROR(INDEX(환산공식!CI$16:CI$301,MATCH($E135,환산공식!$A$16:$A$301,0)),"")</f>
        <v>250</v>
      </c>
      <c r="L135" s="41" t="str">
        <f>IFERROR(CONCATENATE(ROUND(INDEX(환산공식!CJ$16:CJ$301,MATCH(E135,환산공식!$A$16:$A$301,0)),1),"%"),"")</f>
        <v>100%</v>
      </c>
      <c r="M135" s="41">
        <f>IFERROR(INDEX(환산공식!CK$16:CK$301,MATCH(E135,환산공식!$A$16:$A$301,0)),"")</f>
        <v>0</v>
      </c>
      <c r="N135" s="113" t="str">
        <f t="shared" si="4"/>
        <v>1% 이하</v>
      </c>
      <c r="O135" s="119">
        <f>IFERROR(ROUND(INDEX(환산공식!$EF$16:$EF$301,MATCH(E135,환산공식!$A$16:$A$301,0)),3),"")</f>
        <v>0</v>
      </c>
      <c r="P135" s="119">
        <f>IFERROR(ROUND(INDEX('배치점수 계산기'!M$11:M$1000,MATCH($C135,'배치점수 계산기'!$U$11:$U$1000,0)),2),"")</f>
        <v>898.17</v>
      </c>
      <c r="Q135" s="41">
        <f>IFERROR(ROUND(INDEX('배치점수 계산기'!N$11:N$1000,MATCH($C135,'배치점수 계산기'!$U$11:$U$1000,0)),2),"")</f>
        <v>894.2</v>
      </c>
      <c r="R135" s="41">
        <f>IFERROR(ROUND(INDEX('배치점수 계산기'!O$11:O$1000,MATCH($C135,'배치점수 계산기'!$U$11:$U$1000,0)),2),"")</f>
        <v>891.62</v>
      </c>
      <c r="S135" s="41">
        <f>IFERROR(ROUND(INDEX('배치점수 계산기'!P$11:P$1000,MATCH($C135,'배치점수 계산기'!$U$11:$U$1000,0)),2),"")</f>
        <v>888.75</v>
      </c>
      <c r="T135" s="41">
        <f>IFERROR(ROUND(INDEX('배치점수 계산기'!Q$11:Q$1000,MATCH($C135,'배치점수 계산기'!$U$11:$U$1000,0)),2),"")</f>
        <v>885.95</v>
      </c>
      <c r="U135" s="41">
        <f>IFERROR(INDEX(환산공식!$DC$16:$DC$301,MATCH(E135,환산공식!$A$16:$A$301,0)),"")</f>
        <v>0</v>
      </c>
      <c r="V135" s="113">
        <f t="shared" si="5"/>
        <v>6</v>
      </c>
      <c r="W135" s="110" t="str">
        <f>INDEX('배치점수 계산기'!$AG$11:$AG$800,MATCH('       나 군       '!$C135,'배치점수 계산기'!$U$11:$U$800,0))</f>
        <v>표점/만점</v>
      </c>
      <c r="X135" s="108" t="str">
        <f>INDEX('배치점수 계산기'!$AH$11:$AH$800,MATCH('       나 군       '!$C135,'배치점수 계산기'!$U$11:$U$800,0))</f>
        <v>변표/만점</v>
      </c>
      <c r="Y135" s="113">
        <f>INDEX('배치점수 계산기'!$AB$11:$AB$800,MATCH('       나 군       '!$C135,'배치점수 계산기'!$U$11:$U$800,0))</f>
        <v>0.26169874763975232</v>
      </c>
      <c r="Z135" s="73">
        <f>INDEX('배치점수 계산기'!$AC$11:$AC$800,MATCH('       나 군       '!$C135,'배치점수 계산기'!$U$11:$U$800,0))</f>
        <v>0.46420373093241774</v>
      </c>
      <c r="AA135" s="63">
        <f>INDEX('배치점수 계산기'!$AD$11:$AD$800,MATCH('       나 군       '!$C135,'배치점수 계산기'!$U$11:$U$800,0))</f>
        <v>0.27409752142783</v>
      </c>
      <c r="AE135" s="7">
        <v>128</v>
      </c>
    </row>
    <row r="136" spans="3:31" x14ac:dyDescent="0.3">
      <c r="C136" s="7" t="s">
        <v>1364</v>
      </c>
      <c r="D136" s="41" t="s">
        <v>1106</v>
      </c>
      <c r="E136" s="41">
        <v>41</v>
      </c>
      <c r="F136" s="113" t="s">
        <v>346</v>
      </c>
      <c r="G136" s="41" t="s">
        <v>419</v>
      </c>
      <c r="H136" s="41" t="s">
        <v>252</v>
      </c>
      <c r="I136" s="41" t="s">
        <v>274</v>
      </c>
      <c r="J136" s="41" t="str">
        <f t="shared" ref="J136:J199" si="6">IFERROR(IF(U136=1,"O",IF(U136=0,"X","")),"")</f>
        <v>X</v>
      </c>
      <c r="K136" s="113">
        <f>IFERROR(INDEX(환산공식!CI$16:CI$301,MATCH($E136,환산공식!$A$16:$A$301,0)),"")</f>
        <v>250</v>
      </c>
      <c r="L136" s="41" t="str">
        <f>IFERROR(CONCATENATE(ROUND(INDEX(환산공식!CJ$16:CJ$301,MATCH(E136,환산공식!$A$16:$A$301,0)),1),"%"),"")</f>
        <v>100%</v>
      </c>
      <c r="M136" s="41">
        <f>IFERROR(INDEX(환산공식!CK$16:CK$301,MATCH(E136,환산공식!$A$16:$A$301,0)),"")</f>
        <v>0</v>
      </c>
      <c r="N136" s="113" t="str">
        <f t="shared" ref="N136:N199" si="7">IF(E136="","",IF(O136&gt;P136,"90% 이상",IF(O136&gt;Q136,CONCATENATE(ROUND(((O136-Q136)/(P136-Q136))*20+70,0),"%"),IF(O136&gt;R136,CONCATENATE(ROUND(((O136-R136)/(Q136-R136))*30+40,0),"%"),IF(O136&gt;S136,CONCATENATE(ROUND(((O136-S136)/(R136-S136))*30+10,0),"%"),IF(O136&gt;T136,CONCATENATE(ROUND(((O136-T136)/(S136-T136))*9+1,0),"%"),"1% 이하"))))))</f>
        <v>1% 이하</v>
      </c>
      <c r="O136" s="119">
        <f>IFERROR(ROUND(INDEX(환산공식!$EF$16:$EF$301,MATCH(E136,환산공식!$A$16:$A$301,0)),3),"")</f>
        <v>0</v>
      </c>
      <c r="P136" s="119">
        <f>IFERROR(ROUND(INDEX('배치점수 계산기'!M$11:M$1000,MATCH($C136,'배치점수 계산기'!$U$11:$U$1000,0)),2),"")</f>
        <v>890.3</v>
      </c>
      <c r="Q136" s="41">
        <f>IFERROR(ROUND(INDEX('배치점수 계산기'!N$11:N$1000,MATCH($C136,'배치점수 계산기'!$U$11:$U$1000,0)),2),"")</f>
        <v>888.75</v>
      </c>
      <c r="R136" s="41">
        <f>IFERROR(ROUND(INDEX('배치점수 계산기'!O$11:O$1000,MATCH($C136,'배치점수 계산기'!$U$11:$U$1000,0)),2),"")</f>
        <v>886.86</v>
      </c>
      <c r="S136" s="41">
        <f>IFERROR(ROUND(INDEX('배치점수 계산기'!P$11:P$1000,MATCH($C136,'배치점수 계산기'!$U$11:$U$1000,0)),2),"")</f>
        <v>885.2</v>
      </c>
      <c r="T136" s="41">
        <f>IFERROR(ROUND(INDEX('배치점수 계산기'!Q$11:Q$1000,MATCH($C136,'배치점수 계산기'!$U$11:$U$1000,0)),2),"")</f>
        <v>883.3</v>
      </c>
      <c r="U136" s="41">
        <f>IFERROR(INDEX(환산공식!$DC$16:$DC$301,MATCH(E136,환산공식!$A$16:$A$301,0)),"")</f>
        <v>0</v>
      </c>
      <c r="V136" s="113">
        <f t="shared" ref="V136:V199" si="8">IFERROR(IF(T136="","",IF(O136&gt;P136,1,IF(O136&gt;Q136,2,IF(O136&gt;R136,3,IF(O136&gt;S136,4,IF(O136&gt;=T136,5,IF(O136&lt;T136,6))))))),"")</f>
        <v>6</v>
      </c>
      <c r="W136" s="110" t="str">
        <f>INDEX('배치점수 계산기'!$AG$11:$AG$800,MATCH('       나 군       '!$C136,'배치점수 계산기'!$U$11:$U$800,0))</f>
        <v>표점/만점</v>
      </c>
      <c r="X136" s="108" t="str">
        <f>INDEX('배치점수 계산기'!$AH$11:$AH$800,MATCH('       나 군       '!$C136,'배치점수 계산기'!$U$11:$U$800,0))</f>
        <v>변표/만점</v>
      </c>
      <c r="Y136" s="113">
        <f>INDEX('배치점수 계산기'!$AB$11:$AB$800,MATCH('       나 군       '!$C136,'배치점수 계산기'!$U$11:$U$800,0))</f>
        <v>0.26169874763975232</v>
      </c>
      <c r="Z136" s="73">
        <f>INDEX('배치점수 계산기'!$AC$11:$AC$800,MATCH('       나 군       '!$C136,'배치점수 계산기'!$U$11:$U$800,0))</f>
        <v>0.46420373093241774</v>
      </c>
      <c r="AA136" s="63">
        <f>INDEX('배치점수 계산기'!$AD$11:$AD$800,MATCH('       나 군       '!$C136,'배치점수 계산기'!$U$11:$U$800,0))</f>
        <v>0.27409752142783</v>
      </c>
      <c r="AE136" s="7">
        <v>129</v>
      </c>
    </row>
    <row r="137" spans="3:31" x14ac:dyDescent="0.3">
      <c r="C137" s="7" t="s">
        <v>1365</v>
      </c>
      <c r="D137" s="41" t="s">
        <v>1106</v>
      </c>
      <c r="E137" s="41">
        <v>41</v>
      </c>
      <c r="F137" s="113" t="s">
        <v>346</v>
      </c>
      <c r="G137" s="41" t="s">
        <v>419</v>
      </c>
      <c r="H137" s="41" t="s">
        <v>368</v>
      </c>
      <c r="I137" s="41" t="s">
        <v>274</v>
      </c>
      <c r="J137" s="41" t="str">
        <f t="shared" si="6"/>
        <v>X</v>
      </c>
      <c r="K137" s="113">
        <f>IFERROR(INDEX(환산공식!CI$16:CI$301,MATCH($E137,환산공식!$A$16:$A$301,0)),"")</f>
        <v>250</v>
      </c>
      <c r="L137" s="41" t="str">
        <f>IFERROR(CONCATENATE(ROUND(INDEX(환산공식!CJ$16:CJ$301,MATCH(E137,환산공식!$A$16:$A$301,0)),1),"%"),"")</f>
        <v>100%</v>
      </c>
      <c r="M137" s="41">
        <f>IFERROR(INDEX(환산공식!CK$16:CK$301,MATCH(E137,환산공식!$A$16:$A$301,0)),"")</f>
        <v>0</v>
      </c>
      <c r="N137" s="113" t="str">
        <f t="shared" si="7"/>
        <v>1% 이하</v>
      </c>
      <c r="O137" s="119">
        <f>IFERROR(ROUND(INDEX(환산공식!$EF$16:$EF$301,MATCH(E137,환산공식!$A$16:$A$301,0)),3),"")</f>
        <v>0</v>
      </c>
      <c r="P137" s="119">
        <f>IFERROR(ROUND(INDEX('배치점수 계산기'!M$11:M$1000,MATCH($C137,'배치점수 계산기'!$U$11:$U$1000,0)),2),"")</f>
        <v>889.49</v>
      </c>
      <c r="Q137" s="41">
        <f>IFERROR(ROUND(INDEX('배치점수 계산기'!N$11:N$1000,MATCH($C137,'배치점수 계산기'!$U$11:$U$1000,0)),2),"")</f>
        <v>886.66</v>
      </c>
      <c r="R137" s="41">
        <f>IFERROR(ROUND(INDEX('배치점수 계산기'!O$11:O$1000,MATCH($C137,'배치점수 계산기'!$U$11:$U$1000,0)),2),"")</f>
        <v>885</v>
      </c>
      <c r="S137" s="41">
        <f>IFERROR(ROUND(INDEX('배치점수 계산기'!P$11:P$1000,MATCH($C137,'배치점수 계산기'!$U$11:$U$1000,0)),2),"")</f>
        <v>883.95</v>
      </c>
      <c r="T137" s="41">
        <f>IFERROR(ROUND(INDEX('배치점수 계산기'!Q$11:Q$1000,MATCH($C137,'배치점수 계산기'!$U$11:$U$1000,0)),2),"")</f>
        <v>878.64</v>
      </c>
      <c r="U137" s="41">
        <f>IFERROR(INDEX(환산공식!$DC$16:$DC$301,MATCH(E137,환산공식!$A$16:$A$301,0)),"")</f>
        <v>0</v>
      </c>
      <c r="V137" s="113">
        <f t="shared" si="8"/>
        <v>6</v>
      </c>
      <c r="W137" s="110" t="str">
        <f>INDEX('배치점수 계산기'!$AG$11:$AG$800,MATCH('       나 군       '!$C137,'배치점수 계산기'!$U$11:$U$800,0))</f>
        <v>표점/만점</v>
      </c>
      <c r="X137" s="108" t="str">
        <f>INDEX('배치점수 계산기'!$AH$11:$AH$800,MATCH('       나 군       '!$C137,'배치점수 계산기'!$U$11:$U$800,0))</f>
        <v>변표/만점</v>
      </c>
      <c r="Y137" s="113">
        <f>INDEX('배치점수 계산기'!$AB$11:$AB$800,MATCH('       나 군       '!$C137,'배치점수 계산기'!$U$11:$U$800,0))</f>
        <v>0.26169874763975232</v>
      </c>
      <c r="Z137" s="73">
        <f>INDEX('배치점수 계산기'!$AC$11:$AC$800,MATCH('       나 군       '!$C137,'배치점수 계산기'!$U$11:$U$800,0))</f>
        <v>0.46420373093241774</v>
      </c>
      <c r="AA137" s="63">
        <f>INDEX('배치점수 계산기'!$AD$11:$AD$800,MATCH('       나 군       '!$C137,'배치점수 계산기'!$U$11:$U$800,0))</f>
        <v>0.27409752142783</v>
      </c>
      <c r="AE137" s="7">
        <v>130</v>
      </c>
    </row>
    <row r="138" spans="3:31" x14ac:dyDescent="0.3">
      <c r="C138" s="7" t="s">
        <v>1366</v>
      </c>
      <c r="D138" s="41" t="s">
        <v>1106</v>
      </c>
      <c r="E138" s="41">
        <v>41</v>
      </c>
      <c r="F138" s="113" t="s">
        <v>346</v>
      </c>
      <c r="G138" s="41" t="s">
        <v>419</v>
      </c>
      <c r="H138" s="41" t="s">
        <v>427</v>
      </c>
      <c r="I138" s="41" t="s">
        <v>274</v>
      </c>
      <c r="J138" s="41" t="str">
        <f t="shared" si="6"/>
        <v>X</v>
      </c>
      <c r="K138" s="113">
        <f>IFERROR(INDEX(환산공식!CI$16:CI$301,MATCH($E138,환산공식!$A$16:$A$301,0)),"")</f>
        <v>250</v>
      </c>
      <c r="L138" s="41" t="str">
        <f>IFERROR(CONCATENATE(ROUND(INDEX(환산공식!CJ$16:CJ$301,MATCH(E138,환산공식!$A$16:$A$301,0)),1),"%"),"")</f>
        <v>100%</v>
      </c>
      <c r="M138" s="41">
        <f>IFERROR(INDEX(환산공식!CK$16:CK$301,MATCH(E138,환산공식!$A$16:$A$301,0)),"")</f>
        <v>0</v>
      </c>
      <c r="N138" s="113" t="str">
        <f t="shared" si="7"/>
        <v>1% 이하</v>
      </c>
      <c r="O138" s="119">
        <f>IFERROR(ROUND(INDEX(환산공식!$EF$16:$EF$301,MATCH(E138,환산공식!$A$16:$A$301,0)),3),"")</f>
        <v>0</v>
      </c>
      <c r="P138" s="119">
        <f>IFERROR(ROUND(INDEX('배치점수 계산기'!M$11:M$1000,MATCH($C138,'배치점수 계산기'!$U$11:$U$1000,0)),2),"")</f>
        <v>886.66</v>
      </c>
      <c r="Q138" s="41">
        <f>IFERROR(ROUND(INDEX('배치점수 계산기'!N$11:N$1000,MATCH($C138,'배치점수 계산기'!$U$11:$U$1000,0)),2),"")</f>
        <v>885.26</v>
      </c>
      <c r="R138" s="41">
        <f>IFERROR(ROUND(INDEX('배치점수 계산기'!O$11:O$1000,MATCH($C138,'배치점수 계산기'!$U$11:$U$1000,0)),2),"")</f>
        <v>883.1</v>
      </c>
      <c r="S138" s="41">
        <f>IFERROR(ROUND(INDEX('배치점수 계산기'!P$11:P$1000,MATCH($C138,'배치점수 계산기'!$U$11:$U$1000,0)),2),"")</f>
        <v>879.96</v>
      </c>
      <c r="T138" s="41">
        <f>IFERROR(ROUND(INDEX('배치점수 계산기'!Q$11:Q$1000,MATCH($C138,'배치점수 계산기'!$U$11:$U$1000,0)),2),"")</f>
        <v>878.15</v>
      </c>
      <c r="U138" s="41">
        <f>IFERROR(INDEX(환산공식!$DC$16:$DC$301,MATCH(E138,환산공식!$A$16:$A$301,0)),"")</f>
        <v>0</v>
      </c>
      <c r="V138" s="113">
        <f t="shared" si="8"/>
        <v>6</v>
      </c>
      <c r="W138" s="110" t="str">
        <f>INDEX('배치점수 계산기'!$AG$11:$AG$800,MATCH('       나 군       '!$C138,'배치점수 계산기'!$U$11:$U$800,0))</f>
        <v>표점/만점</v>
      </c>
      <c r="X138" s="108" t="str">
        <f>INDEX('배치점수 계산기'!$AH$11:$AH$800,MATCH('       나 군       '!$C138,'배치점수 계산기'!$U$11:$U$800,0))</f>
        <v>변표/만점</v>
      </c>
      <c r="Y138" s="113">
        <f>INDEX('배치점수 계산기'!$AB$11:$AB$800,MATCH('       나 군       '!$C138,'배치점수 계산기'!$U$11:$U$800,0))</f>
        <v>0.26169874763975232</v>
      </c>
      <c r="Z138" s="73">
        <f>INDEX('배치점수 계산기'!$AC$11:$AC$800,MATCH('       나 군       '!$C138,'배치점수 계산기'!$U$11:$U$800,0))</f>
        <v>0.46420373093241774</v>
      </c>
      <c r="AA138" s="63">
        <f>INDEX('배치점수 계산기'!$AD$11:$AD$800,MATCH('       나 군       '!$C138,'배치점수 계산기'!$U$11:$U$800,0))</f>
        <v>0.27409752142783</v>
      </c>
      <c r="AE138" s="7">
        <v>131</v>
      </c>
    </row>
    <row r="139" spans="3:31" x14ac:dyDescent="0.3">
      <c r="C139" s="7" t="s">
        <v>1367</v>
      </c>
      <c r="D139" s="41" t="s">
        <v>1106</v>
      </c>
      <c r="E139" s="41">
        <v>41</v>
      </c>
      <c r="F139" s="113" t="s">
        <v>346</v>
      </c>
      <c r="G139" s="41" t="s">
        <v>419</v>
      </c>
      <c r="H139" s="41" t="s">
        <v>428</v>
      </c>
      <c r="I139" s="41" t="s">
        <v>274</v>
      </c>
      <c r="J139" s="41" t="str">
        <f t="shared" si="6"/>
        <v>X</v>
      </c>
      <c r="K139" s="113">
        <f>IFERROR(INDEX(환산공식!CI$16:CI$301,MATCH($E139,환산공식!$A$16:$A$301,0)),"")</f>
        <v>250</v>
      </c>
      <c r="L139" s="41" t="str">
        <f>IFERROR(CONCATENATE(ROUND(INDEX(환산공식!CJ$16:CJ$301,MATCH(E139,환산공식!$A$16:$A$301,0)),1),"%"),"")</f>
        <v>100%</v>
      </c>
      <c r="M139" s="41">
        <f>IFERROR(INDEX(환산공식!CK$16:CK$301,MATCH(E139,환산공식!$A$16:$A$301,0)),"")</f>
        <v>0</v>
      </c>
      <c r="N139" s="113" t="str">
        <f t="shared" si="7"/>
        <v>1% 이하</v>
      </c>
      <c r="O139" s="119">
        <f>IFERROR(ROUND(INDEX(환산공식!$EF$16:$EF$301,MATCH(E139,환산공식!$A$16:$A$301,0)),3),"")</f>
        <v>0</v>
      </c>
      <c r="P139" s="119">
        <f>IFERROR(ROUND(INDEX('배치점수 계산기'!M$11:M$1000,MATCH($C139,'배치점수 계산기'!$U$11:$U$1000,0)),2),"")</f>
        <v>890.92</v>
      </c>
      <c r="Q139" s="41">
        <f>IFERROR(ROUND(INDEX('배치점수 계산기'!N$11:N$1000,MATCH($C139,'배치점수 계산기'!$U$11:$U$1000,0)),2),"")</f>
        <v>890.18</v>
      </c>
      <c r="R139" s="41">
        <f>IFERROR(ROUND(INDEX('배치점수 계산기'!O$11:O$1000,MATCH($C139,'배치점수 계산기'!$U$11:$U$1000,0)),2),"")</f>
        <v>888.75</v>
      </c>
      <c r="S139" s="41">
        <f>IFERROR(ROUND(INDEX('배치점수 계산기'!P$11:P$1000,MATCH($C139,'배치점수 계산기'!$U$11:$U$1000,0)),2),"")</f>
        <v>886.86</v>
      </c>
      <c r="T139" s="41">
        <f>IFERROR(ROUND(INDEX('배치점수 계산기'!Q$11:Q$1000,MATCH($C139,'배치점수 계산기'!$U$11:$U$1000,0)),2),"")</f>
        <v>885.2</v>
      </c>
      <c r="U139" s="41">
        <f>IFERROR(INDEX(환산공식!$DC$16:$DC$301,MATCH(E139,환산공식!$A$16:$A$301,0)),"")</f>
        <v>0</v>
      </c>
      <c r="V139" s="113">
        <f t="shared" si="8"/>
        <v>6</v>
      </c>
      <c r="W139" s="110" t="str">
        <f>INDEX('배치점수 계산기'!$AG$11:$AG$800,MATCH('       나 군       '!$C139,'배치점수 계산기'!$U$11:$U$800,0))</f>
        <v>표점/만점</v>
      </c>
      <c r="X139" s="108" t="str">
        <f>INDEX('배치점수 계산기'!$AH$11:$AH$800,MATCH('       나 군       '!$C139,'배치점수 계산기'!$U$11:$U$800,0))</f>
        <v>변표/만점</v>
      </c>
      <c r="Y139" s="113">
        <f>INDEX('배치점수 계산기'!$AB$11:$AB$800,MATCH('       나 군       '!$C139,'배치점수 계산기'!$U$11:$U$800,0))</f>
        <v>0.26169874763975232</v>
      </c>
      <c r="Z139" s="73">
        <f>INDEX('배치점수 계산기'!$AC$11:$AC$800,MATCH('       나 군       '!$C139,'배치점수 계산기'!$U$11:$U$800,0))</f>
        <v>0.46420373093241774</v>
      </c>
      <c r="AA139" s="63">
        <f>INDEX('배치점수 계산기'!$AD$11:$AD$800,MATCH('       나 군       '!$C139,'배치점수 계산기'!$U$11:$U$800,0))</f>
        <v>0.27409752142783</v>
      </c>
      <c r="AE139" s="7">
        <v>132</v>
      </c>
    </row>
    <row r="140" spans="3:31" x14ac:dyDescent="0.3">
      <c r="C140" s="7" t="s">
        <v>1368</v>
      </c>
      <c r="D140" s="41" t="s">
        <v>1106</v>
      </c>
      <c r="E140" s="41">
        <v>41</v>
      </c>
      <c r="F140" s="113" t="s">
        <v>346</v>
      </c>
      <c r="G140" s="41" t="s">
        <v>419</v>
      </c>
      <c r="H140" s="41" t="s">
        <v>291</v>
      </c>
      <c r="I140" s="41" t="s">
        <v>274</v>
      </c>
      <c r="J140" s="41" t="str">
        <f t="shared" si="6"/>
        <v>X</v>
      </c>
      <c r="K140" s="113">
        <f>IFERROR(INDEX(환산공식!CI$16:CI$301,MATCH($E140,환산공식!$A$16:$A$301,0)),"")</f>
        <v>250</v>
      </c>
      <c r="L140" s="41" t="str">
        <f>IFERROR(CONCATENATE(ROUND(INDEX(환산공식!CJ$16:CJ$301,MATCH(E140,환산공식!$A$16:$A$301,0)),1),"%"),"")</f>
        <v>100%</v>
      </c>
      <c r="M140" s="41">
        <f>IFERROR(INDEX(환산공식!CK$16:CK$301,MATCH(E140,환산공식!$A$16:$A$301,0)),"")</f>
        <v>0</v>
      </c>
      <c r="N140" s="113" t="str">
        <f t="shared" si="7"/>
        <v>1% 이하</v>
      </c>
      <c r="O140" s="119">
        <f>IFERROR(ROUND(INDEX(환산공식!$EF$16:$EF$301,MATCH(E140,환산공식!$A$16:$A$301,0)),3),"")</f>
        <v>0</v>
      </c>
      <c r="P140" s="119">
        <f>IFERROR(ROUND(INDEX('배치점수 계산기'!M$11:M$1000,MATCH($C140,'배치점수 계산기'!$U$11:$U$1000,0)),2),"")</f>
        <v>888.55</v>
      </c>
      <c r="Q140" s="41">
        <f>IFERROR(ROUND(INDEX('배치점수 계산기'!N$11:N$1000,MATCH($C140,'배치점수 계산기'!$U$11:$U$1000,0)),2),"")</f>
        <v>887.07</v>
      </c>
      <c r="R140" s="41">
        <f>IFERROR(ROUND(INDEX('배치점수 계산기'!O$11:O$1000,MATCH($C140,'배치점수 계산기'!$U$11:$U$1000,0)),2),"")</f>
        <v>885</v>
      </c>
      <c r="S140" s="41">
        <f>IFERROR(ROUND(INDEX('배치점수 계산기'!P$11:P$1000,MATCH($C140,'배치점수 계산기'!$U$11:$U$1000,0)),2),"")</f>
        <v>883.1</v>
      </c>
      <c r="T140" s="41">
        <f>IFERROR(ROUND(INDEX('배치점수 계산기'!Q$11:Q$1000,MATCH($C140,'배치점수 계산기'!$U$11:$U$1000,0)),2),"")</f>
        <v>878.94</v>
      </c>
      <c r="U140" s="41">
        <f>IFERROR(INDEX(환산공식!$DC$16:$DC$301,MATCH(E140,환산공식!$A$16:$A$301,0)),"")</f>
        <v>0</v>
      </c>
      <c r="V140" s="113">
        <f t="shared" si="8"/>
        <v>6</v>
      </c>
      <c r="W140" s="110" t="str">
        <f>INDEX('배치점수 계산기'!$AG$11:$AG$800,MATCH('       나 군       '!$C140,'배치점수 계산기'!$U$11:$U$800,0))</f>
        <v>표점/만점</v>
      </c>
      <c r="X140" s="108" t="str">
        <f>INDEX('배치점수 계산기'!$AH$11:$AH$800,MATCH('       나 군       '!$C140,'배치점수 계산기'!$U$11:$U$800,0))</f>
        <v>변표/만점</v>
      </c>
      <c r="Y140" s="113">
        <f>INDEX('배치점수 계산기'!$AB$11:$AB$800,MATCH('       나 군       '!$C140,'배치점수 계산기'!$U$11:$U$800,0))</f>
        <v>0.26169874763975232</v>
      </c>
      <c r="Z140" s="73">
        <f>INDEX('배치점수 계산기'!$AC$11:$AC$800,MATCH('       나 군       '!$C140,'배치점수 계산기'!$U$11:$U$800,0))</f>
        <v>0.46420373093241774</v>
      </c>
      <c r="AA140" s="63">
        <f>INDEX('배치점수 계산기'!$AD$11:$AD$800,MATCH('       나 군       '!$C140,'배치점수 계산기'!$U$11:$U$800,0))</f>
        <v>0.27409752142783</v>
      </c>
      <c r="AE140" s="7">
        <v>133</v>
      </c>
    </row>
    <row r="141" spans="3:31" x14ac:dyDescent="0.3">
      <c r="C141" s="7" t="s">
        <v>1369</v>
      </c>
      <c r="D141" s="41" t="s">
        <v>1370</v>
      </c>
      <c r="E141" s="41">
        <v>42</v>
      </c>
      <c r="F141" s="113" t="s">
        <v>346</v>
      </c>
      <c r="G141" s="41" t="s">
        <v>419</v>
      </c>
      <c r="H141" s="41" t="s">
        <v>429</v>
      </c>
      <c r="I141" s="41" t="s">
        <v>274</v>
      </c>
      <c r="J141" s="41" t="str">
        <f t="shared" si="6"/>
        <v>X</v>
      </c>
      <c r="K141" s="113">
        <f>IFERROR(INDEX(환산공식!CI$16:CI$301,MATCH($E141,환산공식!$A$16:$A$301,0)),"")</f>
        <v>250</v>
      </c>
      <c r="L141" s="41" t="str">
        <f>IFERROR(CONCATENATE(ROUND(INDEX(환산공식!CJ$16:CJ$301,MATCH(E141,환산공식!$A$16:$A$301,0)),1),"%"),"")</f>
        <v>100%</v>
      </c>
      <c r="M141" s="41">
        <f>IFERROR(INDEX(환산공식!CK$16:CK$301,MATCH(E141,환산공식!$A$16:$A$301,0)),"")</f>
        <v>0</v>
      </c>
      <c r="N141" s="113" t="str">
        <f t="shared" si="7"/>
        <v>1% 이하</v>
      </c>
      <c r="O141" s="119">
        <f>IFERROR(ROUND(INDEX(환산공식!$EF$16:$EF$301,MATCH(E141,환산공식!$A$16:$A$301,0)),3),"")</f>
        <v>0</v>
      </c>
      <c r="P141" s="119">
        <f>IFERROR(ROUND(INDEX('배치점수 계산기'!M$11:M$1000,MATCH($C141,'배치점수 계산기'!$U$11:$U$1000,0)),2),"")</f>
        <v>888.55</v>
      </c>
      <c r="Q141" s="41">
        <f>IFERROR(ROUND(INDEX('배치점수 계산기'!N$11:N$1000,MATCH($C141,'배치점수 계산기'!$U$11:$U$1000,0)),2),"")</f>
        <v>887.07</v>
      </c>
      <c r="R141" s="41">
        <f>IFERROR(ROUND(INDEX('배치점수 계산기'!O$11:O$1000,MATCH($C141,'배치점수 계산기'!$U$11:$U$1000,0)),2),"")</f>
        <v>885</v>
      </c>
      <c r="S141" s="41">
        <f>IFERROR(ROUND(INDEX('배치점수 계산기'!P$11:P$1000,MATCH($C141,'배치점수 계산기'!$U$11:$U$1000,0)),2),"")</f>
        <v>883.1</v>
      </c>
      <c r="T141" s="41">
        <f>IFERROR(ROUND(INDEX('배치점수 계산기'!Q$11:Q$1000,MATCH($C141,'배치점수 계산기'!$U$11:$U$1000,0)),2),"")</f>
        <v>878.94</v>
      </c>
      <c r="U141" s="41">
        <f>IFERROR(INDEX(환산공식!$DC$16:$DC$301,MATCH(E141,환산공식!$A$16:$A$301,0)),"")</f>
        <v>0</v>
      </c>
      <c r="V141" s="113">
        <f t="shared" si="8"/>
        <v>6</v>
      </c>
      <c r="W141" s="110" t="str">
        <f>INDEX('배치점수 계산기'!$AG$11:$AG$800,MATCH('       나 군       '!$C141,'배치점수 계산기'!$U$11:$U$800,0))</f>
        <v>표점/만점</v>
      </c>
      <c r="X141" s="108" t="str">
        <f>INDEX('배치점수 계산기'!$AH$11:$AH$800,MATCH('       나 군       '!$C141,'배치점수 계산기'!$U$11:$U$800,0))</f>
        <v>변표/만점</v>
      </c>
      <c r="Y141" s="113">
        <f>INDEX('배치점수 계산기'!$AB$11:$AB$800,MATCH('       나 군       '!$C141,'배치점수 계산기'!$U$11:$U$800,0))</f>
        <v>0.26169874763975232</v>
      </c>
      <c r="Z141" s="73">
        <f>INDEX('배치점수 계산기'!$AC$11:$AC$800,MATCH('       나 군       '!$C141,'배치점수 계산기'!$U$11:$U$800,0))</f>
        <v>0.46420373093241774</v>
      </c>
      <c r="AA141" s="63">
        <f>INDEX('배치점수 계산기'!$AD$11:$AD$800,MATCH('       나 군       '!$C141,'배치점수 계산기'!$U$11:$U$800,0))</f>
        <v>0.27409752142783</v>
      </c>
      <c r="AE141" s="7">
        <v>134</v>
      </c>
    </row>
    <row r="142" spans="3:31" x14ac:dyDescent="0.3">
      <c r="C142" s="7" t="s">
        <v>1371</v>
      </c>
      <c r="D142" s="41" t="s">
        <v>1370</v>
      </c>
      <c r="E142" s="41">
        <v>42</v>
      </c>
      <c r="F142" s="113" t="s">
        <v>346</v>
      </c>
      <c r="G142" s="41" t="s">
        <v>419</v>
      </c>
      <c r="H142" s="41" t="s">
        <v>293</v>
      </c>
      <c r="I142" s="41" t="s">
        <v>274</v>
      </c>
      <c r="J142" s="41" t="str">
        <f t="shared" si="6"/>
        <v>X</v>
      </c>
      <c r="K142" s="113">
        <f>IFERROR(INDEX(환산공식!CI$16:CI$301,MATCH($E142,환산공식!$A$16:$A$301,0)),"")</f>
        <v>250</v>
      </c>
      <c r="L142" s="41" t="str">
        <f>IFERROR(CONCATENATE(ROUND(INDEX(환산공식!CJ$16:CJ$301,MATCH(E142,환산공식!$A$16:$A$301,0)),1),"%"),"")</f>
        <v>100%</v>
      </c>
      <c r="M142" s="41">
        <f>IFERROR(INDEX(환산공식!CK$16:CK$301,MATCH(E142,환산공식!$A$16:$A$301,0)),"")</f>
        <v>0</v>
      </c>
      <c r="N142" s="113" t="str">
        <f t="shared" si="7"/>
        <v>1% 이하</v>
      </c>
      <c r="O142" s="119">
        <f>IFERROR(ROUND(INDEX(환산공식!$EF$16:$EF$301,MATCH(E142,환산공식!$A$16:$A$301,0)),3),"")</f>
        <v>0</v>
      </c>
      <c r="P142" s="119">
        <f>IFERROR(ROUND(INDEX('배치점수 계산기'!M$11:M$1000,MATCH($C142,'배치점수 계산기'!$U$11:$U$1000,0)),2),"")</f>
        <v>888.55</v>
      </c>
      <c r="Q142" s="41">
        <f>IFERROR(ROUND(INDEX('배치점수 계산기'!N$11:N$1000,MATCH($C142,'배치점수 계산기'!$U$11:$U$1000,0)),2),"")</f>
        <v>886.66</v>
      </c>
      <c r="R142" s="41">
        <f>IFERROR(ROUND(INDEX('배치점수 계산기'!O$11:O$1000,MATCH($C142,'배치점수 계산기'!$U$11:$U$1000,0)),2),"")</f>
        <v>884.48</v>
      </c>
      <c r="S142" s="41">
        <f>IFERROR(ROUND(INDEX('배치점수 계산기'!P$11:P$1000,MATCH($C142,'배치점수 계산기'!$U$11:$U$1000,0)),2),"")</f>
        <v>883.1</v>
      </c>
      <c r="T142" s="41">
        <f>IFERROR(ROUND(INDEX('배치점수 계산기'!Q$11:Q$1000,MATCH($C142,'배치점수 계산기'!$U$11:$U$1000,0)),2),"")</f>
        <v>878.64</v>
      </c>
      <c r="U142" s="41">
        <f>IFERROR(INDEX(환산공식!$DC$16:$DC$301,MATCH(E142,환산공식!$A$16:$A$301,0)),"")</f>
        <v>0</v>
      </c>
      <c r="V142" s="113">
        <f t="shared" si="8"/>
        <v>6</v>
      </c>
      <c r="W142" s="110" t="str">
        <f>INDEX('배치점수 계산기'!$AG$11:$AG$800,MATCH('       나 군       '!$C142,'배치점수 계산기'!$U$11:$U$800,0))</f>
        <v>표점/만점</v>
      </c>
      <c r="X142" s="108" t="str">
        <f>INDEX('배치점수 계산기'!$AH$11:$AH$800,MATCH('       나 군       '!$C142,'배치점수 계산기'!$U$11:$U$800,0))</f>
        <v>변표/만점</v>
      </c>
      <c r="Y142" s="113">
        <f>INDEX('배치점수 계산기'!$AB$11:$AB$800,MATCH('       나 군       '!$C142,'배치점수 계산기'!$U$11:$U$800,0))</f>
        <v>0.26169874763975232</v>
      </c>
      <c r="Z142" s="73">
        <f>INDEX('배치점수 계산기'!$AC$11:$AC$800,MATCH('       나 군       '!$C142,'배치점수 계산기'!$U$11:$U$800,0))</f>
        <v>0.46420373093241774</v>
      </c>
      <c r="AA142" s="63">
        <f>INDEX('배치점수 계산기'!$AD$11:$AD$800,MATCH('       나 군       '!$C142,'배치점수 계산기'!$U$11:$U$800,0))</f>
        <v>0.27409752142783</v>
      </c>
      <c r="AE142" s="7">
        <v>135</v>
      </c>
    </row>
    <row r="143" spans="3:31" x14ac:dyDescent="0.3">
      <c r="C143" s="7" t="s">
        <v>1372</v>
      </c>
      <c r="D143" s="41" t="s">
        <v>1106</v>
      </c>
      <c r="E143" s="41">
        <v>41</v>
      </c>
      <c r="F143" s="113" t="s">
        <v>346</v>
      </c>
      <c r="G143" s="41" t="s">
        <v>419</v>
      </c>
      <c r="H143" s="41" t="s">
        <v>430</v>
      </c>
      <c r="I143" s="41" t="s">
        <v>274</v>
      </c>
      <c r="J143" s="41" t="str">
        <f t="shared" si="6"/>
        <v>X</v>
      </c>
      <c r="K143" s="113">
        <f>IFERROR(INDEX(환산공식!CI$16:CI$301,MATCH($E143,환산공식!$A$16:$A$301,0)),"")</f>
        <v>250</v>
      </c>
      <c r="L143" s="41" t="str">
        <f>IFERROR(CONCATENATE(ROUND(INDEX(환산공식!CJ$16:CJ$301,MATCH(E143,환산공식!$A$16:$A$301,0)),1),"%"),"")</f>
        <v>100%</v>
      </c>
      <c r="M143" s="41">
        <f>IFERROR(INDEX(환산공식!CK$16:CK$301,MATCH(E143,환산공식!$A$16:$A$301,0)),"")</f>
        <v>0</v>
      </c>
      <c r="N143" s="113" t="str">
        <f t="shared" si="7"/>
        <v>1% 이하</v>
      </c>
      <c r="O143" s="119">
        <f>IFERROR(ROUND(INDEX(환산공식!$EF$16:$EF$301,MATCH(E143,환산공식!$A$16:$A$301,0)),3),"")</f>
        <v>0</v>
      </c>
      <c r="P143" s="119">
        <f>IFERROR(ROUND(INDEX('배치점수 계산기'!M$11:M$1000,MATCH($C143,'배치점수 계산기'!$U$11:$U$1000,0)),2),"")</f>
        <v>890.92</v>
      </c>
      <c r="Q143" s="41">
        <f>IFERROR(ROUND(INDEX('배치점수 계산기'!N$11:N$1000,MATCH($C143,'배치점수 계산기'!$U$11:$U$1000,0)),2),"")</f>
        <v>890.18</v>
      </c>
      <c r="R143" s="41">
        <f>IFERROR(ROUND(INDEX('배치점수 계산기'!O$11:O$1000,MATCH($C143,'배치점수 계산기'!$U$11:$U$1000,0)),2),"")</f>
        <v>888.26</v>
      </c>
      <c r="S143" s="41">
        <f>IFERROR(ROUND(INDEX('배치점수 계산기'!P$11:P$1000,MATCH($C143,'배치점수 계산기'!$U$11:$U$1000,0)),2),"")</f>
        <v>886.86</v>
      </c>
      <c r="T143" s="41">
        <f>IFERROR(ROUND(INDEX('배치점수 계산기'!Q$11:Q$1000,MATCH($C143,'배치점수 계산기'!$U$11:$U$1000,0)),2),"")</f>
        <v>885.2</v>
      </c>
      <c r="U143" s="41">
        <f>IFERROR(INDEX(환산공식!$DC$16:$DC$301,MATCH(E143,환산공식!$A$16:$A$301,0)),"")</f>
        <v>0</v>
      </c>
      <c r="V143" s="113">
        <f t="shared" si="8"/>
        <v>6</v>
      </c>
      <c r="W143" s="110" t="str">
        <f>INDEX('배치점수 계산기'!$AG$11:$AG$800,MATCH('       나 군       '!$C143,'배치점수 계산기'!$U$11:$U$800,0))</f>
        <v>표점/만점</v>
      </c>
      <c r="X143" s="108" t="str">
        <f>INDEX('배치점수 계산기'!$AH$11:$AH$800,MATCH('       나 군       '!$C143,'배치점수 계산기'!$U$11:$U$800,0))</f>
        <v>변표/만점</v>
      </c>
      <c r="Y143" s="113">
        <f>INDEX('배치점수 계산기'!$AB$11:$AB$800,MATCH('       나 군       '!$C143,'배치점수 계산기'!$U$11:$U$800,0))</f>
        <v>0.26169874763975232</v>
      </c>
      <c r="Z143" s="73">
        <f>INDEX('배치점수 계산기'!$AC$11:$AC$800,MATCH('       나 군       '!$C143,'배치점수 계산기'!$U$11:$U$800,0))</f>
        <v>0.46420373093241774</v>
      </c>
      <c r="AA143" s="63">
        <f>INDEX('배치점수 계산기'!$AD$11:$AD$800,MATCH('       나 군       '!$C143,'배치점수 계산기'!$U$11:$U$800,0))</f>
        <v>0.27409752142783</v>
      </c>
      <c r="AE143" s="7">
        <v>136</v>
      </c>
    </row>
    <row r="144" spans="3:31" x14ac:dyDescent="0.3">
      <c r="C144" s="7" t="s">
        <v>1373</v>
      </c>
      <c r="D144" s="41" t="s">
        <v>1370</v>
      </c>
      <c r="E144" s="41">
        <v>42</v>
      </c>
      <c r="F144" s="113" t="s">
        <v>346</v>
      </c>
      <c r="G144" s="41" t="s">
        <v>419</v>
      </c>
      <c r="H144" s="41" t="s">
        <v>431</v>
      </c>
      <c r="I144" s="41" t="s">
        <v>274</v>
      </c>
      <c r="J144" s="41" t="str">
        <f t="shared" si="6"/>
        <v>X</v>
      </c>
      <c r="K144" s="113">
        <f>IFERROR(INDEX(환산공식!CI$16:CI$301,MATCH($E144,환산공식!$A$16:$A$301,0)),"")</f>
        <v>250</v>
      </c>
      <c r="L144" s="41" t="str">
        <f>IFERROR(CONCATENATE(ROUND(INDEX(환산공식!CJ$16:CJ$301,MATCH(E144,환산공식!$A$16:$A$301,0)),1),"%"),"")</f>
        <v>100%</v>
      </c>
      <c r="M144" s="41">
        <f>IFERROR(INDEX(환산공식!CK$16:CK$301,MATCH(E144,환산공식!$A$16:$A$301,0)),"")</f>
        <v>0</v>
      </c>
      <c r="N144" s="113" t="str">
        <f t="shared" si="7"/>
        <v>1% 이하</v>
      </c>
      <c r="O144" s="119">
        <f>IFERROR(ROUND(INDEX(환산공식!$EF$16:$EF$301,MATCH(E144,환산공식!$A$16:$A$301,0)),3),"")</f>
        <v>0</v>
      </c>
      <c r="P144" s="119">
        <f>IFERROR(ROUND(INDEX('배치점수 계산기'!M$11:M$1000,MATCH($C144,'배치점수 계산기'!$U$11:$U$1000,0)),2),"")</f>
        <v>887.57</v>
      </c>
      <c r="Q144" s="41">
        <f>IFERROR(ROUND(INDEX('배치점수 계산기'!N$11:N$1000,MATCH($C144,'배치점수 계산기'!$U$11:$U$1000,0)),2),"")</f>
        <v>885.75</v>
      </c>
      <c r="R144" s="41">
        <f>IFERROR(ROUND(INDEX('배치점수 계산기'!O$11:O$1000,MATCH($C144,'배치점수 계산기'!$U$11:$U$1000,0)),2),"")</f>
        <v>883.59</v>
      </c>
      <c r="S144" s="41">
        <f>IFERROR(ROUND(INDEX('배치점수 계산기'!P$11:P$1000,MATCH($C144,'배치점수 계산기'!$U$11:$U$1000,0)),2),"")</f>
        <v>881.03</v>
      </c>
      <c r="T144" s="41">
        <f>IFERROR(ROUND(INDEX('배치점수 계산기'!Q$11:Q$1000,MATCH($C144,'배치점수 계산기'!$U$11:$U$1000,0)),2),"")</f>
        <v>878.15</v>
      </c>
      <c r="U144" s="41">
        <f>IFERROR(INDEX(환산공식!$DC$16:$DC$301,MATCH(E144,환산공식!$A$16:$A$301,0)),"")</f>
        <v>0</v>
      </c>
      <c r="V144" s="113">
        <f t="shared" si="8"/>
        <v>6</v>
      </c>
      <c r="W144" s="110" t="str">
        <f>INDEX('배치점수 계산기'!$AG$11:$AG$800,MATCH('       나 군       '!$C144,'배치점수 계산기'!$U$11:$U$800,0))</f>
        <v>표점/만점</v>
      </c>
      <c r="X144" s="108" t="str">
        <f>INDEX('배치점수 계산기'!$AH$11:$AH$800,MATCH('       나 군       '!$C144,'배치점수 계산기'!$U$11:$U$800,0))</f>
        <v>변표/만점</v>
      </c>
      <c r="Y144" s="113">
        <f>INDEX('배치점수 계산기'!$AB$11:$AB$800,MATCH('       나 군       '!$C144,'배치점수 계산기'!$U$11:$U$800,0))</f>
        <v>0.26169874763975232</v>
      </c>
      <c r="Z144" s="73">
        <f>INDEX('배치점수 계산기'!$AC$11:$AC$800,MATCH('       나 군       '!$C144,'배치점수 계산기'!$U$11:$U$800,0))</f>
        <v>0.46420373093241774</v>
      </c>
      <c r="AA144" s="63">
        <f>INDEX('배치점수 계산기'!$AD$11:$AD$800,MATCH('       나 군       '!$C144,'배치점수 계산기'!$U$11:$U$800,0))</f>
        <v>0.27409752142783</v>
      </c>
      <c r="AE144" s="7">
        <v>137</v>
      </c>
    </row>
    <row r="145" spans="3:31" x14ac:dyDescent="0.3">
      <c r="C145" s="7" t="s">
        <v>1374</v>
      </c>
      <c r="D145" s="41" t="s">
        <v>1106</v>
      </c>
      <c r="E145" s="41">
        <v>41</v>
      </c>
      <c r="F145" s="113" t="s">
        <v>346</v>
      </c>
      <c r="G145" s="41" t="s">
        <v>419</v>
      </c>
      <c r="H145" s="41" t="s">
        <v>432</v>
      </c>
      <c r="I145" s="41" t="s">
        <v>274</v>
      </c>
      <c r="J145" s="41" t="str">
        <f t="shared" si="6"/>
        <v>X</v>
      </c>
      <c r="K145" s="113">
        <f>IFERROR(INDEX(환산공식!CI$16:CI$301,MATCH($E145,환산공식!$A$16:$A$301,0)),"")</f>
        <v>250</v>
      </c>
      <c r="L145" s="41" t="str">
        <f>IFERROR(CONCATENATE(ROUND(INDEX(환산공식!CJ$16:CJ$301,MATCH(E145,환산공식!$A$16:$A$301,0)),1),"%"),"")</f>
        <v>100%</v>
      </c>
      <c r="M145" s="41">
        <f>IFERROR(INDEX(환산공식!CK$16:CK$301,MATCH(E145,환산공식!$A$16:$A$301,0)),"")</f>
        <v>0</v>
      </c>
      <c r="N145" s="113" t="str">
        <f t="shared" si="7"/>
        <v>1% 이하</v>
      </c>
      <c r="O145" s="119">
        <f>IFERROR(ROUND(INDEX(환산공식!$EF$16:$EF$301,MATCH(E145,환산공식!$A$16:$A$301,0)),3),"")</f>
        <v>0</v>
      </c>
      <c r="P145" s="119">
        <f>IFERROR(ROUND(INDEX('배치점수 계산기'!M$11:M$1000,MATCH($C145,'배치점수 계산기'!$U$11:$U$1000,0)),2),"")</f>
        <v>889.49</v>
      </c>
      <c r="Q145" s="41">
        <f>IFERROR(ROUND(INDEX('배치점수 계산기'!N$11:N$1000,MATCH($C145,'배치점수 계산기'!$U$11:$U$1000,0)),2),"")</f>
        <v>887.44</v>
      </c>
      <c r="R145" s="41">
        <f>IFERROR(ROUND(INDEX('배치점수 계산기'!O$11:O$1000,MATCH($C145,'배치점수 계산기'!$U$11:$U$1000,0)),2),"")</f>
        <v>885</v>
      </c>
      <c r="S145" s="41">
        <f>IFERROR(ROUND(INDEX('배치점수 계산기'!P$11:P$1000,MATCH($C145,'배치점수 계산기'!$U$11:$U$1000,0)),2),"")</f>
        <v>883.1</v>
      </c>
      <c r="T145" s="41">
        <f>IFERROR(ROUND(INDEX('배치점수 계산기'!Q$11:Q$1000,MATCH($C145,'배치점수 계산기'!$U$11:$U$1000,0)),2),"")</f>
        <v>878.94</v>
      </c>
      <c r="U145" s="41">
        <f>IFERROR(INDEX(환산공식!$DC$16:$DC$301,MATCH(E145,환산공식!$A$16:$A$301,0)),"")</f>
        <v>0</v>
      </c>
      <c r="V145" s="113">
        <f t="shared" si="8"/>
        <v>6</v>
      </c>
      <c r="W145" s="110" t="str">
        <f>INDEX('배치점수 계산기'!$AG$11:$AG$800,MATCH('       나 군       '!$C145,'배치점수 계산기'!$U$11:$U$800,0))</f>
        <v>표점/만점</v>
      </c>
      <c r="X145" s="108" t="str">
        <f>INDEX('배치점수 계산기'!$AH$11:$AH$800,MATCH('       나 군       '!$C145,'배치점수 계산기'!$U$11:$U$800,0))</f>
        <v>변표/만점</v>
      </c>
      <c r="Y145" s="113">
        <f>INDEX('배치점수 계산기'!$AB$11:$AB$800,MATCH('       나 군       '!$C145,'배치점수 계산기'!$U$11:$U$800,0))</f>
        <v>0.26169874763975232</v>
      </c>
      <c r="Z145" s="73">
        <f>INDEX('배치점수 계산기'!$AC$11:$AC$800,MATCH('       나 군       '!$C145,'배치점수 계산기'!$U$11:$U$800,0))</f>
        <v>0.46420373093241774</v>
      </c>
      <c r="AA145" s="63">
        <f>INDEX('배치점수 계산기'!$AD$11:$AD$800,MATCH('       나 군       '!$C145,'배치점수 계산기'!$U$11:$U$800,0))</f>
        <v>0.27409752142783</v>
      </c>
      <c r="AE145" s="7">
        <v>138</v>
      </c>
    </row>
    <row r="146" spans="3:31" x14ac:dyDescent="0.3">
      <c r="C146" s="7" t="s">
        <v>1375</v>
      </c>
      <c r="D146" s="41" t="s">
        <v>1106</v>
      </c>
      <c r="E146" s="41">
        <v>41</v>
      </c>
      <c r="F146" s="113" t="s">
        <v>346</v>
      </c>
      <c r="G146" s="41" t="s">
        <v>419</v>
      </c>
      <c r="H146" s="41" t="s">
        <v>433</v>
      </c>
      <c r="I146" s="41" t="s">
        <v>274</v>
      </c>
      <c r="J146" s="41" t="str">
        <f t="shared" si="6"/>
        <v>X</v>
      </c>
      <c r="K146" s="113">
        <f>IFERROR(INDEX(환산공식!CI$16:CI$301,MATCH($E146,환산공식!$A$16:$A$301,0)),"")</f>
        <v>250</v>
      </c>
      <c r="L146" s="41" t="str">
        <f>IFERROR(CONCATENATE(ROUND(INDEX(환산공식!CJ$16:CJ$301,MATCH(E146,환산공식!$A$16:$A$301,0)),1),"%"),"")</f>
        <v>100%</v>
      </c>
      <c r="M146" s="41">
        <f>IFERROR(INDEX(환산공식!CK$16:CK$301,MATCH(E146,환산공식!$A$16:$A$301,0)),"")</f>
        <v>0</v>
      </c>
      <c r="N146" s="113" t="str">
        <f t="shared" si="7"/>
        <v>1% 이하</v>
      </c>
      <c r="O146" s="119">
        <f>IFERROR(ROUND(INDEX(환산공식!$EF$16:$EF$301,MATCH(E146,환산공식!$A$16:$A$301,0)),3),"")</f>
        <v>0</v>
      </c>
      <c r="P146" s="119">
        <f>IFERROR(ROUND(INDEX('배치점수 계산기'!M$11:M$1000,MATCH($C146,'배치점수 계산기'!$U$11:$U$1000,0)),2),"")</f>
        <v>889.49</v>
      </c>
      <c r="Q146" s="41">
        <f>IFERROR(ROUND(INDEX('배치점수 계산기'!N$11:N$1000,MATCH($C146,'배치점수 계산기'!$U$11:$U$1000,0)),2),"")</f>
        <v>887.44</v>
      </c>
      <c r="R146" s="41">
        <f>IFERROR(ROUND(INDEX('배치점수 계산기'!O$11:O$1000,MATCH($C146,'배치점수 계산기'!$U$11:$U$1000,0)),2),"")</f>
        <v>885</v>
      </c>
      <c r="S146" s="41">
        <f>IFERROR(ROUND(INDEX('배치점수 계산기'!P$11:P$1000,MATCH($C146,'배치점수 계산기'!$U$11:$U$1000,0)),2),"")</f>
        <v>881.03</v>
      </c>
      <c r="T146" s="41">
        <f>IFERROR(ROUND(INDEX('배치점수 계산기'!Q$11:Q$1000,MATCH($C146,'배치점수 계산기'!$U$11:$U$1000,0)),2),"")</f>
        <v>878.15</v>
      </c>
      <c r="U146" s="41">
        <f>IFERROR(INDEX(환산공식!$DC$16:$DC$301,MATCH(E146,환산공식!$A$16:$A$301,0)),"")</f>
        <v>0</v>
      </c>
      <c r="V146" s="113">
        <f t="shared" si="8"/>
        <v>6</v>
      </c>
      <c r="W146" s="110" t="str">
        <f>INDEX('배치점수 계산기'!$AG$11:$AG$800,MATCH('       나 군       '!$C146,'배치점수 계산기'!$U$11:$U$800,0))</f>
        <v>표점/만점</v>
      </c>
      <c r="X146" s="108" t="str">
        <f>INDEX('배치점수 계산기'!$AH$11:$AH$800,MATCH('       나 군       '!$C146,'배치점수 계산기'!$U$11:$U$800,0))</f>
        <v>변표/만점</v>
      </c>
      <c r="Y146" s="113">
        <f>INDEX('배치점수 계산기'!$AB$11:$AB$800,MATCH('       나 군       '!$C146,'배치점수 계산기'!$U$11:$U$800,0))</f>
        <v>0.26169874763975232</v>
      </c>
      <c r="Z146" s="73">
        <f>INDEX('배치점수 계산기'!$AC$11:$AC$800,MATCH('       나 군       '!$C146,'배치점수 계산기'!$U$11:$U$800,0))</f>
        <v>0.46420373093241774</v>
      </c>
      <c r="AA146" s="63">
        <f>INDEX('배치점수 계산기'!$AD$11:$AD$800,MATCH('       나 군       '!$C146,'배치점수 계산기'!$U$11:$U$800,0))</f>
        <v>0.27409752142783</v>
      </c>
      <c r="AE146" s="7">
        <v>139</v>
      </c>
    </row>
    <row r="147" spans="3:31" x14ac:dyDescent="0.3">
      <c r="C147" s="7" t="s">
        <v>1376</v>
      </c>
      <c r="D147" s="41" t="s">
        <v>1377</v>
      </c>
      <c r="E147" s="41">
        <v>64</v>
      </c>
      <c r="F147" s="113" t="s">
        <v>346</v>
      </c>
      <c r="G147" s="41" t="s">
        <v>717</v>
      </c>
      <c r="H147" s="41" t="s">
        <v>758</v>
      </c>
      <c r="I147" s="41" t="s">
        <v>274</v>
      </c>
      <c r="J147" s="41" t="str">
        <f t="shared" si="6"/>
        <v>X</v>
      </c>
      <c r="K147" s="113">
        <f>IFERROR(INDEX(환산공식!CI$16:CI$301,MATCH($E147,환산공식!$A$16:$A$301,0)),"")</f>
        <v>200</v>
      </c>
      <c r="L147" s="41" t="str">
        <f>IFERROR(CONCATENATE(ROUND(INDEX(환산공식!CJ$16:CJ$301,MATCH(E147,환산공식!$A$16:$A$301,0)),1),"%"),"")</f>
        <v>100%</v>
      </c>
      <c r="M147" s="41">
        <f>IFERROR(INDEX(환산공식!CK$16:CK$301,MATCH(E147,환산공식!$A$16:$A$301,0)),"")</f>
        <v>10</v>
      </c>
      <c r="N147" s="113" t="str">
        <f t="shared" si="7"/>
        <v>1% 이하</v>
      </c>
      <c r="O147" s="119">
        <f>IFERROR(ROUND(INDEX(환산공식!$EF$16:$EF$301,MATCH(E147,환산공식!$A$16:$A$301,0)),3),"")</f>
        <v>0</v>
      </c>
      <c r="P147" s="119">
        <f>IFERROR(ROUND(INDEX('배치점수 계산기'!M$11:M$1000,MATCH($C147,'배치점수 계산기'!$U$11:$U$1000,0)),2),"")</f>
        <v>889.37</v>
      </c>
      <c r="Q147" s="41">
        <f>IFERROR(ROUND(INDEX('배치점수 계산기'!N$11:N$1000,MATCH($C147,'배치점수 계산기'!$U$11:$U$1000,0)),2),"")</f>
        <v>887.31</v>
      </c>
      <c r="R147" s="41">
        <f>IFERROR(ROUND(INDEX('배치점수 계산기'!O$11:O$1000,MATCH($C147,'배치점수 계산기'!$U$11:$U$1000,0)),2),"")</f>
        <v>885.28</v>
      </c>
      <c r="S147" s="41">
        <f>IFERROR(ROUND(INDEX('배치점수 계산기'!P$11:P$1000,MATCH($C147,'배치점수 계산기'!$U$11:$U$1000,0)),2),"")</f>
        <v>883.98</v>
      </c>
      <c r="T147" s="41">
        <f>IFERROR(ROUND(INDEX('배치점수 계산기'!Q$11:Q$1000,MATCH($C147,'배치점수 계산기'!$U$11:$U$1000,0)),2),"")</f>
        <v>882.29</v>
      </c>
      <c r="U147" s="41">
        <f>IFERROR(INDEX(환산공식!$DC$16:$DC$301,MATCH(E147,환산공식!$A$16:$A$301,0)),"")</f>
        <v>0</v>
      </c>
      <c r="V147" s="113">
        <f t="shared" si="8"/>
        <v>6</v>
      </c>
      <c r="W147" s="110" t="str">
        <f>INDEX('배치점수 계산기'!$AG$11:$AG$800,MATCH('       나 군       '!$C147,'배치점수 계산기'!$U$11:$U$800,0))</f>
        <v>표점/만점</v>
      </c>
      <c r="X147" s="108" t="str">
        <f>INDEX('배치점수 계산기'!$AH$11:$AH$800,MATCH('       나 군       '!$C147,'배치점수 계산기'!$U$11:$U$800,0))</f>
        <v>변표/만점</v>
      </c>
      <c r="Y147" s="113">
        <f>INDEX('배치점수 계산기'!$AB$11:$AB$800,MATCH('       나 군       '!$C147,'배치점수 계산기'!$U$11:$U$800,0))</f>
        <v>0.30640028173525991</v>
      </c>
      <c r="Z147" s="73">
        <f>INDEX('배치점수 계산기'!$AC$11:$AC$800,MATCH('       나 군       '!$C147,'배치점수 계산기'!$U$11:$U$800,0))</f>
        <v>0.37268279166166307</v>
      </c>
      <c r="AA147" s="63">
        <f>INDEX('배치점수 계산기'!$AD$11:$AD$800,MATCH('       나 군       '!$C147,'배치점수 계산기'!$U$11:$U$800,0))</f>
        <v>0.32091692660307697</v>
      </c>
      <c r="AE147" s="7">
        <v>140</v>
      </c>
    </row>
    <row r="148" spans="3:31" x14ac:dyDescent="0.3">
      <c r="C148" s="7" t="s">
        <v>1378</v>
      </c>
      <c r="D148" s="41" t="s">
        <v>1379</v>
      </c>
      <c r="E148" s="41">
        <v>65</v>
      </c>
      <c r="F148" s="113" t="s">
        <v>346</v>
      </c>
      <c r="G148" s="41" t="s">
        <v>717</v>
      </c>
      <c r="H148" s="41" t="s">
        <v>759</v>
      </c>
      <c r="I148" s="41" t="s">
        <v>275</v>
      </c>
      <c r="J148" s="41" t="str">
        <f t="shared" si="6"/>
        <v>X</v>
      </c>
      <c r="K148" s="113">
        <f>IFERROR(INDEX(환산공식!CI$16:CI$301,MATCH($E148,환산공식!$A$16:$A$301,0)),"")</f>
        <v>200</v>
      </c>
      <c r="L148" s="41" t="str">
        <f>IFERROR(CONCATENATE(ROUND(INDEX(환산공식!CJ$16:CJ$301,MATCH(E148,환산공식!$A$16:$A$301,0)),1),"%"),"")</f>
        <v>100%</v>
      </c>
      <c r="M148" s="41">
        <f>IFERROR(INDEX(환산공식!CK$16:CK$301,MATCH(E148,환산공식!$A$16:$A$301,0)),"")</f>
        <v>10</v>
      </c>
      <c r="N148" s="113" t="str">
        <f t="shared" si="7"/>
        <v>1% 이하</v>
      </c>
      <c r="O148" s="119">
        <f>IFERROR(ROUND(INDEX(환산공식!$EF$16:$EF$301,MATCH(E148,환산공식!$A$16:$A$301,0)),3),"")</f>
        <v>0</v>
      </c>
      <c r="P148" s="119">
        <f>IFERROR(ROUND(INDEX('배치점수 계산기'!M$11:M$1000,MATCH($C148,'배치점수 계산기'!$U$11:$U$1000,0)),2),"")</f>
        <v>904.19</v>
      </c>
      <c r="Q148" s="41">
        <f>IFERROR(ROUND(INDEX('배치점수 계산기'!N$11:N$1000,MATCH($C148,'배치점수 계산기'!$U$11:$U$1000,0)),2),"")</f>
        <v>901.22</v>
      </c>
      <c r="R148" s="41">
        <f>IFERROR(ROUND(INDEX('배치점수 계산기'!O$11:O$1000,MATCH($C148,'배치점수 계산기'!$U$11:$U$1000,0)),2),"")</f>
        <v>899.29</v>
      </c>
      <c r="S148" s="41">
        <f>IFERROR(ROUND(INDEX('배치점수 계산기'!P$11:P$1000,MATCH($C148,'배치점수 계산기'!$U$11:$U$1000,0)),2),"")</f>
        <v>896.87</v>
      </c>
      <c r="T148" s="41">
        <f>IFERROR(ROUND(INDEX('배치점수 계산기'!Q$11:Q$1000,MATCH($C148,'배치점수 계산기'!$U$11:$U$1000,0)),2),"")</f>
        <v>893.34</v>
      </c>
      <c r="U148" s="41">
        <f>IFERROR(INDEX(환산공식!$DC$16:$DC$301,MATCH(E148,환산공식!$A$16:$A$301,0)),"")</f>
        <v>0</v>
      </c>
      <c r="V148" s="113">
        <f t="shared" si="8"/>
        <v>6</v>
      </c>
      <c r="W148" s="110" t="str">
        <f>INDEX('배치점수 계산기'!$AG$11:$AG$800,MATCH('       나 군       '!$C148,'배치점수 계산기'!$U$11:$U$800,0))</f>
        <v>표점/만점</v>
      </c>
      <c r="X148" s="108" t="str">
        <f>INDEX('배치점수 계산기'!$AH$11:$AH$800,MATCH('       나 군       '!$C148,'배치점수 계산기'!$U$11:$U$800,0))</f>
        <v>변표/만점</v>
      </c>
      <c r="Y148" s="113">
        <f>INDEX('배치점수 계산기'!$AB$11:$AB$800,MATCH('       나 군       '!$C148,'배치점수 계산기'!$U$11:$U$800,0))</f>
        <v>0.35902417362826461</v>
      </c>
      <c r="Z148" s="73">
        <f>INDEX('배치점수 계산기'!$AC$11:$AC$800,MATCH('       나 군       '!$C148,'배치점수 계산기'!$U$11:$U$800,0))</f>
        <v>0.3032573802188856</v>
      </c>
      <c r="AA148" s="63">
        <f>INDEX('배치점수 계산기'!$AD$11:$AD$800,MATCH('       나 군       '!$C148,'배치점수 계산기'!$U$11:$U$800,0))</f>
        <v>0.3377184461528499</v>
      </c>
      <c r="AE148" s="7">
        <v>141</v>
      </c>
    </row>
    <row r="149" spans="3:31" x14ac:dyDescent="0.3">
      <c r="C149" s="7" t="s">
        <v>1380</v>
      </c>
      <c r="D149" s="41" t="s">
        <v>1377</v>
      </c>
      <c r="E149" s="41">
        <v>64</v>
      </c>
      <c r="F149" s="113" t="s">
        <v>346</v>
      </c>
      <c r="G149" s="41" t="s">
        <v>717</v>
      </c>
      <c r="H149" s="41" t="s">
        <v>760</v>
      </c>
      <c r="I149" s="41" t="s">
        <v>274</v>
      </c>
      <c r="J149" s="41" t="str">
        <f t="shared" si="6"/>
        <v>X</v>
      </c>
      <c r="K149" s="113">
        <f>IFERROR(INDEX(환산공식!CI$16:CI$301,MATCH($E149,환산공식!$A$16:$A$301,0)),"")</f>
        <v>200</v>
      </c>
      <c r="L149" s="41" t="str">
        <f>IFERROR(CONCATENATE(ROUND(INDEX(환산공식!CJ$16:CJ$301,MATCH(E149,환산공식!$A$16:$A$301,0)),1),"%"),"")</f>
        <v>100%</v>
      </c>
      <c r="M149" s="41">
        <f>IFERROR(INDEX(환산공식!CK$16:CK$301,MATCH(E149,환산공식!$A$16:$A$301,0)),"")</f>
        <v>10</v>
      </c>
      <c r="N149" s="113" t="str">
        <f t="shared" si="7"/>
        <v>1% 이하</v>
      </c>
      <c r="O149" s="119">
        <f>IFERROR(ROUND(INDEX(환산공식!$EF$16:$EF$301,MATCH(E149,환산공식!$A$16:$A$301,0)),3),"")</f>
        <v>0</v>
      </c>
      <c r="P149" s="119">
        <f>IFERROR(ROUND(INDEX('배치점수 계산기'!M$11:M$1000,MATCH($C149,'배치점수 계산기'!$U$11:$U$1000,0)),2),"")</f>
        <v>889.37</v>
      </c>
      <c r="Q149" s="41">
        <f>IFERROR(ROUND(INDEX('배치점수 계산기'!N$11:N$1000,MATCH($C149,'배치점수 계산기'!$U$11:$U$1000,0)),2),"")</f>
        <v>887.31</v>
      </c>
      <c r="R149" s="41">
        <f>IFERROR(ROUND(INDEX('배치점수 계산기'!O$11:O$1000,MATCH($C149,'배치점수 계산기'!$U$11:$U$1000,0)),2),"")</f>
        <v>885.28</v>
      </c>
      <c r="S149" s="41">
        <f>IFERROR(ROUND(INDEX('배치점수 계산기'!P$11:P$1000,MATCH($C149,'배치점수 계산기'!$U$11:$U$1000,0)),2),"")</f>
        <v>883.42</v>
      </c>
      <c r="T149" s="41">
        <f>IFERROR(ROUND(INDEX('배치점수 계산기'!Q$11:Q$1000,MATCH($C149,'배치점수 계산기'!$U$11:$U$1000,0)),2),"")</f>
        <v>881.41</v>
      </c>
      <c r="U149" s="41">
        <f>IFERROR(INDEX(환산공식!$DC$16:$DC$301,MATCH(E149,환산공식!$A$16:$A$301,0)),"")</f>
        <v>0</v>
      </c>
      <c r="V149" s="113">
        <f t="shared" si="8"/>
        <v>6</v>
      </c>
      <c r="W149" s="110" t="str">
        <f>INDEX('배치점수 계산기'!$AG$11:$AG$800,MATCH('       나 군       '!$C149,'배치점수 계산기'!$U$11:$U$800,0))</f>
        <v>표점/만점</v>
      </c>
      <c r="X149" s="108" t="str">
        <f>INDEX('배치점수 계산기'!$AH$11:$AH$800,MATCH('       나 군       '!$C149,'배치점수 계산기'!$U$11:$U$800,0))</f>
        <v>변표/만점</v>
      </c>
      <c r="Y149" s="113">
        <f>INDEX('배치점수 계산기'!$AB$11:$AB$800,MATCH('       나 군       '!$C149,'배치점수 계산기'!$U$11:$U$800,0))</f>
        <v>0.30640028173525991</v>
      </c>
      <c r="Z149" s="73">
        <f>INDEX('배치점수 계산기'!$AC$11:$AC$800,MATCH('       나 군       '!$C149,'배치점수 계산기'!$U$11:$U$800,0))</f>
        <v>0.37268279166166307</v>
      </c>
      <c r="AA149" s="63">
        <f>INDEX('배치점수 계산기'!$AD$11:$AD$800,MATCH('       나 군       '!$C149,'배치점수 계산기'!$U$11:$U$800,0))</f>
        <v>0.32091692660307697</v>
      </c>
      <c r="AE149" s="7">
        <v>142</v>
      </c>
    </row>
    <row r="150" spans="3:31" x14ac:dyDescent="0.3">
      <c r="C150" s="7" t="s">
        <v>1381</v>
      </c>
      <c r="D150" s="41" t="s">
        <v>1379</v>
      </c>
      <c r="E150" s="41">
        <v>65</v>
      </c>
      <c r="F150" s="113" t="s">
        <v>346</v>
      </c>
      <c r="G150" s="41" t="s">
        <v>717</v>
      </c>
      <c r="H150" s="41" t="s">
        <v>761</v>
      </c>
      <c r="I150" s="41" t="s">
        <v>275</v>
      </c>
      <c r="J150" s="41" t="str">
        <f t="shared" si="6"/>
        <v>X</v>
      </c>
      <c r="K150" s="113">
        <f>IFERROR(INDEX(환산공식!CI$16:CI$301,MATCH($E150,환산공식!$A$16:$A$301,0)),"")</f>
        <v>200</v>
      </c>
      <c r="L150" s="41" t="str">
        <f>IFERROR(CONCATENATE(ROUND(INDEX(환산공식!CJ$16:CJ$301,MATCH(E150,환산공식!$A$16:$A$301,0)),1),"%"),"")</f>
        <v>100%</v>
      </c>
      <c r="M150" s="41">
        <f>IFERROR(INDEX(환산공식!CK$16:CK$301,MATCH(E150,환산공식!$A$16:$A$301,0)),"")</f>
        <v>10</v>
      </c>
      <c r="N150" s="113" t="str">
        <f t="shared" si="7"/>
        <v>1% 이하</v>
      </c>
      <c r="O150" s="119">
        <f>IFERROR(ROUND(INDEX(환산공식!$EF$16:$EF$301,MATCH(E150,환산공식!$A$16:$A$301,0)),3),"")</f>
        <v>0</v>
      </c>
      <c r="P150" s="119">
        <f>IFERROR(ROUND(INDEX('배치점수 계산기'!M$11:M$1000,MATCH($C150,'배치점수 계산기'!$U$11:$U$1000,0)),2),"")</f>
        <v>904.19</v>
      </c>
      <c r="Q150" s="41">
        <f>IFERROR(ROUND(INDEX('배치점수 계산기'!N$11:N$1000,MATCH($C150,'배치점수 계산기'!$U$11:$U$1000,0)),2),"")</f>
        <v>903.11</v>
      </c>
      <c r="R150" s="41">
        <f>IFERROR(ROUND(INDEX('배치점수 계산기'!O$11:O$1000,MATCH($C150,'배치점수 계산기'!$U$11:$U$1000,0)),2),"")</f>
        <v>896.46</v>
      </c>
      <c r="S150" s="41">
        <f>IFERROR(ROUND(INDEX('배치점수 계산기'!P$11:P$1000,MATCH($C150,'배치점수 계산기'!$U$11:$U$1000,0)),2),"")</f>
        <v>894.24</v>
      </c>
      <c r="T150" s="41">
        <f>IFERROR(ROUND(INDEX('배치점수 계산기'!Q$11:Q$1000,MATCH($C150,'배치점수 계산기'!$U$11:$U$1000,0)),2),"")</f>
        <v>891.67</v>
      </c>
      <c r="U150" s="41">
        <f>IFERROR(INDEX(환산공식!$DC$16:$DC$301,MATCH(E150,환산공식!$A$16:$A$301,0)),"")</f>
        <v>0</v>
      </c>
      <c r="V150" s="113">
        <f t="shared" si="8"/>
        <v>6</v>
      </c>
      <c r="W150" s="110" t="str">
        <f>INDEX('배치점수 계산기'!$AG$11:$AG$800,MATCH('       나 군       '!$C150,'배치점수 계산기'!$U$11:$U$800,0))</f>
        <v>표점/만점</v>
      </c>
      <c r="X150" s="108" t="str">
        <f>INDEX('배치점수 계산기'!$AH$11:$AH$800,MATCH('       나 군       '!$C150,'배치점수 계산기'!$U$11:$U$800,0))</f>
        <v>변표/만점</v>
      </c>
      <c r="Y150" s="113">
        <f>INDEX('배치점수 계산기'!$AB$11:$AB$800,MATCH('       나 군       '!$C150,'배치점수 계산기'!$U$11:$U$800,0))</f>
        <v>0.35902417362826461</v>
      </c>
      <c r="Z150" s="73">
        <f>INDEX('배치점수 계산기'!$AC$11:$AC$800,MATCH('       나 군       '!$C150,'배치점수 계산기'!$U$11:$U$800,0))</f>
        <v>0.3032573802188856</v>
      </c>
      <c r="AA150" s="63">
        <f>INDEX('배치점수 계산기'!$AD$11:$AD$800,MATCH('       나 군       '!$C150,'배치점수 계산기'!$U$11:$U$800,0))</f>
        <v>0.3377184461528499</v>
      </c>
      <c r="AE150" s="7">
        <v>143</v>
      </c>
    </row>
    <row r="151" spans="3:31" x14ac:dyDescent="0.3">
      <c r="C151" s="7" t="s">
        <v>1382</v>
      </c>
      <c r="D151" s="41" t="s">
        <v>1379</v>
      </c>
      <c r="E151" s="41">
        <v>65</v>
      </c>
      <c r="F151" s="113" t="s">
        <v>346</v>
      </c>
      <c r="G151" s="41" t="s">
        <v>717</v>
      </c>
      <c r="H151" s="41" t="s">
        <v>762</v>
      </c>
      <c r="I151" s="41" t="s">
        <v>275</v>
      </c>
      <c r="J151" s="41" t="str">
        <f t="shared" si="6"/>
        <v>X</v>
      </c>
      <c r="K151" s="113">
        <f>IFERROR(INDEX(환산공식!CI$16:CI$301,MATCH($E151,환산공식!$A$16:$A$301,0)),"")</f>
        <v>200</v>
      </c>
      <c r="L151" s="41" t="str">
        <f>IFERROR(CONCATENATE(ROUND(INDEX(환산공식!CJ$16:CJ$301,MATCH(E151,환산공식!$A$16:$A$301,0)),1),"%"),"")</f>
        <v>100%</v>
      </c>
      <c r="M151" s="41">
        <f>IFERROR(INDEX(환산공식!CK$16:CK$301,MATCH(E151,환산공식!$A$16:$A$301,0)),"")</f>
        <v>10</v>
      </c>
      <c r="N151" s="113" t="str">
        <f t="shared" si="7"/>
        <v>1% 이하</v>
      </c>
      <c r="O151" s="119">
        <f>IFERROR(ROUND(INDEX(환산공식!$EF$16:$EF$301,MATCH(E151,환산공식!$A$16:$A$301,0)),3),"")</f>
        <v>0</v>
      </c>
      <c r="P151" s="119">
        <f>IFERROR(ROUND(INDEX('배치점수 계산기'!M$11:M$1000,MATCH($C151,'배치점수 계산기'!$U$11:$U$1000,0)),2),"")</f>
        <v>905.04</v>
      </c>
      <c r="Q151" s="41">
        <f>IFERROR(ROUND(INDEX('배치점수 계산기'!N$11:N$1000,MATCH($C151,'배치점수 계산기'!$U$11:$U$1000,0)),2),"")</f>
        <v>900.69</v>
      </c>
      <c r="R151" s="41">
        <f>IFERROR(ROUND(INDEX('배치점수 계산기'!O$11:O$1000,MATCH($C151,'배치점수 계산기'!$U$11:$U$1000,0)),2),"")</f>
        <v>896.87</v>
      </c>
      <c r="S151" s="41">
        <f>IFERROR(ROUND(INDEX('배치점수 계산기'!P$11:P$1000,MATCH($C151,'배치점수 계산기'!$U$11:$U$1000,0)),2),"")</f>
        <v>894.79</v>
      </c>
      <c r="T151" s="41">
        <f>IFERROR(ROUND(INDEX('배치점수 계산기'!Q$11:Q$1000,MATCH($C151,'배치점수 계산기'!$U$11:$U$1000,0)),2),"")</f>
        <v>893.06</v>
      </c>
      <c r="U151" s="41">
        <f>IFERROR(INDEX(환산공식!$DC$16:$DC$301,MATCH(E151,환산공식!$A$16:$A$301,0)),"")</f>
        <v>0</v>
      </c>
      <c r="V151" s="113">
        <f t="shared" si="8"/>
        <v>6</v>
      </c>
      <c r="W151" s="110" t="str">
        <f>INDEX('배치점수 계산기'!$AG$11:$AG$800,MATCH('       나 군       '!$C151,'배치점수 계산기'!$U$11:$U$800,0))</f>
        <v>표점/만점</v>
      </c>
      <c r="X151" s="108" t="str">
        <f>INDEX('배치점수 계산기'!$AH$11:$AH$800,MATCH('       나 군       '!$C151,'배치점수 계산기'!$U$11:$U$800,0))</f>
        <v>변표/만점</v>
      </c>
      <c r="Y151" s="113">
        <f>INDEX('배치점수 계산기'!$AB$11:$AB$800,MATCH('       나 군       '!$C151,'배치점수 계산기'!$U$11:$U$800,0))</f>
        <v>0.35902417362826461</v>
      </c>
      <c r="Z151" s="73">
        <f>INDEX('배치점수 계산기'!$AC$11:$AC$800,MATCH('       나 군       '!$C151,'배치점수 계산기'!$U$11:$U$800,0))</f>
        <v>0.3032573802188856</v>
      </c>
      <c r="AA151" s="63">
        <f>INDEX('배치점수 계산기'!$AD$11:$AD$800,MATCH('       나 군       '!$C151,'배치점수 계산기'!$U$11:$U$800,0))</f>
        <v>0.3377184461528499</v>
      </c>
      <c r="AE151" s="7">
        <v>144</v>
      </c>
    </row>
    <row r="152" spans="3:31" x14ac:dyDescent="0.3">
      <c r="C152" s="7" t="s">
        <v>1383</v>
      </c>
      <c r="D152" s="41" t="s">
        <v>1379</v>
      </c>
      <c r="E152" s="41">
        <v>65</v>
      </c>
      <c r="F152" s="113" t="s">
        <v>346</v>
      </c>
      <c r="G152" s="41" t="s">
        <v>717</v>
      </c>
      <c r="H152" s="41" t="s">
        <v>763</v>
      </c>
      <c r="I152" s="41" t="s">
        <v>275</v>
      </c>
      <c r="J152" s="41" t="str">
        <f t="shared" si="6"/>
        <v>X</v>
      </c>
      <c r="K152" s="113">
        <f>IFERROR(INDEX(환산공식!CI$16:CI$301,MATCH($E152,환산공식!$A$16:$A$301,0)),"")</f>
        <v>200</v>
      </c>
      <c r="L152" s="41" t="str">
        <f>IFERROR(CONCATENATE(ROUND(INDEX(환산공식!CJ$16:CJ$301,MATCH(E152,환산공식!$A$16:$A$301,0)),1),"%"),"")</f>
        <v>100%</v>
      </c>
      <c r="M152" s="41">
        <f>IFERROR(INDEX(환산공식!CK$16:CK$301,MATCH(E152,환산공식!$A$16:$A$301,0)),"")</f>
        <v>10</v>
      </c>
      <c r="N152" s="113" t="str">
        <f t="shared" si="7"/>
        <v>1% 이하</v>
      </c>
      <c r="O152" s="119">
        <f>IFERROR(ROUND(INDEX(환산공식!$EF$16:$EF$301,MATCH(E152,환산공식!$A$16:$A$301,0)),3),"")</f>
        <v>0</v>
      </c>
      <c r="P152" s="119">
        <f>IFERROR(ROUND(INDEX('배치점수 계산기'!M$11:M$1000,MATCH($C152,'배치점수 계산기'!$U$11:$U$1000,0)),2),"")</f>
        <v>906.49</v>
      </c>
      <c r="Q152" s="41">
        <f>IFERROR(ROUND(INDEX('배치점수 계산기'!N$11:N$1000,MATCH($C152,'배치점수 계산기'!$U$11:$U$1000,0)),2),"")</f>
        <v>904.19</v>
      </c>
      <c r="R152" s="41">
        <f>IFERROR(ROUND(INDEX('배치점수 계산기'!O$11:O$1000,MATCH($C152,'배치점수 계산기'!$U$11:$U$1000,0)),2),"")</f>
        <v>901.9</v>
      </c>
      <c r="S152" s="41">
        <f>IFERROR(ROUND(INDEX('배치점수 계산기'!P$11:P$1000,MATCH($C152,'배치점수 계산기'!$U$11:$U$1000,0)),2),"")</f>
        <v>900.2</v>
      </c>
      <c r="T152" s="41">
        <f>IFERROR(ROUND(INDEX('배치점수 계산기'!Q$11:Q$1000,MATCH($C152,'배치점수 계산기'!$U$11:$U$1000,0)),2),"")</f>
        <v>893.34</v>
      </c>
      <c r="U152" s="41">
        <f>IFERROR(INDEX(환산공식!$DC$16:$DC$301,MATCH(E152,환산공식!$A$16:$A$301,0)),"")</f>
        <v>0</v>
      </c>
      <c r="V152" s="113">
        <f t="shared" si="8"/>
        <v>6</v>
      </c>
      <c r="W152" s="110" t="str">
        <f>INDEX('배치점수 계산기'!$AG$11:$AG$800,MATCH('       나 군       '!$C152,'배치점수 계산기'!$U$11:$U$800,0))</f>
        <v>표점/만점</v>
      </c>
      <c r="X152" s="108" t="str">
        <f>INDEX('배치점수 계산기'!$AH$11:$AH$800,MATCH('       나 군       '!$C152,'배치점수 계산기'!$U$11:$U$800,0))</f>
        <v>변표/만점</v>
      </c>
      <c r="Y152" s="113">
        <f>INDEX('배치점수 계산기'!$AB$11:$AB$800,MATCH('       나 군       '!$C152,'배치점수 계산기'!$U$11:$U$800,0))</f>
        <v>0.35902417362826461</v>
      </c>
      <c r="Z152" s="73">
        <f>INDEX('배치점수 계산기'!$AC$11:$AC$800,MATCH('       나 군       '!$C152,'배치점수 계산기'!$U$11:$U$800,0))</f>
        <v>0.3032573802188856</v>
      </c>
      <c r="AA152" s="63">
        <f>INDEX('배치점수 계산기'!$AD$11:$AD$800,MATCH('       나 군       '!$C152,'배치점수 계산기'!$U$11:$U$800,0))</f>
        <v>0.3377184461528499</v>
      </c>
      <c r="AE152" s="7">
        <v>145</v>
      </c>
    </row>
    <row r="153" spans="3:31" x14ac:dyDescent="0.3">
      <c r="C153" s="7" t="s">
        <v>1384</v>
      </c>
      <c r="D153" s="41" t="s">
        <v>1109</v>
      </c>
      <c r="E153" s="41">
        <v>36</v>
      </c>
      <c r="F153" s="113" t="s">
        <v>346</v>
      </c>
      <c r="G153" s="41" t="s">
        <v>764</v>
      </c>
      <c r="H153" s="41" t="s">
        <v>435</v>
      </c>
      <c r="I153" s="41" t="s">
        <v>275</v>
      </c>
      <c r="J153" s="41" t="str">
        <f t="shared" si="6"/>
        <v>X</v>
      </c>
      <c r="K153" s="113">
        <f>IFERROR(INDEX(환산공식!CI$16:CI$301,MATCH($E153,환산공식!$A$16:$A$301,0)),"")</f>
        <v>140</v>
      </c>
      <c r="L153" s="41" t="str">
        <f>IFERROR(CONCATENATE(ROUND(INDEX(환산공식!CJ$16:CJ$301,MATCH(E153,환산공식!$A$16:$A$301,0)),1),"%"),"")</f>
        <v>100%</v>
      </c>
      <c r="M153" s="41">
        <f>IFERROR(INDEX(환산공식!CK$16:CK$301,MATCH(E153,환산공식!$A$16:$A$301,0)),"")</f>
        <v>10</v>
      </c>
      <c r="N153" s="113" t="str">
        <f t="shared" si="7"/>
        <v>1% 이하</v>
      </c>
      <c r="O153" s="119">
        <f>IFERROR(ROUND(INDEX(환산공식!$EF$16:$EF$301,MATCH(E153,환산공식!$A$16:$A$301,0)),3),"")</f>
        <v>0</v>
      </c>
      <c r="P153" s="119">
        <f>IFERROR(ROUND(INDEX('배치점수 계산기'!M$11:M$1000,MATCH($C153,'배치점수 계산기'!$U$11:$U$1000,0)),2),"")</f>
        <v>630.30999999999995</v>
      </c>
      <c r="Q153" s="41">
        <f>IFERROR(ROUND(INDEX('배치점수 계산기'!N$11:N$1000,MATCH($C153,'배치점수 계산기'!$U$11:$U$1000,0)),2),"")</f>
        <v>629.16</v>
      </c>
      <c r="R153" s="41">
        <f>IFERROR(ROUND(INDEX('배치점수 계산기'!O$11:O$1000,MATCH($C153,'배치점수 계산기'!$U$11:$U$1000,0)),2),"")</f>
        <v>628</v>
      </c>
      <c r="S153" s="41">
        <f>IFERROR(ROUND(INDEX('배치점수 계산기'!P$11:P$1000,MATCH($C153,'배치점수 계산기'!$U$11:$U$1000,0)),2),"")</f>
        <v>620.95000000000005</v>
      </c>
      <c r="T153" s="41">
        <f>IFERROR(ROUND(INDEX('배치점수 계산기'!Q$11:Q$1000,MATCH($C153,'배치점수 계산기'!$U$11:$U$1000,0)),2),"")</f>
        <v>615.78</v>
      </c>
      <c r="U153" s="41">
        <f>IFERROR(INDEX(환산공식!$DC$16:$DC$301,MATCH(E153,환산공식!$A$16:$A$301,0)),"")</f>
        <v>0</v>
      </c>
      <c r="V153" s="113">
        <f t="shared" si="8"/>
        <v>6</v>
      </c>
      <c r="W153" s="110" t="str">
        <f>INDEX('배치점수 계산기'!$AG$11:$AG$800,MATCH('       나 군       '!$C153,'배치점수 계산기'!$U$11:$U$800,0))</f>
        <v>표점/만점</v>
      </c>
      <c r="X153" s="108" t="str">
        <f>INDEX('배치점수 계산기'!$AH$11:$AH$800,MATCH('       나 군       '!$C153,'배치점수 계산기'!$U$11:$U$800,0))</f>
        <v>변표/만점</v>
      </c>
      <c r="Y153" s="113">
        <f>INDEX('배치점수 계산기'!$AB$11:$AB$800,MATCH('       나 군       '!$C153,'배치점수 계산기'!$U$11:$U$800,0))</f>
        <v>0.36151581771434954</v>
      </c>
      <c r="Z153" s="73">
        <f>INDEX('배치점수 계산기'!$AC$11:$AC$800,MATCH('       나 군       '!$C153,'배치점수 계산기'!$U$11:$U$800,0))</f>
        <v>0.36643440026828633</v>
      </c>
      <c r="AA153" s="63">
        <f>INDEX('배치점수 계산기'!$AD$11:$AD$800,MATCH('       나 군       '!$C153,'배치점수 계산기'!$U$11:$U$800,0))</f>
        <v>0.27204978201736407</v>
      </c>
      <c r="AE153" s="7">
        <v>146</v>
      </c>
    </row>
    <row r="154" spans="3:31" x14ac:dyDescent="0.3">
      <c r="C154" s="7" t="s">
        <v>1385</v>
      </c>
      <c r="D154" s="41" t="s">
        <v>1109</v>
      </c>
      <c r="E154" s="41">
        <v>36</v>
      </c>
      <c r="F154" s="113" t="s">
        <v>346</v>
      </c>
      <c r="G154" s="41" t="s">
        <v>764</v>
      </c>
      <c r="H154" s="41" t="s">
        <v>765</v>
      </c>
      <c r="I154" s="41" t="s">
        <v>275</v>
      </c>
      <c r="J154" s="41" t="str">
        <f t="shared" si="6"/>
        <v>X</v>
      </c>
      <c r="K154" s="113">
        <f>IFERROR(INDEX(환산공식!CI$16:CI$301,MATCH($E154,환산공식!$A$16:$A$301,0)),"")</f>
        <v>140</v>
      </c>
      <c r="L154" s="41" t="str">
        <f>IFERROR(CONCATENATE(ROUND(INDEX(환산공식!CJ$16:CJ$301,MATCH(E154,환산공식!$A$16:$A$301,0)),1),"%"),"")</f>
        <v>100%</v>
      </c>
      <c r="M154" s="41">
        <f>IFERROR(INDEX(환산공식!CK$16:CK$301,MATCH(E154,환산공식!$A$16:$A$301,0)),"")</f>
        <v>10</v>
      </c>
      <c r="N154" s="113" t="str">
        <f t="shared" si="7"/>
        <v>1% 이하</v>
      </c>
      <c r="O154" s="119">
        <f>IFERROR(ROUND(INDEX(환산공식!$EF$16:$EF$301,MATCH(E154,환산공식!$A$16:$A$301,0)),3),"")</f>
        <v>0</v>
      </c>
      <c r="P154" s="119">
        <f>IFERROR(ROUND(INDEX('배치점수 계산기'!M$11:M$1000,MATCH($C154,'배치점수 계산기'!$U$11:$U$1000,0)),2),"")</f>
        <v>632.28</v>
      </c>
      <c r="Q154" s="41">
        <f>IFERROR(ROUND(INDEX('배치점수 계산기'!N$11:N$1000,MATCH($C154,'배치점수 계산기'!$U$11:$U$1000,0)),2),"")</f>
        <v>631.51</v>
      </c>
      <c r="R154" s="41">
        <f>IFERROR(ROUND(INDEX('배치점수 계산기'!O$11:O$1000,MATCH($C154,'배치점수 계산기'!$U$11:$U$1000,0)),2),"")</f>
        <v>629.99</v>
      </c>
      <c r="S154" s="41">
        <f>IFERROR(ROUND(INDEX('배치점수 계산기'!P$11:P$1000,MATCH($C154,'배치점수 계산기'!$U$11:$U$1000,0)),2),"")</f>
        <v>628.28</v>
      </c>
      <c r="T154" s="41">
        <f>IFERROR(ROUND(INDEX('배치점수 계산기'!Q$11:Q$1000,MATCH($C154,'배치점수 계산기'!$U$11:$U$1000,0)),2),"")</f>
        <v>626.33000000000004</v>
      </c>
      <c r="U154" s="41">
        <f>IFERROR(INDEX(환산공식!$DC$16:$DC$301,MATCH(E154,환산공식!$A$16:$A$301,0)),"")</f>
        <v>0</v>
      </c>
      <c r="V154" s="113">
        <f t="shared" si="8"/>
        <v>6</v>
      </c>
      <c r="W154" s="110" t="str">
        <f>INDEX('배치점수 계산기'!$AG$11:$AG$800,MATCH('       나 군       '!$C154,'배치점수 계산기'!$U$11:$U$800,0))</f>
        <v>표점/만점</v>
      </c>
      <c r="X154" s="108" t="str">
        <f>INDEX('배치점수 계산기'!$AH$11:$AH$800,MATCH('       나 군       '!$C154,'배치점수 계산기'!$U$11:$U$800,0))</f>
        <v>변표/만점</v>
      </c>
      <c r="Y154" s="113">
        <f>INDEX('배치점수 계산기'!$AB$11:$AB$800,MATCH('       나 군       '!$C154,'배치점수 계산기'!$U$11:$U$800,0))</f>
        <v>0.36151581771434954</v>
      </c>
      <c r="Z154" s="73">
        <f>INDEX('배치점수 계산기'!$AC$11:$AC$800,MATCH('       나 군       '!$C154,'배치점수 계산기'!$U$11:$U$800,0))</f>
        <v>0.36643440026828633</v>
      </c>
      <c r="AA154" s="63">
        <f>INDEX('배치점수 계산기'!$AD$11:$AD$800,MATCH('       나 군       '!$C154,'배치점수 계산기'!$U$11:$U$800,0))</f>
        <v>0.27204978201736407</v>
      </c>
      <c r="AE154" s="7">
        <v>147</v>
      </c>
    </row>
    <row r="155" spans="3:31" x14ac:dyDescent="0.3">
      <c r="C155" s="7" t="s">
        <v>1386</v>
      </c>
      <c r="D155" s="41" t="s">
        <v>1109</v>
      </c>
      <c r="E155" s="41">
        <v>36</v>
      </c>
      <c r="F155" s="113" t="s">
        <v>346</v>
      </c>
      <c r="G155" s="41" t="s">
        <v>764</v>
      </c>
      <c r="H155" s="41" t="s">
        <v>261</v>
      </c>
      <c r="I155" s="41" t="s">
        <v>275</v>
      </c>
      <c r="J155" s="41" t="str">
        <f t="shared" si="6"/>
        <v>X</v>
      </c>
      <c r="K155" s="113">
        <f>IFERROR(INDEX(환산공식!CI$16:CI$301,MATCH($E155,환산공식!$A$16:$A$301,0)),"")</f>
        <v>140</v>
      </c>
      <c r="L155" s="41" t="str">
        <f>IFERROR(CONCATENATE(ROUND(INDEX(환산공식!CJ$16:CJ$301,MATCH(E155,환산공식!$A$16:$A$301,0)),1),"%"),"")</f>
        <v>100%</v>
      </c>
      <c r="M155" s="41">
        <f>IFERROR(INDEX(환산공식!CK$16:CK$301,MATCH(E155,환산공식!$A$16:$A$301,0)),"")</f>
        <v>10</v>
      </c>
      <c r="N155" s="113" t="str">
        <f t="shared" si="7"/>
        <v>1% 이하</v>
      </c>
      <c r="O155" s="119">
        <f>IFERROR(ROUND(INDEX(환산공식!$EF$16:$EF$301,MATCH(E155,환산공식!$A$16:$A$301,0)),3),"")</f>
        <v>0</v>
      </c>
      <c r="P155" s="119">
        <f>IFERROR(ROUND(INDEX('배치점수 계산기'!M$11:M$1000,MATCH($C155,'배치점수 계산기'!$U$11:$U$1000,0)),2),"")</f>
        <v>630.30999999999995</v>
      </c>
      <c r="Q155" s="41">
        <f>IFERROR(ROUND(INDEX('배치점수 계산기'!N$11:N$1000,MATCH($C155,'배치점수 계산기'!$U$11:$U$1000,0)),2),"")</f>
        <v>629.16</v>
      </c>
      <c r="R155" s="41">
        <f>IFERROR(ROUND(INDEX('배치점수 계산기'!O$11:O$1000,MATCH($C155,'배치점수 계산기'!$U$11:$U$1000,0)),2),"")</f>
        <v>628</v>
      </c>
      <c r="S155" s="41">
        <f>IFERROR(ROUND(INDEX('배치점수 계산기'!P$11:P$1000,MATCH($C155,'배치점수 계산기'!$U$11:$U$1000,0)),2),"")</f>
        <v>620.21</v>
      </c>
      <c r="T155" s="41">
        <f>IFERROR(ROUND(INDEX('배치점수 계산기'!Q$11:Q$1000,MATCH($C155,'배치점수 계산기'!$U$11:$U$1000,0)),2),"")</f>
        <v>617.89</v>
      </c>
      <c r="U155" s="41">
        <f>IFERROR(INDEX(환산공식!$DC$16:$DC$301,MATCH(E155,환산공식!$A$16:$A$301,0)),"")</f>
        <v>0</v>
      </c>
      <c r="V155" s="113">
        <f t="shared" si="8"/>
        <v>6</v>
      </c>
      <c r="W155" s="110" t="str">
        <f>INDEX('배치점수 계산기'!$AG$11:$AG$800,MATCH('       나 군       '!$C155,'배치점수 계산기'!$U$11:$U$800,0))</f>
        <v>표점/만점</v>
      </c>
      <c r="X155" s="108" t="str">
        <f>INDEX('배치점수 계산기'!$AH$11:$AH$800,MATCH('       나 군       '!$C155,'배치점수 계산기'!$U$11:$U$800,0))</f>
        <v>변표/만점</v>
      </c>
      <c r="Y155" s="113">
        <f>INDEX('배치점수 계산기'!$AB$11:$AB$800,MATCH('       나 군       '!$C155,'배치점수 계산기'!$U$11:$U$800,0))</f>
        <v>0.36151581771434954</v>
      </c>
      <c r="Z155" s="73">
        <f>INDEX('배치점수 계산기'!$AC$11:$AC$800,MATCH('       나 군       '!$C155,'배치점수 계산기'!$U$11:$U$800,0))</f>
        <v>0.36643440026828633</v>
      </c>
      <c r="AA155" s="63">
        <f>INDEX('배치점수 계산기'!$AD$11:$AD$800,MATCH('       나 군       '!$C155,'배치점수 계산기'!$U$11:$U$800,0))</f>
        <v>0.27204978201736407</v>
      </c>
      <c r="AE155" s="7">
        <v>148</v>
      </c>
    </row>
    <row r="156" spans="3:31" x14ac:dyDescent="0.3">
      <c r="C156" s="7" t="s">
        <v>1387</v>
      </c>
      <c r="D156" s="41" t="s">
        <v>1109</v>
      </c>
      <c r="E156" s="41">
        <v>36</v>
      </c>
      <c r="F156" s="113" t="s">
        <v>346</v>
      </c>
      <c r="G156" s="41" t="s">
        <v>764</v>
      </c>
      <c r="H156" s="41" t="s">
        <v>438</v>
      </c>
      <c r="I156" s="41" t="s">
        <v>275</v>
      </c>
      <c r="J156" s="41" t="str">
        <f t="shared" si="6"/>
        <v>X</v>
      </c>
      <c r="K156" s="113">
        <f>IFERROR(INDEX(환산공식!CI$16:CI$301,MATCH($E156,환산공식!$A$16:$A$301,0)),"")</f>
        <v>140</v>
      </c>
      <c r="L156" s="41" t="str">
        <f>IFERROR(CONCATENATE(ROUND(INDEX(환산공식!CJ$16:CJ$301,MATCH(E156,환산공식!$A$16:$A$301,0)),1),"%"),"")</f>
        <v>100%</v>
      </c>
      <c r="M156" s="41">
        <f>IFERROR(INDEX(환산공식!CK$16:CK$301,MATCH(E156,환산공식!$A$16:$A$301,0)),"")</f>
        <v>10</v>
      </c>
      <c r="N156" s="113" t="str">
        <f t="shared" si="7"/>
        <v>1% 이하</v>
      </c>
      <c r="O156" s="119">
        <f>IFERROR(ROUND(INDEX(환산공식!$EF$16:$EF$301,MATCH(E156,환산공식!$A$16:$A$301,0)),3),"")</f>
        <v>0</v>
      </c>
      <c r="P156" s="119">
        <f>IFERROR(ROUND(INDEX('배치점수 계산기'!M$11:M$1000,MATCH($C156,'배치점수 계산기'!$U$11:$U$1000,0)),2),"")</f>
        <v>629.29999999999995</v>
      </c>
      <c r="Q156" s="41">
        <f>IFERROR(ROUND(INDEX('배치점수 계산기'!N$11:N$1000,MATCH($C156,'배치점수 계산기'!$U$11:$U$1000,0)),2),"")</f>
        <v>626.88</v>
      </c>
      <c r="R156" s="41">
        <f>IFERROR(ROUND(INDEX('배치점수 계산기'!O$11:O$1000,MATCH($C156,'배치점수 계산기'!$U$11:$U$1000,0)),2),"")</f>
        <v>624.33000000000004</v>
      </c>
      <c r="S156" s="41">
        <f>IFERROR(ROUND(INDEX('배치점수 계산기'!P$11:P$1000,MATCH($C156,'배치점수 계산기'!$U$11:$U$1000,0)),2),"")</f>
        <v>620.21</v>
      </c>
      <c r="T156" s="41">
        <f>IFERROR(ROUND(INDEX('배치점수 계산기'!Q$11:Q$1000,MATCH($C156,'배치점수 계산기'!$U$11:$U$1000,0)),2),"")</f>
        <v>617.89</v>
      </c>
      <c r="U156" s="41">
        <f>IFERROR(INDEX(환산공식!$DC$16:$DC$301,MATCH(E156,환산공식!$A$16:$A$301,0)),"")</f>
        <v>0</v>
      </c>
      <c r="V156" s="113">
        <f t="shared" si="8"/>
        <v>6</v>
      </c>
      <c r="W156" s="110" t="str">
        <f>INDEX('배치점수 계산기'!$AG$11:$AG$800,MATCH('       나 군       '!$C156,'배치점수 계산기'!$U$11:$U$800,0))</f>
        <v>표점/만점</v>
      </c>
      <c r="X156" s="108" t="str">
        <f>INDEX('배치점수 계산기'!$AH$11:$AH$800,MATCH('       나 군       '!$C156,'배치점수 계산기'!$U$11:$U$800,0))</f>
        <v>변표/만점</v>
      </c>
      <c r="Y156" s="113">
        <f>INDEX('배치점수 계산기'!$AB$11:$AB$800,MATCH('       나 군       '!$C156,'배치점수 계산기'!$U$11:$U$800,0))</f>
        <v>0.36151581771434954</v>
      </c>
      <c r="Z156" s="73">
        <f>INDEX('배치점수 계산기'!$AC$11:$AC$800,MATCH('       나 군       '!$C156,'배치점수 계산기'!$U$11:$U$800,0))</f>
        <v>0.36643440026828633</v>
      </c>
      <c r="AA156" s="63">
        <f>INDEX('배치점수 계산기'!$AD$11:$AD$800,MATCH('       나 군       '!$C156,'배치점수 계산기'!$U$11:$U$800,0))</f>
        <v>0.27204978201736407</v>
      </c>
      <c r="AE156" s="7">
        <v>149</v>
      </c>
    </row>
    <row r="157" spans="3:31" x14ac:dyDescent="0.3">
      <c r="C157" s="7" t="s">
        <v>1388</v>
      </c>
      <c r="D157" s="41" t="s">
        <v>1109</v>
      </c>
      <c r="E157" s="41">
        <v>36</v>
      </c>
      <c r="F157" s="113" t="s">
        <v>346</v>
      </c>
      <c r="G157" s="41" t="s">
        <v>764</v>
      </c>
      <c r="H157" s="41" t="s">
        <v>439</v>
      </c>
      <c r="I157" s="41" t="s">
        <v>275</v>
      </c>
      <c r="J157" s="41" t="str">
        <f t="shared" si="6"/>
        <v>X</v>
      </c>
      <c r="K157" s="113">
        <f>IFERROR(INDEX(환산공식!CI$16:CI$301,MATCH($E157,환산공식!$A$16:$A$301,0)),"")</f>
        <v>140</v>
      </c>
      <c r="L157" s="41" t="str">
        <f>IFERROR(CONCATENATE(ROUND(INDEX(환산공식!CJ$16:CJ$301,MATCH(E157,환산공식!$A$16:$A$301,0)),1),"%"),"")</f>
        <v>100%</v>
      </c>
      <c r="M157" s="41">
        <f>IFERROR(INDEX(환산공식!CK$16:CK$301,MATCH(E157,환산공식!$A$16:$A$301,0)),"")</f>
        <v>10</v>
      </c>
      <c r="N157" s="113" t="str">
        <f t="shared" si="7"/>
        <v>1% 이하</v>
      </c>
      <c r="O157" s="119">
        <f>IFERROR(ROUND(INDEX(환산공식!$EF$16:$EF$301,MATCH(E157,환산공식!$A$16:$A$301,0)),3),"")</f>
        <v>0</v>
      </c>
      <c r="P157" s="119">
        <f>IFERROR(ROUND(INDEX('배치점수 계산기'!M$11:M$1000,MATCH($C157,'배치점수 계산기'!$U$11:$U$1000,0)),2),"")</f>
        <v>621.96</v>
      </c>
      <c r="Q157" s="41">
        <f>IFERROR(ROUND(INDEX('배치점수 계산기'!N$11:N$1000,MATCH($C157,'배치점수 계산기'!$U$11:$U$1000,0)),2),"")</f>
        <v>620.01</v>
      </c>
      <c r="R157" s="41">
        <f>IFERROR(ROUND(INDEX('배치점수 계산기'!O$11:O$1000,MATCH($C157,'배치점수 계산기'!$U$11:$U$1000,0)),2),"")</f>
        <v>617.69000000000005</v>
      </c>
      <c r="S157" s="41">
        <f>IFERROR(ROUND(INDEX('배치점수 계산기'!P$11:P$1000,MATCH($C157,'배치점수 계산기'!$U$11:$U$1000,0)),2),"")</f>
        <v>615.58000000000004</v>
      </c>
      <c r="T157" s="41">
        <f>IFERROR(ROUND(INDEX('배치점수 계산기'!Q$11:Q$1000,MATCH($C157,'배치점수 계산기'!$U$11:$U$1000,0)),2),"")</f>
        <v>612.30999999999995</v>
      </c>
      <c r="U157" s="41">
        <f>IFERROR(INDEX(환산공식!$DC$16:$DC$301,MATCH(E157,환산공식!$A$16:$A$301,0)),"")</f>
        <v>0</v>
      </c>
      <c r="V157" s="113">
        <f t="shared" si="8"/>
        <v>6</v>
      </c>
      <c r="W157" s="110" t="str">
        <f>INDEX('배치점수 계산기'!$AG$11:$AG$800,MATCH('       나 군       '!$C157,'배치점수 계산기'!$U$11:$U$800,0))</f>
        <v>표점/만점</v>
      </c>
      <c r="X157" s="108" t="str">
        <f>INDEX('배치점수 계산기'!$AH$11:$AH$800,MATCH('       나 군       '!$C157,'배치점수 계산기'!$U$11:$U$800,0))</f>
        <v>변표/만점</v>
      </c>
      <c r="Y157" s="113">
        <f>INDEX('배치점수 계산기'!$AB$11:$AB$800,MATCH('       나 군       '!$C157,'배치점수 계산기'!$U$11:$U$800,0))</f>
        <v>0.36151581771434954</v>
      </c>
      <c r="Z157" s="73">
        <f>INDEX('배치점수 계산기'!$AC$11:$AC$800,MATCH('       나 군       '!$C157,'배치점수 계산기'!$U$11:$U$800,0))</f>
        <v>0.36643440026828633</v>
      </c>
      <c r="AA157" s="63">
        <f>INDEX('배치점수 계산기'!$AD$11:$AD$800,MATCH('       나 군       '!$C157,'배치점수 계산기'!$U$11:$U$800,0))</f>
        <v>0.27204978201736407</v>
      </c>
      <c r="AE157" s="7">
        <v>150</v>
      </c>
    </row>
    <row r="158" spans="3:31" x14ac:dyDescent="0.3">
      <c r="C158" s="7" t="s">
        <v>1389</v>
      </c>
      <c r="D158" s="41" t="s">
        <v>1109</v>
      </c>
      <c r="E158" s="41">
        <v>36</v>
      </c>
      <c r="F158" s="113" t="s">
        <v>346</v>
      </c>
      <c r="G158" s="41" t="s">
        <v>764</v>
      </c>
      <c r="H158" s="41" t="s">
        <v>441</v>
      </c>
      <c r="I158" s="41" t="s">
        <v>275</v>
      </c>
      <c r="J158" s="41" t="str">
        <f t="shared" si="6"/>
        <v>X</v>
      </c>
      <c r="K158" s="113">
        <f>IFERROR(INDEX(환산공식!CI$16:CI$301,MATCH($E158,환산공식!$A$16:$A$301,0)),"")</f>
        <v>140</v>
      </c>
      <c r="L158" s="41" t="str">
        <f>IFERROR(CONCATENATE(ROUND(INDEX(환산공식!CJ$16:CJ$301,MATCH(E158,환산공식!$A$16:$A$301,0)),1),"%"),"")</f>
        <v>100%</v>
      </c>
      <c r="M158" s="41">
        <f>IFERROR(INDEX(환산공식!CK$16:CK$301,MATCH(E158,환산공식!$A$16:$A$301,0)),"")</f>
        <v>10</v>
      </c>
      <c r="N158" s="113" t="str">
        <f t="shared" si="7"/>
        <v>1% 이하</v>
      </c>
      <c r="O158" s="119">
        <f>IFERROR(ROUND(INDEX(환산공식!$EF$16:$EF$301,MATCH(E158,환산공식!$A$16:$A$301,0)),3),"")</f>
        <v>0</v>
      </c>
      <c r="P158" s="119">
        <f>IFERROR(ROUND(INDEX('배치점수 계산기'!M$11:M$1000,MATCH($C158,'배치점수 계산기'!$U$11:$U$1000,0)),2),"")</f>
        <v>628.16999999999996</v>
      </c>
      <c r="Q158" s="41">
        <f>IFERROR(ROUND(INDEX('배치점수 계산기'!N$11:N$1000,MATCH($C158,'배치점수 계산기'!$U$11:$U$1000,0)),2),"")</f>
        <v>623.57000000000005</v>
      </c>
      <c r="R158" s="41">
        <f>IFERROR(ROUND(INDEX('배치점수 계산기'!O$11:O$1000,MATCH($C158,'배치점수 계산기'!$U$11:$U$1000,0)),2),"")</f>
        <v>620.75</v>
      </c>
      <c r="S158" s="41">
        <f>IFERROR(ROUND(INDEX('배치점수 계산기'!P$11:P$1000,MATCH($C158,'배치점수 계산기'!$U$11:$U$1000,0)),2),"")</f>
        <v>616.37</v>
      </c>
      <c r="T158" s="41">
        <f>IFERROR(ROUND(INDEX('배치점수 계산기'!Q$11:Q$1000,MATCH($C158,'배치점수 계산기'!$U$11:$U$1000,0)),2),"")</f>
        <v>613.32000000000005</v>
      </c>
      <c r="U158" s="41">
        <f>IFERROR(INDEX(환산공식!$DC$16:$DC$301,MATCH(E158,환산공식!$A$16:$A$301,0)),"")</f>
        <v>0</v>
      </c>
      <c r="V158" s="113">
        <f t="shared" si="8"/>
        <v>6</v>
      </c>
      <c r="W158" s="110" t="str">
        <f>INDEX('배치점수 계산기'!$AG$11:$AG$800,MATCH('       나 군       '!$C158,'배치점수 계산기'!$U$11:$U$800,0))</f>
        <v>표점/만점</v>
      </c>
      <c r="X158" s="108" t="str">
        <f>INDEX('배치점수 계산기'!$AH$11:$AH$800,MATCH('       나 군       '!$C158,'배치점수 계산기'!$U$11:$U$800,0))</f>
        <v>변표/만점</v>
      </c>
      <c r="Y158" s="113">
        <f>INDEX('배치점수 계산기'!$AB$11:$AB$800,MATCH('       나 군       '!$C158,'배치점수 계산기'!$U$11:$U$800,0))</f>
        <v>0.36151581771434954</v>
      </c>
      <c r="Z158" s="73">
        <f>INDEX('배치점수 계산기'!$AC$11:$AC$800,MATCH('       나 군       '!$C158,'배치점수 계산기'!$U$11:$U$800,0))</f>
        <v>0.36643440026828633</v>
      </c>
      <c r="AA158" s="63">
        <f>INDEX('배치점수 계산기'!$AD$11:$AD$800,MATCH('       나 군       '!$C158,'배치점수 계산기'!$U$11:$U$800,0))</f>
        <v>0.27204978201736407</v>
      </c>
      <c r="AE158" s="7">
        <v>151</v>
      </c>
    </row>
    <row r="159" spans="3:31" x14ac:dyDescent="0.3">
      <c r="C159" s="7" t="s">
        <v>1390</v>
      </c>
      <c r="D159" s="41" t="s">
        <v>1109</v>
      </c>
      <c r="E159" s="41">
        <v>36</v>
      </c>
      <c r="F159" s="113" t="s">
        <v>346</v>
      </c>
      <c r="G159" s="41" t="s">
        <v>764</v>
      </c>
      <c r="H159" s="41" t="s">
        <v>413</v>
      </c>
      <c r="I159" s="41" t="s">
        <v>275</v>
      </c>
      <c r="J159" s="41" t="str">
        <f t="shared" si="6"/>
        <v>X</v>
      </c>
      <c r="K159" s="113">
        <f>IFERROR(INDEX(환산공식!CI$16:CI$301,MATCH($E159,환산공식!$A$16:$A$301,0)),"")</f>
        <v>140</v>
      </c>
      <c r="L159" s="41" t="str">
        <f>IFERROR(CONCATENATE(ROUND(INDEX(환산공식!CJ$16:CJ$301,MATCH(E159,환산공식!$A$16:$A$301,0)),1),"%"),"")</f>
        <v>100%</v>
      </c>
      <c r="M159" s="41">
        <f>IFERROR(INDEX(환산공식!CK$16:CK$301,MATCH(E159,환산공식!$A$16:$A$301,0)),"")</f>
        <v>10</v>
      </c>
      <c r="N159" s="113" t="str">
        <f t="shared" si="7"/>
        <v>1% 이하</v>
      </c>
      <c r="O159" s="119">
        <f>IFERROR(ROUND(INDEX(환산공식!$EF$16:$EF$301,MATCH(E159,환산공식!$A$16:$A$301,0)),3),"")</f>
        <v>0</v>
      </c>
      <c r="P159" s="119">
        <f>IFERROR(ROUND(INDEX('배치점수 계산기'!M$11:M$1000,MATCH($C159,'배치점수 계산기'!$U$11:$U$1000,0)),2),"")</f>
        <v>628.16999999999996</v>
      </c>
      <c r="Q159" s="41">
        <f>IFERROR(ROUND(INDEX('배치점수 계산기'!N$11:N$1000,MATCH($C159,'배치점수 계산기'!$U$11:$U$1000,0)),2),"")</f>
        <v>626.13</v>
      </c>
      <c r="R159" s="41">
        <f>IFERROR(ROUND(INDEX('배치점수 계산기'!O$11:O$1000,MATCH($C159,'배치점수 계산기'!$U$11:$U$1000,0)),2),"")</f>
        <v>621.96</v>
      </c>
      <c r="S159" s="41">
        <f>IFERROR(ROUND(INDEX('배치점수 계산기'!P$11:P$1000,MATCH($C159,'배치점수 계산기'!$U$11:$U$1000,0)),2),"")</f>
        <v>616.37</v>
      </c>
      <c r="T159" s="41">
        <f>IFERROR(ROUND(INDEX('배치점수 계산기'!Q$11:Q$1000,MATCH($C159,'배치점수 계산기'!$U$11:$U$1000,0)),2),"")</f>
        <v>613.32000000000005</v>
      </c>
      <c r="U159" s="41">
        <f>IFERROR(INDEX(환산공식!$DC$16:$DC$301,MATCH(E159,환산공식!$A$16:$A$301,0)),"")</f>
        <v>0</v>
      </c>
      <c r="V159" s="113">
        <f t="shared" si="8"/>
        <v>6</v>
      </c>
      <c r="W159" s="110" t="str">
        <f>INDEX('배치점수 계산기'!$AG$11:$AG$800,MATCH('       나 군       '!$C159,'배치점수 계산기'!$U$11:$U$800,0))</f>
        <v>표점/만점</v>
      </c>
      <c r="X159" s="108" t="str">
        <f>INDEX('배치점수 계산기'!$AH$11:$AH$800,MATCH('       나 군       '!$C159,'배치점수 계산기'!$U$11:$U$800,0))</f>
        <v>변표/만점</v>
      </c>
      <c r="Y159" s="113">
        <f>INDEX('배치점수 계산기'!$AB$11:$AB$800,MATCH('       나 군       '!$C159,'배치점수 계산기'!$U$11:$U$800,0))</f>
        <v>0.36151581771434954</v>
      </c>
      <c r="Z159" s="73">
        <f>INDEX('배치점수 계산기'!$AC$11:$AC$800,MATCH('       나 군       '!$C159,'배치점수 계산기'!$U$11:$U$800,0))</f>
        <v>0.36643440026828633</v>
      </c>
      <c r="AA159" s="63">
        <f>INDEX('배치점수 계산기'!$AD$11:$AD$800,MATCH('       나 군       '!$C159,'배치점수 계산기'!$U$11:$U$800,0))</f>
        <v>0.27204978201736407</v>
      </c>
      <c r="AE159" s="7">
        <v>152</v>
      </c>
    </row>
    <row r="160" spans="3:31" x14ac:dyDescent="0.3">
      <c r="C160" s="7" t="s">
        <v>1391</v>
      </c>
      <c r="D160" s="41" t="s">
        <v>1109</v>
      </c>
      <c r="E160" s="41">
        <v>36</v>
      </c>
      <c r="F160" s="113" t="s">
        <v>346</v>
      </c>
      <c r="G160" s="41" t="s">
        <v>764</v>
      </c>
      <c r="H160" s="41" t="s">
        <v>767</v>
      </c>
      <c r="I160" s="41" t="s">
        <v>275</v>
      </c>
      <c r="J160" s="41" t="str">
        <f t="shared" si="6"/>
        <v>X</v>
      </c>
      <c r="K160" s="113">
        <f>IFERROR(INDEX(환산공식!CI$16:CI$301,MATCH($E160,환산공식!$A$16:$A$301,0)),"")</f>
        <v>140</v>
      </c>
      <c r="L160" s="41" t="str">
        <f>IFERROR(CONCATENATE(ROUND(INDEX(환산공식!CJ$16:CJ$301,MATCH(E160,환산공식!$A$16:$A$301,0)),1),"%"),"")</f>
        <v>100%</v>
      </c>
      <c r="M160" s="41">
        <f>IFERROR(INDEX(환산공식!CK$16:CK$301,MATCH(E160,환산공식!$A$16:$A$301,0)),"")</f>
        <v>10</v>
      </c>
      <c r="N160" s="113" t="str">
        <f t="shared" si="7"/>
        <v>1% 이하</v>
      </c>
      <c r="O160" s="119">
        <f>IFERROR(ROUND(INDEX(환산공식!$EF$16:$EF$301,MATCH(E160,환산공식!$A$16:$A$301,0)),3),"")</f>
        <v>0</v>
      </c>
      <c r="P160" s="119">
        <f>IFERROR(ROUND(INDEX('배치점수 계산기'!M$11:M$1000,MATCH($C160,'배치점수 계산기'!$U$11:$U$1000,0)),2),"")</f>
        <v>629.62</v>
      </c>
      <c r="Q160" s="41">
        <f>IFERROR(ROUND(INDEX('배치점수 계산기'!N$11:N$1000,MATCH($C160,'배치점수 계산기'!$U$11:$U$1000,0)),2),"")</f>
        <v>628.37</v>
      </c>
      <c r="R160" s="41">
        <f>IFERROR(ROUND(INDEX('배치점수 계산기'!O$11:O$1000,MATCH($C160,'배치점수 계산기'!$U$11:$U$1000,0)),2),"")</f>
        <v>621.65</v>
      </c>
      <c r="S160" s="41">
        <f>IFERROR(ROUND(INDEX('배치점수 계산기'!P$11:P$1000,MATCH($C160,'배치점수 계산기'!$U$11:$U$1000,0)),2),"")</f>
        <v>617.89</v>
      </c>
      <c r="T160" s="41">
        <f>IFERROR(ROUND(INDEX('배치점수 계산기'!Q$11:Q$1000,MATCH($C160,'배치점수 계산기'!$U$11:$U$1000,0)),2),"")</f>
        <v>615.78</v>
      </c>
      <c r="U160" s="41">
        <f>IFERROR(INDEX(환산공식!$DC$16:$DC$301,MATCH(E160,환산공식!$A$16:$A$301,0)),"")</f>
        <v>0</v>
      </c>
      <c r="V160" s="113">
        <f t="shared" si="8"/>
        <v>6</v>
      </c>
      <c r="W160" s="110" t="str">
        <f>INDEX('배치점수 계산기'!$AG$11:$AG$800,MATCH('       나 군       '!$C160,'배치점수 계산기'!$U$11:$U$800,0))</f>
        <v>표점/만점</v>
      </c>
      <c r="X160" s="108" t="str">
        <f>INDEX('배치점수 계산기'!$AH$11:$AH$800,MATCH('       나 군       '!$C160,'배치점수 계산기'!$U$11:$U$800,0))</f>
        <v>변표/만점</v>
      </c>
      <c r="Y160" s="113">
        <f>INDEX('배치점수 계산기'!$AB$11:$AB$800,MATCH('       나 군       '!$C160,'배치점수 계산기'!$U$11:$U$800,0))</f>
        <v>0.36151581771434954</v>
      </c>
      <c r="Z160" s="73">
        <f>INDEX('배치점수 계산기'!$AC$11:$AC$800,MATCH('       나 군       '!$C160,'배치점수 계산기'!$U$11:$U$800,0))</f>
        <v>0.36643440026828633</v>
      </c>
      <c r="AA160" s="63">
        <f>INDEX('배치점수 계산기'!$AD$11:$AD$800,MATCH('       나 군       '!$C160,'배치점수 계산기'!$U$11:$U$800,0))</f>
        <v>0.27204978201736407</v>
      </c>
      <c r="AE160" s="7">
        <v>153</v>
      </c>
    </row>
    <row r="161" spans="3:31" x14ac:dyDescent="0.3">
      <c r="C161" s="7" t="s">
        <v>1392</v>
      </c>
      <c r="D161" s="41" t="s">
        <v>1109</v>
      </c>
      <c r="E161" s="41">
        <v>36</v>
      </c>
      <c r="F161" s="113" t="s">
        <v>346</v>
      </c>
      <c r="G161" s="41" t="s">
        <v>764</v>
      </c>
      <c r="H161" s="41" t="s">
        <v>446</v>
      </c>
      <c r="I161" s="41" t="s">
        <v>275</v>
      </c>
      <c r="J161" s="41" t="str">
        <f t="shared" si="6"/>
        <v>X</v>
      </c>
      <c r="K161" s="113">
        <f>IFERROR(INDEX(환산공식!CI$16:CI$301,MATCH($E161,환산공식!$A$16:$A$301,0)),"")</f>
        <v>140</v>
      </c>
      <c r="L161" s="41" t="str">
        <f>IFERROR(CONCATENATE(ROUND(INDEX(환산공식!CJ$16:CJ$301,MATCH(E161,환산공식!$A$16:$A$301,0)),1),"%"),"")</f>
        <v>100%</v>
      </c>
      <c r="M161" s="41">
        <f>IFERROR(INDEX(환산공식!CK$16:CK$301,MATCH(E161,환산공식!$A$16:$A$301,0)),"")</f>
        <v>10</v>
      </c>
      <c r="N161" s="113" t="str">
        <f t="shared" si="7"/>
        <v>1% 이하</v>
      </c>
      <c r="O161" s="119">
        <f>IFERROR(ROUND(INDEX(환산공식!$EF$16:$EF$301,MATCH(E161,환산공식!$A$16:$A$301,0)),3),"")</f>
        <v>0</v>
      </c>
      <c r="P161" s="119">
        <f>IFERROR(ROUND(INDEX('배치점수 계산기'!M$11:M$1000,MATCH($C161,'배치점수 계산기'!$U$11:$U$1000,0)),2),"")</f>
        <v>621.96</v>
      </c>
      <c r="Q161" s="41">
        <f>IFERROR(ROUND(INDEX('배치점수 계산기'!N$11:N$1000,MATCH($C161,'배치점수 계산기'!$U$11:$U$1000,0)),2),"")</f>
        <v>620.01</v>
      </c>
      <c r="R161" s="41">
        <f>IFERROR(ROUND(INDEX('배치점수 계산기'!O$11:O$1000,MATCH($C161,'배치점수 계산기'!$U$11:$U$1000,0)),2),"")</f>
        <v>617.69000000000005</v>
      </c>
      <c r="S161" s="41">
        <f>IFERROR(ROUND(INDEX('배치점수 계산기'!P$11:P$1000,MATCH($C161,'배치점수 계산기'!$U$11:$U$1000,0)),2),"")</f>
        <v>615.58000000000004</v>
      </c>
      <c r="T161" s="41">
        <f>IFERROR(ROUND(INDEX('배치점수 계산기'!Q$11:Q$1000,MATCH($C161,'배치점수 계산기'!$U$11:$U$1000,0)),2),"")</f>
        <v>612.30999999999995</v>
      </c>
      <c r="U161" s="41">
        <f>IFERROR(INDEX(환산공식!$DC$16:$DC$301,MATCH(E161,환산공식!$A$16:$A$301,0)),"")</f>
        <v>0</v>
      </c>
      <c r="V161" s="113">
        <f t="shared" si="8"/>
        <v>6</v>
      </c>
      <c r="W161" s="110" t="str">
        <f>INDEX('배치점수 계산기'!$AG$11:$AG$800,MATCH('       나 군       '!$C161,'배치점수 계산기'!$U$11:$U$800,0))</f>
        <v>표점/만점</v>
      </c>
      <c r="X161" s="108" t="str">
        <f>INDEX('배치점수 계산기'!$AH$11:$AH$800,MATCH('       나 군       '!$C161,'배치점수 계산기'!$U$11:$U$800,0))</f>
        <v>변표/만점</v>
      </c>
      <c r="Y161" s="113">
        <f>INDEX('배치점수 계산기'!$AB$11:$AB$800,MATCH('       나 군       '!$C161,'배치점수 계산기'!$U$11:$U$800,0))</f>
        <v>0.36151581771434954</v>
      </c>
      <c r="Z161" s="73">
        <f>INDEX('배치점수 계산기'!$AC$11:$AC$800,MATCH('       나 군       '!$C161,'배치점수 계산기'!$U$11:$U$800,0))</f>
        <v>0.36643440026828633</v>
      </c>
      <c r="AA161" s="63">
        <f>INDEX('배치점수 계산기'!$AD$11:$AD$800,MATCH('       나 군       '!$C161,'배치점수 계산기'!$U$11:$U$800,0))</f>
        <v>0.27204978201736407</v>
      </c>
      <c r="AE161" s="7">
        <v>154</v>
      </c>
    </row>
    <row r="162" spans="3:31" x14ac:dyDescent="0.3">
      <c r="C162" s="7" t="s">
        <v>1393</v>
      </c>
      <c r="D162" s="41" t="s">
        <v>1109</v>
      </c>
      <c r="E162" s="41">
        <v>36</v>
      </c>
      <c r="F162" s="113" t="s">
        <v>346</v>
      </c>
      <c r="G162" s="41" t="s">
        <v>764</v>
      </c>
      <c r="H162" s="41" t="s">
        <v>412</v>
      </c>
      <c r="I162" s="41" t="s">
        <v>275</v>
      </c>
      <c r="J162" s="41" t="str">
        <f t="shared" si="6"/>
        <v>X</v>
      </c>
      <c r="K162" s="113">
        <f>IFERROR(INDEX(환산공식!CI$16:CI$301,MATCH($E162,환산공식!$A$16:$A$301,0)),"")</f>
        <v>140</v>
      </c>
      <c r="L162" s="41" t="str">
        <f>IFERROR(CONCATENATE(ROUND(INDEX(환산공식!CJ$16:CJ$301,MATCH(E162,환산공식!$A$16:$A$301,0)),1),"%"),"")</f>
        <v>100%</v>
      </c>
      <c r="M162" s="41">
        <f>IFERROR(INDEX(환산공식!CK$16:CK$301,MATCH(E162,환산공식!$A$16:$A$301,0)),"")</f>
        <v>10</v>
      </c>
      <c r="N162" s="113" t="str">
        <f t="shared" si="7"/>
        <v>1% 이하</v>
      </c>
      <c r="O162" s="119">
        <f>IFERROR(ROUND(INDEX(환산공식!$EF$16:$EF$301,MATCH(E162,환산공식!$A$16:$A$301,0)),3),"")</f>
        <v>0</v>
      </c>
      <c r="P162" s="119">
        <f>IFERROR(ROUND(INDEX('배치점수 계산기'!M$11:M$1000,MATCH($C162,'배치점수 계산기'!$U$11:$U$1000,0)),2),"")</f>
        <v>621.96</v>
      </c>
      <c r="Q162" s="41">
        <f>IFERROR(ROUND(INDEX('배치점수 계산기'!N$11:N$1000,MATCH($C162,'배치점수 계산기'!$U$11:$U$1000,0)),2),"")</f>
        <v>620.01</v>
      </c>
      <c r="R162" s="41">
        <f>IFERROR(ROUND(INDEX('배치점수 계산기'!O$11:O$1000,MATCH($C162,'배치점수 계산기'!$U$11:$U$1000,0)),2),"")</f>
        <v>617.69000000000005</v>
      </c>
      <c r="S162" s="41">
        <f>IFERROR(ROUND(INDEX('배치점수 계산기'!P$11:P$1000,MATCH($C162,'배치점수 계산기'!$U$11:$U$1000,0)),2),"")</f>
        <v>615.58000000000004</v>
      </c>
      <c r="T162" s="41">
        <f>IFERROR(ROUND(INDEX('배치점수 계산기'!Q$11:Q$1000,MATCH($C162,'배치점수 계산기'!$U$11:$U$1000,0)),2),"")</f>
        <v>612.30999999999995</v>
      </c>
      <c r="U162" s="41">
        <f>IFERROR(INDEX(환산공식!$DC$16:$DC$301,MATCH(E162,환산공식!$A$16:$A$301,0)),"")</f>
        <v>0</v>
      </c>
      <c r="V162" s="113">
        <f t="shared" si="8"/>
        <v>6</v>
      </c>
      <c r="W162" s="110" t="str">
        <f>INDEX('배치점수 계산기'!$AG$11:$AG$800,MATCH('       나 군       '!$C162,'배치점수 계산기'!$U$11:$U$800,0))</f>
        <v>표점/만점</v>
      </c>
      <c r="X162" s="108" t="str">
        <f>INDEX('배치점수 계산기'!$AH$11:$AH$800,MATCH('       나 군       '!$C162,'배치점수 계산기'!$U$11:$U$800,0))</f>
        <v>변표/만점</v>
      </c>
      <c r="Y162" s="113">
        <f>INDEX('배치점수 계산기'!$AB$11:$AB$800,MATCH('       나 군       '!$C162,'배치점수 계산기'!$U$11:$U$800,0))</f>
        <v>0.36151581771434954</v>
      </c>
      <c r="Z162" s="73">
        <f>INDEX('배치점수 계산기'!$AC$11:$AC$800,MATCH('       나 군       '!$C162,'배치점수 계산기'!$U$11:$U$800,0))</f>
        <v>0.36643440026828633</v>
      </c>
      <c r="AA162" s="63">
        <f>INDEX('배치점수 계산기'!$AD$11:$AD$800,MATCH('       나 군       '!$C162,'배치점수 계산기'!$U$11:$U$800,0))</f>
        <v>0.27204978201736407</v>
      </c>
      <c r="AE162" s="7">
        <v>155</v>
      </c>
    </row>
    <row r="163" spans="3:31" x14ac:dyDescent="0.3">
      <c r="C163" s="7" t="s">
        <v>1394</v>
      </c>
      <c r="D163" s="41" t="s">
        <v>1109</v>
      </c>
      <c r="E163" s="41">
        <v>36</v>
      </c>
      <c r="F163" s="113" t="s">
        <v>346</v>
      </c>
      <c r="G163" s="41" t="s">
        <v>764</v>
      </c>
      <c r="H163" s="41" t="s">
        <v>448</v>
      </c>
      <c r="I163" s="41" t="s">
        <v>275</v>
      </c>
      <c r="J163" s="41" t="str">
        <f t="shared" si="6"/>
        <v>X</v>
      </c>
      <c r="K163" s="113">
        <f>IFERROR(INDEX(환산공식!CI$16:CI$301,MATCH($E163,환산공식!$A$16:$A$301,0)),"")</f>
        <v>140</v>
      </c>
      <c r="L163" s="41" t="str">
        <f>IFERROR(CONCATENATE(ROUND(INDEX(환산공식!CJ$16:CJ$301,MATCH(E163,환산공식!$A$16:$A$301,0)),1),"%"),"")</f>
        <v>100%</v>
      </c>
      <c r="M163" s="41">
        <f>IFERROR(INDEX(환산공식!CK$16:CK$301,MATCH(E163,환산공식!$A$16:$A$301,0)),"")</f>
        <v>10</v>
      </c>
      <c r="N163" s="113" t="str">
        <f t="shared" si="7"/>
        <v>1% 이하</v>
      </c>
      <c r="O163" s="119">
        <f>IFERROR(ROUND(INDEX(환산공식!$EF$16:$EF$301,MATCH(E163,환산공식!$A$16:$A$301,0)),3),"")</f>
        <v>0</v>
      </c>
      <c r="P163" s="119">
        <f>IFERROR(ROUND(INDEX('배치점수 계산기'!M$11:M$1000,MATCH($C163,'배치점수 계산기'!$U$11:$U$1000,0)),2),"")</f>
        <v>621.96</v>
      </c>
      <c r="Q163" s="41">
        <f>IFERROR(ROUND(INDEX('배치점수 계산기'!N$11:N$1000,MATCH($C163,'배치점수 계산기'!$U$11:$U$1000,0)),2),"")</f>
        <v>620.01</v>
      </c>
      <c r="R163" s="41">
        <f>IFERROR(ROUND(INDEX('배치점수 계산기'!O$11:O$1000,MATCH($C163,'배치점수 계산기'!$U$11:$U$1000,0)),2),"")</f>
        <v>617.69000000000005</v>
      </c>
      <c r="S163" s="41">
        <f>IFERROR(ROUND(INDEX('배치점수 계산기'!P$11:P$1000,MATCH($C163,'배치점수 계산기'!$U$11:$U$1000,0)),2),"")</f>
        <v>615.58000000000004</v>
      </c>
      <c r="T163" s="41">
        <f>IFERROR(ROUND(INDEX('배치점수 계산기'!Q$11:Q$1000,MATCH($C163,'배치점수 계산기'!$U$11:$U$1000,0)),2),"")</f>
        <v>612.30999999999995</v>
      </c>
      <c r="U163" s="41">
        <f>IFERROR(INDEX(환산공식!$DC$16:$DC$301,MATCH(E163,환산공식!$A$16:$A$301,0)),"")</f>
        <v>0</v>
      </c>
      <c r="V163" s="113">
        <f t="shared" si="8"/>
        <v>6</v>
      </c>
      <c r="W163" s="110" t="str">
        <f>INDEX('배치점수 계산기'!$AG$11:$AG$800,MATCH('       나 군       '!$C163,'배치점수 계산기'!$U$11:$U$800,0))</f>
        <v>표점/만점</v>
      </c>
      <c r="X163" s="108" t="str">
        <f>INDEX('배치점수 계산기'!$AH$11:$AH$800,MATCH('       나 군       '!$C163,'배치점수 계산기'!$U$11:$U$800,0))</f>
        <v>변표/만점</v>
      </c>
      <c r="Y163" s="113">
        <f>INDEX('배치점수 계산기'!$AB$11:$AB$800,MATCH('       나 군       '!$C163,'배치점수 계산기'!$U$11:$U$800,0))</f>
        <v>0.36151581771434954</v>
      </c>
      <c r="Z163" s="73">
        <f>INDEX('배치점수 계산기'!$AC$11:$AC$800,MATCH('       나 군       '!$C163,'배치점수 계산기'!$U$11:$U$800,0))</f>
        <v>0.36643440026828633</v>
      </c>
      <c r="AA163" s="63">
        <f>INDEX('배치점수 계산기'!$AD$11:$AD$800,MATCH('       나 군       '!$C163,'배치점수 계산기'!$U$11:$U$800,0))</f>
        <v>0.27204978201736407</v>
      </c>
      <c r="AE163" s="7">
        <v>156</v>
      </c>
    </row>
    <row r="164" spans="3:31" x14ac:dyDescent="0.3">
      <c r="C164" s="7" t="s">
        <v>1395</v>
      </c>
      <c r="D164" s="41" t="s">
        <v>1109</v>
      </c>
      <c r="E164" s="41">
        <v>36</v>
      </c>
      <c r="F164" s="113" t="s">
        <v>346</v>
      </c>
      <c r="G164" s="41" t="s">
        <v>764</v>
      </c>
      <c r="H164" s="41" t="s">
        <v>449</v>
      </c>
      <c r="I164" s="41" t="s">
        <v>275</v>
      </c>
      <c r="J164" s="41" t="str">
        <f t="shared" si="6"/>
        <v>X</v>
      </c>
      <c r="K164" s="113">
        <f>IFERROR(INDEX(환산공식!CI$16:CI$301,MATCH($E164,환산공식!$A$16:$A$301,0)),"")</f>
        <v>140</v>
      </c>
      <c r="L164" s="41" t="str">
        <f>IFERROR(CONCATENATE(ROUND(INDEX(환산공식!CJ$16:CJ$301,MATCH(E164,환산공식!$A$16:$A$301,0)),1),"%"),"")</f>
        <v>100%</v>
      </c>
      <c r="M164" s="41">
        <f>IFERROR(INDEX(환산공식!CK$16:CK$301,MATCH(E164,환산공식!$A$16:$A$301,0)),"")</f>
        <v>10</v>
      </c>
      <c r="N164" s="113" t="str">
        <f t="shared" si="7"/>
        <v>1% 이하</v>
      </c>
      <c r="O164" s="119">
        <f>IFERROR(ROUND(INDEX(환산공식!$EF$16:$EF$301,MATCH(E164,환산공식!$A$16:$A$301,0)),3),"")</f>
        <v>0</v>
      </c>
      <c r="P164" s="119">
        <f>IFERROR(ROUND(INDEX('배치점수 계산기'!M$11:M$1000,MATCH($C164,'배치점수 계산기'!$U$11:$U$1000,0)),2),"")</f>
        <v>628.16999999999996</v>
      </c>
      <c r="Q164" s="41">
        <f>IFERROR(ROUND(INDEX('배치점수 계산기'!N$11:N$1000,MATCH($C164,'배치점수 계산기'!$U$11:$U$1000,0)),2),"")</f>
        <v>623.57000000000005</v>
      </c>
      <c r="R164" s="41">
        <f>IFERROR(ROUND(INDEX('배치점수 계산기'!O$11:O$1000,MATCH($C164,'배치점수 계산기'!$U$11:$U$1000,0)),2),"")</f>
        <v>620.75</v>
      </c>
      <c r="S164" s="41">
        <f>IFERROR(ROUND(INDEX('배치점수 계산기'!P$11:P$1000,MATCH($C164,'배치점수 계산기'!$U$11:$U$1000,0)),2),"")</f>
        <v>617.69000000000005</v>
      </c>
      <c r="T164" s="41">
        <f>IFERROR(ROUND(INDEX('배치점수 계산기'!Q$11:Q$1000,MATCH($C164,'배치점수 계산기'!$U$11:$U$1000,0)),2),"")</f>
        <v>615.58000000000004</v>
      </c>
      <c r="U164" s="41">
        <f>IFERROR(INDEX(환산공식!$DC$16:$DC$301,MATCH(E164,환산공식!$A$16:$A$301,0)),"")</f>
        <v>0</v>
      </c>
      <c r="V164" s="113">
        <f t="shared" si="8"/>
        <v>6</v>
      </c>
      <c r="W164" s="110" t="str">
        <f>INDEX('배치점수 계산기'!$AG$11:$AG$800,MATCH('       나 군       '!$C164,'배치점수 계산기'!$U$11:$U$800,0))</f>
        <v>표점/만점</v>
      </c>
      <c r="X164" s="108" t="str">
        <f>INDEX('배치점수 계산기'!$AH$11:$AH$800,MATCH('       나 군       '!$C164,'배치점수 계산기'!$U$11:$U$800,0))</f>
        <v>변표/만점</v>
      </c>
      <c r="Y164" s="113">
        <f>INDEX('배치점수 계산기'!$AB$11:$AB$800,MATCH('       나 군       '!$C164,'배치점수 계산기'!$U$11:$U$800,0))</f>
        <v>0.36151581771434954</v>
      </c>
      <c r="Z164" s="73">
        <f>INDEX('배치점수 계산기'!$AC$11:$AC$800,MATCH('       나 군       '!$C164,'배치점수 계산기'!$U$11:$U$800,0))</f>
        <v>0.36643440026828633</v>
      </c>
      <c r="AA164" s="63">
        <f>INDEX('배치점수 계산기'!$AD$11:$AD$800,MATCH('       나 군       '!$C164,'배치점수 계산기'!$U$11:$U$800,0))</f>
        <v>0.27204978201736407</v>
      </c>
      <c r="AE164" s="7">
        <v>157</v>
      </c>
    </row>
    <row r="165" spans="3:31" x14ac:dyDescent="0.3">
      <c r="C165" s="7" t="s">
        <v>1396</v>
      </c>
      <c r="D165" s="41" t="s">
        <v>1109</v>
      </c>
      <c r="E165" s="41">
        <v>36</v>
      </c>
      <c r="F165" s="113" t="s">
        <v>346</v>
      </c>
      <c r="G165" s="41" t="s">
        <v>764</v>
      </c>
      <c r="H165" s="41" t="s">
        <v>450</v>
      </c>
      <c r="I165" s="41" t="s">
        <v>275</v>
      </c>
      <c r="J165" s="41" t="str">
        <f t="shared" si="6"/>
        <v>X</v>
      </c>
      <c r="K165" s="113">
        <f>IFERROR(INDEX(환산공식!CI$16:CI$301,MATCH($E165,환산공식!$A$16:$A$301,0)),"")</f>
        <v>140</v>
      </c>
      <c r="L165" s="41" t="str">
        <f>IFERROR(CONCATENATE(ROUND(INDEX(환산공식!CJ$16:CJ$301,MATCH(E165,환산공식!$A$16:$A$301,0)),1),"%"),"")</f>
        <v>100%</v>
      </c>
      <c r="M165" s="41">
        <f>IFERROR(INDEX(환산공식!CK$16:CK$301,MATCH(E165,환산공식!$A$16:$A$301,0)),"")</f>
        <v>10</v>
      </c>
      <c r="N165" s="113" t="str">
        <f t="shared" si="7"/>
        <v>1% 이하</v>
      </c>
      <c r="O165" s="119">
        <f>IFERROR(ROUND(INDEX(환산공식!$EF$16:$EF$301,MATCH(E165,환산공식!$A$16:$A$301,0)),3),"")</f>
        <v>0</v>
      </c>
      <c r="P165" s="119">
        <f>IFERROR(ROUND(INDEX('배치점수 계산기'!M$11:M$1000,MATCH($C165,'배치점수 계산기'!$U$11:$U$1000,0)),2),"")</f>
        <v>621.96</v>
      </c>
      <c r="Q165" s="41">
        <f>IFERROR(ROUND(INDEX('배치점수 계산기'!N$11:N$1000,MATCH($C165,'배치점수 계산기'!$U$11:$U$1000,0)),2),"")</f>
        <v>620.01</v>
      </c>
      <c r="R165" s="41">
        <f>IFERROR(ROUND(INDEX('배치점수 계산기'!O$11:O$1000,MATCH($C165,'배치점수 계산기'!$U$11:$U$1000,0)),2),"")</f>
        <v>617.69000000000005</v>
      </c>
      <c r="S165" s="41">
        <f>IFERROR(ROUND(INDEX('배치점수 계산기'!P$11:P$1000,MATCH($C165,'배치점수 계산기'!$U$11:$U$1000,0)),2),"")</f>
        <v>615.58000000000004</v>
      </c>
      <c r="T165" s="41">
        <f>IFERROR(ROUND(INDEX('배치점수 계산기'!Q$11:Q$1000,MATCH($C165,'배치점수 계산기'!$U$11:$U$1000,0)),2),"")</f>
        <v>612.30999999999995</v>
      </c>
      <c r="U165" s="41">
        <f>IFERROR(INDEX(환산공식!$DC$16:$DC$301,MATCH(E165,환산공식!$A$16:$A$301,0)),"")</f>
        <v>0</v>
      </c>
      <c r="V165" s="113">
        <f t="shared" si="8"/>
        <v>6</v>
      </c>
      <c r="W165" s="110" t="str">
        <f>INDEX('배치점수 계산기'!$AG$11:$AG$800,MATCH('       나 군       '!$C165,'배치점수 계산기'!$U$11:$U$800,0))</f>
        <v>표점/만점</v>
      </c>
      <c r="X165" s="108" t="str">
        <f>INDEX('배치점수 계산기'!$AH$11:$AH$800,MATCH('       나 군       '!$C165,'배치점수 계산기'!$U$11:$U$800,0))</f>
        <v>변표/만점</v>
      </c>
      <c r="Y165" s="113">
        <f>INDEX('배치점수 계산기'!$AB$11:$AB$800,MATCH('       나 군       '!$C165,'배치점수 계산기'!$U$11:$U$800,0))</f>
        <v>0.36151581771434954</v>
      </c>
      <c r="Z165" s="73">
        <f>INDEX('배치점수 계산기'!$AC$11:$AC$800,MATCH('       나 군       '!$C165,'배치점수 계산기'!$U$11:$U$800,0))</f>
        <v>0.36643440026828633</v>
      </c>
      <c r="AA165" s="63">
        <f>INDEX('배치점수 계산기'!$AD$11:$AD$800,MATCH('       나 군       '!$C165,'배치점수 계산기'!$U$11:$U$800,0))</f>
        <v>0.27204978201736407</v>
      </c>
      <c r="AE165" s="7">
        <v>158</v>
      </c>
    </row>
    <row r="166" spans="3:31" x14ac:dyDescent="0.3">
      <c r="C166" s="7" t="s">
        <v>1397</v>
      </c>
      <c r="D166" s="41" t="s">
        <v>1109</v>
      </c>
      <c r="E166" s="41">
        <v>36</v>
      </c>
      <c r="F166" s="113" t="s">
        <v>346</v>
      </c>
      <c r="G166" s="41" t="s">
        <v>764</v>
      </c>
      <c r="H166" s="41" t="s">
        <v>452</v>
      </c>
      <c r="I166" s="41" t="s">
        <v>275</v>
      </c>
      <c r="J166" s="41" t="str">
        <f t="shared" si="6"/>
        <v>X</v>
      </c>
      <c r="K166" s="113">
        <f>IFERROR(INDEX(환산공식!CI$16:CI$301,MATCH($E166,환산공식!$A$16:$A$301,0)),"")</f>
        <v>140</v>
      </c>
      <c r="L166" s="41" t="str">
        <f>IFERROR(CONCATENATE(ROUND(INDEX(환산공식!CJ$16:CJ$301,MATCH(E166,환산공식!$A$16:$A$301,0)),1),"%"),"")</f>
        <v>100%</v>
      </c>
      <c r="M166" s="41">
        <f>IFERROR(INDEX(환산공식!CK$16:CK$301,MATCH(E166,환산공식!$A$16:$A$301,0)),"")</f>
        <v>10</v>
      </c>
      <c r="N166" s="113" t="str">
        <f t="shared" si="7"/>
        <v>1% 이하</v>
      </c>
      <c r="O166" s="119">
        <f>IFERROR(ROUND(INDEX(환산공식!$EF$16:$EF$301,MATCH(E166,환산공식!$A$16:$A$301,0)),3),"")</f>
        <v>0</v>
      </c>
      <c r="P166" s="119">
        <f>IFERROR(ROUND(INDEX('배치점수 계산기'!M$11:M$1000,MATCH($C166,'배치점수 계산기'!$U$11:$U$1000,0)),2),"")</f>
        <v>629.62</v>
      </c>
      <c r="Q166" s="41">
        <f>IFERROR(ROUND(INDEX('배치점수 계산기'!N$11:N$1000,MATCH($C166,'배치점수 계산기'!$U$11:$U$1000,0)),2),"")</f>
        <v>628.37</v>
      </c>
      <c r="R166" s="41">
        <f>IFERROR(ROUND(INDEX('배치점수 계산기'!O$11:O$1000,MATCH($C166,'배치점수 계산기'!$U$11:$U$1000,0)),2),"")</f>
        <v>621.65</v>
      </c>
      <c r="S166" s="41">
        <f>IFERROR(ROUND(INDEX('배치점수 계산기'!P$11:P$1000,MATCH($C166,'배치점수 계산기'!$U$11:$U$1000,0)),2),"")</f>
        <v>617.89</v>
      </c>
      <c r="T166" s="41">
        <f>IFERROR(ROUND(INDEX('배치점수 계산기'!Q$11:Q$1000,MATCH($C166,'배치점수 계산기'!$U$11:$U$1000,0)),2),"")</f>
        <v>615.78</v>
      </c>
      <c r="U166" s="41">
        <f>IFERROR(INDEX(환산공식!$DC$16:$DC$301,MATCH(E166,환산공식!$A$16:$A$301,0)),"")</f>
        <v>0</v>
      </c>
      <c r="V166" s="113">
        <f t="shared" si="8"/>
        <v>6</v>
      </c>
      <c r="W166" s="110" t="str">
        <f>INDEX('배치점수 계산기'!$AG$11:$AG$800,MATCH('       나 군       '!$C166,'배치점수 계산기'!$U$11:$U$800,0))</f>
        <v>표점/만점</v>
      </c>
      <c r="X166" s="108" t="str">
        <f>INDEX('배치점수 계산기'!$AH$11:$AH$800,MATCH('       나 군       '!$C166,'배치점수 계산기'!$U$11:$U$800,0))</f>
        <v>변표/만점</v>
      </c>
      <c r="Y166" s="113">
        <f>INDEX('배치점수 계산기'!$AB$11:$AB$800,MATCH('       나 군       '!$C166,'배치점수 계산기'!$U$11:$U$800,0))</f>
        <v>0.36151581771434954</v>
      </c>
      <c r="Z166" s="73">
        <f>INDEX('배치점수 계산기'!$AC$11:$AC$800,MATCH('       나 군       '!$C166,'배치점수 계산기'!$U$11:$U$800,0))</f>
        <v>0.36643440026828633</v>
      </c>
      <c r="AA166" s="63">
        <f>INDEX('배치점수 계산기'!$AD$11:$AD$800,MATCH('       나 군       '!$C166,'배치점수 계산기'!$U$11:$U$800,0))</f>
        <v>0.27204978201736407</v>
      </c>
      <c r="AE166" s="7">
        <v>159</v>
      </c>
    </row>
    <row r="167" spans="3:31" x14ac:dyDescent="0.3">
      <c r="C167" s="7" t="s">
        <v>1398</v>
      </c>
      <c r="D167" s="41" t="s">
        <v>1109</v>
      </c>
      <c r="E167" s="41">
        <v>36</v>
      </c>
      <c r="F167" s="113" t="s">
        <v>346</v>
      </c>
      <c r="G167" s="41" t="s">
        <v>764</v>
      </c>
      <c r="H167" s="41" t="s">
        <v>454</v>
      </c>
      <c r="I167" s="41" t="s">
        <v>275</v>
      </c>
      <c r="J167" s="41" t="str">
        <f t="shared" si="6"/>
        <v>X</v>
      </c>
      <c r="K167" s="113">
        <f>IFERROR(INDEX(환산공식!CI$16:CI$301,MATCH($E167,환산공식!$A$16:$A$301,0)),"")</f>
        <v>140</v>
      </c>
      <c r="L167" s="41" t="str">
        <f>IFERROR(CONCATENATE(ROUND(INDEX(환산공식!CJ$16:CJ$301,MATCH(E167,환산공식!$A$16:$A$301,0)),1),"%"),"")</f>
        <v>100%</v>
      </c>
      <c r="M167" s="41">
        <f>IFERROR(INDEX(환산공식!CK$16:CK$301,MATCH(E167,환산공식!$A$16:$A$301,0)),"")</f>
        <v>10</v>
      </c>
      <c r="N167" s="113" t="str">
        <f t="shared" si="7"/>
        <v>1% 이하</v>
      </c>
      <c r="O167" s="119">
        <f>IFERROR(ROUND(INDEX(환산공식!$EF$16:$EF$301,MATCH(E167,환산공식!$A$16:$A$301,0)),3),"")</f>
        <v>0</v>
      </c>
      <c r="P167" s="119">
        <f>IFERROR(ROUND(INDEX('배치점수 계산기'!M$11:M$1000,MATCH($C167,'배치점수 계산기'!$U$11:$U$1000,0)),2),"")</f>
        <v>626.13</v>
      </c>
      <c r="Q167" s="41">
        <f>IFERROR(ROUND(INDEX('배치점수 계산기'!N$11:N$1000,MATCH($C167,'배치점수 계산기'!$U$11:$U$1000,0)),2),"")</f>
        <v>621.45000000000005</v>
      </c>
      <c r="R167" s="41">
        <f>IFERROR(ROUND(INDEX('배치점수 계산기'!O$11:O$1000,MATCH($C167,'배치점수 계산기'!$U$11:$U$1000,0)),2),"")</f>
        <v>619.30999999999995</v>
      </c>
      <c r="S167" s="41">
        <f>IFERROR(ROUND(INDEX('배치점수 계산기'!P$11:P$1000,MATCH($C167,'배치점수 계산기'!$U$11:$U$1000,0)),2),"")</f>
        <v>617.69000000000005</v>
      </c>
      <c r="T167" s="41">
        <f>IFERROR(ROUND(INDEX('배치점수 계산기'!Q$11:Q$1000,MATCH($C167,'배치점수 계산기'!$U$11:$U$1000,0)),2),"")</f>
        <v>613.32000000000005</v>
      </c>
      <c r="U167" s="41">
        <f>IFERROR(INDEX(환산공식!$DC$16:$DC$301,MATCH(E167,환산공식!$A$16:$A$301,0)),"")</f>
        <v>0</v>
      </c>
      <c r="V167" s="113">
        <f t="shared" si="8"/>
        <v>6</v>
      </c>
      <c r="W167" s="110" t="str">
        <f>INDEX('배치점수 계산기'!$AG$11:$AG$800,MATCH('       나 군       '!$C167,'배치점수 계산기'!$U$11:$U$800,0))</f>
        <v>표점/만점</v>
      </c>
      <c r="X167" s="108" t="str">
        <f>INDEX('배치점수 계산기'!$AH$11:$AH$800,MATCH('       나 군       '!$C167,'배치점수 계산기'!$U$11:$U$800,0))</f>
        <v>변표/만점</v>
      </c>
      <c r="Y167" s="113">
        <f>INDEX('배치점수 계산기'!$AB$11:$AB$800,MATCH('       나 군       '!$C167,'배치점수 계산기'!$U$11:$U$800,0))</f>
        <v>0.36151581771434954</v>
      </c>
      <c r="Z167" s="73">
        <f>INDEX('배치점수 계산기'!$AC$11:$AC$800,MATCH('       나 군       '!$C167,'배치점수 계산기'!$U$11:$U$800,0))</f>
        <v>0.36643440026828633</v>
      </c>
      <c r="AA167" s="63">
        <f>INDEX('배치점수 계산기'!$AD$11:$AD$800,MATCH('       나 군       '!$C167,'배치점수 계산기'!$U$11:$U$800,0))</f>
        <v>0.27204978201736407</v>
      </c>
      <c r="AE167" s="7">
        <v>160</v>
      </c>
    </row>
    <row r="168" spans="3:31" x14ac:dyDescent="0.3">
      <c r="C168" s="7" t="s">
        <v>1399</v>
      </c>
      <c r="D168" s="41" t="s">
        <v>1109</v>
      </c>
      <c r="E168" s="41">
        <v>36</v>
      </c>
      <c r="F168" s="113" t="s">
        <v>346</v>
      </c>
      <c r="G168" s="41" t="s">
        <v>764</v>
      </c>
      <c r="H168" s="41" t="s">
        <v>458</v>
      </c>
      <c r="I168" s="41" t="s">
        <v>275</v>
      </c>
      <c r="J168" s="41" t="str">
        <f t="shared" si="6"/>
        <v>X</v>
      </c>
      <c r="K168" s="113">
        <f>IFERROR(INDEX(환산공식!CI$16:CI$301,MATCH($E168,환산공식!$A$16:$A$301,0)),"")</f>
        <v>140</v>
      </c>
      <c r="L168" s="41" t="str">
        <f>IFERROR(CONCATENATE(ROUND(INDEX(환산공식!CJ$16:CJ$301,MATCH(E168,환산공식!$A$16:$A$301,0)),1),"%"),"")</f>
        <v>100%</v>
      </c>
      <c r="M168" s="41">
        <f>IFERROR(INDEX(환산공식!CK$16:CK$301,MATCH(E168,환산공식!$A$16:$A$301,0)),"")</f>
        <v>10</v>
      </c>
      <c r="N168" s="113" t="str">
        <f t="shared" si="7"/>
        <v>1% 이하</v>
      </c>
      <c r="O168" s="119">
        <f>IFERROR(ROUND(INDEX(환산공식!$EF$16:$EF$301,MATCH(E168,환산공식!$A$16:$A$301,0)),3),"")</f>
        <v>0</v>
      </c>
      <c r="P168" s="119">
        <f>IFERROR(ROUND(INDEX('배치점수 계산기'!M$11:M$1000,MATCH($C168,'배치점수 계산기'!$U$11:$U$1000,0)),2),"")</f>
        <v>621.96</v>
      </c>
      <c r="Q168" s="41">
        <f>IFERROR(ROUND(INDEX('배치점수 계산기'!N$11:N$1000,MATCH($C168,'배치점수 계산기'!$U$11:$U$1000,0)),2),"")</f>
        <v>620.01</v>
      </c>
      <c r="R168" s="41">
        <f>IFERROR(ROUND(INDEX('배치점수 계산기'!O$11:O$1000,MATCH($C168,'배치점수 계산기'!$U$11:$U$1000,0)),2),"")</f>
        <v>617.69000000000005</v>
      </c>
      <c r="S168" s="41">
        <f>IFERROR(ROUND(INDEX('배치점수 계산기'!P$11:P$1000,MATCH($C168,'배치점수 계산기'!$U$11:$U$1000,0)),2),"")</f>
        <v>615.58000000000004</v>
      </c>
      <c r="T168" s="41">
        <f>IFERROR(ROUND(INDEX('배치점수 계산기'!Q$11:Q$1000,MATCH($C168,'배치점수 계산기'!$U$11:$U$1000,0)),2),"")</f>
        <v>612.30999999999995</v>
      </c>
      <c r="U168" s="41">
        <f>IFERROR(INDEX(환산공식!$DC$16:$DC$301,MATCH(E168,환산공식!$A$16:$A$301,0)),"")</f>
        <v>0</v>
      </c>
      <c r="V168" s="113">
        <f t="shared" si="8"/>
        <v>6</v>
      </c>
      <c r="W168" s="110" t="str">
        <f>INDEX('배치점수 계산기'!$AG$11:$AG$800,MATCH('       나 군       '!$C168,'배치점수 계산기'!$U$11:$U$800,0))</f>
        <v>표점/만점</v>
      </c>
      <c r="X168" s="108" t="str">
        <f>INDEX('배치점수 계산기'!$AH$11:$AH$800,MATCH('       나 군       '!$C168,'배치점수 계산기'!$U$11:$U$800,0))</f>
        <v>변표/만점</v>
      </c>
      <c r="Y168" s="113">
        <f>INDEX('배치점수 계산기'!$AB$11:$AB$800,MATCH('       나 군       '!$C168,'배치점수 계산기'!$U$11:$U$800,0))</f>
        <v>0.36151581771434954</v>
      </c>
      <c r="Z168" s="73">
        <f>INDEX('배치점수 계산기'!$AC$11:$AC$800,MATCH('       나 군       '!$C168,'배치점수 계산기'!$U$11:$U$800,0))</f>
        <v>0.36643440026828633</v>
      </c>
      <c r="AA168" s="63">
        <f>INDEX('배치점수 계산기'!$AD$11:$AD$800,MATCH('       나 군       '!$C168,'배치점수 계산기'!$U$11:$U$800,0))</f>
        <v>0.27204978201736407</v>
      </c>
      <c r="AE168" s="7">
        <v>161</v>
      </c>
    </row>
    <row r="169" spans="3:31" x14ac:dyDescent="0.3">
      <c r="C169" s="7" t="s">
        <v>1400</v>
      </c>
      <c r="D169" s="41" t="s">
        <v>1109</v>
      </c>
      <c r="E169" s="41">
        <v>36</v>
      </c>
      <c r="F169" s="113" t="s">
        <v>346</v>
      </c>
      <c r="G169" s="41" t="s">
        <v>764</v>
      </c>
      <c r="H169" s="41" t="s">
        <v>411</v>
      </c>
      <c r="I169" s="41" t="s">
        <v>275</v>
      </c>
      <c r="J169" s="41" t="str">
        <f t="shared" si="6"/>
        <v>X</v>
      </c>
      <c r="K169" s="113">
        <f>IFERROR(INDEX(환산공식!CI$16:CI$301,MATCH($E169,환산공식!$A$16:$A$301,0)),"")</f>
        <v>140</v>
      </c>
      <c r="L169" s="41" t="str">
        <f>IFERROR(CONCATENATE(ROUND(INDEX(환산공식!CJ$16:CJ$301,MATCH(E169,환산공식!$A$16:$A$301,0)),1),"%"),"")</f>
        <v>100%</v>
      </c>
      <c r="M169" s="41">
        <f>IFERROR(INDEX(환산공식!CK$16:CK$301,MATCH(E169,환산공식!$A$16:$A$301,0)),"")</f>
        <v>10</v>
      </c>
      <c r="N169" s="113" t="str">
        <f t="shared" si="7"/>
        <v>1% 이하</v>
      </c>
      <c r="O169" s="119">
        <f>IFERROR(ROUND(INDEX(환산공식!$EF$16:$EF$301,MATCH(E169,환산공식!$A$16:$A$301,0)),3),"")</f>
        <v>0</v>
      </c>
      <c r="P169" s="119">
        <f>IFERROR(ROUND(INDEX('배치점수 계산기'!M$11:M$1000,MATCH($C169,'배치점수 계산기'!$U$11:$U$1000,0)),2),"")</f>
        <v>621.96</v>
      </c>
      <c r="Q169" s="41">
        <f>IFERROR(ROUND(INDEX('배치점수 계산기'!N$11:N$1000,MATCH($C169,'배치점수 계산기'!$U$11:$U$1000,0)),2),"")</f>
        <v>620.01</v>
      </c>
      <c r="R169" s="41">
        <f>IFERROR(ROUND(INDEX('배치점수 계산기'!O$11:O$1000,MATCH($C169,'배치점수 계산기'!$U$11:$U$1000,0)),2),"")</f>
        <v>617.69000000000005</v>
      </c>
      <c r="S169" s="41">
        <f>IFERROR(ROUND(INDEX('배치점수 계산기'!P$11:P$1000,MATCH($C169,'배치점수 계산기'!$U$11:$U$1000,0)),2),"")</f>
        <v>615.58000000000004</v>
      </c>
      <c r="T169" s="41">
        <f>IFERROR(ROUND(INDEX('배치점수 계산기'!Q$11:Q$1000,MATCH($C169,'배치점수 계산기'!$U$11:$U$1000,0)),2),"")</f>
        <v>612.30999999999995</v>
      </c>
      <c r="U169" s="41">
        <f>IFERROR(INDEX(환산공식!$DC$16:$DC$301,MATCH(E169,환산공식!$A$16:$A$301,0)),"")</f>
        <v>0</v>
      </c>
      <c r="V169" s="113">
        <f t="shared" si="8"/>
        <v>6</v>
      </c>
      <c r="W169" s="110" t="str">
        <f>INDEX('배치점수 계산기'!$AG$11:$AG$800,MATCH('       나 군       '!$C169,'배치점수 계산기'!$U$11:$U$800,0))</f>
        <v>표점/만점</v>
      </c>
      <c r="X169" s="108" t="str">
        <f>INDEX('배치점수 계산기'!$AH$11:$AH$800,MATCH('       나 군       '!$C169,'배치점수 계산기'!$U$11:$U$800,0))</f>
        <v>변표/만점</v>
      </c>
      <c r="Y169" s="113">
        <f>INDEX('배치점수 계산기'!$AB$11:$AB$800,MATCH('       나 군       '!$C169,'배치점수 계산기'!$U$11:$U$800,0))</f>
        <v>0.36151581771434954</v>
      </c>
      <c r="Z169" s="73">
        <f>INDEX('배치점수 계산기'!$AC$11:$AC$800,MATCH('       나 군       '!$C169,'배치점수 계산기'!$U$11:$U$800,0))</f>
        <v>0.36643440026828633</v>
      </c>
      <c r="AA169" s="63">
        <f>INDEX('배치점수 계산기'!$AD$11:$AD$800,MATCH('       나 군       '!$C169,'배치점수 계산기'!$U$11:$U$800,0))</f>
        <v>0.27204978201736407</v>
      </c>
      <c r="AE169" s="7">
        <v>162</v>
      </c>
    </row>
    <row r="170" spans="3:31" x14ac:dyDescent="0.3">
      <c r="C170" s="7" t="s">
        <v>1401</v>
      </c>
      <c r="D170" s="41" t="s">
        <v>1109</v>
      </c>
      <c r="E170" s="41">
        <v>36</v>
      </c>
      <c r="F170" s="113" t="s">
        <v>346</v>
      </c>
      <c r="G170" s="41" t="s">
        <v>764</v>
      </c>
      <c r="H170" s="41" t="s">
        <v>301</v>
      </c>
      <c r="I170" s="41" t="s">
        <v>275</v>
      </c>
      <c r="J170" s="41" t="str">
        <f t="shared" si="6"/>
        <v>X</v>
      </c>
      <c r="K170" s="113">
        <f>IFERROR(INDEX(환산공식!CI$16:CI$301,MATCH($E170,환산공식!$A$16:$A$301,0)),"")</f>
        <v>140</v>
      </c>
      <c r="L170" s="41" t="str">
        <f>IFERROR(CONCATENATE(ROUND(INDEX(환산공식!CJ$16:CJ$301,MATCH(E170,환산공식!$A$16:$A$301,0)),1),"%"),"")</f>
        <v>100%</v>
      </c>
      <c r="M170" s="41">
        <f>IFERROR(INDEX(환산공식!CK$16:CK$301,MATCH(E170,환산공식!$A$16:$A$301,0)),"")</f>
        <v>10</v>
      </c>
      <c r="N170" s="113" t="str">
        <f t="shared" si="7"/>
        <v>1% 이하</v>
      </c>
      <c r="O170" s="119">
        <f>IFERROR(ROUND(INDEX(환산공식!$EF$16:$EF$301,MATCH(E170,환산공식!$A$16:$A$301,0)),3),"")</f>
        <v>0</v>
      </c>
      <c r="P170" s="119">
        <f>IFERROR(ROUND(INDEX('배치점수 계산기'!M$11:M$1000,MATCH($C170,'배치점수 계산기'!$U$11:$U$1000,0)),2),"")</f>
        <v>628.16999999999996</v>
      </c>
      <c r="Q170" s="41">
        <f>IFERROR(ROUND(INDEX('배치점수 계산기'!N$11:N$1000,MATCH($C170,'배치점수 계산기'!$U$11:$U$1000,0)),2),"")</f>
        <v>623.57000000000005</v>
      </c>
      <c r="R170" s="41">
        <f>IFERROR(ROUND(INDEX('배치점수 계산기'!O$11:O$1000,MATCH($C170,'배치점수 계산기'!$U$11:$U$1000,0)),2),"")</f>
        <v>620.75</v>
      </c>
      <c r="S170" s="41">
        <f>IFERROR(ROUND(INDEX('배치점수 계산기'!P$11:P$1000,MATCH($C170,'배치점수 계산기'!$U$11:$U$1000,0)),2),"")</f>
        <v>617.69000000000005</v>
      </c>
      <c r="T170" s="41">
        <f>IFERROR(ROUND(INDEX('배치점수 계산기'!Q$11:Q$1000,MATCH($C170,'배치점수 계산기'!$U$11:$U$1000,0)),2),"")</f>
        <v>615.58000000000004</v>
      </c>
      <c r="U170" s="41">
        <f>IFERROR(INDEX(환산공식!$DC$16:$DC$301,MATCH(E170,환산공식!$A$16:$A$301,0)),"")</f>
        <v>0</v>
      </c>
      <c r="V170" s="113">
        <f t="shared" si="8"/>
        <v>6</v>
      </c>
      <c r="W170" s="110" t="str">
        <f>INDEX('배치점수 계산기'!$AG$11:$AG$800,MATCH('       나 군       '!$C170,'배치점수 계산기'!$U$11:$U$800,0))</f>
        <v>표점/만점</v>
      </c>
      <c r="X170" s="108" t="str">
        <f>INDEX('배치점수 계산기'!$AH$11:$AH$800,MATCH('       나 군       '!$C170,'배치점수 계산기'!$U$11:$U$800,0))</f>
        <v>변표/만점</v>
      </c>
      <c r="Y170" s="113">
        <f>INDEX('배치점수 계산기'!$AB$11:$AB$800,MATCH('       나 군       '!$C170,'배치점수 계산기'!$U$11:$U$800,0))</f>
        <v>0.36151581771434954</v>
      </c>
      <c r="Z170" s="73">
        <f>INDEX('배치점수 계산기'!$AC$11:$AC$800,MATCH('       나 군       '!$C170,'배치점수 계산기'!$U$11:$U$800,0))</f>
        <v>0.36643440026828633</v>
      </c>
      <c r="AA170" s="63">
        <f>INDEX('배치점수 계산기'!$AD$11:$AD$800,MATCH('       나 군       '!$C170,'배치점수 계산기'!$U$11:$U$800,0))</f>
        <v>0.27204978201736407</v>
      </c>
      <c r="AE170" s="7">
        <v>163</v>
      </c>
    </row>
    <row r="171" spans="3:31" x14ac:dyDescent="0.3">
      <c r="C171" s="7" t="s">
        <v>1402</v>
      </c>
      <c r="D171" s="41" t="s">
        <v>1128</v>
      </c>
      <c r="E171" s="41">
        <v>43</v>
      </c>
      <c r="F171" s="113" t="s">
        <v>346</v>
      </c>
      <c r="G171" s="41" t="s">
        <v>708</v>
      </c>
      <c r="H171" s="41" t="s">
        <v>776</v>
      </c>
      <c r="I171" s="41" t="s">
        <v>274</v>
      </c>
      <c r="J171" s="41" t="str">
        <f t="shared" si="6"/>
        <v>X</v>
      </c>
      <c r="K171" s="113">
        <f>IFERROR(INDEX(환산공식!CI$16:CI$301,MATCH($E171,환산공식!$A$16:$A$301,0)),"")</f>
        <v>200</v>
      </c>
      <c r="L171" s="41" t="str">
        <f>IFERROR(CONCATENATE(ROUND(INDEX(환산공식!CJ$16:CJ$301,MATCH(E171,환산공식!$A$16:$A$301,0)),1),"%"),"")</f>
        <v>100%</v>
      </c>
      <c r="M171" s="41">
        <f>IFERROR(INDEX(환산공식!CK$16:CK$301,MATCH(E171,환산공식!$A$16:$A$301,0)),"")</f>
        <v>200</v>
      </c>
      <c r="N171" s="113" t="str">
        <f t="shared" si="7"/>
        <v>1% 이하</v>
      </c>
      <c r="O171" s="119">
        <f>IFERROR(ROUND(INDEX(환산공식!$EF$16:$EF$301,MATCH(E171,환산공식!$A$16:$A$301,0)),3),"")</f>
        <v>0</v>
      </c>
      <c r="P171" s="119">
        <f>IFERROR(ROUND(INDEX('배치점수 계산기'!M$11:M$1000,MATCH($C171,'배치점수 계산기'!$U$11:$U$1000,0)),2),"")</f>
        <v>902.34</v>
      </c>
      <c r="Q171" s="41">
        <f>IFERROR(ROUND(INDEX('배치점수 계산기'!N$11:N$1000,MATCH($C171,'배치점수 계산기'!$U$11:$U$1000,0)),2),"")</f>
        <v>901.18</v>
      </c>
      <c r="R171" s="41">
        <f>IFERROR(ROUND(INDEX('배치점수 계산기'!O$11:O$1000,MATCH($C171,'배치점수 계산기'!$U$11:$U$1000,0)),2),"")</f>
        <v>899.47</v>
      </c>
      <c r="S171" s="41">
        <f>IFERROR(ROUND(INDEX('배치점수 계산기'!P$11:P$1000,MATCH($C171,'배치점수 계산기'!$U$11:$U$1000,0)),2),"")</f>
        <v>896.78</v>
      </c>
      <c r="T171" s="41">
        <f>IFERROR(ROUND(INDEX('배치점수 계산기'!Q$11:Q$1000,MATCH($C171,'배치점수 계산기'!$U$11:$U$1000,0)),2),"")</f>
        <v>895.35</v>
      </c>
      <c r="U171" s="41">
        <f>IFERROR(INDEX(환산공식!$DC$16:$DC$301,MATCH(E171,환산공식!$A$16:$A$301,0)),"")</f>
        <v>0</v>
      </c>
      <c r="V171" s="113">
        <f t="shared" si="8"/>
        <v>6</v>
      </c>
      <c r="W171" s="110" t="str">
        <f>INDEX('배치점수 계산기'!$AG$11:$AG$800,MATCH('       나 군       '!$C171,'배치점수 계산기'!$U$11:$U$800,0))</f>
        <v>표점</v>
      </c>
      <c r="X171" s="108" t="str">
        <f>INDEX('배치점수 계산기'!$AH$11:$AH$800,MATCH('       나 군       '!$C171,'배치점수 계산기'!$U$11:$U$800,0))</f>
        <v>변표</v>
      </c>
      <c r="Y171" s="113">
        <f>INDEX('배치점수 계산기'!$AB$11:$AB$800,MATCH('       나 군       '!$C171,'배치점수 계산기'!$U$11:$U$800,0))</f>
        <v>0.25</v>
      </c>
      <c r="Z171" s="73">
        <f>INDEX('배치점수 계산기'!$AC$11:$AC$800,MATCH('       나 군       '!$C171,'배치점수 계산기'!$U$11:$U$800,0))</f>
        <v>0.4375</v>
      </c>
      <c r="AA171" s="63">
        <f>INDEX('배치점수 계산기'!$AD$11:$AD$800,MATCH('       나 군       '!$C171,'배치점수 계산기'!$U$11:$U$800,0))</f>
        <v>0.3125</v>
      </c>
      <c r="AE171" s="7">
        <v>164</v>
      </c>
    </row>
    <row r="172" spans="3:31" x14ac:dyDescent="0.3">
      <c r="C172" s="7" t="s">
        <v>1403</v>
      </c>
      <c r="D172" s="41" t="s">
        <v>1128</v>
      </c>
      <c r="E172" s="41">
        <v>43</v>
      </c>
      <c r="F172" s="113" t="s">
        <v>346</v>
      </c>
      <c r="G172" s="41" t="s">
        <v>708</v>
      </c>
      <c r="H172" s="41" t="s">
        <v>256</v>
      </c>
      <c r="I172" s="41" t="s">
        <v>274</v>
      </c>
      <c r="J172" s="41" t="str">
        <f t="shared" si="6"/>
        <v>X</v>
      </c>
      <c r="K172" s="113">
        <f>IFERROR(INDEX(환산공식!CI$16:CI$301,MATCH($E172,환산공식!$A$16:$A$301,0)),"")</f>
        <v>200</v>
      </c>
      <c r="L172" s="41" t="str">
        <f>IFERROR(CONCATENATE(ROUND(INDEX(환산공식!CJ$16:CJ$301,MATCH(E172,환산공식!$A$16:$A$301,0)),1),"%"),"")</f>
        <v>100%</v>
      </c>
      <c r="M172" s="41">
        <f>IFERROR(INDEX(환산공식!CK$16:CK$301,MATCH(E172,환산공식!$A$16:$A$301,0)),"")</f>
        <v>200</v>
      </c>
      <c r="N172" s="113" t="str">
        <f t="shared" si="7"/>
        <v>1% 이하</v>
      </c>
      <c r="O172" s="119">
        <f>IFERROR(ROUND(INDEX(환산공식!$EF$16:$EF$301,MATCH(E172,환산공식!$A$16:$A$301,0)),3),"")</f>
        <v>0</v>
      </c>
      <c r="P172" s="119">
        <f>IFERROR(ROUND(INDEX('배치점수 계산기'!M$11:M$1000,MATCH($C172,'배치점수 계산기'!$U$11:$U$1000,0)),2),"")</f>
        <v>901.54</v>
      </c>
      <c r="Q172" s="41">
        <f>IFERROR(ROUND(INDEX('배치점수 계산기'!N$11:N$1000,MATCH($C172,'배치점수 계산기'!$U$11:$U$1000,0)),2),"")</f>
        <v>900.1</v>
      </c>
      <c r="R172" s="41">
        <f>IFERROR(ROUND(INDEX('배치점수 계산기'!O$11:O$1000,MATCH($C172,'배치점수 계산기'!$U$11:$U$1000,0)),2),"")</f>
        <v>898.32</v>
      </c>
      <c r="S172" s="41">
        <f>IFERROR(ROUND(INDEX('배치점수 계산기'!P$11:P$1000,MATCH($C172,'배치점수 계산기'!$U$11:$U$1000,0)),2),"")</f>
        <v>895.99</v>
      </c>
      <c r="T172" s="41">
        <f>IFERROR(ROUND(INDEX('배치점수 계산기'!Q$11:Q$1000,MATCH($C172,'배치점수 계산기'!$U$11:$U$1000,0)),2),"")</f>
        <v>890.95</v>
      </c>
      <c r="U172" s="41">
        <f>IFERROR(INDEX(환산공식!$DC$16:$DC$301,MATCH(E172,환산공식!$A$16:$A$301,0)),"")</f>
        <v>0</v>
      </c>
      <c r="V172" s="113">
        <f t="shared" si="8"/>
        <v>6</v>
      </c>
      <c r="W172" s="110" t="str">
        <f>INDEX('배치점수 계산기'!$AG$11:$AG$800,MATCH('       나 군       '!$C172,'배치점수 계산기'!$U$11:$U$800,0))</f>
        <v>표점</v>
      </c>
      <c r="X172" s="108" t="str">
        <f>INDEX('배치점수 계산기'!$AH$11:$AH$800,MATCH('       나 군       '!$C172,'배치점수 계산기'!$U$11:$U$800,0))</f>
        <v>변표</v>
      </c>
      <c r="Y172" s="113">
        <f>INDEX('배치점수 계산기'!$AB$11:$AB$800,MATCH('       나 군       '!$C172,'배치점수 계산기'!$U$11:$U$800,0))</f>
        <v>0.25</v>
      </c>
      <c r="Z172" s="73">
        <f>INDEX('배치점수 계산기'!$AC$11:$AC$800,MATCH('       나 군       '!$C172,'배치점수 계산기'!$U$11:$U$800,0))</f>
        <v>0.4375</v>
      </c>
      <c r="AA172" s="63">
        <f>INDEX('배치점수 계산기'!$AD$11:$AD$800,MATCH('       나 군       '!$C172,'배치점수 계산기'!$U$11:$U$800,0))</f>
        <v>0.3125</v>
      </c>
      <c r="AE172" s="7">
        <v>165</v>
      </c>
    </row>
    <row r="173" spans="3:31" x14ac:dyDescent="0.3">
      <c r="C173" s="7" t="s">
        <v>1404</v>
      </c>
      <c r="D173" s="41" t="s">
        <v>1132</v>
      </c>
      <c r="E173" s="41">
        <v>44</v>
      </c>
      <c r="F173" s="113" t="s">
        <v>346</v>
      </c>
      <c r="G173" s="41" t="s">
        <v>708</v>
      </c>
      <c r="H173" s="41" t="s">
        <v>781</v>
      </c>
      <c r="I173" s="41" t="s">
        <v>274</v>
      </c>
      <c r="J173" s="41" t="str">
        <f t="shared" si="6"/>
        <v>X</v>
      </c>
      <c r="K173" s="113">
        <f>IFERROR(INDEX(환산공식!CI$16:CI$301,MATCH($E173,환산공식!$A$16:$A$301,0)),"")</f>
        <v>200</v>
      </c>
      <c r="L173" s="41" t="str">
        <f>IFERROR(CONCATENATE(ROUND(INDEX(환산공식!CJ$16:CJ$301,MATCH(E173,환산공식!$A$16:$A$301,0)),1),"%"),"")</f>
        <v>100%</v>
      </c>
      <c r="M173" s="41">
        <f>IFERROR(INDEX(환산공식!CK$16:CK$301,MATCH(E173,환산공식!$A$16:$A$301,0)),"")</f>
        <v>200</v>
      </c>
      <c r="N173" s="113" t="str">
        <f t="shared" si="7"/>
        <v>1% 이하</v>
      </c>
      <c r="O173" s="119">
        <f>IFERROR(ROUND(INDEX(환산공식!$EF$16:$EF$301,MATCH(E173,환산공식!$A$16:$A$301,0)),3),"")</f>
        <v>0</v>
      </c>
      <c r="P173" s="119">
        <f>IFERROR(ROUND(INDEX('배치점수 계산기'!M$11:M$1000,MATCH($C173,'배치점수 계산기'!$U$11:$U$1000,0)),2),"")</f>
        <v>898.84</v>
      </c>
      <c r="Q173" s="41">
        <f>IFERROR(ROUND(INDEX('배치점수 계산기'!N$11:N$1000,MATCH($C173,'배치점수 계산기'!$U$11:$U$1000,0)),2),"")</f>
        <v>896.5</v>
      </c>
      <c r="R173" s="41">
        <f>IFERROR(ROUND(INDEX('배치점수 계산기'!O$11:O$1000,MATCH($C173,'배치점수 계산기'!$U$11:$U$1000,0)),2),"")</f>
        <v>894.33</v>
      </c>
      <c r="S173" s="41">
        <f>IFERROR(ROUND(INDEX('배치점수 계산기'!P$11:P$1000,MATCH($C173,'배치점수 계산기'!$U$11:$U$1000,0)),2),"")</f>
        <v>892.03</v>
      </c>
      <c r="T173" s="41">
        <f>IFERROR(ROUND(INDEX('배치점수 계산기'!Q$11:Q$1000,MATCH($C173,'배치점수 계산기'!$U$11:$U$1000,0)),2),"")</f>
        <v>888.64</v>
      </c>
      <c r="U173" s="41">
        <f>IFERROR(INDEX(환산공식!$DC$16:$DC$301,MATCH(E173,환산공식!$A$16:$A$301,0)),"")</f>
        <v>0</v>
      </c>
      <c r="V173" s="113">
        <f t="shared" si="8"/>
        <v>6</v>
      </c>
      <c r="W173" s="110" t="str">
        <f>INDEX('배치점수 계산기'!$AG$11:$AG$800,MATCH('       나 군       '!$C173,'배치점수 계산기'!$U$11:$U$800,0))</f>
        <v>표점</v>
      </c>
      <c r="X173" s="108" t="str">
        <f>INDEX('배치점수 계산기'!$AH$11:$AH$800,MATCH('       나 군       '!$C173,'배치점수 계산기'!$U$11:$U$800,0))</f>
        <v>변표</v>
      </c>
      <c r="Y173" s="113">
        <f>INDEX('배치점수 계산기'!$AB$11:$AB$800,MATCH('       나 군       '!$C173,'배치점수 계산기'!$U$11:$U$800,0))</f>
        <v>0.25</v>
      </c>
      <c r="Z173" s="73">
        <f>INDEX('배치점수 계산기'!$AC$11:$AC$800,MATCH('       나 군       '!$C173,'배치점수 계산기'!$U$11:$U$800,0))</f>
        <v>0.375</v>
      </c>
      <c r="AA173" s="63">
        <f>INDEX('배치점수 계산기'!$AD$11:$AD$800,MATCH('       나 군       '!$C173,'배치점수 계산기'!$U$11:$U$800,0))</f>
        <v>0.375</v>
      </c>
      <c r="AE173" s="7">
        <v>166</v>
      </c>
    </row>
    <row r="174" spans="3:31" x14ac:dyDescent="0.3">
      <c r="C174" s="7" t="s">
        <v>1405</v>
      </c>
      <c r="D174" s="41" t="s">
        <v>1132</v>
      </c>
      <c r="E174" s="41">
        <v>44</v>
      </c>
      <c r="F174" s="113" t="s">
        <v>346</v>
      </c>
      <c r="G174" s="41" t="s">
        <v>708</v>
      </c>
      <c r="H174" s="41" t="s">
        <v>782</v>
      </c>
      <c r="I174" s="41" t="s">
        <v>274</v>
      </c>
      <c r="J174" s="41" t="str">
        <f t="shared" si="6"/>
        <v>X</v>
      </c>
      <c r="K174" s="113">
        <f>IFERROR(INDEX(환산공식!CI$16:CI$301,MATCH($E174,환산공식!$A$16:$A$301,0)),"")</f>
        <v>200</v>
      </c>
      <c r="L174" s="41" t="str">
        <f>IFERROR(CONCATENATE(ROUND(INDEX(환산공식!CJ$16:CJ$301,MATCH(E174,환산공식!$A$16:$A$301,0)),1),"%"),"")</f>
        <v>100%</v>
      </c>
      <c r="M174" s="41">
        <f>IFERROR(INDEX(환산공식!CK$16:CK$301,MATCH(E174,환산공식!$A$16:$A$301,0)),"")</f>
        <v>200</v>
      </c>
      <c r="N174" s="113" t="str">
        <f t="shared" si="7"/>
        <v>1% 이하</v>
      </c>
      <c r="O174" s="119">
        <f>IFERROR(ROUND(INDEX(환산공식!$EF$16:$EF$301,MATCH(E174,환산공식!$A$16:$A$301,0)),3),"")</f>
        <v>0</v>
      </c>
      <c r="P174" s="119">
        <f>IFERROR(ROUND(INDEX('배치점수 계산기'!M$11:M$1000,MATCH($C174,'배치점수 계산기'!$U$11:$U$1000,0)),2),"")</f>
        <v>897.61</v>
      </c>
      <c r="Q174" s="41">
        <f>IFERROR(ROUND(INDEX('배치점수 계산기'!N$11:N$1000,MATCH($C174,'배치점수 계산기'!$U$11:$U$1000,0)),2),"")</f>
        <v>895.09</v>
      </c>
      <c r="R174" s="41">
        <f>IFERROR(ROUND(INDEX('배치점수 계산기'!O$11:O$1000,MATCH($C174,'배치점수 계산기'!$U$11:$U$1000,0)),2),"")</f>
        <v>893.66</v>
      </c>
      <c r="S174" s="41">
        <f>IFERROR(ROUND(INDEX('배치점수 계산기'!P$11:P$1000,MATCH($C174,'배치점수 계산기'!$U$11:$U$1000,0)),2),"")</f>
        <v>890.48</v>
      </c>
      <c r="T174" s="41">
        <f>IFERROR(ROUND(INDEX('배치점수 계산기'!Q$11:Q$1000,MATCH($C174,'배치점수 계산기'!$U$11:$U$1000,0)),2),"")</f>
        <v>888.64</v>
      </c>
      <c r="U174" s="41">
        <f>IFERROR(INDEX(환산공식!$DC$16:$DC$301,MATCH(E174,환산공식!$A$16:$A$301,0)),"")</f>
        <v>0</v>
      </c>
      <c r="V174" s="113">
        <f t="shared" si="8"/>
        <v>6</v>
      </c>
      <c r="W174" s="110" t="str">
        <f>INDEX('배치점수 계산기'!$AG$11:$AG$800,MATCH('       나 군       '!$C174,'배치점수 계산기'!$U$11:$U$800,0))</f>
        <v>표점</v>
      </c>
      <c r="X174" s="108" t="str">
        <f>INDEX('배치점수 계산기'!$AH$11:$AH$800,MATCH('       나 군       '!$C174,'배치점수 계산기'!$U$11:$U$800,0))</f>
        <v>변표</v>
      </c>
      <c r="Y174" s="113">
        <f>INDEX('배치점수 계산기'!$AB$11:$AB$800,MATCH('       나 군       '!$C174,'배치점수 계산기'!$U$11:$U$800,0))</f>
        <v>0.25</v>
      </c>
      <c r="Z174" s="73">
        <f>INDEX('배치점수 계산기'!$AC$11:$AC$800,MATCH('       나 군       '!$C174,'배치점수 계산기'!$U$11:$U$800,0))</f>
        <v>0.375</v>
      </c>
      <c r="AA174" s="63">
        <f>INDEX('배치점수 계산기'!$AD$11:$AD$800,MATCH('       나 군       '!$C174,'배치점수 계산기'!$U$11:$U$800,0))</f>
        <v>0.375</v>
      </c>
      <c r="AE174" s="7">
        <v>167</v>
      </c>
    </row>
    <row r="175" spans="3:31" x14ac:dyDescent="0.3">
      <c r="C175" s="7" t="s">
        <v>1406</v>
      </c>
      <c r="D175" s="41" t="s">
        <v>1128</v>
      </c>
      <c r="E175" s="41">
        <v>43</v>
      </c>
      <c r="F175" s="113" t="s">
        <v>346</v>
      </c>
      <c r="G175" s="41" t="s">
        <v>708</v>
      </c>
      <c r="H175" s="41" t="s">
        <v>783</v>
      </c>
      <c r="I175" s="41" t="s">
        <v>274</v>
      </c>
      <c r="J175" s="41" t="str">
        <f t="shared" si="6"/>
        <v>X</v>
      </c>
      <c r="K175" s="113">
        <f>IFERROR(INDEX(환산공식!CI$16:CI$301,MATCH($E175,환산공식!$A$16:$A$301,0)),"")</f>
        <v>200</v>
      </c>
      <c r="L175" s="41" t="str">
        <f>IFERROR(CONCATENATE(ROUND(INDEX(환산공식!CJ$16:CJ$301,MATCH(E175,환산공식!$A$16:$A$301,0)),1),"%"),"")</f>
        <v>100%</v>
      </c>
      <c r="M175" s="41">
        <f>IFERROR(INDEX(환산공식!CK$16:CK$301,MATCH(E175,환산공식!$A$16:$A$301,0)),"")</f>
        <v>200</v>
      </c>
      <c r="N175" s="113" t="str">
        <f t="shared" si="7"/>
        <v>1% 이하</v>
      </c>
      <c r="O175" s="119">
        <f>IFERROR(ROUND(INDEX(환산공식!$EF$16:$EF$301,MATCH(E175,환산공식!$A$16:$A$301,0)),3),"")</f>
        <v>0</v>
      </c>
      <c r="P175" s="119">
        <f>IFERROR(ROUND(INDEX('배치점수 계산기'!M$11:M$1000,MATCH($C175,'배치점수 계산기'!$U$11:$U$1000,0)),2),"")</f>
        <v>899.47</v>
      </c>
      <c r="Q175" s="41">
        <f>IFERROR(ROUND(INDEX('배치점수 계산기'!N$11:N$1000,MATCH($C175,'배치점수 계산기'!$U$11:$U$1000,0)),2),"")</f>
        <v>896.78</v>
      </c>
      <c r="R175" s="41">
        <f>IFERROR(ROUND(INDEX('배치점수 계산기'!O$11:O$1000,MATCH($C175,'배치점수 계산기'!$U$11:$U$1000,0)),2),"")</f>
        <v>895.35</v>
      </c>
      <c r="S175" s="41">
        <f>IFERROR(ROUND(INDEX('배치점수 계산기'!P$11:P$1000,MATCH($C175,'배치점수 계산기'!$U$11:$U$1000,0)),2),"")</f>
        <v>892.11</v>
      </c>
      <c r="T175" s="41">
        <f>IFERROR(ROUND(INDEX('배치점수 계산기'!Q$11:Q$1000,MATCH($C175,'배치점수 계산기'!$U$11:$U$1000,0)),2),"")</f>
        <v>890.34</v>
      </c>
      <c r="U175" s="41">
        <f>IFERROR(INDEX(환산공식!$DC$16:$DC$301,MATCH(E175,환산공식!$A$16:$A$301,0)),"")</f>
        <v>0</v>
      </c>
      <c r="V175" s="113">
        <f t="shared" si="8"/>
        <v>6</v>
      </c>
      <c r="W175" s="110" t="str">
        <f>INDEX('배치점수 계산기'!$AG$11:$AG$800,MATCH('       나 군       '!$C175,'배치점수 계산기'!$U$11:$U$800,0))</f>
        <v>표점</v>
      </c>
      <c r="X175" s="108" t="str">
        <f>INDEX('배치점수 계산기'!$AH$11:$AH$800,MATCH('       나 군       '!$C175,'배치점수 계산기'!$U$11:$U$800,0))</f>
        <v>변표</v>
      </c>
      <c r="Y175" s="113">
        <f>INDEX('배치점수 계산기'!$AB$11:$AB$800,MATCH('       나 군       '!$C175,'배치점수 계산기'!$U$11:$U$800,0))</f>
        <v>0.25</v>
      </c>
      <c r="Z175" s="73">
        <f>INDEX('배치점수 계산기'!$AC$11:$AC$800,MATCH('       나 군       '!$C175,'배치점수 계산기'!$U$11:$U$800,0))</f>
        <v>0.4375</v>
      </c>
      <c r="AA175" s="63">
        <f>INDEX('배치점수 계산기'!$AD$11:$AD$800,MATCH('       나 군       '!$C175,'배치점수 계산기'!$U$11:$U$800,0))</f>
        <v>0.3125</v>
      </c>
      <c r="AE175" s="7">
        <v>168</v>
      </c>
    </row>
    <row r="176" spans="3:31" x14ac:dyDescent="0.3">
      <c r="C176" s="7" t="s">
        <v>1407</v>
      </c>
      <c r="D176" s="41" t="s">
        <v>1132</v>
      </c>
      <c r="E176" s="41">
        <v>44</v>
      </c>
      <c r="F176" s="113" t="s">
        <v>346</v>
      </c>
      <c r="G176" s="41" t="s">
        <v>708</v>
      </c>
      <c r="H176" s="41" t="s">
        <v>785</v>
      </c>
      <c r="I176" s="41" t="s">
        <v>274</v>
      </c>
      <c r="J176" s="41" t="str">
        <f t="shared" si="6"/>
        <v>X</v>
      </c>
      <c r="K176" s="113">
        <f>IFERROR(INDEX(환산공식!CI$16:CI$301,MATCH($E176,환산공식!$A$16:$A$301,0)),"")</f>
        <v>200</v>
      </c>
      <c r="L176" s="41" t="str">
        <f>IFERROR(CONCATENATE(ROUND(INDEX(환산공식!CJ$16:CJ$301,MATCH(E176,환산공식!$A$16:$A$301,0)),1),"%"),"")</f>
        <v>100%</v>
      </c>
      <c r="M176" s="41">
        <f>IFERROR(INDEX(환산공식!CK$16:CK$301,MATCH(E176,환산공식!$A$16:$A$301,0)),"")</f>
        <v>200</v>
      </c>
      <c r="N176" s="113" t="str">
        <f t="shared" si="7"/>
        <v>1% 이하</v>
      </c>
      <c r="O176" s="119">
        <f>IFERROR(ROUND(INDEX(환산공식!$EF$16:$EF$301,MATCH(E176,환산공식!$A$16:$A$301,0)),3),"")</f>
        <v>0</v>
      </c>
      <c r="P176" s="119">
        <f>IFERROR(ROUND(INDEX('배치점수 계산기'!M$11:M$1000,MATCH($C176,'배치점수 계산기'!$U$11:$U$1000,0)),2),"")</f>
        <v>897.61</v>
      </c>
      <c r="Q176" s="41">
        <f>IFERROR(ROUND(INDEX('배치점수 계산기'!N$11:N$1000,MATCH($C176,'배치점수 계산기'!$U$11:$U$1000,0)),2),"")</f>
        <v>895.09</v>
      </c>
      <c r="R176" s="41">
        <f>IFERROR(ROUND(INDEX('배치점수 계산기'!O$11:O$1000,MATCH($C176,'배치점수 계산기'!$U$11:$U$1000,0)),2),"")</f>
        <v>893.66</v>
      </c>
      <c r="S176" s="41">
        <f>IFERROR(ROUND(INDEX('배치점수 계산기'!P$11:P$1000,MATCH($C176,'배치점수 계산기'!$U$11:$U$1000,0)),2),"")</f>
        <v>890.48</v>
      </c>
      <c r="T176" s="41">
        <f>IFERROR(ROUND(INDEX('배치점수 계산기'!Q$11:Q$1000,MATCH($C176,'배치점수 계산기'!$U$11:$U$1000,0)),2),"")</f>
        <v>888.64</v>
      </c>
      <c r="U176" s="41">
        <f>IFERROR(INDEX(환산공식!$DC$16:$DC$301,MATCH(E176,환산공식!$A$16:$A$301,0)),"")</f>
        <v>0</v>
      </c>
      <c r="V176" s="113">
        <f t="shared" si="8"/>
        <v>6</v>
      </c>
      <c r="W176" s="110" t="str">
        <f>INDEX('배치점수 계산기'!$AG$11:$AG$800,MATCH('       나 군       '!$C176,'배치점수 계산기'!$U$11:$U$800,0))</f>
        <v>표점</v>
      </c>
      <c r="X176" s="108" t="str">
        <f>INDEX('배치점수 계산기'!$AH$11:$AH$800,MATCH('       나 군       '!$C176,'배치점수 계산기'!$U$11:$U$800,0))</f>
        <v>변표</v>
      </c>
      <c r="Y176" s="113">
        <f>INDEX('배치점수 계산기'!$AB$11:$AB$800,MATCH('       나 군       '!$C176,'배치점수 계산기'!$U$11:$U$800,0))</f>
        <v>0.25</v>
      </c>
      <c r="Z176" s="73">
        <f>INDEX('배치점수 계산기'!$AC$11:$AC$800,MATCH('       나 군       '!$C176,'배치점수 계산기'!$U$11:$U$800,0))</f>
        <v>0.375</v>
      </c>
      <c r="AA176" s="63">
        <f>INDEX('배치점수 계산기'!$AD$11:$AD$800,MATCH('       나 군       '!$C176,'배치점수 계산기'!$U$11:$U$800,0))</f>
        <v>0.375</v>
      </c>
      <c r="AE176" s="7">
        <v>169</v>
      </c>
    </row>
    <row r="177" spans="3:31" x14ac:dyDescent="0.3">
      <c r="C177" s="7" t="s">
        <v>1408</v>
      </c>
      <c r="D177" s="41" t="s">
        <v>1132</v>
      </c>
      <c r="E177" s="41">
        <v>44</v>
      </c>
      <c r="F177" s="113" t="s">
        <v>346</v>
      </c>
      <c r="G177" s="41" t="s">
        <v>708</v>
      </c>
      <c r="H177" s="41" t="s">
        <v>786</v>
      </c>
      <c r="I177" s="41" t="s">
        <v>274</v>
      </c>
      <c r="J177" s="41" t="str">
        <f t="shared" si="6"/>
        <v>X</v>
      </c>
      <c r="K177" s="113">
        <f>IFERROR(INDEX(환산공식!CI$16:CI$301,MATCH($E177,환산공식!$A$16:$A$301,0)),"")</f>
        <v>200</v>
      </c>
      <c r="L177" s="41" t="str">
        <f>IFERROR(CONCATENATE(ROUND(INDEX(환산공식!CJ$16:CJ$301,MATCH(E177,환산공식!$A$16:$A$301,0)),1),"%"),"")</f>
        <v>100%</v>
      </c>
      <c r="M177" s="41">
        <f>IFERROR(INDEX(환산공식!CK$16:CK$301,MATCH(E177,환산공식!$A$16:$A$301,0)),"")</f>
        <v>200</v>
      </c>
      <c r="N177" s="113" t="str">
        <f t="shared" si="7"/>
        <v>1% 이하</v>
      </c>
      <c r="O177" s="119">
        <f>IFERROR(ROUND(INDEX(환산공식!$EF$16:$EF$301,MATCH(E177,환산공식!$A$16:$A$301,0)),3),"")</f>
        <v>0</v>
      </c>
      <c r="P177" s="119">
        <f>IFERROR(ROUND(INDEX('배치점수 계산기'!M$11:M$1000,MATCH($C177,'배치점수 계산기'!$U$11:$U$1000,0)),2),"")</f>
        <v>899.74</v>
      </c>
      <c r="Q177" s="41">
        <f>IFERROR(ROUND(INDEX('배치점수 계산기'!N$11:N$1000,MATCH($C177,'배치점수 계산기'!$U$11:$U$1000,0)),2),"")</f>
        <v>898.26</v>
      </c>
      <c r="R177" s="41">
        <f>IFERROR(ROUND(INDEX('배치점수 계산기'!O$11:O$1000,MATCH($C177,'배치점수 계산기'!$U$11:$U$1000,0)),2),"")</f>
        <v>896.5</v>
      </c>
      <c r="S177" s="41">
        <f>IFERROR(ROUND(INDEX('배치점수 계산기'!P$11:P$1000,MATCH($C177,'배치점수 계산기'!$U$11:$U$1000,0)),2),"")</f>
        <v>894.33</v>
      </c>
      <c r="T177" s="41">
        <f>IFERROR(ROUND(INDEX('배치점수 계산기'!Q$11:Q$1000,MATCH($C177,'배치점수 계산기'!$U$11:$U$1000,0)),2),"")</f>
        <v>889.26</v>
      </c>
      <c r="U177" s="41">
        <f>IFERROR(INDEX(환산공식!$DC$16:$DC$301,MATCH(E177,환산공식!$A$16:$A$301,0)),"")</f>
        <v>0</v>
      </c>
      <c r="V177" s="113">
        <f t="shared" si="8"/>
        <v>6</v>
      </c>
      <c r="W177" s="110" t="str">
        <f>INDEX('배치점수 계산기'!$AG$11:$AG$800,MATCH('       나 군       '!$C177,'배치점수 계산기'!$U$11:$U$800,0))</f>
        <v>표점</v>
      </c>
      <c r="X177" s="108" t="str">
        <f>INDEX('배치점수 계산기'!$AH$11:$AH$800,MATCH('       나 군       '!$C177,'배치점수 계산기'!$U$11:$U$800,0))</f>
        <v>변표</v>
      </c>
      <c r="Y177" s="113">
        <f>INDEX('배치점수 계산기'!$AB$11:$AB$800,MATCH('       나 군       '!$C177,'배치점수 계산기'!$U$11:$U$800,0))</f>
        <v>0.25</v>
      </c>
      <c r="Z177" s="73">
        <f>INDEX('배치점수 계산기'!$AC$11:$AC$800,MATCH('       나 군       '!$C177,'배치점수 계산기'!$U$11:$U$800,0))</f>
        <v>0.375</v>
      </c>
      <c r="AA177" s="63">
        <f>INDEX('배치점수 계산기'!$AD$11:$AD$800,MATCH('       나 군       '!$C177,'배치점수 계산기'!$U$11:$U$800,0))</f>
        <v>0.375</v>
      </c>
      <c r="AE177" s="7">
        <v>170</v>
      </c>
    </row>
    <row r="178" spans="3:31" x14ac:dyDescent="0.3">
      <c r="C178" s="7" t="s">
        <v>1409</v>
      </c>
      <c r="D178" s="41" t="s">
        <v>1132</v>
      </c>
      <c r="E178" s="41">
        <v>44</v>
      </c>
      <c r="F178" s="113" t="s">
        <v>346</v>
      </c>
      <c r="G178" s="41" t="s">
        <v>708</v>
      </c>
      <c r="H178" s="41" t="s">
        <v>788</v>
      </c>
      <c r="I178" s="41" t="s">
        <v>274</v>
      </c>
      <c r="J178" s="41" t="str">
        <f t="shared" si="6"/>
        <v>X</v>
      </c>
      <c r="K178" s="113">
        <f>IFERROR(INDEX(환산공식!CI$16:CI$301,MATCH($E178,환산공식!$A$16:$A$301,0)),"")</f>
        <v>200</v>
      </c>
      <c r="L178" s="41" t="str">
        <f>IFERROR(CONCATENATE(ROUND(INDEX(환산공식!CJ$16:CJ$301,MATCH(E178,환산공식!$A$16:$A$301,0)),1),"%"),"")</f>
        <v>100%</v>
      </c>
      <c r="M178" s="41">
        <f>IFERROR(INDEX(환산공식!CK$16:CK$301,MATCH(E178,환산공식!$A$16:$A$301,0)),"")</f>
        <v>200</v>
      </c>
      <c r="N178" s="113" t="str">
        <f t="shared" si="7"/>
        <v>1% 이하</v>
      </c>
      <c r="O178" s="119">
        <f>IFERROR(ROUND(INDEX(환산공식!$EF$16:$EF$301,MATCH(E178,환산공식!$A$16:$A$301,0)),3),"")</f>
        <v>0</v>
      </c>
      <c r="P178" s="119">
        <f>IFERROR(ROUND(INDEX('배치점수 계산기'!M$11:M$1000,MATCH($C178,'배치점수 계산기'!$U$11:$U$1000,0)),2),"")</f>
        <v>894.13</v>
      </c>
      <c r="Q178" s="41">
        <f>IFERROR(ROUND(INDEX('배치점수 계산기'!N$11:N$1000,MATCH($C178,'배치점수 계산기'!$U$11:$U$1000,0)),2),"")</f>
        <v>891.83</v>
      </c>
      <c r="R178" s="41">
        <f>IFERROR(ROUND(INDEX('배치점수 계산기'!O$11:O$1000,MATCH($C178,'배치점수 계산기'!$U$11:$U$1000,0)),2),"")</f>
        <v>889.86</v>
      </c>
      <c r="S178" s="41">
        <f>IFERROR(ROUND(INDEX('배치점수 계산기'!P$11:P$1000,MATCH($C178,'배치점수 계산기'!$U$11:$U$1000,0)),2),"")</f>
        <v>889.06</v>
      </c>
      <c r="T178" s="41">
        <f>IFERROR(ROUND(INDEX('배치점수 계산기'!Q$11:Q$1000,MATCH($C178,'배치점수 계산기'!$U$11:$U$1000,0)),2),"")</f>
        <v>888.36</v>
      </c>
      <c r="U178" s="41">
        <f>IFERROR(INDEX(환산공식!$DC$16:$DC$301,MATCH(E178,환산공식!$A$16:$A$301,0)),"")</f>
        <v>0</v>
      </c>
      <c r="V178" s="113">
        <f t="shared" si="8"/>
        <v>6</v>
      </c>
      <c r="W178" s="110" t="str">
        <f>INDEX('배치점수 계산기'!$AG$11:$AG$800,MATCH('       나 군       '!$C178,'배치점수 계산기'!$U$11:$U$800,0))</f>
        <v>표점</v>
      </c>
      <c r="X178" s="108" t="str">
        <f>INDEX('배치점수 계산기'!$AH$11:$AH$800,MATCH('       나 군       '!$C178,'배치점수 계산기'!$U$11:$U$800,0))</f>
        <v>변표</v>
      </c>
      <c r="Y178" s="113">
        <f>INDEX('배치점수 계산기'!$AB$11:$AB$800,MATCH('       나 군       '!$C178,'배치점수 계산기'!$U$11:$U$800,0))</f>
        <v>0.25</v>
      </c>
      <c r="Z178" s="73">
        <f>INDEX('배치점수 계산기'!$AC$11:$AC$800,MATCH('       나 군       '!$C178,'배치점수 계산기'!$U$11:$U$800,0))</f>
        <v>0.375</v>
      </c>
      <c r="AA178" s="63">
        <f>INDEX('배치점수 계산기'!$AD$11:$AD$800,MATCH('       나 군       '!$C178,'배치점수 계산기'!$U$11:$U$800,0))</f>
        <v>0.375</v>
      </c>
      <c r="AE178" s="7">
        <v>171</v>
      </c>
    </row>
    <row r="179" spans="3:31" x14ac:dyDescent="0.3">
      <c r="C179" s="7" t="s">
        <v>1410</v>
      </c>
      <c r="D179" s="41" t="s">
        <v>1132</v>
      </c>
      <c r="E179" s="41">
        <v>44</v>
      </c>
      <c r="F179" s="113" t="s">
        <v>346</v>
      </c>
      <c r="G179" s="41" t="s">
        <v>708</v>
      </c>
      <c r="H179" s="41" t="s">
        <v>790</v>
      </c>
      <c r="I179" s="41" t="s">
        <v>274</v>
      </c>
      <c r="J179" s="41" t="str">
        <f t="shared" si="6"/>
        <v>X</v>
      </c>
      <c r="K179" s="113">
        <f>IFERROR(INDEX(환산공식!CI$16:CI$301,MATCH($E179,환산공식!$A$16:$A$301,0)),"")</f>
        <v>200</v>
      </c>
      <c r="L179" s="41" t="str">
        <f>IFERROR(CONCATENATE(ROUND(INDEX(환산공식!CJ$16:CJ$301,MATCH(E179,환산공식!$A$16:$A$301,0)),1),"%"),"")</f>
        <v>100%</v>
      </c>
      <c r="M179" s="41">
        <f>IFERROR(INDEX(환산공식!CK$16:CK$301,MATCH(E179,환산공식!$A$16:$A$301,0)),"")</f>
        <v>200</v>
      </c>
      <c r="N179" s="113" t="str">
        <f t="shared" si="7"/>
        <v>1% 이하</v>
      </c>
      <c r="O179" s="119">
        <f>IFERROR(ROUND(INDEX(환산공식!$EF$16:$EF$301,MATCH(E179,환산공식!$A$16:$A$301,0)),3),"")</f>
        <v>0</v>
      </c>
      <c r="P179" s="119">
        <f>IFERROR(ROUND(INDEX('배치점수 계산기'!M$11:M$1000,MATCH($C179,'배치점수 계산기'!$U$11:$U$1000,0)),2),"")</f>
        <v>897.61</v>
      </c>
      <c r="Q179" s="41">
        <f>IFERROR(ROUND(INDEX('배치점수 계산기'!N$11:N$1000,MATCH($C179,'배치점수 계산기'!$U$11:$U$1000,0)),2),"")</f>
        <v>895.09</v>
      </c>
      <c r="R179" s="41">
        <f>IFERROR(ROUND(INDEX('배치점수 계산기'!O$11:O$1000,MATCH($C179,'배치점수 계산기'!$U$11:$U$1000,0)),2),"")</f>
        <v>893.66</v>
      </c>
      <c r="S179" s="41">
        <f>IFERROR(ROUND(INDEX('배치점수 계산기'!P$11:P$1000,MATCH($C179,'배치점수 계산기'!$U$11:$U$1000,0)),2),"")</f>
        <v>890.48</v>
      </c>
      <c r="T179" s="41">
        <f>IFERROR(ROUND(INDEX('배치점수 계산기'!Q$11:Q$1000,MATCH($C179,'배치점수 계산기'!$U$11:$U$1000,0)),2),"")</f>
        <v>888.64</v>
      </c>
      <c r="U179" s="41">
        <f>IFERROR(INDEX(환산공식!$DC$16:$DC$301,MATCH(E179,환산공식!$A$16:$A$301,0)),"")</f>
        <v>0</v>
      </c>
      <c r="V179" s="113">
        <f t="shared" si="8"/>
        <v>6</v>
      </c>
      <c r="W179" s="110" t="str">
        <f>INDEX('배치점수 계산기'!$AG$11:$AG$800,MATCH('       나 군       '!$C179,'배치점수 계산기'!$U$11:$U$800,0))</f>
        <v>표점</v>
      </c>
      <c r="X179" s="108" t="str">
        <f>INDEX('배치점수 계산기'!$AH$11:$AH$800,MATCH('       나 군       '!$C179,'배치점수 계산기'!$U$11:$U$800,0))</f>
        <v>변표</v>
      </c>
      <c r="Y179" s="113">
        <f>INDEX('배치점수 계산기'!$AB$11:$AB$800,MATCH('       나 군       '!$C179,'배치점수 계산기'!$U$11:$U$800,0))</f>
        <v>0.25</v>
      </c>
      <c r="Z179" s="73">
        <f>INDEX('배치점수 계산기'!$AC$11:$AC$800,MATCH('       나 군       '!$C179,'배치점수 계산기'!$U$11:$U$800,0))</f>
        <v>0.375</v>
      </c>
      <c r="AA179" s="63">
        <f>INDEX('배치점수 계산기'!$AD$11:$AD$800,MATCH('       나 군       '!$C179,'배치점수 계산기'!$U$11:$U$800,0))</f>
        <v>0.375</v>
      </c>
      <c r="AE179" s="7">
        <v>172</v>
      </c>
    </row>
    <row r="180" spans="3:31" x14ac:dyDescent="0.3">
      <c r="C180" s="7" t="s">
        <v>1411</v>
      </c>
      <c r="D180" s="41" t="s">
        <v>1128</v>
      </c>
      <c r="E180" s="41">
        <v>43</v>
      </c>
      <c r="F180" s="113" t="s">
        <v>346</v>
      </c>
      <c r="G180" s="41" t="s">
        <v>708</v>
      </c>
      <c r="H180" s="41" t="s">
        <v>292</v>
      </c>
      <c r="I180" s="41" t="s">
        <v>274</v>
      </c>
      <c r="J180" s="41" t="str">
        <f t="shared" si="6"/>
        <v>X</v>
      </c>
      <c r="K180" s="113">
        <f>IFERROR(INDEX(환산공식!CI$16:CI$301,MATCH($E180,환산공식!$A$16:$A$301,0)),"")</f>
        <v>200</v>
      </c>
      <c r="L180" s="41" t="str">
        <f>IFERROR(CONCATENATE(ROUND(INDEX(환산공식!CJ$16:CJ$301,MATCH(E180,환산공식!$A$16:$A$301,0)),1),"%"),"")</f>
        <v>100%</v>
      </c>
      <c r="M180" s="41">
        <f>IFERROR(INDEX(환산공식!CK$16:CK$301,MATCH(E180,환산공식!$A$16:$A$301,0)),"")</f>
        <v>200</v>
      </c>
      <c r="N180" s="113" t="str">
        <f t="shared" si="7"/>
        <v>1% 이하</v>
      </c>
      <c r="O180" s="119">
        <f>IFERROR(ROUND(INDEX(환산공식!$EF$16:$EF$301,MATCH(E180,환산공식!$A$16:$A$301,0)),3),"")</f>
        <v>0</v>
      </c>
      <c r="P180" s="119">
        <f>IFERROR(ROUND(INDEX('배치점수 계산기'!M$11:M$1000,MATCH($C180,'배치점수 계산기'!$U$11:$U$1000,0)),2),"")</f>
        <v>902.01</v>
      </c>
      <c r="Q180" s="41">
        <f>IFERROR(ROUND(INDEX('배치점수 계산기'!N$11:N$1000,MATCH($C180,'배치점수 계산기'!$U$11:$U$1000,0)),2),"")</f>
        <v>900.8</v>
      </c>
      <c r="R180" s="41">
        <f>IFERROR(ROUND(INDEX('배치점수 계산기'!O$11:O$1000,MATCH($C180,'배치점수 계산기'!$U$11:$U$1000,0)),2),"")</f>
        <v>899.47</v>
      </c>
      <c r="S180" s="41">
        <f>IFERROR(ROUND(INDEX('배치점수 계산기'!P$11:P$1000,MATCH($C180,'배치점수 계산기'!$U$11:$U$1000,0)),2),"")</f>
        <v>895.99</v>
      </c>
      <c r="T180" s="41">
        <f>IFERROR(ROUND(INDEX('배치점수 계산기'!Q$11:Q$1000,MATCH($C180,'배치점수 계산기'!$U$11:$U$1000,0)),2),"")</f>
        <v>891.23</v>
      </c>
      <c r="U180" s="41">
        <f>IFERROR(INDEX(환산공식!$DC$16:$DC$301,MATCH(E180,환산공식!$A$16:$A$301,0)),"")</f>
        <v>0</v>
      </c>
      <c r="V180" s="113">
        <f t="shared" si="8"/>
        <v>6</v>
      </c>
      <c r="W180" s="110" t="str">
        <f>INDEX('배치점수 계산기'!$AG$11:$AG$800,MATCH('       나 군       '!$C180,'배치점수 계산기'!$U$11:$U$800,0))</f>
        <v>표점</v>
      </c>
      <c r="X180" s="108" t="str">
        <f>INDEX('배치점수 계산기'!$AH$11:$AH$800,MATCH('       나 군       '!$C180,'배치점수 계산기'!$U$11:$U$800,0))</f>
        <v>변표</v>
      </c>
      <c r="Y180" s="113">
        <f>INDEX('배치점수 계산기'!$AB$11:$AB$800,MATCH('       나 군       '!$C180,'배치점수 계산기'!$U$11:$U$800,0))</f>
        <v>0.25</v>
      </c>
      <c r="Z180" s="73">
        <f>INDEX('배치점수 계산기'!$AC$11:$AC$800,MATCH('       나 군       '!$C180,'배치점수 계산기'!$U$11:$U$800,0))</f>
        <v>0.4375</v>
      </c>
      <c r="AA180" s="63">
        <f>INDEX('배치점수 계산기'!$AD$11:$AD$800,MATCH('       나 군       '!$C180,'배치점수 계산기'!$U$11:$U$800,0))</f>
        <v>0.3125</v>
      </c>
      <c r="AE180" s="7">
        <v>173</v>
      </c>
    </row>
    <row r="181" spans="3:31" x14ac:dyDescent="0.3">
      <c r="C181" s="7" t="s">
        <v>1412</v>
      </c>
      <c r="D181" s="41" t="s">
        <v>1132</v>
      </c>
      <c r="E181" s="41">
        <v>44</v>
      </c>
      <c r="F181" s="113" t="s">
        <v>346</v>
      </c>
      <c r="G181" s="41" t="s">
        <v>708</v>
      </c>
      <c r="H181" s="41" t="s">
        <v>791</v>
      </c>
      <c r="I181" s="41" t="s">
        <v>274</v>
      </c>
      <c r="J181" s="41" t="str">
        <f t="shared" si="6"/>
        <v>X</v>
      </c>
      <c r="K181" s="113">
        <f>IFERROR(INDEX(환산공식!CI$16:CI$301,MATCH($E181,환산공식!$A$16:$A$301,0)),"")</f>
        <v>200</v>
      </c>
      <c r="L181" s="41" t="str">
        <f>IFERROR(CONCATENATE(ROUND(INDEX(환산공식!CJ$16:CJ$301,MATCH(E181,환산공식!$A$16:$A$301,0)),1),"%"),"")</f>
        <v>100%</v>
      </c>
      <c r="M181" s="41">
        <f>IFERROR(INDEX(환산공식!CK$16:CK$301,MATCH(E181,환산공식!$A$16:$A$301,0)),"")</f>
        <v>200</v>
      </c>
      <c r="N181" s="113" t="str">
        <f t="shared" si="7"/>
        <v>1% 이하</v>
      </c>
      <c r="O181" s="119">
        <f>IFERROR(ROUND(INDEX(환산공식!$EF$16:$EF$301,MATCH(E181,환산공식!$A$16:$A$301,0)),3),"")</f>
        <v>0</v>
      </c>
      <c r="P181" s="119">
        <f>IFERROR(ROUND(INDEX('배치점수 계산기'!M$11:M$1000,MATCH($C181,'배치점수 계산기'!$U$11:$U$1000,0)),2),"")</f>
        <v>896.5</v>
      </c>
      <c r="Q181" s="41">
        <f>IFERROR(ROUND(INDEX('배치점수 계산기'!N$11:N$1000,MATCH($C181,'배치점수 계산기'!$U$11:$U$1000,0)),2),"")</f>
        <v>894.33</v>
      </c>
      <c r="R181" s="41">
        <f>IFERROR(ROUND(INDEX('배치점수 계산기'!O$11:O$1000,MATCH($C181,'배치점수 계산기'!$U$11:$U$1000,0)),2),"")</f>
        <v>892.03</v>
      </c>
      <c r="S181" s="41">
        <f>IFERROR(ROUND(INDEX('배치점수 계산기'!P$11:P$1000,MATCH($C181,'배치점수 계산기'!$U$11:$U$1000,0)),2),"")</f>
        <v>889.51</v>
      </c>
      <c r="T181" s="41">
        <f>IFERROR(ROUND(INDEX('배치점수 계산기'!Q$11:Q$1000,MATCH($C181,'배치점수 계산기'!$U$11:$U$1000,0)),2),"")</f>
        <v>888.56</v>
      </c>
      <c r="U181" s="41">
        <f>IFERROR(INDEX(환산공식!$DC$16:$DC$301,MATCH(E181,환산공식!$A$16:$A$301,0)),"")</f>
        <v>0</v>
      </c>
      <c r="V181" s="113">
        <f t="shared" si="8"/>
        <v>6</v>
      </c>
      <c r="W181" s="110" t="str">
        <f>INDEX('배치점수 계산기'!$AG$11:$AG$800,MATCH('       나 군       '!$C181,'배치점수 계산기'!$U$11:$U$800,0))</f>
        <v>표점</v>
      </c>
      <c r="X181" s="108" t="str">
        <f>INDEX('배치점수 계산기'!$AH$11:$AH$800,MATCH('       나 군       '!$C181,'배치점수 계산기'!$U$11:$U$800,0))</f>
        <v>변표</v>
      </c>
      <c r="Y181" s="113">
        <f>INDEX('배치점수 계산기'!$AB$11:$AB$800,MATCH('       나 군       '!$C181,'배치점수 계산기'!$U$11:$U$800,0))</f>
        <v>0.25</v>
      </c>
      <c r="Z181" s="73">
        <f>INDEX('배치점수 계산기'!$AC$11:$AC$800,MATCH('       나 군       '!$C181,'배치점수 계산기'!$U$11:$U$800,0))</f>
        <v>0.375</v>
      </c>
      <c r="AA181" s="63">
        <f>INDEX('배치점수 계산기'!$AD$11:$AD$800,MATCH('       나 군       '!$C181,'배치점수 계산기'!$U$11:$U$800,0))</f>
        <v>0.375</v>
      </c>
      <c r="AE181" s="7">
        <v>174</v>
      </c>
    </row>
    <row r="182" spans="3:31" x14ac:dyDescent="0.3">
      <c r="C182" s="7" t="s">
        <v>1413</v>
      </c>
      <c r="D182" s="41" t="s">
        <v>1140</v>
      </c>
      <c r="E182" s="41">
        <v>46</v>
      </c>
      <c r="F182" s="113" t="s">
        <v>346</v>
      </c>
      <c r="G182" s="41" t="s">
        <v>708</v>
      </c>
      <c r="H182" s="41" t="s">
        <v>792</v>
      </c>
      <c r="I182" s="41" t="s">
        <v>275</v>
      </c>
      <c r="J182" s="41" t="str">
        <f t="shared" si="6"/>
        <v>X</v>
      </c>
      <c r="K182" s="113">
        <f>IFERROR(INDEX(환산공식!CI$16:CI$301,MATCH($E182,환산공식!$A$16:$A$301,0)),"")</f>
        <v>200</v>
      </c>
      <c r="L182" s="41" t="str">
        <f>IFERROR(CONCATENATE(ROUND(INDEX(환산공식!CJ$16:CJ$301,MATCH(E182,환산공식!$A$16:$A$301,0)),1),"%"),"")</f>
        <v>100%</v>
      </c>
      <c r="M182" s="41">
        <f>IFERROR(INDEX(환산공식!CK$16:CK$301,MATCH(E182,환산공식!$A$16:$A$301,0)),"")</f>
        <v>200</v>
      </c>
      <c r="N182" s="113" t="str">
        <f t="shared" si="7"/>
        <v>1% 이하</v>
      </c>
      <c r="O182" s="119">
        <f>IFERROR(ROUND(INDEX(환산공식!$EF$16:$EF$301,MATCH(E182,환산공식!$A$16:$A$301,0)),3),"")</f>
        <v>0</v>
      </c>
      <c r="P182" s="119">
        <f>IFERROR(ROUND(INDEX('배치점수 계산기'!M$11:M$1000,MATCH($C182,'배치점수 계산기'!$U$11:$U$1000,0)),2),"")</f>
        <v>896.42</v>
      </c>
      <c r="Q182" s="41">
        <f>IFERROR(ROUND(INDEX('배치점수 계산기'!N$11:N$1000,MATCH($C182,'배치점수 계산기'!$U$11:$U$1000,0)),2),"")</f>
        <v>895.93</v>
      </c>
      <c r="R182" s="41">
        <f>IFERROR(ROUND(INDEX('배치점수 계산기'!O$11:O$1000,MATCH($C182,'배치점수 계산기'!$U$11:$U$1000,0)),2),"")</f>
        <v>894.69</v>
      </c>
      <c r="S182" s="41">
        <f>IFERROR(ROUND(INDEX('배치점수 계산기'!P$11:P$1000,MATCH($C182,'배치점수 계산기'!$U$11:$U$1000,0)),2),"")</f>
        <v>888.81</v>
      </c>
      <c r="T182" s="41">
        <f>IFERROR(ROUND(INDEX('배치점수 계산기'!Q$11:Q$1000,MATCH($C182,'배치점수 계산기'!$U$11:$U$1000,0)),2),"")</f>
        <v>885.65</v>
      </c>
      <c r="U182" s="41">
        <f>IFERROR(INDEX(환산공식!$DC$16:$DC$301,MATCH(E182,환산공식!$A$16:$A$301,0)),"")</f>
        <v>0</v>
      </c>
      <c r="V182" s="113">
        <f t="shared" si="8"/>
        <v>6</v>
      </c>
      <c r="W182" s="110" t="str">
        <f>INDEX('배치점수 계산기'!$AG$11:$AG$800,MATCH('       나 군       '!$C182,'배치점수 계산기'!$U$11:$U$800,0))</f>
        <v>표점</v>
      </c>
      <c r="X182" s="108" t="str">
        <f>INDEX('배치점수 계산기'!$AH$11:$AH$800,MATCH('       나 군       '!$C182,'배치점수 계산기'!$U$11:$U$800,0))</f>
        <v>변표</v>
      </c>
      <c r="Y182" s="113">
        <f>INDEX('배치점수 계산기'!$AB$11:$AB$800,MATCH('       나 군       '!$C182,'배치점수 계산기'!$U$11:$U$800,0))</f>
        <v>0.3125</v>
      </c>
      <c r="Z182" s="73">
        <f>INDEX('배치점수 계산기'!$AC$11:$AC$800,MATCH('       나 군       '!$C182,'배치점수 계산기'!$U$11:$U$800,0))</f>
        <v>0.375</v>
      </c>
      <c r="AA182" s="63">
        <f>INDEX('배치점수 계산기'!$AD$11:$AD$800,MATCH('       나 군       '!$C182,'배치점수 계산기'!$U$11:$U$800,0))</f>
        <v>0.3125</v>
      </c>
      <c r="AE182" s="7">
        <v>175</v>
      </c>
    </row>
    <row r="183" spans="3:31" x14ac:dyDescent="0.3">
      <c r="C183" s="7" t="s">
        <v>1414</v>
      </c>
      <c r="D183" s="41" t="s">
        <v>1140</v>
      </c>
      <c r="E183" s="41">
        <v>46</v>
      </c>
      <c r="F183" s="113" t="s">
        <v>346</v>
      </c>
      <c r="G183" s="41" t="s">
        <v>708</v>
      </c>
      <c r="H183" s="41" t="s">
        <v>262</v>
      </c>
      <c r="I183" s="41" t="s">
        <v>275</v>
      </c>
      <c r="J183" s="41" t="str">
        <f t="shared" si="6"/>
        <v>X</v>
      </c>
      <c r="K183" s="113">
        <f>IFERROR(INDEX(환산공식!CI$16:CI$301,MATCH($E183,환산공식!$A$16:$A$301,0)),"")</f>
        <v>200</v>
      </c>
      <c r="L183" s="41" t="str">
        <f>IFERROR(CONCATENATE(ROUND(INDEX(환산공식!CJ$16:CJ$301,MATCH(E183,환산공식!$A$16:$A$301,0)),1),"%"),"")</f>
        <v>100%</v>
      </c>
      <c r="M183" s="41">
        <f>IFERROR(INDEX(환산공식!CK$16:CK$301,MATCH(E183,환산공식!$A$16:$A$301,0)),"")</f>
        <v>200</v>
      </c>
      <c r="N183" s="113" t="str">
        <f t="shared" si="7"/>
        <v>1% 이하</v>
      </c>
      <c r="O183" s="119">
        <f>IFERROR(ROUND(INDEX(환산공식!$EF$16:$EF$301,MATCH(E183,환산공식!$A$16:$A$301,0)),3),"")</f>
        <v>0</v>
      </c>
      <c r="P183" s="119">
        <f>IFERROR(ROUND(INDEX('배치점수 계산기'!M$11:M$1000,MATCH($C183,'배치점수 계산기'!$U$11:$U$1000,0)),2),"")</f>
        <v>894.29</v>
      </c>
      <c r="Q183" s="41">
        <f>IFERROR(ROUND(INDEX('배치점수 계산기'!N$11:N$1000,MATCH($C183,'배치점수 계산기'!$U$11:$U$1000,0)),2),"")</f>
        <v>892.98</v>
      </c>
      <c r="R183" s="41">
        <f>IFERROR(ROUND(INDEX('배치점수 계산기'!O$11:O$1000,MATCH($C183,'배치점수 계산기'!$U$11:$U$1000,0)),2),"")</f>
        <v>890.9</v>
      </c>
      <c r="S183" s="41">
        <f>IFERROR(ROUND(INDEX('배치점수 계산기'!P$11:P$1000,MATCH($C183,'배치점수 계산기'!$U$11:$U$1000,0)),2),"")</f>
        <v>888.41</v>
      </c>
      <c r="T183" s="41">
        <f>IFERROR(ROUND(INDEX('배치점수 계산기'!Q$11:Q$1000,MATCH($C183,'배치점수 계산기'!$U$11:$U$1000,0)),2),"")</f>
        <v>882.94</v>
      </c>
      <c r="U183" s="41">
        <f>IFERROR(INDEX(환산공식!$DC$16:$DC$301,MATCH(E183,환산공식!$A$16:$A$301,0)),"")</f>
        <v>0</v>
      </c>
      <c r="V183" s="113">
        <f t="shared" si="8"/>
        <v>6</v>
      </c>
      <c r="W183" s="110" t="str">
        <f>INDEX('배치점수 계산기'!$AG$11:$AG$800,MATCH('       나 군       '!$C183,'배치점수 계산기'!$U$11:$U$800,0))</f>
        <v>표점</v>
      </c>
      <c r="X183" s="108" t="str">
        <f>INDEX('배치점수 계산기'!$AH$11:$AH$800,MATCH('       나 군       '!$C183,'배치점수 계산기'!$U$11:$U$800,0))</f>
        <v>변표</v>
      </c>
      <c r="Y183" s="113">
        <f>INDEX('배치점수 계산기'!$AB$11:$AB$800,MATCH('       나 군       '!$C183,'배치점수 계산기'!$U$11:$U$800,0))</f>
        <v>0.3125</v>
      </c>
      <c r="Z183" s="73">
        <f>INDEX('배치점수 계산기'!$AC$11:$AC$800,MATCH('       나 군       '!$C183,'배치점수 계산기'!$U$11:$U$800,0))</f>
        <v>0.375</v>
      </c>
      <c r="AA183" s="63">
        <f>INDEX('배치점수 계산기'!$AD$11:$AD$800,MATCH('       나 군       '!$C183,'배치점수 계산기'!$U$11:$U$800,0))</f>
        <v>0.3125</v>
      </c>
      <c r="AE183" s="7">
        <v>176</v>
      </c>
    </row>
    <row r="184" spans="3:31" x14ac:dyDescent="0.3">
      <c r="C184" s="7" t="s">
        <v>1415</v>
      </c>
      <c r="D184" s="41" t="s">
        <v>1140</v>
      </c>
      <c r="E184" s="41">
        <v>46</v>
      </c>
      <c r="F184" s="113" t="s">
        <v>346</v>
      </c>
      <c r="G184" s="41" t="s">
        <v>708</v>
      </c>
      <c r="H184" s="41" t="s">
        <v>793</v>
      </c>
      <c r="I184" s="41" t="s">
        <v>275</v>
      </c>
      <c r="J184" s="41" t="str">
        <f t="shared" si="6"/>
        <v>X</v>
      </c>
      <c r="K184" s="113">
        <f>IFERROR(INDEX(환산공식!CI$16:CI$301,MATCH($E184,환산공식!$A$16:$A$301,0)),"")</f>
        <v>200</v>
      </c>
      <c r="L184" s="41" t="str">
        <f>IFERROR(CONCATENATE(ROUND(INDEX(환산공식!CJ$16:CJ$301,MATCH(E184,환산공식!$A$16:$A$301,0)),1),"%"),"")</f>
        <v>100%</v>
      </c>
      <c r="M184" s="41">
        <f>IFERROR(INDEX(환산공식!CK$16:CK$301,MATCH(E184,환산공식!$A$16:$A$301,0)),"")</f>
        <v>200</v>
      </c>
      <c r="N184" s="113" t="str">
        <f t="shared" si="7"/>
        <v>1% 이하</v>
      </c>
      <c r="O184" s="119">
        <f>IFERROR(ROUND(INDEX(환산공식!$EF$16:$EF$301,MATCH(E184,환산공식!$A$16:$A$301,0)),3),"")</f>
        <v>0</v>
      </c>
      <c r="P184" s="119">
        <f>IFERROR(ROUND(INDEX('배치점수 계산기'!M$11:M$1000,MATCH($C184,'배치점수 계산기'!$U$11:$U$1000,0)),2),"")</f>
        <v>892.98</v>
      </c>
      <c r="Q184" s="41">
        <f>IFERROR(ROUND(INDEX('배치점수 계산기'!N$11:N$1000,MATCH($C184,'배치점수 계산기'!$U$11:$U$1000,0)),2),"")</f>
        <v>890.9</v>
      </c>
      <c r="R184" s="41">
        <f>IFERROR(ROUND(INDEX('배치점수 계산기'!O$11:O$1000,MATCH($C184,'배치점수 계산기'!$U$11:$U$1000,0)),2),"")</f>
        <v>889.56</v>
      </c>
      <c r="S184" s="41">
        <f>IFERROR(ROUND(INDEX('배치점수 계산기'!P$11:P$1000,MATCH($C184,'배치점수 계산기'!$U$11:$U$1000,0)),2),"")</f>
        <v>887.35</v>
      </c>
      <c r="T184" s="41">
        <f>IFERROR(ROUND(INDEX('배치점수 계산기'!Q$11:Q$1000,MATCH($C184,'배치점수 계산기'!$U$11:$U$1000,0)),2),"")</f>
        <v>880.07</v>
      </c>
      <c r="U184" s="41">
        <f>IFERROR(INDEX(환산공식!$DC$16:$DC$301,MATCH(E184,환산공식!$A$16:$A$301,0)),"")</f>
        <v>0</v>
      </c>
      <c r="V184" s="113">
        <f t="shared" si="8"/>
        <v>6</v>
      </c>
      <c r="W184" s="110" t="str">
        <f>INDEX('배치점수 계산기'!$AG$11:$AG$800,MATCH('       나 군       '!$C184,'배치점수 계산기'!$U$11:$U$800,0))</f>
        <v>표점</v>
      </c>
      <c r="X184" s="108" t="str">
        <f>INDEX('배치점수 계산기'!$AH$11:$AH$800,MATCH('       나 군       '!$C184,'배치점수 계산기'!$U$11:$U$800,0))</f>
        <v>변표</v>
      </c>
      <c r="Y184" s="113">
        <f>INDEX('배치점수 계산기'!$AB$11:$AB$800,MATCH('       나 군       '!$C184,'배치점수 계산기'!$U$11:$U$800,0))</f>
        <v>0.3125</v>
      </c>
      <c r="Z184" s="73">
        <f>INDEX('배치점수 계산기'!$AC$11:$AC$800,MATCH('       나 군       '!$C184,'배치점수 계산기'!$U$11:$U$800,0))</f>
        <v>0.375</v>
      </c>
      <c r="AA184" s="63">
        <f>INDEX('배치점수 계산기'!$AD$11:$AD$800,MATCH('       나 군       '!$C184,'배치점수 계산기'!$U$11:$U$800,0))</f>
        <v>0.3125</v>
      </c>
      <c r="AE184" s="7">
        <v>177</v>
      </c>
    </row>
    <row r="185" spans="3:31" x14ac:dyDescent="0.3">
      <c r="C185" s="7" t="s">
        <v>1416</v>
      </c>
      <c r="D185" s="41" t="s">
        <v>1140</v>
      </c>
      <c r="E185" s="41">
        <v>46</v>
      </c>
      <c r="F185" s="113" t="s">
        <v>346</v>
      </c>
      <c r="G185" s="41" t="s">
        <v>708</v>
      </c>
      <c r="H185" s="41" t="s">
        <v>452</v>
      </c>
      <c r="I185" s="41" t="s">
        <v>275</v>
      </c>
      <c r="J185" s="41" t="str">
        <f t="shared" si="6"/>
        <v>X</v>
      </c>
      <c r="K185" s="113">
        <f>IFERROR(INDEX(환산공식!CI$16:CI$301,MATCH($E185,환산공식!$A$16:$A$301,0)),"")</f>
        <v>200</v>
      </c>
      <c r="L185" s="41" t="str">
        <f>IFERROR(CONCATENATE(ROUND(INDEX(환산공식!CJ$16:CJ$301,MATCH(E185,환산공식!$A$16:$A$301,0)),1),"%"),"")</f>
        <v>100%</v>
      </c>
      <c r="M185" s="41">
        <f>IFERROR(INDEX(환산공식!CK$16:CK$301,MATCH(E185,환산공식!$A$16:$A$301,0)),"")</f>
        <v>200</v>
      </c>
      <c r="N185" s="113" t="str">
        <f t="shared" si="7"/>
        <v>1% 이하</v>
      </c>
      <c r="O185" s="119">
        <f>IFERROR(ROUND(INDEX(환산공식!$EF$16:$EF$301,MATCH(E185,환산공식!$A$16:$A$301,0)),3),"")</f>
        <v>0</v>
      </c>
      <c r="P185" s="119">
        <f>IFERROR(ROUND(INDEX('배치점수 계산기'!M$11:M$1000,MATCH($C185,'배치점수 계산기'!$U$11:$U$1000,0)),2),"")</f>
        <v>892.98</v>
      </c>
      <c r="Q185" s="41">
        <f>IFERROR(ROUND(INDEX('배치점수 계산기'!N$11:N$1000,MATCH($C185,'배치점수 계산기'!$U$11:$U$1000,0)),2),"")</f>
        <v>890.9</v>
      </c>
      <c r="R185" s="41">
        <f>IFERROR(ROUND(INDEX('배치점수 계산기'!O$11:O$1000,MATCH($C185,'배치점수 계산기'!$U$11:$U$1000,0)),2),"")</f>
        <v>889.56</v>
      </c>
      <c r="S185" s="41">
        <f>IFERROR(ROUND(INDEX('배치점수 계산기'!P$11:P$1000,MATCH($C185,'배치점수 계산기'!$U$11:$U$1000,0)),2),"")</f>
        <v>887.35</v>
      </c>
      <c r="T185" s="41">
        <f>IFERROR(ROUND(INDEX('배치점수 계산기'!Q$11:Q$1000,MATCH($C185,'배치점수 계산기'!$U$11:$U$1000,0)),2),"")</f>
        <v>880.07</v>
      </c>
      <c r="U185" s="41">
        <f>IFERROR(INDEX(환산공식!$DC$16:$DC$301,MATCH(E185,환산공식!$A$16:$A$301,0)),"")</f>
        <v>0</v>
      </c>
      <c r="V185" s="113">
        <f t="shared" si="8"/>
        <v>6</v>
      </c>
      <c r="W185" s="110" t="str">
        <f>INDEX('배치점수 계산기'!$AG$11:$AG$800,MATCH('       나 군       '!$C185,'배치점수 계산기'!$U$11:$U$800,0))</f>
        <v>표점</v>
      </c>
      <c r="X185" s="108" t="str">
        <f>INDEX('배치점수 계산기'!$AH$11:$AH$800,MATCH('       나 군       '!$C185,'배치점수 계산기'!$U$11:$U$800,0))</f>
        <v>변표</v>
      </c>
      <c r="Y185" s="113">
        <f>INDEX('배치점수 계산기'!$AB$11:$AB$800,MATCH('       나 군       '!$C185,'배치점수 계산기'!$U$11:$U$800,0))</f>
        <v>0.3125</v>
      </c>
      <c r="Z185" s="73">
        <f>INDEX('배치점수 계산기'!$AC$11:$AC$800,MATCH('       나 군       '!$C185,'배치점수 계산기'!$U$11:$U$800,0))</f>
        <v>0.375</v>
      </c>
      <c r="AA185" s="63">
        <f>INDEX('배치점수 계산기'!$AD$11:$AD$800,MATCH('       나 군       '!$C185,'배치점수 계산기'!$U$11:$U$800,0))</f>
        <v>0.3125</v>
      </c>
      <c r="AE185" s="7">
        <v>178</v>
      </c>
    </row>
    <row r="186" spans="3:31" x14ac:dyDescent="0.3">
      <c r="C186" s="7" t="s">
        <v>1417</v>
      </c>
      <c r="D186" s="41" t="s">
        <v>1140</v>
      </c>
      <c r="E186" s="41">
        <v>46</v>
      </c>
      <c r="F186" s="113" t="s">
        <v>346</v>
      </c>
      <c r="G186" s="41" t="s">
        <v>708</v>
      </c>
      <c r="H186" s="41" t="s">
        <v>261</v>
      </c>
      <c r="I186" s="41" t="s">
        <v>275</v>
      </c>
      <c r="J186" s="41" t="str">
        <f t="shared" si="6"/>
        <v>X</v>
      </c>
      <c r="K186" s="113">
        <f>IFERROR(INDEX(환산공식!CI$16:CI$301,MATCH($E186,환산공식!$A$16:$A$301,0)),"")</f>
        <v>200</v>
      </c>
      <c r="L186" s="41" t="str">
        <f>IFERROR(CONCATENATE(ROUND(INDEX(환산공식!CJ$16:CJ$301,MATCH(E186,환산공식!$A$16:$A$301,0)),1),"%"),"")</f>
        <v>100%</v>
      </c>
      <c r="M186" s="41">
        <f>IFERROR(INDEX(환산공식!CK$16:CK$301,MATCH(E186,환산공식!$A$16:$A$301,0)),"")</f>
        <v>200</v>
      </c>
      <c r="N186" s="113" t="str">
        <f t="shared" si="7"/>
        <v>1% 이하</v>
      </c>
      <c r="O186" s="119">
        <f>IFERROR(ROUND(INDEX(환산공식!$EF$16:$EF$301,MATCH(E186,환산공식!$A$16:$A$301,0)),3),"")</f>
        <v>0</v>
      </c>
      <c r="P186" s="119">
        <f>IFERROR(ROUND(INDEX('배치점수 계산기'!M$11:M$1000,MATCH($C186,'배치점수 계산기'!$U$11:$U$1000,0)),2),"")</f>
        <v>893.53</v>
      </c>
      <c r="Q186" s="41">
        <f>IFERROR(ROUND(INDEX('배치점수 계산기'!N$11:N$1000,MATCH($C186,'배치점수 계산기'!$U$11:$U$1000,0)),2),"")</f>
        <v>891.8</v>
      </c>
      <c r="R186" s="41">
        <f>IFERROR(ROUND(INDEX('배치점수 계산기'!O$11:O$1000,MATCH($C186,'배치점수 계산기'!$U$11:$U$1000,0)),2),"")</f>
        <v>890.35</v>
      </c>
      <c r="S186" s="41">
        <f>IFERROR(ROUND(INDEX('배치점수 계산기'!P$11:P$1000,MATCH($C186,'배치점수 계산기'!$U$11:$U$1000,0)),2),"")</f>
        <v>888.41</v>
      </c>
      <c r="T186" s="41">
        <f>IFERROR(ROUND(INDEX('배치점수 계산기'!Q$11:Q$1000,MATCH($C186,'배치점수 계산기'!$U$11:$U$1000,0)),2),"")</f>
        <v>882.94</v>
      </c>
      <c r="U186" s="41">
        <f>IFERROR(INDEX(환산공식!$DC$16:$DC$301,MATCH(E186,환산공식!$A$16:$A$301,0)),"")</f>
        <v>0</v>
      </c>
      <c r="V186" s="113">
        <f t="shared" si="8"/>
        <v>6</v>
      </c>
      <c r="W186" s="110" t="str">
        <f>INDEX('배치점수 계산기'!$AG$11:$AG$800,MATCH('       나 군       '!$C186,'배치점수 계산기'!$U$11:$U$800,0))</f>
        <v>표점</v>
      </c>
      <c r="X186" s="108" t="str">
        <f>INDEX('배치점수 계산기'!$AH$11:$AH$800,MATCH('       나 군       '!$C186,'배치점수 계산기'!$U$11:$U$800,0))</f>
        <v>변표</v>
      </c>
      <c r="Y186" s="113">
        <f>INDEX('배치점수 계산기'!$AB$11:$AB$800,MATCH('       나 군       '!$C186,'배치점수 계산기'!$U$11:$U$800,0))</f>
        <v>0.3125</v>
      </c>
      <c r="Z186" s="73">
        <f>INDEX('배치점수 계산기'!$AC$11:$AC$800,MATCH('       나 군       '!$C186,'배치점수 계산기'!$U$11:$U$800,0))</f>
        <v>0.375</v>
      </c>
      <c r="AA186" s="63">
        <f>INDEX('배치점수 계산기'!$AD$11:$AD$800,MATCH('       나 군       '!$C186,'배치점수 계산기'!$U$11:$U$800,0))</f>
        <v>0.3125</v>
      </c>
      <c r="AE186" s="7">
        <v>179</v>
      </c>
    </row>
    <row r="187" spans="3:31" x14ac:dyDescent="0.3">
      <c r="C187" s="7" t="s">
        <v>1418</v>
      </c>
      <c r="D187" s="41" t="s">
        <v>1138</v>
      </c>
      <c r="E187" s="41">
        <v>45</v>
      </c>
      <c r="F187" s="113" t="s">
        <v>346</v>
      </c>
      <c r="G187" s="41" t="s">
        <v>708</v>
      </c>
      <c r="H187" s="41" t="s">
        <v>796</v>
      </c>
      <c r="I187" s="41" t="s">
        <v>275</v>
      </c>
      <c r="J187" s="41" t="str">
        <f t="shared" si="6"/>
        <v>X</v>
      </c>
      <c r="K187" s="113">
        <f>IFERROR(INDEX(환산공식!CI$16:CI$301,MATCH($E187,환산공식!$A$16:$A$301,0)),"")</f>
        <v>200</v>
      </c>
      <c r="L187" s="41" t="str">
        <f>IFERROR(CONCATENATE(ROUND(INDEX(환산공식!CJ$16:CJ$301,MATCH(E187,환산공식!$A$16:$A$301,0)),1),"%"),"")</f>
        <v>100%</v>
      </c>
      <c r="M187" s="41">
        <f>IFERROR(INDEX(환산공식!CK$16:CK$301,MATCH(E187,환산공식!$A$16:$A$301,0)),"")</f>
        <v>200</v>
      </c>
      <c r="N187" s="113" t="str">
        <f t="shared" si="7"/>
        <v>1% 이하</v>
      </c>
      <c r="O187" s="119">
        <f>IFERROR(ROUND(INDEX(환산공식!$EF$16:$EF$301,MATCH(E187,환산공식!$A$16:$A$301,0)),3),"")</f>
        <v>0</v>
      </c>
      <c r="P187" s="119">
        <f>IFERROR(ROUND(INDEX('배치점수 계산기'!M$11:M$1000,MATCH($C187,'배치점수 계산기'!$U$11:$U$1000,0)),2),"")</f>
        <v>892.47</v>
      </c>
      <c r="Q187" s="41">
        <f>IFERROR(ROUND(INDEX('배치점수 계산기'!N$11:N$1000,MATCH($C187,'배치점수 계산기'!$U$11:$U$1000,0)),2),"")</f>
        <v>891.11</v>
      </c>
      <c r="R187" s="41">
        <f>IFERROR(ROUND(INDEX('배치점수 계산기'!O$11:O$1000,MATCH($C187,'배치점수 계산기'!$U$11:$U$1000,0)),2),"")</f>
        <v>889.98</v>
      </c>
      <c r="S187" s="41">
        <f>IFERROR(ROUND(INDEX('배치점수 계산기'!P$11:P$1000,MATCH($C187,'배치점수 계산기'!$U$11:$U$1000,0)),2),"")</f>
        <v>888.95</v>
      </c>
      <c r="T187" s="41">
        <f>IFERROR(ROUND(INDEX('배치점수 계산기'!Q$11:Q$1000,MATCH($C187,'배치점수 계산기'!$U$11:$U$1000,0)),2),"")</f>
        <v>881.82</v>
      </c>
      <c r="U187" s="41">
        <f>IFERROR(INDEX(환산공식!$DC$16:$DC$301,MATCH(E187,환산공식!$A$16:$A$301,0)),"")</f>
        <v>0</v>
      </c>
      <c r="V187" s="113">
        <f t="shared" si="8"/>
        <v>6</v>
      </c>
      <c r="W187" s="110" t="str">
        <f>INDEX('배치점수 계산기'!$AG$11:$AG$800,MATCH('       나 군       '!$C187,'배치점수 계산기'!$U$11:$U$800,0))</f>
        <v>표점</v>
      </c>
      <c r="X187" s="108" t="str">
        <f>INDEX('배치점수 계산기'!$AH$11:$AH$800,MATCH('       나 군       '!$C187,'배치점수 계산기'!$U$11:$U$800,0))</f>
        <v>변표</v>
      </c>
      <c r="Y187" s="113">
        <f>INDEX('배치점수 계산기'!$AB$11:$AB$800,MATCH('       나 군       '!$C187,'배치점수 계산기'!$U$11:$U$800,0))</f>
        <v>0.375</v>
      </c>
      <c r="Z187" s="73">
        <f>INDEX('배치점수 계산기'!$AC$11:$AC$800,MATCH('       나 군       '!$C187,'배치점수 계산기'!$U$11:$U$800,0))</f>
        <v>0.3125</v>
      </c>
      <c r="AA187" s="63">
        <f>INDEX('배치점수 계산기'!$AD$11:$AD$800,MATCH('       나 군       '!$C187,'배치점수 계산기'!$U$11:$U$800,0))</f>
        <v>0.3125</v>
      </c>
      <c r="AE187" s="7">
        <v>180</v>
      </c>
    </row>
    <row r="188" spans="3:31" x14ac:dyDescent="0.3">
      <c r="C188" s="7" t="s">
        <v>1419</v>
      </c>
      <c r="D188" s="41" t="s">
        <v>1138</v>
      </c>
      <c r="E188" s="41">
        <v>45</v>
      </c>
      <c r="F188" s="113" t="s">
        <v>346</v>
      </c>
      <c r="G188" s="41" t="s">
        <v>708</v>
      </c>
      <c r="H188" s="41" t="s">
        <v>299</v>
      </c>
      <c r="I188" s="41" t="s">
        <v>275</v>
      </c>
      <c r="J188" s="41" t="str">
        <f t="shared" si="6"/>
        <v>X</v>
      </c>
      <c r="K188" s="113">
        <f>IFERROR(INDEX(환산공식!CI$16:CI$301,MATCH($E188,환산공식!$A$16:$A$301,0)),"")</f>
        <v>200</v>
      </c>
      <c r="L188" s="41" t="str">
        <f>IFERROR(CONCATENATE(ROUND(INDEX(환산공식!CJ$16:CJ$301,MATCH(E188,환산공식!$A$16:$A$301,0)),1),"%"),"")</f>
        <v>100%</v>
      </c>
      <c r="M188" s="41">
        <f>IFERROR(INDEX(환산공식!CK$16:CK$301,MATCH(E188,환산공식!$A$16:$A$301,0)),"")</f>
        <v>200</v>
      </c>
      <c r="N188" s="113" t="str">
        <f t="shared" si="7"/>
        <v>1% 이하</v>
      </c>
      <c r="O188" s="119">
        <f>IFERROR(ROUND(INDEX(환산공식!$EF$16:$EF$301,MATCH(E188,환산공식!$A$16:$A$301,0)),3),"")</f>
        <v>0</v>
      </c>
      <c r="P188" s="119">
        <f>IFERROR(ROUND(INDEX('배치점수 계산기'!M$11:M$1000,MATCH($C188,'배치점수 계산기'!$U$11:$U$1000,0)),2),"")</f>
        <v>891.11</v>
      </c>
      <c r="Q188" s="41">
        <f>IFERROR(ROUND(INDEX('배치점수 계산기'!N$11:N$1000,MATCH($C188,'배치점수 계산기'!$U$11:$U$1000,0)),2),"")</f>
        <v>889.98</v>
      </c>
      <c r="R188" s="41">
        <f>IFERROR(ROUND(INDEX('배치점수 계산기'!O$11:O$1000,MATCH($C188,'배치점수 계산기'!$U$11:$U$1000,0)),2),"")</f>
        <v>888.64</v>
      </c>
      <c r="S188" s="41">
        <f>IFERROR(ROUND(INDEX('배치점수 계산기'!P$11:P$1000,MATCH($C188,'배치점수 계산기'!$U$11:$U$1000,0)),2),"")</f>
        <v>887.78</v>
      </c>
      <c r="T188" s="41">
        <f>IFERROR(ROUND(INDEX('배치점수 계산기'!Q$11:Q$1000,MATCH($C188,'배치점수 계산기'!$U$11:$U$1000,0)),2),"")</f>
        <v>881.21</v>
      </c>
      <c r="U188" s="41">
        <f>IFERROR(INDEX(환산공식!$DC$16:$DC$301,MATCH(E188,환산공식!$A$16:$A$301,0)),"")</f>
        <v>0</v>
      </c>
      <c r="V188" s="113">
        <f t="shared" si="8"/>
        <v>6</v>
      </c>
      <c r="W188" s="110" t="str">
        <f>INDEX('배치점수 계산기'!$AG$11:$AG$800,MATCH('       나 군       '!$C188,'배치점수 계산기'!$U$11:$U$800,0))</f>
        <v>표점</v>
      </c>
      <c r="X188" s="108" t="str">
        <f>INDEX('배치점수 계산기'!$AH$11:$AH$800,MATCH('       나 군       '!$C188,'배치점수 계산기'!$U$11:$U$800,0))</f>
        <v>변표</v>
      </c>
      <c r="Y188" s="113">
        <f>INDEX('배치점수 계산기'!$AB$11:$AB$800,MATCH('       나 군       '!$C188,'배치점수 계산기'!$U$11:$U$800,0))</f>
        <v>0.375</v>
      </c>
      <c r="Z188" s="73">
        <f>INDEX('배치점수 계산기'!$AC$11:$AC$800,MATCH('       나 군       '!$C188,'배치점수 계산기'!$U$11:$U$800,0))</f>
        <v>0.3125</v>
      </c>
      <c r="AA188" s="63">
        <f>INDEX('배치점수 계산기'!$AD$11:$AD$800,MATCH('       나 군       '!$C188,'배치점수 계산기'!$U$11:$U$800,0))</f>
        <v>0.3125</v>
      </c>
      <c r="AE188" s="7">
        <v>181</v>
      </c>
    </row>
    <row r="189" spans="3:31" x14ac:dyDescent="0.3">
      <c r="C189" s="7" t="s">
        <v>1420</v>
      </c>
      <c r="D189" s="41" t="s">
        <v>1138</v>
      </c>
      <c r="E189" s="41">
        <v>45</v>
      </c>
      <c r="F189" s="113" t="s">
        <v>346</v>
      </c>
      <c r="G189" s="41" t="s">
        <v>708</v>
      </c>
      <c r="H189" s="41" t="s">
        <v>303</v>
      </c>
      <c r="I189" s="41" t="s">
        <v>275</v>
      </c>
      <c r="J189" s="41" t="str">
        <f t="shared" si="6"/>
        <v>X</v>
      </c>
      <c r="K189" s="113">
        <f>IFERROR(INDEX(환산공식!CI$16:CI$301,MATCH($E189,환산공식!$A$16:$A$301,0)),"")</f>
        <v>200</v>
      </c>
      <c r="L189" s="41" t="str">
        <f>IFERROR(CONCATENATE(ROUND(INDEX(환산공식!CJ$16:CJ$301,MATCH(E189,환산공식!$A$16:$A$301,0)),1),"%"),"")</f>
        <v>100%</v>
      </c>
      <c r="M189" s="41">
        <f>IFERROR(INDEX(환산공식!CK$16:CK$301,MATCH(E189,환산공식!$A$16:$A$301,0)),"")</f>
        <v>200</v>
      </c>
      <c r="N189" s="113" t="str">
        <f t="shared" si="7"/>
        <v>1% 이하</v>
      </c>
      <c r="O189" s="119">
        <f>IFERROR(ROUND(INDEX(환산공식!$EF$16:$EF$301,MATCH(E189,환산공식!$A$16:$A$301,0)),3),"")</f>
        <v>0</v>
      </c>
      <c r="P189" s="119">
        <f>IFERROR(ROUND(INDEX('배치점수 계산기'!M$11:M$1000,MATCH($C189,'배치점수 계산기'!$U$11:$U$1000,0)),2),"")</f>
        <v>890.89</v>
      </c>
      <c r="Q189" s="41">
        <f>IFERROR(ROUND(INDEX('배치점수 계산기'!N$11:N$1000,MATCH($C189,'배치점수 계산기'!$U$11:$U$1000,0)),2),"")</f>
        <v>889.98</v>
      </c>
      <c r="R189" s="41">
        <f>IFERROR(ROUND(INDEX('배치점수 계산기'!O$11:O$1000,MATCH($C189,'배치점수 계산기'!$U$11:$U$1000,0)),2),"")</f>
        <v>888.33</v>
      </c>
      <c r="S189" s="41">
        <f>IFERROR(ROUND(INDEX('배치점수 계산기'!P$11:P$1000,MATCH($C189,'배치점수 계산기'!$U$11:$U$1000,0)),2),"")</f>
        <v>887.5</v>
      </c>
      <c r="T189" s="41">
        <f>IFERROR(ROUND(INDEX('배치점수 계산기'!Q$11:Q$1000,MATCH($C189,'배치점수 계산기'!$U$11:$U$1000,0)),2),"")</f>
        <v>881.21</v>
      </c>
      <c r="U189" s="41">
        <f>IFERROR(INDEX(환산공식!$DC$16:$DC$301,MATCH(E189,환산공식!$A$16:$A$301,0)),"")</f>
        <v>0</v>
      </c>
      <c r="V189" s="113">
        <f t="shared" si="8"/>
        <v>6</v>
      </c>
      <c r="W189" s="110" t="str">
        <f>INDEX('배치점수 계산기'!$AG$11:$AG$800,MATCH('       나 군       '!$C189,'배치점수 계산기'!$U$11:$U$800,0))</f>
        <v>표점</v>
      </c>
      <c r="X189" s="108" t="str">
        <f>INDEX('배치점수 계산기'!$AH$11:$AH$800,MATCH('       나 군       '!$C189,'배치점수 계산기'!$U$11:$U$800,0))</f>
        <v>변표</v>
      </c>
      <c r="Y189" s="113">
        <f>INDEX('배치점수 계산기'!$AB$11:$AB$800,MATCH('       나 군       '!$C189,'배치점수 계산기'!$U$11:$U$800,0))</f>
        <v>0.375</v>
      </c>
      <c r="Z189" s="73">
        <f>INDEX('배치점수 계산기'!$AC$11:$AC$800,MATCH('       나 군       '!$C189,'배치점수 계산기'!$U$11:$U$800,0))</f>
        <v>0.3125</v>
      </c>
      <c r="AA189" s="63">
        <f>INDEX('배치점수 계산기'!$AD$11:$AD$800,MATCH('       나 군       '!$C189,'배치점수 계산기'!$U$11:$U$800,0))</f>
        <v>0.3125</v>
      </c>
      <c r="AE189" s="7">
        <v>182</v>
      </c>
    </row>
    <row r="190" spans="3:31" x14ac:dyDescent="0.3">
      <c r="C190" s="7" t="s">
        <v>1421</v>
      </c>
      <c r="D190" s="41" t="s">
        <v>1138</v>
      </c>
      <c r="E190" s="41">
        <v>45</v>
      </c>
      <c r="F190" s="113" t="s">
        <v>346</v>
      </c>
      <c r="G190" s="41" t="s">
        <v>708</v>
      </c>
      <c r="H190" s="41" t="s">
        <v>312</v>
      </c>
      <c r="I190" s="41" t="s">
        <v>275</v>
      </c>
      <c r="J190" s="41" t="str">
        <f t="shared" si="6"/>
        <v>X</v>
      </c>
      <c r="K190" s="113">
        <f>IFERROR(INDEX(환산공식!CI$16:CI$301,MATCH($E190,환산공식!$A$16:$A$301,0)),"")</f>
        <v>200</v>
      </c>
      <c r="L190" s="41" t="str">
        <f>IFERROR(CONCATENATE(ROUND(INDEX(환산공식!CJ$16:CJ$301,MATCH(E190,환산공식!$A$16:$A$301,0)),1),"%"),"")</f>
        <v>100%</v>
      </c>
      <c r="M190" s="41">
        <f>IFERROR(INDEX(환산공식!CK$16:CK$301,MATCH(E190,환산공식!$A$16:$A$301,0)),"")</f>
        <v>200</v>
      </c>
      <c r="N190" s="113" t="str">
        <f t="shared" si="7"/>
        <v>1% 이하</v>
      </c>
      <c r="O190" s="119">
        <f>IFERROR(ROUND(INDEX(환산공식!$EF$16:$EF$301,MATCH(E190,환산공식!$A$16:$A$301,0)),3),"")</f>
        <v>0</v>
      </c>
      <c r="P190" s="119">
        <f>IFERROR(ROUND(INDEX('배치점수 계산기'!M$11:M$1000,MATCH($C190,'배치점수 계산기'!$U$11:$U$1000,0)),2),"")</f>
        <v>889.98</v>
      </c>
      <c r="Q190" s="41">
        <f>IFERROR(ROUND(INDEX('배치점수 계산기'!N$11:N$1000,MATCH($C190,'배치점수 계산기'!$U$11:$U$1000,0)),2),"")</f>
        <v>888.95</v>
      </c>
      <c r="R190" s="41">
        <f>IFERROR(ROUND(INDEX('배치점수 계산기'!O$11:O$1000,MATCH($C190,'배치점수 계산기'!$U$11:$U$1000,0)),2),"")</f>
        <v>886.93</v>
      </c>
      <c r="S190" s="41">
        <f>IFERROR(ROUND(INDEX('배치점수 계산기'!P$11:P$1000,MATCH($C190,'배치점수 계산기'!$U$11:$U$1000,0)),2),"")</f>
        <v>884.66</v>
      </c>
      <c r="T190" s="41">
        <f>IFERROR(ROUND(INDEX('배치점수 계산기'!Q$11:Q$1000,MATCH($C190,'배치점수 계산기'!$U$11:$U$1000,0)),2),"")</f>
        <v>880.52</v>
      </c>
      <c r="U190" s="41">
        <f>IFERROR(INDEX(환산공식!$DC$16:$DC$301,MATCH(E190,환산공식!$A$16:$A$301,0)),"")</f>
        <v>0</v>
      </c>
      <c r="V190" s="113">
        <f t="shared" si="8"/>
        <v>6</v>
      </c>
      <c r="W190" s="110" t="str">
        <f>INDEX('배치점수 계산기'!$AG$11:$AG$800,MATCH('       나 군       '!$C190,'배치점수 계산기'!$U$11:$U$800,0))</f>
        <v>표점</v>
      </c>
      <c r="X190" s="108" t="str">
        <f>INDEX('배치점수 계산기'!$AH$11:$AH$800,MATCH('       나 군       '!$C190,'배치점수 계산기'!$U$11:$U$800,0))</f>
        <v>변표</v>
      </c>
      <c r="Y190" s="113">
        <f>INDEX('배치점수 계산기'!$AB$11:$AB$800,MATCH('       나 군       '!$C190,'배치점수 계산기'!$U$11:$U$800,0))</f>
        <v>0.375</v>
      </c>
      <c r="Z190" s="73">
        <f>INDEX('배치점수 계산기'!$AC$11:$AC$800,MATCH('       나 군       '!$C190,'배치점수 계산기'!$U$11:$U$800,0))</f>
        <v>0.3125</v>
      </c>
      <c r="AA190" s="63">
        <f>INDEX('배치점수 계산기'!$AD$11:$AD$800,MATCH('       나 군       '!$C190,'배치점수 계산기'!$U$11:$U$800,0))</f>
        <v>0.3125</v>
      </c>
      <c r="AE190" s="7">
        <v>183</v>
      </c>
    </row>
    <row r="191" spans="3:31" x14ac:dyDescent="0.3">
      <c r="C191" s="7" t="s">
        <v>1422</v>
      </c>
      <c r="D191" s="41" t="s">
        <v>1138</v>
      </c>
      <c r="E191" s="41">
        <v>45</v>
      </c>
      <c r="F191" s="113" t="s">
        <v>346</v>
      </c>
      <c r="G191" s="41" t="s">
        <v>708</v>
      </c>
      <c r="H191" s="41" t="s">
        <v>351</v>
      </c>
      <c r="I191" s="41" t="s">
        <v>275</v>
      </c>
      <c r="J191" s="41" t="str">
        <f t="shared" si="6"/>
        <v>X</v>
      </c>
      <c r="K191" s="113">
        <f>IFERROR(INDEX(환산공식!CI$16:CI$301,MATCH($E191,환산공식!$A$16:$A$301,0)),"")</f>
        <v>200</v>
      </c>
      <c r="L191" s="41" t="str">
        <f>IFERROR(CONCATENATE(ROUND(INDEX(환산공식!CJ$16:CJ$301,MATCH(E191,환산공식!$A$16:$A$301,0)),1),"%"),"")</f>
        <v>100%</v>
      </c>
      <c r="M191" s="41">
        <f>IFERROR(INDEX(환산공식!CK$16:CK$301,MATCH(E191,환산공식!$A$16:$A$301,0)),"")</f>
        <v>200</v>
      </c>
      <c r="N191" s="113" t="str">
        <f t="shared" si="7"/>
        <v>1% 이하</v>
      </c>
      <c r="O191" s="119">
        <f>IFERROR(ROUND(INDEX(환산공식!$EF$16:$EF$301,MATCH(E191,환산공식!$A$16:$A$301,0)),3),"")</f>
        <v>0</v>
      </c>
      <c r="P191" s="119">
        <f>IFERROR(ROUND(INDEX('배치점수 계산기'!M$11:M$1000,MATCH($C191,'배치점수 계산기'!$U$11:$U$1000,0)),2),"")</f>
        <v>889.98</v>
      </c>
      <c r="Q191" s="41">
        <f>IFERROR(ROUND(INDEX('배치점수 계산기'!N$11:N$1000,MATCH($C191,'배치점수 계산기'!$U$11:$U$1000,0)),2),"")</f>
        <v>888.95</v>
      </c>
      <c r="R191" s="41">
        <f>IFERROR(ROUND(INDEX('배치점수 계산기'!O$11:O$1000,MATCH($C191,'배치점수 계산기'!$U$11:$U$1000,0)),2),"")</f>
        <v>886.93</v>
      </c>
      <c r="S191" s="41">
        <f>IFERROR(ROUND(INDEX('배치점수 계산기'!P$11:P$1000,MATCH($C191,'배치점수 계산기'!$U$11:$U$1000,0)),2),"")</f>
        <v>884.66</v>
      </c>
      <c r="T191" s="41">
        <f>IFERROR(ROUND(INDEX('배치점수 계산기'!Q$11:Q$1000,MATCH($C191,'배치점수 계산기'!$U$11:$U$1000,0)),2),"")</f>
        <v>880.52</v>
      </c>
      <c r="U191" s="41">
        <f>IFERROR(INDEX(환산공식!$DC$16:$DC$301,MATCH(E191,환산공식!$A$16:$A$301,0)),"")</f>
        <v>0</v>
      </c>
      <c r="V191" s="113">
        <f t="shared" si="8"/>
        <v>6</v>
      </c>
      <c r="W191" s="110" t="str">
        <f>INDEX('배치점수 계산기'!$AG$11:$AG$800,MATCH('       나 군       '!$C191,'배치점수 계산기'!$U$11:$U$800,0))</f>
        <v>표점</v>
      </c>
      <c r="X191" s="108" t="str">
        <f>INDEX('배치점수 계산기'!$AH$11:$AH$800,MATCH('       나 군       '!$C191,'배치점수 계산기'!$U$11:$U$800,0))</f>
        <v>변표</v>
      </c>
      <c r="Y191" s="113">
        <f>INDEX('배치점수 계산기'!$AB$11:$AB$800,MATCH('       나 군       '!$C191,'배치점수 계산기'!$U$11:$U$800,0))</f>
        <v>0.375</v>
      </c>
      <c r="Z191" s="73">
        <f>INDEX('배치점수 계산기'!$AC$11:$AC$800,MATCH('       나 군       '!$C191,'배치점수 계산기'!$U$11:$U$800,0))</f>
        <v>0.3125</v>
      </c>
      <c r="AA191" s="63">
        <f>INDEX('배치점수 계산기'!$AD$11:$AD$800,MATCH('       나 군       '!$C191,'배치점수 계산기'!$U$11:$U$800,0))</f>
        <v>0.3125</v>
      </c>
      <c r="AE191" s="7">
        <v>184</v>
      </c>
    </row>
    <row r="192" spans="3:31" x14ac:dyDescent="0.3">
      <c r="C192" s="7" t="s">
        <v>1423</v>
      </c>
      <c r="D192" s="41" t="s">
        <v>1138</v>
      </c>
      <c r="E192" s="41">
        <v>45</v>
      </c>
      <c r="F192" s="113" t="s">
        <v>346</v>
      </c>
      <c r="G192" s="41" t="s">
        <v>708</v>
      </c>
      <c r="H192" s="41" t="s">
        <v>798</v>
      </c>
      <c r="I192" s="41" t="s">
        <v>275</v>
      </c>
      <c r="J192" s="41" t="str">
        <f t="shared" si="6"/>
        <v>X</v>
      </c>
      <c r="K192" s="113">
        <f>IFERROR(INDEX(환산공식!CI$16:CI$301,MATCH($E192,환산공식!$A$16:$A$301,0)),"")</f>
        <v>200</v>
      </c>
      <c r="L192" s="41" t="str">
        <f>IFERROR(CONCATENATE(ROUND(INDEX(환산공식!CJ$16:CJ$301,MATCH(E192,환산공식!$A$16:$A$301,0)),1),"%"),"")</f>
        <v>100%</v>
      </c>
      <c r="M192" s="41">
        <f>IFERROR(INDEX(환산공식!CK$16:CK$301,MATCH(E192,환산공식!$A$16:$A$301,0)),"")</f>
        <v>200</v>
      </c>
      <c r="N192" s="113" t="str">
        <f t="shared" si="7"/>
        <v>1% 이하</v>
      </c>
      <c r="O192" s="119">
        <f>IFERROR(ROUND(INDEX(환산공식!$EF$16:$EF$301,MATCH(E192,환산공식!$A$16:$A$301,0)),3),"")</f>
        <v>0</v>
      </c>
      <c r="P192" s="119">
        <f>IFERROR(ROUND(INDEX('배치점수 계산기'!M$11:M$1000,MATCH($C192,'배치점수 계산기'!$U$11:$U$1000,0)),2),"")</f>
        <v>895.66</v>
      </c>
      <c r="Q192" s="41">
        <f>IFERROR(ROUND(INDEX('배치점수 계산기'!N$11:N$1000,MATCH($C192,'배치점수 계산기'!$U$11:$U$1000,0)),2),"")</f>
        <v>894.41</v>
      </c>
      <c r="R192" s="41">
        <f>IFERROR(ROUND(INDEX('배치점수 계산기'!O$11:O$1000,MATCH($C192,'배치점수 계산기'!$U$11:$U$1000,0)),2),"")</f>
        <v>892.47</v>
      </c>
      <c r="S192" s="41">
        <f>IFERROR(ROUND(INDEX('배치점수 계산기'!P$11:P$1000,MATCH($C192,'배치점수 계산기'!$U$11:$U$1000,0)),2),"")</f>
        <v>889.98</v>
      </c>
      <c r="T192" s="41">
        <f>IFERROR(ROUND(INDEX('배치점수 계산기'!Q$11:Q$1000,MATCH($C192,'배치점수 계산기'!$U$11:$U$1000,0)),2),"")</f>
        <v>882.54</v>
      </c>
      <c r="U192" s="41">
        <f>IFERROR(INDEX(환산공식!$DC$16:$DC$301,MATCH(E192,환산공식!$A$16:$A$301,0)),"")</f>
        <v>0</v>
      </c>
      <c r="V192" s="113">
        <f t="shared" si="8"/>
        <v>6</v>
      </c>
      <c r="W192" s="110" t="str">
        <f>INDEX('배치점수 계산기'!$AG$11:$AG$800,MATCH('       나 군       '!$C192,'배치점수 계산기'!$U$11:$U$800,0))</f>
        <v>표점</v>
      </c>
      <c r="X192" s="108" t="str">
        <f>INDEX('배치점수 계산기'!$AH$11:$AH$800,MATCH('       나 군       '!$C192,'배치점수 계산기'!$U$11:$U$800,0))</f>
        <v>변표</v>
      </c>
      <c r="Y192" s="113">
        <f>INDEX('배치점수 계산기'!$AB$11:$AB$800,MATCH('       나 군       '!$C192,'배치점수 계산기'!$U$11:$U$800,0))</f>
        <v>0.375</v>
      </c>
      <c r="Z192" s="73">
        <f>INDEX('배치점수 계산기'!$AC$11:$AC$800,MATCH('       나 군       '!$C192,'배치점수 계산기'!$U$11:$U$800,0))</f>
        <v>0.3125</v>
      </c>
      <c r="AA192" s="63">
        <f>INDEX('배치점수 계산기'!$AD$11:$AD$800,MATCH('       나 군       '!$C192,'배치점수 계산기'!$U$11:$U$800,0))</f>
        <v>0.3125</v>
      </c>
      <c r="AE192" s="7">
        <v>185</v>
      </c>
    </row>
    <row r="193" spans="3:31" x14ac:dyDescent="0.3">
      <c r="C193" s="7" t="s">
        <v>1424</v>
      </c>
      <c r="D193" s="41" t="s">
        <v>1140</v>
      </c>
      <c r="E193" s="41">
        <v>46</v>
      </c>
      <c r="F193" s="113" t="s">
        <v>346</v>
      </c>
      <c r="G193" s="41" t="s">
        <v>708</v>
      </c>
      <c r="H193" s="41" t="s">
        <v>799</v>
      </c>
      <c r="I193" s="41" t="s">
        <v>275</v>
      </c>
      <c r="J193" s="41" t="str">
        <f t="shared" si="6"/>
        <v>X</v>
      </c>
      <c r="K193" s="113">
        <f>IFERROR(INDEX(환산공식!CI$16:CI$301,MATCH($E193,환산공식!$A$16:$A$301,0)),"")</f>
        <v>200</v>
      </c>
      <c r="L193" s="41" t="str">
        <f>IFERROR(CONCATENATE(ROUND(INDEX(환산공식!CJ$16:CJ$301,MATCH(E193,환산공식!$A$16:$A$301,0)),1),"%"),"")</f>
        <v>100%</v>
      </c>
      <c r="M193" s="41">
        <f>IFERROR(INDEX(환산공식!CK$16:CK$301,MATCH(E193,환산공식!$A$16:$A$301,0)),"")</f>
        <v>200</v>
      </c>
      <c r="N193" s="113" t="str">
        <f t="shared" si="7"/>
        <v>1% 이하</v>
      </c>
      <c r="O193" s="119">
        <f>IFERROR(ROUND(INDEX(환산공식!$EF$16:$EF$301,MATCH(E193,환산공식!$A$16:$A$301,0)),3),"")</f>
        <v>0</v>
      </c>
      <c r="P193" s="119">
        <f>IFERROR(ROUND(INDEX('배치점수 계산기'!M$11:M$1000,MATCH($C193,'배치점수 계산기'!$U$11:$U$1000,0)),2),"")</f>
        <v>891.53</v>
      </c>
      <c r="Q193" s="41">
        <f>IFERROR(ROUND(INDEX('배치점수 계산기'!N$11:N$1000,MATCH($C193,'배치점수 계산기'!$U$11:$U$1000,0)),2),"")</f>
        <v>890.35</v>
      </c>
      <c r="R193" s="41">
        <f>IFERROR(ROUND(INDEX('배치점수 계산기'!O$11:O$1000,MATCH($C193,'배치점수 계산기'!$U$11:$U$1000,0)),2),"")</f>
        <v>889.08</v>
      </c>
      <c r="S193" s="41">
        <f>IFERROR(ROUND(INDEX('배치점수 계산기'!P$11:P$1000,MATCH($C193,'배치점수 계산기'!$U$11:$U$1000,0)),2),"")</f>
        <v>886.13</v>
      </c>
      <c r="T193" s="41">
        <f>IFERROR(ROUND(INDEX('배치점수 계산기'!Q$11:Q$1000,MATCH($C193,'배치점수 계산기'!$U$11:$U$1000,0)),2),"")</f>
        <v>882.94</v>
      </c>
      <c r="U193" s="41">
        <f>IFERROR(INDEX(환산공식!$DC$16:$DC$301,MATCH(E193,환산공식!$A$16:$A$301,0)),"")</f>
        <v>0</v>
      </c>
      <c r="V193" s="113">
        <f t="shared" si="8"/>
        <v>6</v>
      </c>
      <c r="W193" s="110" t="str">
        <f>INDEX('배치점수 계산기'!$AG$11:$AG$800,MATCH('       나 군       '!$C193,'배치점수 계산기'!$U$11:$U$800,0))</f>
        <v>표점</v>
      </c>
      <c r="X193" s="108" t="str">
        <f>INDEX('배치점수 계산기'!$AH$11:$AH$800,MATCH('       나 군       '!$C193,'배치점수 계산기'!$U$11:$U$800,0))</f>
        <v>변표</v>
      </c>
      <c r="Y193" s="113">
        <f>INDEX('배치점수 계산기'!$AB$11:$AB$800,MATCH('       나 군       '!$C193,'배치점수 계산기'!$U$11:$U$800,0))</f>
        <v>0.3125</v>
      </c>
      <c r="Z193" s="73">
        <f>INDEX('배치점수 계산기'!$AC$11:$AC$800,MATCH('       나 군       '!$C193,'배치점수 계산기'!$U$11:$U$800,0))</f>
        <v>0.375</v>
      </c>
      <c r="AA193" s="63">
        <f>INDEX('배치점수 계산기'!$AD$11:$AD$800,MATCH('       나 군       '!$C193,'배치점수 계산기'!$U$11:$U$800,0))</f>
        <v>0.3125</v>
      </c>
      <c r="AE193" s="7">
        <v>186</v>
      </c>
    </row>
    <row r="194" spans="3:31" x14ac:dyDescent="0.3">
      <c r="C194" s="7" t="s">
        <v>1425</v>
      </c>
      <c r="D194" s="41" t="s">
        <v>1138</v>
      </c>
      <c r="E194" s="41">
        <v>45</v>
      </c>
      <c r="F194" s="113" t="s">
        <v>346</v>
      </c>
      <c r="G194" s="41" t="s">
        <v>708</v>
      </c>
      <c r="H194" s="41" t="s">
        <v>372</v>
      </c>
      <c r="I194" s="41" t="s">
        <v>275</v>
      </c>
      <c r="J194" s="41" t="str">
        <f t="shared" si="6"/>
        <v>X</v>
      </c>
      <c r="K194" s="113">
        <f>IFERROR(INDEX(환산공식!CI$16:CI$301,MATCH($E194,환산공식!$A$16:$A$301,0)),"")</f>
        <v>200</v>
      </c>
      <c r="L194" s="41" t="str">
        <f>IFERROR(CONCATENATE(ROUND(INDEX(환산공식!CJ$16:CJ$301,MATCH(E194,환산공식!$A$16:$A$301,0)),1),"%"),"")</f>
        <v>100%</v>
      </c>
      <c r="M194" s="41">
        <f>IFERROR(INDEX(환산공식!CK$16:CK$301,MATCH(E194,환산공식!$A$16:$A$301,0)),"")</f>
        <v>200</v>
      </c>
      <c r="N194" s="113" t="str">
        <f t="shared" si="7"/>
        <v>1% 이하</v>
      </c>
      <c r="O194" s="119">
        <f>IFERROR(ROUND(INDEX(환산공식!$EF$16:$EF$301,MATCH(E194,환산공식!$A$16:$A$301,0)),3),"")</f>
        <v>0</v>
      </c>
      <c r="P194" s="119">
        <f>IFERROR(ROUND(INDEX('배치점수 계산기'!M$11:M$1000,MATCH($C194,'배치점수 계산기'!$U$11:$U$1000,0)),2),"")</f>
        <v>889.98</v>
      </c>
      <c r="Q194" s="41">
        <f>IFERROR(ROUND(INDEX('배치점수 계산기'!N$11:N$1000,MATCH($C194,'배치점수 계산기'!$U$11:$U$1000,0)),2),"")</f>
        <v>888.95</v>
      </c>
      <c r="R194" s="41">
        <f>IFERROR(ROUND(INDEX('배치점수 계산기'!O$11:O$1000,MATCH($C194,'배치점수 계산기'!$U$11:$U$1000,0)),2),"")</f>
        <v>886.93</v>
      </c>
      <c r="S194" s="41">
        <f>IFERROR(ROUND(INDEX('배치점수 계산기'!P$11:P$1000,MATCH($C194,'배치점수 계산기'!$U$11:$U$1000,0)),2),"")</f>
        <v>884.66</v>
      </c>
      <c r="T194" s="41">
        <f>IFERROR(ROUND(INDEX('배치점수 계산기'!Q$11:Q$1000,MATCH($C194,'배치점수 계산기'!$U$11:$U$1000,0)),2),"")</f>
        <v>880.52</v>
      </c>
      <c r="U194" s="41">
        <f>IFERROR(INDEX(환산공식!$DC$16:$DC$301,MATCH(E194,환산공식!$A$16:$A$301,0)),"")</f>
        <v>0</v>
      </c>
      <c r="V194" s="113">
        <f t="shared" si="8"/>
        <v>6</v>
      </c>
      <c r="W194" s="110" t="str">
        <f>INDEX('배치점수 계산기'!$AG$11:$AG$800,MATCH('       나 군       '!$C194,'배치점수 계산기'!$U$11:$U$800,0))</f>
        <v>표점</v>
      </c>
      <c r="X194" s="108" t="str">
        <f>INDEX('배치점수 계산기'!$AH$11:$AH$800,MATCH('       나 군       '!$C194,'배치점수 계산기'!$U$11:$U$800,0))</f>
        <v>변표</v>
      </c>
      <c r="Y194" s="113">
        <f>INDEX('배치점수 계산기'!$AB$11:$AB$800,MATCH('       나 군       '!$C194,'배치점수 계산기'!$U$11:$U$800,0))</f>
        <v>0.375</v>
      </c>
      <c r="Z194" s="73">
        <f>INDEX('배치점수 계산기'!$AC$11:$AC$800,MATCH('       나 군       '!$C194,'배치점수 계산기'!$U$11:$U$800,0))</f>
        <v>0.3125</v>
      </c>
      <c r="AA194" s="63">
        <f>INDEX('배치점수 계산기'!$AD$11:$AD$800,MATCH('       나 군       '!$C194,'배치점수 계산기'!$U$11:$U$800,0))</f>
        <v>0.3125</v>
      </c>
      <c r="AE194" s="7">
        <v>187</v>
      </c>
    </row>
    <row r="195" spans="3:31" x14ac:dyDescent="0.3">
      <c r="C195" s="7" t="s">
        <v>1426</v>
      </c>
      <c r="D195" s="41" t="s">
        <v>1138</v>
      </c>
      <c r="E195" s="41">
        <v>45</v>
      </c>
      <c r="F195" s="113" t="s">
        <v>346</v>
      </c>
      <c r="G195" s="41" t="s">
        <v>708</v>
      </c>
      <c r="H195" s="41" t="s">
        <v>307</v>
      </c>
      <c r="I195" s="41" t="s">
        <v>275</v>
      </c>
      <c r="J195" s="41" t="str">
        <f t="shared" si="6"/>
        <v>X</v>
      </c>
      <c r="K195" s="113">
        <f>IFERROR(INDEX(환산공식!CI$16:CI$301,MATCH($E195,환산공식!$A$16:$A$301,0)),"")</f>
        <v>200</v>
      </c>
      <c r="L195" s="41" t="str">
        <f>IFERROR(CONCATENATE(ROUND(INDEX(환산공식!CJ$16:CJ$301,MATCH(E195,환산공식!$A$16:$A$301,0)),1),"%"),"")</f>
        <v>100%</v>
      </c>
      <c r="M195" s="41">
        <f>IFERROR(INDEX(환산공식!CK$16:CK$301,MATCH(E195,환산공식!$A$16:$A$301,0)),"")</f>
        <v>200</v>
      </c>
      <c r="N195" s="113" t="str">
        <f t="shared" si="7"/>
        <v>1% 이하</v>
      </c>
      <c r="O195" s="119">
        <f>IFERROR(ROUND(INDEX(환산공식!$EF$16:$EF$301,MATCH(E195,환산공식!$A$16:$A$301,0)),3),"")</f>
        <v>0</v>
      </c>
      <c r="P195" s="119">
        <f>IFERROR(ROUND(INDEX('배치점수 계산기'!M$11:M$1000,MATCH($C195,'배치점수 계산기'!$U$11:$U$1000,0)),2),"")</f>
        <v>889.98</v>
      </c>
      <c r="Q195" s="41">
        <f>IFERROR(ROUND(INDEX('배치점수 계산기'!N$11:N$1000,MATCH($C195,'배치점수 계산기'!$U$11:$U$1000,0)),2),"")</f>
        <v>888.95</v>
      </c>
      <c r="R195" s="41">
        <f>IFERROR(ROUND(INDEX('배치점수 계산기'!O$11:O$1000,MATCH($C195,'배치점수 계산기'!$U$11:$U$1000,0)),2),"")</f>
        <v>887.14</v>
      </c>
      <c r="S195" s="41">
        <f>IFERROR(ROUND(INDEX('배치점수 계산기'!P$11:P$1000,MATCH($C195,'배치점수 계산기'!$U$11:$U$1000,0)),2),"")</f>
        <v>885.59</v>
      </c>
      <c r="T195" s="41">
        <f>IFERROR(ROUND(INDEX('배치점수 계산기'!Q$11:Q$1000,MATCH($C195,'배치점수 계산기'!$U$11:$U$1000,0)),2),"")</f>
        <v>881.21</v>
      </c>
      <c r="U195" s="41">
        <f>IFERROR(INDEX(환산공식!$DC$16:$DC$301,MATCH(E195,환산공식!$A$16:$A$301,0)),"")</f>
        <v>0</v>
      </c>
      <c r="V195" s="113">
        <f t="shared" si="8"/>
        <v>6</v>
      </c>
      <c r="W195" s="110" t="str">
        <f>INDEX('배치점수 계산기'!$AG$11:$AG$800,MATCH('       나 군       '!$C195,'배치점수 계산기'!$U$11:$U$800,0))</f>
        <v>표점</v>
      </c>
      <c r="X195" s="108" t="str">
        <f>INDEX('배치점수 계산기'!$AH$11:$AH$800,MATCH('       나 군       '!$C195,'배치점수 계산기'!$U$11:$U$800,0))</f>
        <v>변표</v>
      </c>
      <c r="Y195" s="113">
        <f>INDEX('배치점수 계산기'!$AB$11:$AB$800,MATCH('       나 군       '!$C195,'배치점수 계산기'!$U$11:$U$800,0))</f>
        <v>0.375</v>
      </c>
      <c r="Z195" s="73">
        <f>INDEX('배치점수 계산기'!$AC$11:$AC$800,MATCH('       나 군       '!$C195,'배치점수 계산기'!$U$11:$U$800,0))</f>
        <v>0.3125</v>
      </c>
      <c r="AA195" s="63">
        <f>INDEX('배치점수 계산기'!$AD$11:$AD$800,MATCH('       나 군       '!$C195,'배치점수 계산기'!$U$11:$U$800,0))</f>
        <v>0.3125</v>
      </c>
      <c r="AE195" s="7">
        <v>188</v>
      </c>
    </row>
    <row r="196" spans="3:31" x14ac:dyDescent="0.3">
      <c r="C196" s="7" t="s">
        <v>1427</v>
      </c>
      <c r="D196" s="41" t="s">
        <v>1138</v>
      </c>
      <c r="E196" s="41">
        <v>45</v>
      </c>
      <c r="F196" s="113" t="s">
        <v>346</v>
      </c>
      <c r="G196" s="41" t="s">
        <v>708</v>
      </c>
      <c r="H196" s="41" t="s">
        <v>309</v>
      </c>
      <c r="I196" s="41" t="s">
        <v>275</v>
      </c>
      <c r="J196" s="41" t="str">
        <f t="shared" si="6"/>
        <v>X</v>
      </c>
      <c r="K196" s="113">
        <f>IFERROR(INDEX(환산공식!CI$16:CI$301,MATCH($E196,환산공식!$A$16:$A$301,0)),"")</f>
        <v>200</v>
      </c>
      <c r="L196" s="41" t="str">
        <f>IFERROR(CONCATENATE(ROUND(INDEX(환산공식!CJ$16:CJ$301,MATCH(E196,환산공식!$A$16:$A$301,0)),1),"%"),"")</f>
        <v>100%</v>
      </c>
      <c r="M196" s="41">
        <f>IFERROR(INDEX(환산공식!CK$16:CK$301,MATCH(E196,환산공식!$A$16:$A$301,0)),"")</f>
        <v>200</v>
      </c>
      <c r="N196" s="113" t="str">
        <f t="shared" si="7"/>
        <v>1% 이하</v>
      </c>
      <c r="O196" s="119">
        <f>IFERROR(ROUND(INDEX(환산공식!$EF$16:$EF$301,MATCH(E196,환산공식!$A$16:$A$301,0)),3),"")</f>
        <v>0</v>
      </c>
      <c r="P196" s="119">
        <f>IFERROR(ROUND(INDEX('배치점수 계산기'!M$11:M$1000,MATCH($C196,'배치점수 계산기'!$U$11:$U$1000,0)),2),"")</f>
        <v>889.98</v>
      </c>
      <c r="Q196" s="41">
        <f>IFERROR(ROUND(INDEX('배치점수 계산기'!N$11:N$1000,MATCH($C196,'배치점수 계산기'!$U$11:$U$1000,0)),2),"")</f>
        <v>888.95</v>
      </c>
      <c r="R196" s="41">
        <f>IFERROR(ROUND(INDEX('배치점수 계산기'!O$11:O$1000,MATCH($C196,'배치점수 계산기'!$U$11:$U$1000,0)),2),"")</f>
        <v>886.01</v>
      </c>
      <c r="S196" s="41">
        <f>IFERROR(ROUND(INDEX('배치점수 계산기'!P$11:P$1000,MATCH($C196,'배치점수 계산기'!$U$11:$U$1000,0)),2),"")</f>
        <v>884.66</v>
      </c>
      <c r="T196" s="41">
        <f>IFERROR(ROUND(INDEX('배치점수 계산기'!Q$11:Q$1000,MATCH($C196,'배치점수 계산기'!$U$11:$U$1000,0)),2),"")</f>
        <v>880.52</v>
      </c>
      <c r="U196" s="41">
        <f>IFERROR(INDEX(환산공식!$DC$16:$DC$301,MATCH(E196,환산공식!$A$16:$A$301,0)),"")</f>
        <v>0</v>
      </c>
      <c r="V196" s="113">
        <f t="shared" si="8"/>
        <v>6</v>
      </c>
      <c r="W196" s="110" t="str">
        <f>INDEX('배치점수 계산기'!$AG$11:$AG$800,MATCH('       나 군       '!$C196,'배치점수 계산기'!$U$11:$U$800,0))</f>
        <v>표점</v>
      </c>
      <c r="X196" s="108" t="str">
        <f>INDEX('배치점수 계산기'!$AH$11:$AH$800,MATCH('       나 군       '!$C196,'배치점수 계산기'!$U$11:$U$800,0))</f>
        <v>변표</v>
      </c>
      <c r="Y196" s="113">
        <f>INDEX('배치점수 계산기'!$AB$11:$AB$800,MATCH('       나 군       '!$C196,'배치점수 계산기'!$U$11:$U$800,0))</f>
        <v>0.375</v>
      </c>
      <c r="Z196" s="73">
        <f>INDEX('배치점수 계산기'!$AC$11:$AC$800,MATCH('       나 군       '!$C196,'배치점수 계산기'!$U$11:$U$800,0))</f>
        <v>0.3125</v>
      </c>
      <c r="AA196" s="63">
        <f>INDEX('배치점수 계산기'!$AD$11:$AD$800,MATCH('       나 군       '!$C196,'배치점수 계산기'!$U$11:$U$800,0))</f>
        <v>0.3125</v>
      </c>
      <c r="AE196" s="7">
        <v>189</v>
      </c>
    </row>
    <row r="197" spans="3:31" x14ac:dyDescent="0.3">
      <c r="C197" s="7" t="s">
        <v>1428</v>
      </c>
      <c r="D197" s="41" t="s">
        <v>1138</v>
      </c>
      <c r="E197" s="41">
        <v>45</v>
      </c>
      <c r="F197" s="113" t="s">
        <v>346</v>
      </c>
      <c r="G197" s="41" t="s">
        <v>708</v>
      </c>
      <c r="H197" s="41" t="s">
        <v>742</v>
      </c>
      <c r="I197" s="41" t="s">
        <v>275</v>
      </c>
      <c r="J197" s="41" t="str">
        <f t="shared" si="6"/>
        <v>X</v>
      </c>
      <c r="K197" s="113">
        <f>IFERROR(INDEX(환산공식!CI$16:CI$301,MATCH($E197,환산공식!$A$16:$A$301,0)),"")</f>
        <v>200</v>
      </c>
      <c r="L197" s="41" t="str">
        <f>IFERROR(CONCATENATE(ROUND(INDEX(환산공식!CJ$16:CJ$301,MATCH(E197,환산공식!$A$16:$A$301,0)),1),"%"),"")</f>
        <v>100%</v>
      </c>
      <c r="M197" s="41">
        <f>IFERROR(INDEX(환산공식!CK$16:CK$301,MATCH(E197,환산공식!$A$16:$A$301,0)),"")</f>
        <v>200</v>
      </c>
      <c r="N197" s="113" t="str">
        <f t="shared" si="7"/>
        <v>1% 이하</v>
      </c>
      <c r="O197" s="119">
        <f>IFERROR(ROUND(INDEX(환산공식!$EF$16:$EF$301,MATCH(E197,환산공식!$A$16:$A$301,0)),3),"")</f>
        <v>0</v>
      </c>
      <c r="P197" s="119">
        <f>IFERROR(ROUND(INDEX('배치점수 계산기'!M$11:M$1000,MATCH($C197,'배치점수 계산기'!$U$11:$U$1000,0)),2),"")</f>
        <v>889.98</v>
      </c>
      <c r="Q197" s="41">
        <f>IFERROR(ROUND(INDEX('배치점수 계산기'!N$11:N$1000,MATCH($C197,'배치점수 계산기'!$U$11:$U$1000,0)),2),"")</f>
        <v>888.95</v>
      </c>
      <c r="R197" s="41">
        <f>IFERROR(ROUND(INDEX('배치점수 계산기'!O$11:O$1000,MATCH($C197,'배치점수 계산기'!$U$11:$U$1000,0)),2),"")</f>
        <v>885.32</v>
      </c>
      <c r="S197" s="41">
        <f>IFERROR(ROUND(INDEX('배치점수 계산기'!P$11:P$1000,MATCH($C197,'배치점수 계산기'!$U$11:$U$1000,0)),2),"")</f>
        <v>882.54</v>
      </c>
      <c r="T197" s="41">
        <f>IFERROR(ROUND(INDEX('배치점수 계산기'!Q$11:Q$1000,MATCH($C197,'배치점수 계산기'!$U$11:$U$1000,0)),2),"")</f>
        <v>880.52</v>
      </c>
      <c r="U197" s="41">
        <f>IFERROR(INDEX(환산공식!$DC$16:$DC$301,MATCH(E197,환산공식!$A$16:$A$301,0)),"")</f>
        <v>0</v>
      </c>
      <c r="V197" s="113">
        <f t="shared" si="8"/>
        <v>6</v>
      </c>
      <c r="W197" s="110" t="str">
        <f>INDEX('배치점수 계산기'!$AG$11:$AG$800,MATCH('       나 군       '!$C197,'배치점수 계산기'!$U$11:$U$800,0))</f>
        <v>표점</v>
      </c>
      <c r="X197" s="108" t="str">
        <f>INDEX('배치점수 계산기'!$AH$11:$AH$800,MATCH('       나 군       '!$C197,'배치점수 계산기'!$U$11:$U$800,0))</f>
        <v>변표</v>
      </c>
      <c r="Y197" s="113">
        <f>INDEX('배치점수 계산기'!$AB$11:$AB$800,MATCH('       나 군       '!$C197,'배치점수 계산기'!$U$11:$U$800,0))</f>
        <v>0.375</v>
      </c>
      <c r="Z197" s="73">
        <f>INDEX('배치점수 계산기'!$AC$11:$AC$800,MATCH('       나 군       '!$C197,'배치점수 계산기'!$U$11:$U$800,0))</f>
        <v>0.3125</v>
      </c>
      <c r="AA197" s="63">
        <f>INDEX('배치점수 계산기'!$AD$11:$AD$800,MATCH('       나 군       '!$C197,'배치점수 계산기'!$U$11:$U$800,0))</f>
        <v>0.3125</v>
      </c>
      <c r="AE197" s="7">
        <v>190</v>
      </c>
    </row>
    <row r="198" spans="3:31" x14ac:dyDescent="0.3">
      <c r="C198" s="7" t="s">
        <v>1429</v>
      </c>
      <c r="D198" s="41" t="s">
        <v>1145</v>
      </c>
      <c r="E198" s="41">
        <v>48</v>
      </c>
      <c r="F198" s="113" t="s">
        <v>346</v>
      </c>
      <c r="G198" s="41" t="s">
        <v>801</v>
      </c>
      <c r="H198" s="41" t="s">
        <v>288</v>
      </c>
      <c r="I198" s="41" t="s">
        <v>274</v>
      </c>
      <c r="J198" s="41" t="str">
        <f t="shared" si="6"/>
        <v>X</v>
      </c>
      <c r="K198" s="113">
        <f>IFERROR(INDEX(환산공식!CI$16:CI$301,MATCH($E198,환산공식!$A$16:$A$301,0)),"")</f>
        <v>200</v>
      </c>
      <c r="L198" s="41" t="str">
        <f>IFERROR(CONCATENATE(ROUND(INDEX(환산공식!CJ$16:CJ$301,MATCH(E198,환산공식!$A$16:$A$301,0)),1),"%"),"")</f>
        <v>100%</v>
      </c>
      <c r="M198" s="41">
        <f>IFERROR(INDEX(환산공식!CK$16:CK$301,MATCH(E198,환산공식!$A$16:$A$301,0)),"")</f>
        <v>50</v>
      </c>
      <c r="N198" s="113" t="str">
        <f t="shared" si="7"/>
        <v>1% 이하</v>
      </c>
      <c r="O198" s="119">
        <f>IFERROR(ROUND(INDEX(환산공식!$EF$16:$EF$301,MATCH(E198,환산공식!$A$16:$A$301,0)),3),"")</f>
        <v>0</v>
      </c>
      <c r="P198" s="119">
        <f>IFERROR(ROUND(INDEX('배치점수 계산기'!M$11:M$1000,MATCH($C198,'배치점수 계산기'!$U$11:$U$1000,0)),2),"")</f>
        <v>714.21</v>
      </c>
      <c r="Q198" s="41">
        <f>IFERROR(ROUND(INDEX('배치점수 계산기'!N$11:N$1000,MATCH($C198,'배치점수 계산기'!$U$11:$U$1000,0)),2),"")</f>
        <v>713.58</v>
      </c>
      <c r="R198" s="41">
        <f>IFERROR(ROUND(INDEX('배치점수 계산기'!O$11:O$1000,MATCH($C198,'배치점수 계산기'!$U$11:$U$1000,0)),2),"")</f>
        <v>712.98</v>
      </c>
      <c r="S198" s="41">
        <f>IFERROR(ROUND(INDEX('배치점수 계산기'!P$11:P$1000,MATCH($C198,'배치점수 계산기'!$U$11:$U$1000,0)),2),"")</f>
        <v>711.32</v>
      </c>
      <c r="T198" s="41">
        <f>IFERROR(ROUND(INDEX('배치점수 계산기'!Q$11:Q$1000,MATCH($C198,'배치점수 계산기'!$U$11:$U$1000,0)),2),"")</f>
        <v>710.2</v>
      </c>
      <c r="U198" s="41">
        <f>IFERROR(INDEX(환산공식!$DC$16:$DC$301,MATCH(E198,환산공식!$A$16:$A$301,0)),"")</f>
        <v>0</v>
      </c>
      <c r="V198" s="113">
        <f t="shared" si="8"/>
        <v>6</v>
      </c>
      <c r="W198" s="110" t="str">
        <f>INDEX('배치점수 계산기'!$AG$11:$AG$800,MATCH('       나 군       '!$C198,'배치점수 계산기'!$U$11:$U$800,0))</f>
        <v>표점</v>
      </c>
      <c r="X198" s="108" t="str">
        <f>INDEX('배치점수 계산기'!$AH$11:$AH$800,MATCH('       나 군       '!$C198,'배치점수 계산기'!$U$11:$U$800,0))</f>
        <v>변표</v>
      </c>
      <c r="Y198" s="113">
        <f>INDEX('배치점수 계산기'!$AB$11:$AB$800,MATCH('       나 군       '!$C198,'배치점수 계산기'!$U$11:$U$800,0))</f>
        <v>0.33333333333333331</v>
      </c>
      <c r="Z198" s="73">
        <f>INDEX('배치점수 계산기'!$AC$11:$AC$800,MATCH('       나 군       '!$C198,'배치점수 계산기'!$U$11:$U$800,0))</f>
        <v>0.4</v>
      </c>
      <c r="AA198" s="63">
        <f>INDEX('배치점수 계산기'!$AD$11:$AD$800,MATCH('       나 군       '!$C198,'배치점수 계산기'!$U$11:$U$800,0))</f>
        <v>0.26666666666666666</v>
      </c>
      <c r="AE198" s="7">
        <v>191</v>
      </c>
    </row>
    <row r="199" spans="3:31" x14ac:dyDescent="0.3">
      <c r="C199" s="7" t="s">
        <v>1430</v>
      </c>
      <c r="D199" s="41" t="s">
        <v>1145</v>
      </c>
      <c r="E199" s="41">
        <v>48</v>
      </c>
      <c r="F199" s="113" t="s">
        <v>346</v>
      </c>
      <c r="G199" s="41" t="s">
        <v>801</v>
      </c>
      <c r="H199" s="41" t="s">
        <v>802</v>
      </c>
      <c r="I199" s="41" t="s">
        <v>274</v>
      </c>
      <c r="J199" s="41" t="str">
        <f t="shared" si="6"/>
        <v>X</v>
      </c>
      <c r="K199" s="113">
        <f>IFERROR(INDEX(환산공식!CI$16:CI$301,MATCH($E199,환산공식!$A$16:$A$301,0)),"")</f>
        <v>200</v>
      </c>
      <c r="L199" s="41" t="str">
        <f>IFERROR(CONCATENATE(ROUND(INDEX(환산공식!CJ$16:CJ$301,MATCH(E199,환산공식!$A$16:$A$301,0)),1),"%"),"")</f>
        <v>100%</v>
      </c>
      <c r="M199" s="41">
        <f>IFERROR(INDEX(환산공식!CK$16:CK$301,MATCH(E199,환산공식!$A$16:$A$301,0)),"")</f>
        <v>50</v>
      </c>
      <c r="N199" s="113" t="str">
        <f t="shared" si="7"/>
        <v>1% 이하</v>
      </c>
      <c r="O199" s="119">
        <f>IFERROR(ROUND(INDEX(환산공식!$EF$16:$EF$301,MATCH(E199,환산공식!$A$16:$A$301,0)),3),"")</f>
        <v>0</v>
      </c>
      <c r="P199" s="119">
        <f>IFERROR(ROUND(INDEX('배치점수 계산기'!M$11:M$1000,MATCH($C199,'배치점수 계산기'!$U$11:$U$1000,0)),2),"")</f>
        <v>712.98</v>
      </c>
      <c r="Q199" s="41">
        <f>IFERROR(ROUND(INDEX('배치점수 계산기'!N$11:N$1000,MATCH($C199,'배치점수 계산기'!$U$11:$U$1000,0)),2),"")</f>
        <v>712.14</v>
      </c>
      <c r="R199" s="41">
        <f>IFERROR(ROUND(INDEX('배치점수 계산기'!O$11:O$1000,MATCH($C199,'배치점수 계산기'!$U$11:$U$1000,0)),2),"")</f>
        <v>710.83</v>
      </c>
      <c r="S199" s="41">
        <f>IFERROR(ROUND(INDEX('배치점수 계산기'!P$11:P$1000,MATCH($C199,'배치점수 계산기'!$U$11:$U$1000,0)),2),"")</f>
        <v>709.75</v>
      </c>
      <c r="T199" s="41">
        <f>IFERROR(ROUND(INDEX('배치점수 계산기'!Q$11:Q$1000,MATCH($C199,'배치점수 계산기'!$U$11:$U$1000,0)),2),"")</f>
        <v>708.55</v>
      </c>
      <c r="U199" s="41">
        <f>IFERROR(INDEX(환산공식!$DC$16:$DC$301,MATCH(E199,환산공식!$A$16:$A$301,0)),"")</f>
        <v>0</v>
      </c>
      <c r="V199" s="113">
        <f t="shared" si="8"/>
        <v>6</v>
      </c>
      <c r="W199" s="110" t="str">
        <f>INDEX('배치점수 계산기'!$AG$11:$AG$800,MATCH('       나 군       '!$C199,'배치점수 계산기'!$U$11:$U$800,0))</f>
        <v>표점</v>
      </c>
      <c r="X199" s="108" t="str">
        <f>INDEX('배치점수 계산기'!$AH$11:$AH$800,MATCH('       나 군       '!$C199,'배치점수 계산기'!$U$11:$U$800,0))</f>
        <v>변표</v>
      </c>
      <c r="Y199" s="113">
        <f>INDEX('배치점수 계산기'!$AB$11:$AB$800,MATCH('       나 군       '!$C199,'배치점수 계산기'!$U$11:$U$800,0))</f>
        <v>0.33333333333333331</v>
      </c>
      <c r="Z199" s="73">
        <f>INDEX('배치점수 계산기'!$AC$11:$AC$800,MATCH('       나 군       '!$C199,'배치점수 계산기'!$U$11:$U$800,0))</f>
        <v>0.4</v>
      </c>
      <c r="AA199" s="63">
        <f>INDEX('배치점수 계산기'!$AD$11:$AD$800,MATCH('       나 군       '!$C199,'배치점수 계산기'!$U$11:$U$800,0))</f>
        <v>0.26666666666666666</v>
      </c>
      <c r="AE199" s="7">
        <v>192</v>
      </c>
    </row>
    <row r="200" spans="3:31" x14ac:dyDescent="0.3">
      <c r="C200" s="7" t="s">
        <v>1431</v>
      </c>
      <c r="D200" s="41" t="s">
        <v>1145</v>
      </c>
      <c r="E200" s="41">
        <v>48</v>
      </c>
      <c r="F200" s="113" t="s">
        <v>346</v>
      </c>
      <c r="G200" s="41" t="s">
        <v>801</v>
      </c>
      <c r="H200" s="41" t="s">
        <v>806</v>
      </c>
      <c r="I200" s="41" t="s">
        <v>274</v>
      </c>
      <c r="J200" s="41" t="str">
        <f t="shared" ref="J200:J261" si="9">IFERROR(IF(U200=1,"O",IF(U200=0,"X","")),"")</f>
        <v>X</v>
      </c>
      <c r="K200" s="113">
        <f>IFERROR(INDEX(환산공식!CI$16:CI$301,MATCH($E200,환산공식!$A$16:$A$301,0)),"")</f>
        <v>200</v>
      </c>
      <c r="L200" s="41" t="str">
        <f>IFERROR(CONCATENATE(ROUND(INDEX(환산공식!CJ$16:CJ$301,MATCH(E200,환산공식!$A$16:$A$301,0)),1),"%"),"")</f>
        <v>100%</v>
      </c>
      <c r="M200" s="41">
        <f>IFERROR(INDEX(환산공식!CK$16:CK$301,MATCH(E200,환산공식!$A$16:$A$301,0)),"")</f>
        <v>50</v>
      </c>
      <c r="N200" s="113" t="str">
        <f t="shared" ref="N200:N261" si="10">IF(E200="","",IF(O200&gt;P200,"90% 이상",IF(O200&gt;Q200,CONCATENATE(ROUND(((O200-Q200)/(P200-Q200))*20+70,0),"%"),IF(O200&gt;R200,CONCATENATE(ROUND(((O200-R200)/(Q200-R200))*30+40,0),"%"),IF(O200&gt;S200,CONCATENATE(ROUND(((O200-S200)/(R200-S200))*30+10,0),"%"),IF(O200&gt;T200,CONCATENATE(ROUND(((O200-T200)/(S200-T200))*9+1,0),"%"),"1% 이하"))))))</f>
        <v>1% 이하</v>
      </c>
      <c r="O200" s="119">
        <f>IFERROR(ROUND(INDEX(환산공식!$EF$16:$EF$301,MATCH(E200,환산공식!$A$16:$A$301,0)),3),"")</f>
        <v>0</v>
      </c>
      <c r="P200" s="119">
        <f>IFERROR(ROUND(INDEX('배치점수 계산기'!M$11:M$1000,MATCH($C200,'배치점수 계산기'!$U$11:$U$1000,0)),2),"")</f>
        <v>711.32</v>
      </c>
      <c r="Q200" s="41">
        <f>IFERROR(ROUND(INDEX('배치점수 계산기'!N$11:N$1000,MATCH($C200,'배치점수 계산기'!$U$11:$U$1000,0)),2),"")</f>
        <v>710.2</v>
      </c>
      <c r="R200" s="41">
        <f>IFERROR(ROUND(INDEX('배치점수 계산기'!O$11:O$1000,MATCH($C200,'배치점수 계산기'!$U$11:$U$1000,0)),2),"")</f>
        <v>709.09</v>
      </c>
      <c r="S200" s="41">
        <f>IFERROR(ROUND(INDEX('배치점수 계산기'!P$11:P$1000,MATCH($C200,'배치점수 계산기'!$U$11:$U$1000,0)),2),"")</f>
        <v>707.86</v>
      </c>
      <c r="T200" s="41">
        <f>IFERROR(ROUND(INDEX('배치점수 계산기'!Q$11:Q$1000,MATCH($C200,'배치점수 계산기'!$U$11:$U$1000,0)),2),"")</f>
        <v>706.77</v>
      </c>
      <c r="U200" s="41">
        <f>IFERROR(INDEX(환산공식!$DC$16:$DC$301,MATCH(E200,환산공식!$A$16:$A$301,0)),"")</f>
        <v>0</v>
      </c>
      <c r="V200" s="113">
        <f t="shared" ref="V200:V261" si="11">IFERROR(IF(T200="","",IF(O200&gt;P200,1,IF(O200&gt;Q200,2,IF(O200&gt;R200,3,IF(O200&gt;S200,4,IF(O200&gt;=T200,5,IF(O200&lt;T200,6))))))),"")</f>
        <v>6</v>
      </c>
      <c r="W200" s="110" t="str">
        <f>INDEX('배치점수 계산기'!$AG$11:$AG$800,MATCH('       나 군       '!$C200,'배치점수 계산기'!$U$11:$U$800,0))</f>
        <v>표점</v>
      </c>
      <c r="X200" s="108" t="str">
        <f>INDEX('배치점수 계산기'!$AH$11:$AH$800,MATCH('       나 군       '!$C200,'배치점수 계산기'!$U$11:$U$800,0))</f>
        <v>변표</v>
      </c>
      <c r="Y200" s="113">
        <f>INDEX('배치점수 계산기'!$AB$11:$AB$800,MATCH('       나 군       '!$C200,'배치점수 계산기'!$U$11:$U$800,0))</f>
        <v>0.33333333333333331</v>
      </c>
      <c r="Z200" s="73">
        <f>INDEX('배치점수 계산기'!$AC$11:$AC$800,MATCH('       나 군       '!$C200,'배치점수 계산기'!$U$11:$U$800,0))</f>
        <v>0.4</v>
      </c>
      <c r="AA200" s="63">
        <f>INDEX('배치점수 계산기'!$AD$11:$AD$800,MATCH('       나 군       '!$C200,'배치점수 계산기'!$U$11:$U$800,0))</f>
        <v>0.26666666666666666</v>
      </c>
      <c r="AE200" s="7">
        <v>193</v>
      </c>
    </row>
    <row r="201" spans="3:31" x14ac:dyDescent="0.3">
      <c r="C201" s="7" t="s">
        <v>1432</v>
      </c>
      <c r="D201" s="41" t="s">
        <v>1145</v>
      </c>
      <c r="E201" s="41">
        <v>48</v>
      </c>
      <c r="F201" s="113" t="s">
        <v>346</v>
      </c>
      <c r="G201" s="41" t="s">
        <v>801</v>
      </c>
      <c r="H201" s="41" t="s">
        <v>292</v>
      </c>
      <c r="I201" s="41" t="s">
        <v>274</v>
      </c>
      <c r="J201" s="41" t="str">
        <f t="shared" si="9"/>
        <v>X</v>
      </c>
      <c r="K201" s="113">
        <f>IFERROR(INDEX(환산공식!CI$16:CI$301,MATCH($E201,환산공식!$A$16:$A$301,0)),"")</f>
        <v>200</v>
      </c>
      <c r="L201" s="41" t="str">
        <f>IFERROR(CONCATENATE(ROUND(INDEX(환산공식!CJ$16:CJ$301,MATCH(E201,환산공식!$A$16:$A$301,0)),1),"%"),"")</f>
        <v>100%</v>
      </c>
      <c r="M201" s="41">
        <f>IFERROR(INDEX(환산공식!CK$16:CK$301,MATCH(E201,환산공식!$A$16:$A$301,0)),"")</f>
        <v>50</v>
      </c>
      <c r="N201" s="113" t="str">
        <f t="shared" si="10"/>
        <v>1% 이하</v>
      </c>
      <c r="O201" s="119">
        <f>IFERROR(ROUND(INDEX(환산공식!$EF$16:$EF$301,MATCH(E201,환산공식!$A$16:$A$301,0)),3),"")</f>
        <v>0</v>
      </c>
      <c r="P201" s="119">
        <f>IFERROR(ROUND(INDEX('배치점수 계산기'!M$11:M$1000,MATCH($C201,'배치점수 계산기'!$U$11:$U$1000,0)),2),"")</f>
        <v>712.98</v>
      </c>
      <c r="Q201" s="41">
        <f>IFERROR(ROUND(INDEX('배치점수 계산기'!N$11:N$1000,MATCH($C201,'배치점수 계산기'!$U$11:$U$1000,0)),2),"")</f>
        <v>711.32</v>
      </c>
      <c r="R201" s="41">
        <f>IFERROR(ROUND(INDEX('배치점수 계산기'!O$11:O$1000,MATCH($C201,'배치점수 계산기'!$U$11:$U$1000,0)),2),"")</f>
        <v>709.09</v>
      </c>
      <c r="S201" s="41">
        <f>IFERROR(ROUND(INDEX('배치점수 계산기'!P$11:P$1000,MATCH($C201,'배치점수 계산기'!$U$11:$U$1000,0)),2),"")</f>
        <v>708.34</v>
      </c>
      <c r="T201" s="41">
        <f>IFERROR(ROUND(INDEX('배치점수 계산기'!Q$11:Q$1000,MATCH($C201,'배치점수 계산기'!$U$11:$U$1000,0)),2),"")</f>
        <v>707.38</v>
      </c>
      <c r="U201" s="41">
        <f>IFERROR(INDEX(환산공식!$DC$16:$DC$301,MATCH(E201,환산공식!$A$16:$A$301,0)),"")</f>
        <v>0</v>
      </c>
      <c r="V201" s="113">
        <f t="shared" si="11"/>
        <v>6</v>
      </c>
      <c r="W201" s="110" t="str">
        <f>INDEX('배치점수 계산기'!$AG$11:$AG$800,MATCH('       나 군       '!$C201,'배치점수 계산기'!$U$11:$U$800,0))</f>
        <v>표점</v>
      </c>
      <c r="X201" s="108" t="str">
        <f>INDEX('배치점수 계산기'!$AH$11:$AH$800,MATCH('       나 군       '!$C201,'배치점수 계산기'!$U$11:$U$800,0))</f>
        <v>변표</v>
      </c>
      <c r="Y201" s="113">
        <f>INDEX('배치점수 계산기'!$AB$11:$AB$800,MATCH('       나 군       '!$C201,'배치점수 계산기'!$U$11:$U$800,0))</f>
        <v>0.33333333333333331</v>
      </c>
      <c r="Z201" s="73">
        <f>INDEX('배치점수 계산기'!$AC$11:$AC$800,MATCH('       나 군       '!$C201,'배치점수 계산기'!$U$11:$U$800,0))</f>
        <v>0.4</v>
      </c>
      <c r="AA201" s="63">
        <f>INDEX('배치점수 계산기'!$AD$11:$AD$800,MATCH('       나 군       '!$C201,'배치점수 계산기'!$U$11:$U$800,0))</f>
        <v>0.26666666666666666</v>
      </c>
      <c r="AE201" s="7">
        <v>194</v>
      </c>
    </row>
    <row r="202" spans="3:31" x14ac:dyDescent="0.3">
      <c r="C202" s="7" t="s">
        <v>1433</v>
      </c>
      <c r="D202" s="41" t="s">
        <v>1145</v>
      </c>
      <c r="E202" s="41">
        <v>48</v>
      </c>
      <c r="F202" s="113" t="s">
        <v>346</v>
      </c>
      <c r="G202" s="41" t="s">
        <v>801</v>
      </c>
      <c r="H202" s="41" t="s">
        <v>808</v>
      </c>
      <c r="I202" s="41" t="s">
        <v>274</v>
      </c>
      <c r="J202" s="41" t="str">
        <f t="shared" si="9"/>
        <v>X</v>
      </c>
      <c r="K202" s="113">
        <f>IFERROR(INDEX(환산공식!CI$16:CI$301,MATCH($E202,환산공식!$A$16:$A$301,0)),"")</f>
        <v>200</v>
      </c>
      <c r="L202" s="41" t="str">
        <f>IFERROR(CONCATENATE(ROUND(INDEX(환산공식!CJ$16:CJ$301,MATCH(E202,환산공식!$A$16:$A$301,0)),1),"%"),"")</f>
        <v>100%</v>
      </c>
      <c r="M202" s="41">
        <f>IFERROR(INDEX(환산공식!CK$16:CK$301,MATCH(E202,환산공식!$A$16:$A$301,0)),"")</f>
        <v>50</v>
      </c>
      <c r="N202" s="113" t="str">
        <f t="shared" si="10"/>
        <v>1% 이하</v>
      </c>
      <c r="O202" s="119">
        <f>IFERROR(ROUND(INDEX(환산공식!$EF$16:$EF$301,MATCH(E202,환산공식!$A$16:$A$301,0)),3),"")</f>
        <v>0</v>
      </c>
      <c r="P202" s="119">
        <f>IFERROR(ROUND(INDEX('배치점수 계산기'!M$11:M$1000,MATCH($C202,'배치점수 계산기'!$U$11:$U$1000,0)),2),"")</f>
        <v>711.32</v>
      </c>
      <c r="Q202" s="41">
        <f>IFERROR(ROUND(INDEX('배치점수 계산기'!N$11:N$1000,MATCH($C202,'배치점수 계산기'!$U$11:$U$1000,0)),2),"")</f>
        <v>710.2</v>
      </c>
      <c r="R202" s="41">
        <f>IFERROR(ROUND(INDEX('배치점수 계산기'!O$11:O$1000,MATCH($C202,'배치점수 계산기'!$U$11:$U$1000,0)),2),"")</f>
        <v>709.09</v>
      </c>
      <c r="S202" s="41">
        <f>IFERROR(ROUND(INDEX('배치점수 계산기'!P$11:P$1000,MATCH($C202,'배치점수 계산기'!$U$11:$U$1000,0)),2),"")</f>
        <v>707.86</v>
      </c>
      <c r="T202" s="41">
        <f>IFERROR(ROUND(INDEX('배치점수 계산기'!Q$11:Q$1000,MATCH($C202,'배치점수 계산기'!$U$11:$U$1000,0)),2),"")</f>
        <v>706.77</v>
      </c>
      <c r="U202" s="41">
        <f>IFERROR(INDEX(환산공식!$DC$16:$DC$301,MATCH(E202,환산공식!$A$16:$A$301,0)),"")</f>
        <v>0</v>
      </c>
      <c r="V202" s="113">
        <f t="shared" si="11"/>
        <v>6</v>
      </c>
      <c r="W202" s="110" t="str">
        <f>INDEX('배치점수 계산기'!$AG$11:$AG$800,MATCH('       나 군       '!$C202,'배치점수 계산기'!$U$11:$U$800,0))</f>
        <v>표점</v>
      </c>
      <c r="X202" s="108" t="str">
        <f>INDEX('배치점수 계산기'!$AH$11:$AH$800,MATCH('       나 군       '!$C202,'배치점수 계산기'!$U$11:$U$800,0))</f>
        <v>변표</v>
      </c>
      <c r="Y202" s="113">
        <f>INDEX('배치점수 계산기'!$AB$11:$AB$800,MATCH('       나 군       '!$C202,'배치점수 계산기'!$U$11:$U$800,0))</f>
        <v>0.33333333333333331</v>
      </c>
      <c r="Z202" s="73">
        <f>INDEX('배치점수 계산기'!$AC$11:$AC$800,MATCH('       나 군       '!$C202,'배치점수 계산기'!$U$11:$U$800,0))</f>
        <v>0.4</v>
      </c>
      <c r="AA202" s="63">
        <f>INDEX('배치점수 계산기'!$AD$11:$AD$800,MATCH('       나 군       '!$C202,'배치점수 계산기'!$U$11:$U$800,0))</f>
        <v>0.26666666666666666</v>
      </c>
      <c r="AE202" s="7">
        <v>195</v>
      </c>
    </row>
    <row r="203" spans="3:31" x14ac:dyDescent="0.3">
      <c r="C203" s="7" t="s">
        <v>1434</v>
      </c>
      <c r="D203" s="41" t="s">
        <v>1145</v>
      </c>
      <c r="E203" s="41">
        <v>48</v>
      </c>
      <c r="F203" s="113" t="s">
        <v>346</v>
      </c>
      <c r="G203" s="41" t="s">
        <v>801</v>
      </c>
      <c r="H203" s="41" t="s">
        <v>358</v>
      </c>
      <c r="I203" s="41" t="s">
        <v>274</v>
      </c>
      <c r="J203" s="41" t="str">
        <f t="shared" si="9"/>
        <v>X</v>
      </c>
      <c r="K203" s="113">
        <f>IFERROR(INDEX(환산공식!CI$16:CI$301,MATCH($E203,환산공식!$A$16:$A$301,0)),"")</f>
        <v>200</v>
      </c>
      <c r="L203" s="41" t="str">
        <f>IFERROR(CONCATENATE(ROUND(INDEX(환산공식!CJ$16:CJ$301,MATCH(E203,환산공식!$A$16:$A$301,0)),1),"%"),"")</f>
        <v>100%</v>
      </c>
      <c r="M203" s="41">
        <f>IFERROR(INDEX(환산공식!CK$16:CK$301,MATCH(E203,환산공식!$A$16:$A$301,0)),"")</f>
        <v>50</v>
      </c>
      <c r="N203" s="113" t="str">
        <f t="shared" si="10"/>
        <v>1% 이하</v>
      </c>
      <c r="O203" s="119">
        <f>IFERROR(ROUND(INDEX(환산공식!$EF$16:$EF$301,MATCH(E203,환산공식!$A$16:$A$301,0)),3),"")</f>
        <v>0</v>
      </c>
      <c r="P203" s="119">
        <f>IFERROR(ROUND(INDEX('배치점수 계산기'!M$11:M$1000,MATCH($C203,'배치점수 계산기'!$U$11:$U$1000,0)),2),"")</f>
        <v>711.32</v>
      </c>
      <c r="Q203" s="41">
        <f>IFERROR(ROUND(INDEX('배치점수 계산기'!N$11:N$1000,MATCH($C203,'배치점수 계산기'!$U$11:$U$1000,0)),2),"")</f>
        <v>710.2</v>
      </c>
      <c r="R203" s="41">
        <f>IFERROR(ROUND(INDEX('배치점수 계산기'!O$11:O$1000,MATCH($C203,'배치점수 계산기'!$U$11:$U$1000,0)),2),"")</f>
        <v>709.09</v>
      </c>
      <c r="S203" s="41">
        <f>IFERROR(ROUND(INDEX('배치점수 계산기'!P$11:P$1000,MATCH($C203,'배치점수 계산기'!$U$11:$U$1000,0)),2),"")</f>
        <v>707.86</v>
      </c>
      <c r="T203" s="41">
        <f>IFERROR(ROUND(INDEX('배치점수 계산기'!Q$11:Q$1000,MATCH($C203,'배치점수 계산기'!$U$11:$U$1000,0)),2),"")</f>
        <v>706.77</v>
      </c>
      <c r="U203" s="41">
        <f>IFERROR(INDEX(환산공식!$DC$16:$DC$301,MATCH(E203,환산공식!$A$16:$A$301,0)),"")</f>
        <v>0</v>
      </c>
      <c r="V203" s="113">
        <f t="shared" si="11"/>
        <v>6</v>
      </c>
      <c r="W203" s="110" t="str">
        <f>INDEX('배치점수 계산기'!$AG$11:$AG$800,MATCH('       나 군       '!$C203,'배치점수 계산기'!$U$11:$U$800,0))</f>
        <v>표점</v>
      </c>
      <c r="X203" s="108" t="str">
        <f>INDEX('배치점수 계산기'!$AH$11:$AH$800,MATCH('       나 군       '!$C203,'배치점수 계산기'!$U$11:$U$800,0))</f>
        <v>변표</v>
      </c>
      <c r="Y203" s="113">
        <f>INDEX('배치점수 계산기'!$AB$11:$AB$800,MATCH('       나 군       '!$C203,'배치점수 계산기'!$U$11:$U$800,0))</f>
        <v>0.33333333333333331</v>
      </c>
      <c r="Z203" s="73">
        <f>INDEX('배치점수 계산기'!$AC$11:$AC$800,MATCH('       나 군       '!$C203,'배치점수 계산기'!$U$11:$U$800,0))</f>
        <v>0.4</v>
      </c>
      <c r="AA203" s="63">
        <f>INDEX('배치점수 계산기'!$AD$11:$AD$800,MATCH('       나 군       '!$C203,'배치점수 계산기'!$U$11:$U$800,0))</f>
        <v>0.26666666666666666</v>
      </c>
      <c r="AE203" s="7">
        <v>196</v>
      </c>
    </row>
    <row r="204" spans="3:31" x14ac:dyDescent="0.3">
      <c r="C204" s="7" t="s">
        <v>1435</v>
      </c>
      <c r="D204" s="41" t="s">
        <v>1145</v>
      </c>
      <c r="E204" s="41">
        <v>48</v>
      </c>
      <c r="F204" s="113" t="s">
        <v>346</v>
      </c>
      <c r="G204" s="41" t="s">
        <v>801</v>
      </c>
      <c r="H204" s="41" t="s">
        <v>278</v>
      </c>
      <c r="I204" s="41" t="s">
        <v>274</v>
      </c>
      <c r="J204" s="41" t="str">
        <f t="shared" si="9"/>
        <v>X</v>
      </c>
      <c r="K204" s="113">
        <f>IFERROR(INDEX(환산공식!CI$16:CI$301,MATCH($E204,환산공식!$A$16:$A$301,0)),"")</f>
        <v>200</v>
      </c>
      <c r="L204" s="41" t="str">
        <f>IFERROR(CONCATENATE(ROUND(INDEX(환산공식!CJ$16:CJ$301,MATCH(E204,환산공식!$A$16:$A$301,0)),1),"%"),"")</f>
        <v>100%</v>
      </c>
      <c r="M204" s="41">
        <f>IFERROR(INDEX(환산공식!CK$16:CK$301,MATCH(E204,환산공식!$A$16:$A$301,0)),"")</f>
        <v>50</v>
      </c>
      <c r="N204" s="113" t="str">
        <f t="shared" si="10"/>
        <v>1% 이하</v>
      </c>
      <c r="O204" s="119">
        <f>IFERROR(ROUND(INDEX(환산공식!$EF$16:$EF$301,MATCH(E204,환산공식!$A$16:$A$301,0)),3),"")</f>
        <v>0</v>
      </c>
      <c r="P204" s="119">
        <f>IFERROR(ROUND(INDEX('배치점수 계산기'!M$11:M$1000,MATCH($C204,'배치점수 계산기'!$U$11:$U$1000,0)),2),"")</f>
        <v>714.61</v>
      </c>
      <c r="Q204" s="41">
        <f>IFERROR(ROUND(INDEX('배치점수 계산기'!N$11:N$1000,MATCH($C204,'배치점수 계산기'!$U$11:$U$1000,0)),2),"")</f>
        <v>714</v>
      </c>
      <c r="R204" s="41">
        <f>IFERROR(ROUND(INDEX('배치점수 계산기'!O$11:O$1000,MATCH($C204,'배치점수 계산기'!$U$11:$U$1000,0)),2),"")</f>
        <v>713.22</v>
      </c>
      <c r="S204" s="41">
        <f>IFERROR(ROUND(INDEX('배치점수 계산기'!P$11:P$1000,MATCH($C204,'배치점수 계산기'!$U$11:$U$1000,0)),2),"")</f>
        <v>711.65</v>
      </c>
      <c r="T204" s="41">
        <f>IFERROR(ROUND(INDEX('배치점수 계산기'!Q$11:Q$1000,MATCH($C204,'배치점수 계산기'!$U$11:$U$1000,0)),2),"")</f>
        <v>710.54</v>
      </c>
      <c r="U204" s="41">
        <f>IFERROR(INDEX(환산공식!$DC$16:$DC$301,MATCH(E204,환산공식!$A$16:$A$301,0)),"")</f>
        <v>0</v>
      </c>
      <c r="V204" s="113">
        <f t="shared" si="11"/>
        <v>6</v>
      </c>
      <c r="W204" s="110" t="str">
        <f>INDEX('배치점수 계산기'!$AG$11:$AG$800,MATCH('       나 군       '!$C204,'배치점수 계산기'!$U$11:$U$800,0))</f>
        <v>표점</v>
      </c>
      <c r="X204" s="108" t="str">
        <f>INDEX('배치점수 계산기'!$AH$11:$AH$800,MATCH('       나 군       '!$C204,'배치점수 계산기'!$U$11:$U$800,0))</f>
        <v>변표</v>
      </c>
      <c r="Y204" s="113">
        <f>INDEX('배치점수 계산기'!$AB$11:$AB$800,MATCH('       나 군       '!$C204,'배치점수 계산기'!$U$11:$U$800,0))</f>
        <v>0.33333333333333331</v>
      </c>
      <c r="Z204" s="73">
        <f>INDEX('배치점수 계산기'!$AC$11:$AC$800,MATCH('       나 군       '!$C204,'배치점수 계산기'!$U$11:$U$800,0))</f>
        <v>0.4</v>
      </c>
      <c r="AA204" s="63">
        <f>INDEX('배치점수 계산기'!$AD$11:$AD$800,MATCH('       나 군       '!$C204,'배치점수 계산기'!$U$11:$U$800,0))</f>
        <v>0.26666666666666666</v>
      </c>
      <c r="AE204" s="7">
        <v>197</v>
      </c>
    </row>
    <row r="205" spans="3:31" x14ac:dyDescent="0.3">
      <c r="C205" s="7" t="s">
        <v>1436</v>
      </c>
      <c r="D205" s="41" t="s">
        <v>1155</v>
      </c>
      <c r="E205" s="41">
        <v>49</v>
      </c>
      <c r="F205" s="113" t="s">
        <v>346</v>
      </c>
      <c r="G205" s="41" t="s">
        <v>801</v>
      </c>
      <c r="H205" s="41" t="s">
        <v>307</v>
      </c>
      <c r="I205" s="41" t="s">
        <v>275</v>
      </c>
      <c r="J205" s="41" t="str">
        <f t="shared" si="9"/>
        <v>X</v>
      </c>
      <c r="K205" s="113">
        <f>IFERROR(INDEX(환산공식!CI$16:CI$301,MATCH($E205,환산공식!$A$16:$A$301,0)),"")</f>
        <v>200</v>
      </c>
      <c r="L205" s="41" t="str">
        <f>IFERROR(CONCATENATE(ROUND(INDEX(환산공식!CJ$16:CJ$301,MATCH(E205,환산공식!$A$16:$A$301,0)),1),"%"),"")</f>
        <v>100%</v>
      </c>
      <c r="M205" s="41">
        <f>IFERROR(INDEX(환산공식!CK$16:CK$301,MATCH(E205,환산공식!$A$16:$A$301,0)),"")</f>
        <v>50</v>
      </c>
      <c r="N205" s="113" t="str">
        <f t="shared" si="10"/>
        <v>1% 이하</v>
      </c>
      <c r="O205" s="119">
        <f>IFERROR(ROUND(INDEX(환산공식!$EF$16:$EF$301,MATCH(E205,환산공식!$A$16:$A$301,0)),3),"")</f>
        <v>0</v>
      </c>
      <c r="P205" s="119">
        <f>IFERROR(ROUND(INDEX('배치점수 계산기'!M$11:M$1000,MATCH($C205,'배치점수 계산기'!$U$11:$U$1000,0)),2),"")</f>
        <v>705.78</v>
      </c>
      <c r="Q205" s="41">
        <f>IFERROR(ROUND(INDEX('배치점수 계산기'!N$11:N$1000,MATCH($C205,'배치점수 계산기'!$U$11:$U$1000,0)),2),"")</f>
        <v>704.01</v>
      </c>
      <c r="R205" s="41">
        <f>IFERROR(ROUND(INDEX('배치점수 계산기'!O$11:O$1000,MATCH($C205,'배치점수 계산기'!$U$11:$U$1000,0)),2),"")</f>
        <v>702.09</v>
      </c>
      <c r="S205" s="41">
        <f>IFERROR(ROUND(INDEX('배치점수 계산기'!P$11:P$1000,MATCH($C205,'배치점수 계산기'!$U$11:$U$1000,0)),2),"")</f>
        <v>700.75</v>
      </c>
      <c r="T205" s="41">
        <f>IFERROR(ROUND(INDEX('배치점수 계산기'!Q$11:Q$1000,MATCH($C205,'배치점수 계산기'!$U$11:$U$1000,0)),2),"")</f>
        <v>697.32</v>
      </c>
      <c r="U205" s="41">
        <f>IFERROR(INDEX(환산공식!$DC$16:$DC$301,MATCH(E205,환산공식!$A$16:$A$301,0)),"")</f>
        <v>0</v>
      </c>
      <c r="V205" s="113">
        <f t="shared" si="11"/>
        <v>6</v>
      </c>
      <c r="W205" s="110" t="str">
        <f>INDEX('배치점수 계산기'!$AG$11:$AG$800,MATCH('       나 군       '!$C205,'배치점수 계산기'!$U$11:$U$800,0))</f>
        <v>표점</v>
      </c>
      <c r="X205" s="108" t="str">
        <f>INDEX('배치점수 계산기'!$AH$11:$AH$800,MATCH('       나 군       '!$C205,'배치점수 계산기'!$U$11:$U$800,0))</f>
        <v>변표</v>
      </c>
      <c r="Y205" s="113">
        <f>INDEX('배치점수 계산기'!$AB$11:$AB$800,MATCH('       나 군       '!$C205,'배치점수 계산기'!$U$11:$U$800,0))</f>
        <v>0.4</v>
      </c>
      <c r="Z205" s="73">
        <f>INDEX('배치점수 계산기'!$AC$11:$AC$800,MATCH('       나 군       '!$C205,'배치점수 계산기'!$U$11:$U$800,0))</f>
        <v>0.33333333333333331</v>
      </c>
      <c r="AA205" s="63">
        <f>INDEX('배치점수 계산기'!$AD$11:$AD$800,MATCH('       나 군       '!$C205,'배치점수 계산기'!$U$11:$U$800,0))</f>
        <v>0.26666666666666666</v>
      </c>
      <c r="AE205" s="7">
        <v>198</v>
      </c>
    </row>
    <row r="206" spans="3:31" x14ac:dyDescent="0.3">
      <c r="C206" s="7" t="s">
        <v>1437</v>
      </c>
      <c r="D206" s="41" t="s">
        <v>1155</v>
      </c>
      <c r="E206" s="41">
        <v>49</v>
      </c>
      <c r="F206" s="113" t="s">
        <v>346</v>
      </c>
      <c r="G206" s="41" t="s">
        <v>801</v>
      </c>
      <c r="H206" s="41" t="s">
        <v>264</v>
      </c>
      <c r="I206" s="41" t="s">
        <v>275</v>
      </c>
      <c r="J206" s="41" t="str">
        <f t="shared" si="9"/>
        <v>X</v>
      </c>
      <c r="K206" s="113">
        <f>IFERROR(INDEX(환산공식!CI$16:CI$301,MATCH($E206,환산공식!$A$16:$A$301,0)),"")</f>
        <v>200</v>
      </c>
      <c r="L206" s="41" t="str">
        <f>IFERROR(CONCATENATE(ROUND(INDEX(환산공식!CJ$16:CJ$301,MATCH(E206,환산공식!$A$16:$A$301,0)),1),"%"),"")</f>
        <v>100%</v>
      </c>
      <c r="M206" s="41">
        <f>IFERROR(INDEX(환산공식!CK$16:CK$301,MATCH(E206,환산공식!$A$16:$A$301,0)),"")</f>
        <v>50</v>
      </c>
      <c r="N206" s="113" t="str">
        <f t="shared" si="10"/>
        <v>1% 이하</v>
      </c>
      <c r="O206" s="119">
        <f>IFERROR(ROUND(INDEX(환산공식!$EF$16:$EF$301,MATCH(E206,환산공식!$A$16:$A$301,0)),3),"")</f>
        <v>0</v>
      </c>
      <c r="P206" s="119">
        <f>IFERROR(ROUND(INDEX('배치점수 계산기'!M$11:M$1000,MATCH($C206,'배치점수 계산기'!$U$11:$U$1000,0)),2),"")</f>
        <v>707.22</v>
      </c>
      <c r="Q206" s="41">
        <f>IFERROR(ROUND(INDEX('배치점수 계산기'!N$11:N$1000,MATCH($C206,'배치점수 계산기'!$U$11:$U$1000,0)),2),"")</f>
        <v>705.78</v>
      </c>
      <c r="R206" s="41">
        <f>IFERROR(ROUND(INDEX('배치점수 계산기'!O$11:O$1000,MATCH($C206,'배치점수 계산기'!$U$11:$U$1000,0)),2),"")</f>
        <v>704.01</v>
      </c>
      <c r="S206" s="41">
        <f>IFERROR(ROUND(INDEX('배치점수 계산기'!P$11:P$1000,MATCH($C206,'배치점수 계산기'!$U$11:$U$1000,0)),2),"")</f>
        <v>701.37</v>
      </c>
      <c r="T206" s="41">
        <f>IFERROR(ROUND(INDEX('배치점수 계산기'!Q$11:Q$1000,MATCH($C206,'배치점수 계산기'!$U$11:$U$1000,0)),2),"")</f>
        <v>698.26</v>
      </c>
      <c r="U206" s="41">
        <f>IFERROR(INDEX(환산공식!$DC$16:$DC$301,MATCH(E206,환산공식!$A$16:$A$301,0)),"")</f>
        <v>0</v>
      </c>
      <c r="V206" s="113">
        <f t="shared" si="11"/>
        <v>6</v>
      </c>
      <c r="W206" s="110" t="str">
        <f>INDEX('배치점수 계산기'!$AG$11:$AG$800,MATCH('       나 군       '!$C206,'배치점수 계산기'!$U$11:$U$800,0))</f>
        <v>표점</v>
      </c>
      <c r="X206" s="108" t="str">
        <f>INDEX('배치점수 계산기'!$AH$11:$AH$800,MATCH('       나 군       '!$C206,'배치점수 계산기'!$U$11:$U$800,0))</f>
        <v>변표</v>
      </c>
      <c r="Y206" s="113">
        <f>INDEX('배치점수 계산기'!$AB$11:$AB$800,MATCH('       나 군       '!$C206,'배치점수 계산기'!$U$11:$U$800,0))</f>
        <v>0.4</v>
      </c>
      <c r="Z206" s="73">
        <f>INDEX('배치점수 계산기'!$AC$11:$AC$800,MATCH('       나 군       '!$C206,'배치점수 계산기'!$U$11:$U$800,0))</f>
        <v>0.33333333333333331</v>
      </c>
      <c r="AA206" s="63">
        <f>INDEX('배치점수 계산기'!$AD$11:$AD$800,MATCH('       나 군       '!$C206,'배치점수 계산기'!$U$11:$U$800,0))</f>
        <v>0.26666666666666666</v>
      </c>
      <c r="AE206" s="7">
        <v>199</v>
      </c>
    </row>
    <row r="207" spans="3:31" x14ac:dyDescent="0.3">
      <c r="C207" s="7" t="s">
        <v>1438</v>
      </c>
      <c r="D207" s="41" t="s">
        <v>1155</v>
      </c>
      <c r="E207" s="41">
        <v>49</v>
      </c>
      <c r="F207" s="113" t="s">
        <v>346</v>
      </c>
      <c r="G207" s="41" t="s">
        <v>801</v>
      </c>
      <c r="H207" s="41" t="s">
        <v>812</v>
      </c>
      <c r="I207" s="41" t="s">
        <v>275</v>
      </c>
      <c r="J207" s="41" t="str">
        <f t="shared" si="9"/>
        <v>X</v>
      </c>
      <c r="K207" s="113">
        <f>IFERROR(INDEX(환산공식!CI$16:CI$301,MATCH($E207,환산공식!$A$16:$A$301,0)),"")</f>
        <v>200</v>
      </c>
      <c r="L207" s="41" t="str">
        <f>IFERROR(CONCATENATE(ROUND(INDEX(환산공식!CJ$16:CJ$301,MATCH(E207,환산공식!$A$16:$A$301,0)),1),"%"),"")</f>
        <v>100%</v>
      </c>
      <c r="M207" s="41">
        <f>IFERROR(INDEX(환산공식!CK$16:CK$301,MATCH(E207,환산공식!$A$16:$A$301,0)),"")</f>
        <v>50</v>
      </c>
      <c r="N207" s="113" t="str">
        <f t="shared" si="10"/>
        <v>1% 이하</v>
      </c>
      <c r="O207" s="119">
        <f>IFERROR(ROUND(INDEX(환산공식!$EF$16:$EF$301,MATCH(E207,환산공식!$A$16:$A$301,0)),3),"")</f>
        <v>0</v>
      </c>
      <c r="P207" s="119">
        <f>IFERROR(ROUND(INDEX('배치점수 계산기'!M$11:M$1000,MATCH($C207,'배치점수 계산기'!$U$11:$U$1000,0)),2),"")</f>
        <v>707.22</v>
      </c>
      <c r="Q207" s="41">
        <f>IFERROR(ROUND(INDEX('배치점수 계산기'!N$11:N$1000,MATCH($C207,'배치점수 계산기'!$U$11:$U$1000,0)),2),"")</f>
        <v>705.78</v>
      </c>
      <c r="R207" s="41">
        <f>IFERROR(ROUND(INDEX('배치점수 계산기'!O$11:O$1000,MATCH($C207,'배치점수 계산기'!$U$11:$U$1000,0)),2),"")</f>
        <v>704.01</v>
      </c>
      <c r="S207" s="41">
        <f>IFERROR(ROUND(INDEX('배치점수 계산기'!P$11:P$1000,MATCH($C207,'배치점수 계산기'!$U$11:$U$1000,0)),2),"")</f>
        <v>701.37</v>
      </c>
      <c r="T207" s="41">
        <f>IFERROR(ROUND(INDEX('배치점수 계산기'!Q$11:Q$1000,MATCH($C207,'배치점수 계산기'!$U$11:$U$1000,0)),2),"")</f>
        <v>699.5</v>
      </c>
      <c r="U207" s="41">
        <f>IFERROR(INDEX(환산공식!$DC$16:$DC$301,MATCH(E207,환산공식!$A$16:$A$301,0)),"")</f>
        <v>0</v>
      </c>
      <c r="V207" s="113">
        <f t="shared" si="11"/>
        <v>6</v>
      </c>
      <c r="W207" s="110" t="str">
        <f>INDEX('배치점수 계산기'!$AG$11:$AG$800,MATCH('       나 군       '!$C207,'배치점수 계산기'!$U$11:$U$800,0))</f>
        <v>표점</v>
      </c>
      <c r="X207" s="108" t="str">
        <f>INDEX('배치점수 계산기'!$AH$11:$AH$800,MATCH('       나 군       '!$C207,'배치점수 계산기'!$U$11:$U$800,0))</f>
        <v>변표</v>
      </c>
      <c r="Y207" s="113">
        <f>INDEX('배치점수 계산기'!$AB$11:$AB$800,MATCH('       나 군       '!$C207,'배치점수 계산기'!$U$11:$U$800,0))</f>
        <v>0.4</v>
      </c>
      <c r="Z207" s="73">
        <f>INDEX('배치점수 계산기'!$AC$11:$AC$800,MATCH('       나 군       '!$C207,'배치점수 계산기'!$U$11:$U$800,0))</f>
        <v>0.33333333333333331</v>
      </c>
      <c r="AA207" s="63">
        <f>INDEX('배치점수 계산기'!$AD$11:$AD$800,MATCH('       나 군       '!$C207,'배치점수 계산기'!$U$11:$U$800,0))</f>
        <v>0.26666666666666666</v>
      </c>
      <c r="AE207" s="7">
        <v>200</v>
      </c>
    </row>
    <row r="208" spans="3:31" x14ac:dyDescent="0.3">
      <c r="C208" s="7" t="s">
        <v>1439</v>
      </c>
      <c r="D208" s="41" t="s">
        <v>1155</v>
      </c>
      <c r="E208" s="41">
        <v>49</v>
      </c>
      <c r="F208" s="113" t="s">
        <v>346</v>
      </c>
      <c r="G208" s="41" t="s">
        <v>801</v>
      </c>
      <c r="H208" s="41" t="s">
        <v>262</v>
      </c>
      <c r="I208" s="41" t="s">
        <v>275</v>
      </c>
      <c r="J208" s="41" t="str">
        <f t="shared" si="9"/>
        <v>X</v>
      </c>
      <c r="K208" s="113">
        <f>IFERROR(INDEX(환산공식!CI$16:CI$301,MATCH($E208,환산공식!$A$16:$A$301,0)),"")</f>
        <v>200</v>
      </c>
      <c r="L208" s="41" t="str">
        <f>IFERROR(CONCATENATE(ROUND(INDEX(환산공식!CJ$16:CJ$301,MATCH(E208,환산공식!$A$16:$A$301,0)),1),"%"),"")</f>
        <v>100%</v>
      </c>
      <c r="M208" s="41">
        <f>IFERROR(INDEX(환산공식!CK$16:CK$301,MATCH(E208,환산공식!$A$16:$A$301,0)),"")</f>
        <v>50</v>
      </c>
      <c r="N208" s="113" t="str">
        <f t="shared" si="10"/>
        <v>1% 이하</v>
      </c>
      <c r="O208" s="119">
        <f>IFERROR(ROUND(INDEX(환산공식!$EF$16:$EF$301,MATCH(E208,환산공식!$A$16:$A$301,0)),3),"")</f>
        <v>0</v>
      </c>
      <c r="P208" s="119">
        <f>IFERROR(ROUND(INDEX('배치점수 계산기'!M$11:M$1000,MATCH($C208,'배치점수 계산기'!$U$11:$U$1000,0)),2),"")</f>
        <v>708.14</v>
      </c>
      <c r="Q208" s="41">
        <f>IFERROR(ROUND(INDEX('배치점수 계산기'!N$11:N$1000,MATCH($C208,'배치점수 계산기'!$U$11:$U$1000,0)),2),"")</f>
        <v>707.22</v>
      </c>
      <c r="R208" s="41">
        <f>IFERROR(ROUND(INDEX('배치점수 계산기'!O$11:O$1000,MATCH($C208,'배치점수 계산기'!$U$11:$U$1000,0)),2),"")</f>
        <v>705.78</v>
      </c>
      <c r="S208" s="41">
        <f>IFERROR(ROUND(INDEX('배치점수 계산기'!P$11:P$1000,MATCH($C208,'배치점수 계산기'!$U$11:$U$1000,0)),2),"")</f>
        <v>702.09</v>
      </c>
      <c r="T208" s="41">
        <f>IFERROR(ROUND(INDEX('배치점수 계산기'!Q$11:Q$1000,MATCH($C208,'배치점수 계산기'!$U$11:$U$1000,0)),2),"")</f>
        <v>700.21</v>
      </c>
      <c r="U208" s="41">
        <f>IFERROR(INDEX(환산공식!$DC$16:$DC$301,MATCH(E208,환산공식!$A$16:$A$301,0)),"")</f>
        <v>0</v>
      </c>
      <c r="V208" s="113">
        <f t="shared" si="11"/>
        <v>6</v>
      </c>
      <c r="W208" s="110" t="str">
        <f>INDEX('배치점수 계산기'!$AG$11:$AG$800,MATCH('       나 군       '!$C208,'배치점수 계산기'!$U$11:$U$800,0))</f>
        <v>표점</v>
      </c>
      <c r="X208" s="108" t="str">
        <f>INDEX('배치점수 계산기'!$AH$11:$AH$800,MATCH('       나 군       '!$C208,'배치점수 계산기'!$U$11:$U$800,0))</f>
        <v>변표</v>
      </c>
      <c r="Y208" s="113">
        <f>INDEX('배치점수 계산기'!$AB$11:$AB$800,MATCH('       나 군       '!$C208,'배치점수 계산기'!$U$11:$U$800,0))</f>
        <v>0.4</v>
      </c>
      <c r="Z208" s="73">
        <f>INDEX('배치점수 계산기'!$AC$11:$AC$800,MATCH('       나 군       '!$C208,'배치점수 계산기'!$U$11:$U$800,0))</f>
        <v>0.33333333333333331</v>
      </c>
      <c r="AA208" s="63">
        <f>INDEX('배치점수 계산기'!$AD$11:$AD$800,MATCH('       나 군       '!$C208,'배치점수 계산기'!$U$11:$U$800,0))</f>
        <v>0.26666666666666666</v>
      </c>
      <c r="AE208" s="7">
        <v>201</v>
      </c>
    </row>
    <row r="209" spans="3:31" x14ac:dyDescent="0.3">
      <c r="C209" s="7" t="s">
        <v>1440</v>
      </c>
      <c r="D209" s="41" t="s">
        <v>1155</v>
      </c>
      <c r="E209" s="41">
        <v>49</v>
      </c>
      <c r="F209" s="113" t="s">
        <v>346</v>
      </c>
      <c r="G209" s="41" t="s">
        <v>801</v>
      </c>
      <c r="H209" s="41" t="s">
        <v>813</v>
      </c>
      <c r="I209" s="41" t="s">
        <v>275</v>
      </c>
      <c r="J209" s="41" t="str">
        <f t="shared" si="9"/>
        <v>X</v>
      </c>
      <c r="K209" s="113">
        <f>IFERROR(INDEX(환산공식!CI$16:CI$301,MATCH($E209,환산공식!$A$16:$A$301,0)),"")</f>
        <v>200</v>
      </c>
      <c r="L209" s="41" t="str">
        <f>IFERROR(CONCATENATE(ROUND(INDEX(환산공식!CJ$16:CJ$301,MATCH(E209,환산공식!$A$16:$A$301,0)),1),"%"),"")</f>
        <v>100%</v>
      </c>
      <c r="M209" s="41">
        <f>IFERROR(INDEX(환산공식!CK$16:CK$301,MATCH(E209,환산공식!$A$16:$A$301,0)),"")</f>
        <v>50</v>
      </c>
      <c r="N209" s="113" t="str">
        <f t="shared" si="10"/>
        <v>1% 이하</v>
      </c>
      <c r="O209" s="119">
        <f>IFERROR(ROUND(INDEX(환산공식!$EF$16:$EF$301,MATCH(E209,환산공식!$A$16:$A$301,0)),3),"")</f>
        <v>0</v>
      </c>
      <c r="P209" s="119">
        <f>IFERROR(ROUND(INDEX('배치점수 계산기'!M$11:M$1000,MATCH($C209,'배치점수 계산기'!$U$11:$U$1000,0)),2),"")</f>
        <v>705.78</v>
      </c>
      <c r="Q209" s="41">
        <f>IFERROR(ROUND(INDEX('배치점수 계산기'!N$11:N$1000,MATCH($C209,'배치점수 계산기'!$U$11:$U$1000,0)),2),"")</f>
        <v>704.01</v>
      </c>
      <c r="R209" s="41">
        <f>IFERROR(ROUND(INDEX('배치점수 계산기'!O$11:O$1000,MATCH($C209,'배치점수 계산기'!$U$11:$U$1000,0)),2),"")</f>
        <v>702.09</v>
      </c>
      <c r="S209" s="41">
        <f>IFERROR(ROUND(INDEX('배치점수 계산기'!P$11:P$1000,MATCH($C209,'배치점수 계산기'!$U$11:$U$1000,0)),2),"")</f>
        <v>700.21</v>
      </c>
      <c r="T209" s="41">
        <f>IFERROR(ROUND(INDEX('배치점수 계산기'!Q$11:Q$1000,MATCH($C209,'배치점수 계산기'!$U$11:$U$1000,0)),2),"")</f>
        <v>697.32</v>
      </c>
      <c r="U209" s="41">
        <f>IFERROR(INDEX(환산공식!$DC$16:$DC$301,MATCH(E209,환산공식!$A$16:$A$301,0)),"")</f>
        <v>0</v>
      </c>
      <c r="V209" s="113">
        <f t="shared" si="11"/>
        <v>6</v>
      </c>
      <c r="W209" s="110" t="str">
        <f>INDEX('배치점수 계산기'!$AG$11:$AG$800,MATCH('       나 군       '!$C209,'배치점수 계산기'!$U$11:$U$800,0))</f>
        <v>표점</v>
      </c>
      <c r="X209" s="108" t="str">
        <f>INDEX('배치점수 계산기'!$AH$11:$AH$800,MATCH('       나 군       '!$C209,'배치점수 계산기'!$U$11:$U$800,0))</f>
        <v>변표</v>
      </c>
      <c r="Y209" s="113">
        <f>INDEX('배치점수 계산기'!$AB$11:$AB$800,MATCH('       나 군       '!$C209,'배치점수 계산기'!$U$11:$U$800,0))</f>
        <v>0.4</v>
      </c>
      <c r="Z209" s="73">
        <f>INDEX('배치점수 계산기'!$AC$11:$AC$800,MATCH('       나 군       '!$C209,'배치점수 계산기'!$U$11:$U$800,0))</f>
        <v>0.33333333333333331</v>
      </c>
      <c r="AA209" s="63">
        <f>INDEX('배치점수 계산기'!$AD$11:$AD$800,MATCH('       나 군       '!$C209,'배치점수 계산기'!$U$11:$U$800,0))</f>
        <v>0.26666666666666666</v>
      </c>
      <c r="AE209" s="7">
        <v>202</v>
      </c>
    </row>
    <row r="210" spans="3:31" x14ac:dyDescent="0.3">
      <c r="C210" s="7" t="s">
        <v>1441</v>
      </c>
      <c r="D210" s="41" t="s">
        <v>1155</v>
      </c>
      <c r="E210" s="41">
        <v>49</v>
      </c>
      <c r="F210" s="113" t="s">
        <v>346</v>
      </c>
      <c r="G210" s="41" t="s">
        <v>801</v>
      </c>
      <c r="H210" s="41" t="s">
        <v>814</v>
      </c>
      <c r="I210" s="41" t="s">
        <v>275</v>
      </c>
      <c r="J210" s="41" t="str">
        <f t="shared" si="9"/>
        <v>X</v>
      </c>
      <c r="K210" s="113">
        <f>IFERROR(INDEX(환산공식!CI$16:CI$301,MATCH($E210,환산공식!$A$16:$A$301,0)),"")</f>
        <v>200</v>
      </c>
      <c r="L210" s="41" t="str">
        <f>IFERROR(CONCATENATE(ROUND(INDEX(환산공식!CJ$16:CJ$301,MATCH(E210,환산공식!$A$16:$A$301,0)),1),"%"),"")</f>
        <v>100%</v>
      </c>
      <c r="M210" s="41">
        <f>IFERROR(INDEX(환산공식!CK$16:CK$301,MATCH(E210,환산공식!$A$16:$A$301,0)),"")</f>
        <v>50</v>
      </c>
      <c r="N210" s="113" t="str">
        <f t="shared" si="10"/>
        <v>1% 이하</v>
      </c>
      <c r="O210" s="119">
        <f>IFERROR(ROUND(INDEX(환산공식!$EF$16:$EF$301,MATCH(E210,환산공식!$A$16:$A$301,0)),3),"")</f>
        <v>0</v>
      </c>
      <c r="P210" s="119">
        <f>IFERROR(ROUND(INDEX('배치점수 계산기'!M$11:M$1000,MATCH($C210,'배치점수 계산기'!$U$11:$U$1000,0)),2),"")</f>
        <v>706.7</v>
      </c>
      <c r="Q210" s="41">
        <f>IFERROR(ROUND(INDEX('배치점수 계산기'!N$11:N$1000,MATCH($C210,'배치점수 계산기'!$U$11:$U$1000,0)),2),"")</f>
        <v>704.95</v>
      </c>
      <c r="R210" s="41">
        <f>IFERROR(ROUND(INDEX('배치점수 계산기'!O$11:O$1000,MATCH($C210,'배치점수 계산기'!$U$11:$U$1000,0)),2),"")</f>
        <v>702.85</v>
      </c>
      <c r="S210" s="41">
        <f>IFERROR(ROUND(INDEX('배치점수 계산기'!P$11:P$1000,MATCH($C210,'배치점수 계산기'!$U$11:$U$1000,0)),2),"")</f>
        <v>700.75</v>
      </c>
      <c r="T210" s="41">
        <f>IFERROR(ROUND(INDEX('배치점수 계산기'!Q$11:Q$1000,MATCH($C210,'배치점수 계산기'!$U$11:$U$1000,0)),2),"")</f>
        <v>697.89</v>
      </c>
      <c r="U210" s="41">
        <f>IFERROR(INDEX(환산공식!$DC$16:$DC$301,MATCH(E210,환산공식!$A$16:$A$301,0)),"")</f>
        <v>0</v>
      </c>
      <c r="V210" s="113">
        <f t="shared" si="11"/>
        <v>6</v>
      </c>
      <c r="W210" s="110" t="str">
        <f>INDEX('배치점수 계산기'!$AG$11:$AG$800,MATCH('       나 군       '!$C210,'배치점수 계산기'!$U$11:$U$800,0))</f>
        <v>표점</v>
      </c>
      <c r="X210" s="108" t="str">
        <f>INDEX('배치점수 계산기'!$AH$11:$AH$800,MATCH('       나 군       '!$C210,'배치점수 계산기'!$U$11:$U$800,0))</f>
        <v>변표</v>
      </c>
      <c r="Y210" s="113">
        <f>INDEX('배치점수 계산기'!$AB$11:$AB$800,MATCH('       나 군       '!$C210,'배치점수 계산기'!$U$11:$U$800,0))</f>
        <v>0.4</v>
      </c>
      <c r="Z210" s="73">
        <f>INDEX('배치점수 계산기'!$AC$11:$AC$800,MATCH('       나 군       '!$C210,'배치점수 계산기'!$U$11:$U$800,0))</f>
        <v>0.33333333333333331</v>
      </c>
      <c r="AA210" s="63">
        <f>INDEX('배치점수 계산기'!$AD$11:$AD$800,MATCH('       나 군       '!$C210,'배치점수 계산기'!$U$11:$U$800,0))</f>
        <v>0.26666666666666666</v>
      </c>
      <c r="AE210" s="7">
        <v>203</v>
      </c>
    </row>
    <row r="211" spans="3:31" x14ac:dyDescent="0.3">
      <c r="C211" s="7" t="s">
        <v>1442</v>
      </c>
      <c r="D211" s="41" t="s">
        <v>1155</v>
      </c>
      <c r="E211" s="41">
        <v>49</v>
      </c>
      <c r="F211" s="113" t="s">
        <v>346</v>
      </c>
      <c r="G211" s="41" t="s">
        <v>801</v>
      </c>
      <c r="H211" s="41" t="s">
        <v>817</v>
      </c>
      <c r="I211" s="41" t="s">
        <v>275</v>
      </c>
      <c r="J211" s="41" t="str">
        <f t="shared" si="9"/>
        <v>X</v>
      </c>
      <c r="K211" s="113">
        <f>IFERROR(INDEX(환산공식!CI$16:CI$301,MATCH($E211,환산공식!$A$16:$A$301,0)),"")</f>
        <v>200</v>
      </c>
      <c r="L211" s="41" t="str">
        <f>IFERROR(CONCATENATE(ROUND(INDEX(환산공식!CJ$16:CJ$301,MATCH(E211,환산공식!$A$16:$A$301,0)),1),"%"),"")</f>
        <v>100%</v>
      </c>
      <c r="M211" s="41">
        <f>IFERROR(INDEX(환산공식!CK$16:CK$301,MATCH(E211,환산공식!$A$16:$A$301,0)),"")</f>
        <v>50</v>
      </c>
      <c r="N211" s="113" t="str">
        <f t="shared" si="10"/>
        <v>1% 이하</v>
      </c>
      <c r="O211" s="119">
        <f>IFERROR(ROUND(INDEX(환산공식!$EF$16:$EF$301,MATCH(E211,환산공식!$A$16:$A$301,0)),3),"")</f>
        <v>0</v>
      </c>
      <c r="P211" s="119">
        <f>IFERROR(ROUND(INDEX('배치점수 계산기'!M$11:M$1000,MATCH($C211,'배치점수 계산기'!$U$11:$U$1000,0)),2),"")</f>
        <v>704.95</v>
      </c>
      <c r="Q211" s="41">
        <f>IFERROR(ROUND(INDEX('배치점수 계산기'!N$11:N$1000,MATCH($C211,'배치점수 계산기'!$U$11:$U$1000,0)),2),"")</f>
        <v>702.85</v>
      </c>
      <c r="R211" s="41">
        <f>IFERROR(ROUND(INDEX('배치점수 계산기'!O$11:O$1000,MATCH($C211,'배치점수 계산기'!$U$11:$U$1000,0)),2),"")</f>
        <v>701.37</v>
      </c>
      <c r="S211" s="41">
        <f>IFERROR(ROUND(INDEX('배치점수 계산기'!P$11:P$1000,MATCH($C211,'배치점수 계산기'!$U$11:$U$1000,0)),2),"")</f>
        <v>699.5</v>
      </c>
      <c r="T211" s="41">
        <f>IFERROR(ROUND(INDEX('배치점수 계산기'!Q$11:Q$1000,MATCH($C211,'배치점수 계산기'!$U$11:$U$1000,0)),2),"")</f>
        <v>696.77</v>
      </c>
      <c r="U211" s="41">
        <f>IFERROR(INDEX(환산공식!$DC$16:$DC$301,MATCH(E211,환산공식!$A$16:$A$301,0)),"")</f>
        <v>0</v>
      </c>
      <c r="V211" s="113">
        <f t="shared" si="11"/>
        <v>6</v>
      </c>
      <c r="W211" s="110" t="str">
        <f>INDEX('배치점수 계산기'!$AG$11:$AG$800,MATCH('       나 군       '!$C211,'배치점수 계산기'!$U$11:$U$800,0))</f>
        <v>표점</v>
      </c>
      <c r="X211" s="108" t="str">
        <f>INDEX('배치점수 계산기'!$AH$11:$AH$800,MATCH('       나 군       '!$C211,'배치점수 계산기'!$U$11:$U$800,0))</f>
        <v>변표</v>
      </c>
      <c r="Y211" s="113">
        <f>INDEX('배치점수 계산기'!$AB$11:$AB$800,MATCH('       나 군       '!$C211,'배치점수 계산기'!$U$11:$U$800,0))</f>
        <v>0.4</v>
      </c>
      <c r="Z211" s="73">
        <f>INDEX('배치점수 계산기'!$AC$11:$AC$800,MATCH('       나 군       '!$C211,'배치점수 계산기'!$U$11:$U$800,0))</f>
        <v>0.33333333333333331</v>
      </c>
      <c r="AA211" s="63">
        <f>INDEX('배치점수 계산기'!$AD$11:$AD$800,MATCH('       나 군       '!$C211,'배치점수 계산기'!$U$11:$U$800,0))</f>
        <v>0.26666666666666666</v>
      </c>
      <c r="AE211" s="7">
        <v>204</v>
      </c>
    </row>
    <row r="212" spans="3:31" x14ac:dyDescent="0.3">
      <c r="C212" s="7" t="s">
        <v>1443</v>
      </c>
      <c r="D212" s="41" t="s">
        <v>1155</v>
      </c>
      <c r="E212" s="41">
        <v>49</v>
      </c>
      <c r="F212" s="113" t="s">
        <v>346</v>
      </c>
      <c r="G212" s="41" t="s">
        <v>801</v>
      </c>
      <c r="H212" s="41" t="s">
        <v>818</v>
      </c>
      <c r="I212" s="41" t="s">
        <v>275</v>
      </c>
      <c r="J212" s="41" t="str">
        <f t="shared" si="9"/>
        <v>X</v>
      </c>
      <c r="K212" s="113">
        <f>IFERROR(INDEX(환산공식!CI$16:CI$301,MATCH($E212,환산공식!$A$16:$A$301,0)),"")</f>
        <v>200</v>
      </c>
      <c r="L212" s="41" t="str">
        <f>IFERROR(CONCATENATE(ROUND(INDEX(환산공식!CJ$16:CJ$301,MATCH(E212,환산공식!$A$16:$A$301,0)),1),"%"),"")</f>
        <v>100%</v>
      </c>
      <c r="M212" s="41">
        <f>IFERROR(INDEX(환산공식!CK$16:CK$301,MATCH(E212,환산공식!$A$16:$A$301,0)),"")</f>
        <v>50</v>
      </c>
      <c r="N212" s="113" t="str">
        <f t="shared" si="10"/>
        <v>1% 이하</v>
      </c>
      <c r="O212" s="119">
        <f>IFERROR(ROUND(INDEX(환산공식!$EF$16:$EF$301,MATCH(E212,환산공식!$A$16:$A$301,0)),3),"")</f>
        <v>0</v>
      </c>
      <c r="P212" s="119">
        <f>IFERROR(ROUND(INDEX('배치점수 계산기'!M$11:M$1000,MATCH($C212,'배치점수 계산기'!$U$11:$U$1000,0)),2),"")</f>
        <v>705.78</v>
      </c>
      <c r="Q212" s="41">
        <f>IFERROR(ROUND(INDEX('배치점수 계산기'!N$11:N$1000,MATCH($C212,'배치점수 계산기'!$U$11:$U$1000,0)),2),"")</f>
        <v>704.01</v>
      </c>
      <c r="R212" s="41">
        <f>IFERROR(ROUND(INDEX('배치점수 계산기'!O$11:O$1000,MATCH($C212,'배치점수 계산기'!$U$11:$U$1000,0)),2),"")</f>
        <v>702.09</v>
      </c>
      <c r="S212" s="41">
        <f>IFERROR(ROUND(INDEX('배치점수 계산기'!P$11:P$1000,MATCH($C212,'배치점수 계산기'!$U$11:$U$1000,0)),2),"")</f>
        <v>700.21</v>
      </c>
      <c r="T212" s="41">
        <f>IFERROR(ROUND(INDEX('배치점수 계산기'!Q$11:Q$1000,MATCH($C212,'배치점수 계산기'!$U$11:$U$1000,0)),2),"")</f>
        <v>696.77</v>
      </c>
      <c r="U212" s="41">
        <f>IFERROR(INDEX(환산공식!$DC$16:$DC$301,MATCH(E212,환산공식!$A$16:$A$301,0)),"")</f>
        <v>0</v>
      </c>
      <c r="V212" s="113">
        <f t="shared" si="11"/>
        <v>6</v>
      </c>
      <c r="W212" s="110" t="str">
        <f>INDEX('배치점수 계산기'!$AG$11:$AG$800,MATCH('       나 군       '!$C212,'배치점수 계산기'!$U$11:$U$800,0))</f>
        <v>표점</v>
      </c>
      <c r="X212" s="108" t="str">
        <f>INDEX('배치점수 계산기'!$AH$11:$AH$800,MATCH('       나 군       '!$C212,'배치점수 계산기'!$U$11:$U$800,0))</f>
        <v>변표</v>
      </c>
      <c r="Y212" s="113">
        <f>INDEX('배치점수 계산기'!$AB$11:$AB$800,MATCH('       나 군       '!$C212,'배치점수 계산기'!$U$11:$U$800,0))</f>
        <v>0.4</v>
      </c>
      <c r="Z212" s="73">
        <f>INDEX('배치점수 계산기'!$AC$11:$AC$800,MATCH('       나 군       '!$C212,'배치점수 계산기'!$U$11:$U$800,0))</f>
        <v>0.33333333333333331</v>
      </c>
      <c r="AA212" s="63">
        <f>INDEX('배치점수 계산기'!$AD$11:$AD$800,MATCH('       나 군       '!$C212,'배치점수 계산기'!$U$11:$U$800,0))</f>
        <v>0.26666666666666666</v>
      </c>
      <c r="AE212" s="7">
        <v>205</v>
      </c>
    </row>
    <row r="213" spans="3:31" x14ac:dyDescent="0.3">
      <c r="C213" s="7" t="s">
        <v>1444</v>
      </c>
      <c r="D213" s="41" t="s">
        <v>1155</v>
      </c>
      <c r="E213" s="41">
        <v>49</v>
      </c>
      <c r="F213" s="113" t="s">
        <v>346</v>
      </c>
      <c r="G213" s="41" t="s">
        <v>801</v>
      </c>
      <c r="H213" s="41" t="s">
        <v>309</v>
      </c>
      <c r="I213" s="41" t="s">
        <v>275</v>
      </c>
      <c r="J213" s="41" t="str">
        <f t="shared" si="9"/>
        <v>X</v>
      </c>
      <c r="K213" s="113">
        <f>IFERROR(INDEX(환산공식!CI$16:CI$301,MATCH($E213,환산공식!$A$16:$A$301,0)),"")</f>
        <v>200</v>
      </c>
      <c r="L213" s="41" t="str">
        <f>IFERROR(CONCATENATE(ROUND(INDEX(환산공식!CJ$16:CJ$301,MATCH(E213,환산공식!$A$16:$A$301,0)),1),"%"),"")</f>
        <v>100%</v>
      </c>
      <c r="M213" s="41">
        <f>IFERROR(INDEX(환산공식!CK$16:CK$301,MATCH(E213,환산공식!$A$16:$A$301,0)),"")</f>
        <v>50</v>
      </c>
      <c r="N213" s="113" t="str">
        <f t="shared" si="10"/>
        <v>1% 이하</v>
      </c>
      <c r="O213" s="119">
        <f>IFERROR(ROUND(INDEX(환산공식!$EF$16:$EF$301,MATCH(E213,환산공식!$A$16:$A$301,0)),3),"")</f>
        <v>0</v>
      </c>
      <c r="P213" s="119">
        <f>IFERROR(ROUND(INDEX('배치점수 계산기'!M$11:M$1000,MATCH($C213,'배치점수 계산기'!$U$11:$U$1000,0)),2),"")</f>
        <v>704.95</v>
      </c>
      <c r="Q213" s="41">
        <f>IFERROR(ROUND(INDEX('배치점수 계산기'!N$11:N$1000,MATCH($C213,'배치점수 계산기'!$U$11:$U$1000,0)),2),"")</f>
        <v>704.01</v>
      </c>
      <c r="R213" s="41">
        <f>IFERROR(ROUND(INDEX('배치점수 계산기'!O$11:O$1000,MATCH($C213,'배치점수 계산기'!$U$11:$U$1000,0)),2),"")</f>
        <v>702.09</v>
      </c>
      <c r="S213" s="41">
        <f>IFERROR(ROUND(INDEX('배치점수 계산기'!P$11:P$1000,MATCH($C213,'배치점수 계산기'!$U$11:$U$1000,0)),2),"")</f>
        <v>699.5</v>
      </c>
      <c r="T213" s="41">
        <f>IFERROR(ROUND(INDEX('배치점수 계산기'!Q$11:Q$1000,MATCH($C213,'배치점수 계산기'!$U$11:$U$1000,0)),2),"")</f>
        <v>696.21</v>
      </c>
      <c r="U213" s="41">
        <f>IFERROR(INDEX(환산공식!$DC$16:$DC$301,MATCH(E213,환산공식!$A$16:$A$301,0)),"")</f>
        <v>0</v>
      </c>
      <c r="V213" s="113">
        <f t="shared" si="11"/>
        <v>6</v>
      </c>
      <c r="W213" s="110" t="str">
        <f>INDEX('배치점수 계산기'!$AG$11:$AG$800,MATCH('       나 군       '!$C213,'배치점수 계산기'!$U$11:$U$800,0))</f>
        <v>표점</v>
      </c>
      <c r="X213" s="108" t="str">
        <f>INDEX('배치점수 계산기'!$AH$11:$AH$800,MATCH('       나 군       '!$C213,'배치점수 계산기'!$U$11:$U$800,0))</f>
        <v>변표</v>
      </c>
      <c r="Y213" s="113">
        <f>INDEX('배치점수 계산기'!$AB$11:$AB$800,MATCH('       나 군       '!$C213,'배치점수 계산기'!$U$11:$U$800,0))</f>
        <v>0.4</v>
      </c>
      <c r="Z213" s="73">
        <f>INDEX('배치점수 계산기'!$AC$11:$AC$800,MATCH('       나 군       '!$C213,'배치점수 계산기'!$U$11:$U$800,0))</f>
        <v>0.33333333333333331</v>
      </c>
      <c r="AA213" s="63">
        <f>INDEX('배치점수 계산기'!$AD$11:$AD$800,MATCH('       나 군       '!$C213,'배치점수 계산기'!$U$11:$U$800,0))</f>
        <v>0.26666666666666666</v>
      </c>
      <c r="AE213" s="7">
        <v>206</v>
      </c>
    </row>
    <row r="214" spans="3:31" x14ac:dyDescent="0.3">
      <c r="C214" s="7" t="s">
        <v>1445</v>
      </c>
      <c r="D214" s="41" t="s">
        <v>1232</v>
      </c>
      <c r="E214" s="41">
        <v>16</v>
      </c>
      <c r="F214" s="113" t="s">
        <v>346</v>
      </c>
      <c r="G214" s="41" t="s">
        <v>681</v>
      </c>
      <c r="H214" s="41" t="s">
        <v>845</v>
      </c>
      <c r="I214" s="41" t="s">
        <v>274</v>
      </c>
      <c r="J214" s="41" t="str">
        <f t="shared" si="9"/>
        <v>X</v>
      </c>
      <c r="K214" s="113">
        <f>IFERROR(INDEX(환산공식!CI$16:CI$301,MATCH($E214,환산공식!$A$16:$A$301,0)),"")</f>
        <v>0</v>
      </c>
      <c r="L214" s="41" t="str">
        <f>IFERROR(CONCATENATE(ROUND(INDEX(환산공식!CJ$16:CJ$301,MATCH(E214,환산공식!$A$16:$A$301,0)),1),"%"),"")</f>
        <v/>
      </c>
      <c r="M214" s="41">
        <f>IFERROR(INDEX(환산공식!CK$16:CK$301,MATCH(E214,환산공식!$A$16:$A$301,0)),"")</f>
        <v>0</v>
      </c>
      <c r="N214" s="113" t="str">
        <f t="shared" si="10"/>
        <v>1% 이하</v>
      </c>
      <c r="O214" s="119">
        <f>IFERROR(ROUND(INDEX(환산공식!$EF$16:$EF$301,MATCH(E214,환산공식!$A$16:$A$301,0)),3),"")</f>
        <v>0</v>
      </c>
      <c r="P214" s="119">
        <f>IFERROR(ROUND(INDEX('배치점수 계산기'!M$11:M$1000,MATCH($C214,'배치점수 계산기'!$U$11:$U$1000,0)),2),"")</f>
        <v>438.09</v>
      </c>
      <c r="Q214" s="41">
        <f>IFERROR(ROUND(INDEX('배치점수 계산기'!N$11:N$1000,MATCH($C214,'배치점수 계산기'!$U$11:$U$1000,0)),2),"")</f>
        <v>436.98</v>
      </c>
      <c r="R214" s="41">
        <f>IFERROR(ROUND(INDEX('배치점수 계산기'!O$11:O$1000,MATCH($C214,'배치점수 계산기'!$U$11:$U$1000,0)),2),"")</f>
        <v>433.33</v>
      </c>
      <c r="S214" s="41">
        <f>IFERROR(ROUND(INDEX('배치점수 계산기'!P$11:P$1000,MATCH($C214,'배치점수 계산기'!$U$11:$U$1000,0)),2),"")</f>
        <v>433.16</v>
      </c>
      <c r="T214" s="41">
        <f>IFERROR(ROUND(INDEX('배치점수 계산기'!Q$11:Q$1000,MATCH($C214,'배치점수 계산기'!$U$11:$U$1000,0)),2),"")</f>
        <v>432.82</v>
      </c>
      <c r="U214" s="41">
        <f>IFERROR(INDEX(환산공식!$DC$16:$DC$301,MATCH(E214,환산공식!$A$16:$A$301,0)),"")</f>
        <v>0</v>
      </c>
      <c r="V214" s="113">
        <f t="shared" si="11"/>
        <v>6</v>
      </c>
      <c r="W214" s="110" t="str">
        <f>INDEX('배치점수 계산기'!$AG$11:$AG$800,MATCH('       나 군       '!$C214,'배치점수 계산기'!$U$11:$U$800,0))</f>
        <v>표점</v>
      </c>
      <c r="X214" s="108" t="str">
        <f>INDEX('배치점수 계산기'!$AH$11:$AH$800,MATCH('       나 군       '!$C214,'배치점수 계산기'!$U$11:$U$800,0))</f>
        <v>표점</v>
      </c>
      <c r="Y214" s="113">
        <f>INDEX('배치점수 계산기'!$AB$11:$AB$800,MATCH('       나 군       '!$C214,'배치점수 계산기'!$U$11:$U$800,0))</f>
        <v>0.33333333333333331</v>
      </c>
      <c r="Z214" s="73">
        <f>INDEX('배치점수 계산기'!$AC$11:$AC$800,MATCH('       나 군       '!$C214,'배치점수 계산기'!$U$11:$U$800,0))</f>
        <v>0.39999999999999997</v>
      </c>
      <c r="AA214" s="63">
        <f>INDEX('배치점수 계산기'!$AD$11:$AD$800,MATCH('       나 군       '!$C214,'배치점수 계산기'!$U$11:$U$800,0))</f>
        <v>0.26666666666666666</v>
      </c>
      <c r="AE214" s="7">
        <v>207</v>
      </c>
    </row>
    <row r="215" spans="3:31" x14ac:dyDescent="0.3">
      <c r="C215" s="7" t="s">
        <v>1446</v>
      </c>
      <c r="D215" s="41" t="s">
        <v>1092</v>
      </c>
      <c r="E215" s="41">
        <v>33</v>
      </c>
      <c r="F215" s="113" t="s">
        <v>346</v>
      </c>
      <c r="G215" s="41" t="s">
        <v>380</v>
      </c>
      <c r="H215" s="41" t="s">
        <v>845</v>
      </c>
      <c r="I215" s="41" t="s">
        <v>274</v>
      </c>
      <c r="J215" s="41" t="str">
        <f t="shared" si="9"/>
        <v>X</v>
      </c>
      <c r="K215" s="113">
        <f>IFERROR(INDEX(환산공식!CI$16:CI$301,MATCH($E215,환산공식!$A$16:$A$301,0)),"")</f>
        <v>120</v>
      </c>
      <c r="L215" s="41" t="str">
        <f>IFERROR(CONCATENATE(ROUND(INDEX(환산공식!CJ$16:CJ$301,MATCH(E215,환산공식!$A$16:$A$301,0)),1),"%"),"")</f>
        <v>100%</v>
      </c>
      <c r="M215" s="41">
        <f>IFERROR(INDEX(환산공식!CK$16:CK$301,MATCH(E215,환산공식!$A$16:$A$301,0)),"")</f>
        <v>40</v>
      </c>
      <c r="N215" s="113" t="str">
        <f t="shared" si="10"/>
        <v>1% 이하</v>
      </c>
      <c r="O215" s="119">
        <f>IFERROR(ROUND(INDEX(환산공식!$EF$16:$EF$301,MATCH(E215,환산공식!$A$16:$A$301,0)),3),"")</f>
        <v>0</v>
      </c>
      <c r="P215" s="119">
        <f>IFERROR(ROUND(INDEX('배치점수 계산기'!M$11:M$1000,MATCH($C215,'배치점수 계산기'!$U$11:$U$1000,0)),2),"")</f>
        <v>622.53</v>
      </c>
      <c r="Q215" s="41">
        <f>IFERROR(ROUND(INDEX('배치점수 계산기'!N$11:N$1000,MATCH($C215,'배치점수 계산기'!$U$11:$U$1000,0)),2),"")</f>
        <v>622.29</v>
      </c>
      <c r="R215" s="41">
        <f>IFERROR(ROUND(INDEX('배치점수 계산기'!O$11:O$1000,MATCH($C215,'배치점수 계산기'!$U$11:$U$1000,0)),2),"")</f>
        <v>620.08000000000004</v>
      </c>
      <c r="S215" s="41">
        <f>IFERROR(ROUND(INDEX('배치점수 계산기'!P$11:P$1000,MATCH($C215,'배치점수 계산기'!$U$11:$U$1000,0)),2),"")</f>
        <v>618.76</v>
      </c>
      <c r="T215" s="41">
        <f>IFERROR(ROUND(INDEX('배치점수 계산기'!Q$11:Q$1000,MATCH($C215,'배치점수 계산기'!$U$11:$U$1000,0)),2),"")</f>
        <v>618.02</v>
      </c>
      <c r="U215" s="41">
        <f>IFERROR(INDEX(환산공식!$DC$16:$DC$301,MATCH(E215,환산공식!$A$16:$A$301,0)),"")</f>
        <v>0</v>
      </c>
      <c r="V215" s="113">
        <f t="shared" si="11"/>
        <v>6</v>
      </c>
      <c r="W215" s="110" t="str">
        <f>INDEX('배치점수 계산기'!$AG$11:$AG$800,MATCH('       나 군       '!$C215,'배치점수 계산기'!$U$11:$U$800,0))</f>
        <v>표점</v>
      </c>
      <c r="X215" s="108" t="str">
        <f>INDEX('배치점수 계산기'!$AH$11:$AH$800,MATCH('       나 군       '!$C215,'배치점수 계산기'!$U$11:$U$800,0))</f>
        <v>변표</v>
      </c>
      <c r="Y215" s="113">
        <f>INDEX('배치점수 계산기'!$AB$11:$AB$800,MATCH('       나 군       '!$C215,'배치점수 계산기'!$U$11:$U$800,0))</f>
        <v>0.25</v>
      </c>
      <c r="Z215" s="73">
        <f>INDEX('배치점수 계산기'!$AC$11:$AC$800,MATCH('       나 군       '!$C215,'배치점수 계산기'!$U$11:$U$800,0))</f>
        <v>0.43749999999999994</v>
      </c>
      <c r="AA215" s="63">
        <f>INDEX('배치점수 계산기'!$AD$11:$AD$800,MATCH('       나 군       '!$C215,'배치점수 계산기'!$U$11:$U$800,0))</f>
        <v>0.3125</v>
      </c>
      <c r="AE215" s="7">
        <v>208</v>
      </c>
    </row>
    <row r="216" spans="3:31" x14ac:dyDescent="0.3">
      <c r="C216" s="7" t="s">
        <v>1447</v>
      </c>
      <c r="D216" s="41" t="s">
        <v>1064</v>
      </c>
      <c r="E216" s="41">
        <v>29</v>
      </c>
      <c r="F216" s="113" t="s">
        <v>346</v>
      </c>
      <c r="G216" s="41" t="s">
        <v>747</v>
      </c>
      <c r="H216" s="41" t="s">
        <v>845</v>
      </c>
      <c r="I216" s="41" t="s">
        <v>274</v>
      </c>
      <c r="J216" s="41" t="str">
        <f t="shared" si="9"/>
        <v>X</v>
      </c>
      <c r="K216" s="113">
        <f>IFERROR(INDEX(환산공식!CI$16:CI$301,MATCH($E216,환산공식!$A$16:$A$301,0)),"")</f>
        <v>100</v>
      </c>
      <c r="L216" s="41" t="str">
        <f>IFERROR(CONCATENATE(ROUND(INDEX(환산공식!CJ$16:CJ$301,MATCH(E216,환산공식!$A$16:$A$301,0)),1),"%"),"")</f>
        <v>100%</v>
      </c>
      <c r="M216" s="41">
        <f>IFERROR(INDEX(환산공식!CK$16:CK$301,MATCH(E216,환산공식!$A$16:$A$301,0)),"")</f>
        <v>10</v>
      </c>
      <c r="N216" s="113" t="str">
        <f t="shared" si="10"/>
        <v>1% 이하</v>
      </c>
      <c r="O216" s="119">
        <f>IFERROR(ROUND(INDEX(환산공식!$EF$16:$EF$301,MATCH(E216,환산공식!$A$16:$A$301,0)),3),"")</f>
        <v>0</v>
      </c>
      <c r="P216" s="119">
        <f>IFERROR(ROUND(INDEX('배치점수 계산기'!M$11:M$1000,MATCH($C216,'배치점수 계산기'!$U$11:$U$1000,0)),2),"")</f>
        <v>831.08</v>
      </c>
      <c r="Q216" s="41">
        <f>IFERROR(ROUND(INDEX('배치점수 계산기'!N$11:N$1000,MATCH($C216,'배치점수 계산기'!$U$11:$U$1000,0)),2),"")</f>
        <v>827.55</v>
      </c>
      <c r="R216" s="41">
        <f>IFERROR(ROUND(INDEX('배치점수 계산기'!O$11:O$1000,MATCH($C216,'배치점수 계산기'!$U$11:$U$1000,0)),2),"")</f>
        <v>825.94</v>
      </c>
      <c r="S216" s="41">
        <f>IFERROR(ROUND(INDEX('배치점수 계산기'!P$11:P$1000,MATCH($C216,'배치점수 계산기'!$U$11:$U$1000,0)),2),"")</f>
        <v>825.33</v>
      </c>
      <c r="T216" s="41">
        <f>IFERROR(ROUND(INDEX('배치점수 계산기'!Q$11:Q$1000,MATCH($C216,'배치점수 계산기'!$U$11:$U$1000,0)),2),"")</f>
        <v>822.7</v>
      </c>
      <c r="U216" s="41">
        <f>IFERROR(INDEX(환산공식!$DC$16:$DC$301,MATCH(E216,환산공식!$A$16:$A$301,0)),"")</f>
        <v>0</v>
      </c>
      <c r="V216" s="113">
        <f t="shared" si="11"/>
        <v>6</v>
      </c>
      <c r="W216" s="110" t="str">
        <f>INDEX('배치점수 계산기'!$AG$11:$AG$800,MATCH('       나 군       '!$C216,'배치점수 계산기'!$U$11:$U$800,0))</f>
        <v>표점</v>
      </c>
      <c r="X216" s="108" t="str">
        <f>INDEX('배치점수 계산기'!$AH$11:$AH$800,MATCH('       나 군       '!$C216,'배치점수 계산기'!$U$11:$U$800,0))</f>
        <v>변표</v>
      </c>
      <c r="Y216" s="113">
        <f>INDEX('배치점수 계산기'!$AB$11:$AB$800,MATCH('       나 군       '!$C216,'배치점수 계산기'!$U$11:$U$800,0))</f>
        <v>0.25</v>
      </c>
      <c r="Z216" s="73">
        <f>INDEX('배치점수 계산기'!$AC$11:$AC$800,MATCH('       나 군       '!$C216,'배치점수 계산기'!$U$11:$U$800,0))</f>
        <v>0.4</v>
      </c>
      <c r="AA216" s="63">
        <f>INDEX('배치점수 계산기'!$AD$11:$AD$800,MATCH('       나 군       '!$C216,'배치점수 계산기'!$U$11:$U$800,0))</f>
        <v>0.35</v>
      </c>
      <c r="AE216" s="7">
        <v>209</v>
      </c>
    </row>
    <row r="217" spans="3:31" x14ac:dyDescent="0.3">
      <c r="C217" s="7" t="s">
        <v>1448</v>
      </c>
      <c r="D217" s="41" t="s">
        <v>1449</v>
      </c>
      <c r="E217" s="41">
        <v>127</v>
      </c>
      <c r="F217" s="113" t="s">
        <v>346</v>
      </c>
      <c r="G217" s="41" t="s">
        <v>851</v>
      </c>
      <c r="H217" s="41" t="s">
        <v>845</v>
      </c>
      <c r="I217" s="41" t="s">
        <v>274</v>
      </c>
      <c r="J217" s="41" t="str">
        <f t="shared" si="9"/>
        <v>X</v>
      </c>
      <c r="K217" s="113">
        <f>IFERROR(INDEX(환산공식!CI$16:CI$301,MATCH($E217,환산공식!$A$16:$A$301,0)),"")</f>
        <v>100</v>
      </c>
      <c r="L217" s="41" t="str">
        <f>IFERROR(CONCATENATE(ROUND(INDEX(환산공식!CJ$16:CJ$301,MATCH(E217,환산공식!$A$16:$A$301,0)),1),"%"),"")</f>
        <v>100%</v>
      </c>
      <c r="M217" s="41">
        <f>IFERROR(INDEX(환산공식!CK$16:CK$301,MATCH(E217,환산공식!$A$16:$A$301,0)),"")</f>
        <v>0</v>
      </c>
      <c r="N217" s="113" t="str">
        <f t="shared" si="10"/>
        <v>1% 이하</v>
      </c>
      <c r="O217" s="119">
        <f>IFERROR(ROUND(INDEX(환산공식!$EF$16:$EF$301,MATCH(E217,환산공식!$A$16:$A$301,0)),3),"")</f>
        <v>0</v>
      </c>
      <c r="P217" s="119">
        <f>IFERROR(ROUND(INDEX('배치점수 계산기'!M$11:M$1000,MATCH($C217,'배치점수 계산기'!$U$11:$U$1000,0)),2),"")</f>
        <v>973.64</v>
      </c>
      <c r="Q217" s="41">
        <f>IFERROR(ROUND(INDEX('배치점수 계산기'!N$11:N$1000,MATCH($C217,'배치점수 계산기'!$U$11:$U$1000,0)),2),"")</f>
        <v>972.14</v>
      </c>
      <c r="R217" s="41">
        <f>IFERROR(ROUND(INDEX('배치점수 계산기'!O$11:O$1000,MATCH($C217,'배치점수 계산기'!$U$11:$U$1000,0)),2),"")</f>
        <v>969.76</v>
      </c>
      <c r="S217" s="41">
        <f>IFERROR(ROUND(INDEX('배치점수 계산기'!P$11:P$1000,MATCH($C217,'배치점수 계산기'!$U$11:$U$1000,0)),2),"")</f>
        <v>967.49</v>
      </c>
      <c r="T217" s="41">
        <f>IFERROR(ROUND(INDEX('배치점수 계산기'!Q$11:Q$1000,MATCH($C217,'배치점수 계산기'!$U$11:$U$1000,0)),2),"")</f>
        <v>961.59</v>
      </c>
      <c r="U217" s="41">
        <f>IFERROR(INDEX(환산공식!$DC$16:$DC$301,MATCH(E217,환산공식!$A$16:$A$301,0)),"")</f>
        <v>0</v>
      </c>
      <c r="V217" s="113">
        <f t="shared" si="11"/>
        <v>6</v>
      </c>
      <c r="W217" s="110" t="str">
        <f>INDEX('배치점수 계산기'!$AG$11:$AG$800,MATCH('       나 군       '!$C217,'배치점수 계산기'!$U$11:$U$800,0))</f>
        <v>표점/만점</v>
      </c>
      <c r="X217" s="108" t="str">
        <f>INDEX('배치점수 계산기'!$AH$11:$AH$800,MATCH('       나 군       '!$C217,'배치점수 계산기'!$U$11:$U$800,0))</f>
        <v>표점/만점</v>
      </c>
      <c r="Y217" s="113">
        <f>INDEX('배치점수 계산기'!$AB$11:$AB$800,MATCH('       나 군       '!$C217,'배치점수 계산기'!$U$11:$U$800,0))</f>
        <v>0.21733675535819336</v>
      </c>
      <c r="Z217" s="73">
        <f>INDEX('배치점수 계산기'!$AC$11:$AC$800,MATCH('       나 군       '!$C217,'배치점수 계산기'!$U$11:$U$800,0))</f>
        <v>0.44058743603225586</v>
      </c>
      <c r="AA217" s="63">
        <f>INDEX('배치점수 계산기'!$AD$11:$AD$800,MATCH('       나 군       '!$C217,'배치점수 계산기'!$U$11:$U$800,0))</f>
        <v>0.34207580860955078</v>
      </c>
      <c r="AE217" s="7">
        <v>210</v>
      </c>
    </row>
    <row r="218" spans="3:31" x14ac:dyDescent="0.3">
      <c r="C218" s="7" t="s">
        <v>1450</v>
      </c>
      <c r="D218" s="41" t="s">
        <v>1377</v>
      </c>
      <c r="E218" s="41">
        <v>64</v>
      </c>
      <c r="F218" s="113" t="s">
        <v>346</v>
      </c>
      <c r="G218" s="41" t="s">
        <v>717</v>
      </c>
      <c r="H218" s="41" t="s">
        <v>845</v>
      </c>
      <c r="I218" s="41" t="s">
        <v>274</v>
      </c>
      <c r="J218" s="41" t="str">
        <f t="shared" si="9"/>
        <v>X</v>
      </c>
      <c r="K218" s="113">
        <f>IFERROR(INDEX(환산공식!CI$16:CI$301,MATCH($E218,환산공식!$A$16:$A$301,0)),"")</f>
        <v>200</v>
      </c>
      <c r="L218" s="41" t="str">
        <f>IFERROR(CONCATENATE(ROUND(INDEX(환산공식!CJ$16:CJ$301,MATCH(E218,환산공식!$A$16:$A$301,0)),1),"%"),"")</f>
        <v>100%</v>
      </c>
      <c r="M218" s="41">
        <f>IFERROR(INDEX(환산공식!CK$16:CK$301,MATCH(E218,환산공식!$A$16:$A$301,0)),"")</f>
        <v>10</v>
      </c>
      <c r="N218" s="113" t="str">
        <f t="shared" si="10"/>
        <v>1% 이하</v>
      </c>
      <c r="O218" s="119">
        <f>IFERROR(ROUND(INDEX(환산공식!$EF$16:$EF$301,MATCH(E218,환산공식!$A$16:$A$301,0)),3),"")</f>
        <v>0</v>
      </c>
      <c r="P218" s="119">
        <f>IFERROR(ROUND(INDEX('배치점수 계산기'!M$11:M$1000,MATCH($C218,'배치점수 계산기'!$U$11:$U$1000,0)),2),"")</f>
        <v>983.09</v>
      </c>
      <c r="Q218" s="41">
        <f>IFERROR(ROUND(INDEX('배치점수 계산기'!N$11:N$1000,MATCH($C218,'배치점수 계산기'!$U$11:$U$1000,0)),2),"")</f>
        <v>979.15</v>
      </c>
      <c r="R218" s="41">
        <f>IFERROR(ROUND(INDEX('배치점수 계산기'!O$11:O$1000,MATCH($C218,'배치점수 계산기'!$U$11:$U$1000,0)),2),"")</f>
        <v>977.5</v>
      </c>
      <c r="S218" s="41">
        <f>IFERROR(ROUND(INDEX('배치점수 계산기'!P$11:P$1000,MATCH($C218,'배치점수 계산기'!$U$11:$U$1000,0)),2),"")</f>
        <v>977.04</v>
      </c>
      <c r="T218" s="41">
        <f>IFERROR(ROUND(INDEX('배치점수 계산기'!Q$11:Q$1000,MATCH($C218,'배치점수 계산기'!$U$11:$U$1000,0)),2),"")</f>
        <v>973.83</v>
      </c>
      <c r="U218" s="41">
        <f>IFERROR(INDEX(환산공식!$DC$16:$DC$301,MATCH(E218,환산공식!$A$16:$A$301,0)),"")</f>
        <v>0</v>
      </c>
      <c r="V218" s="113">
        <f t="shared" si="11"/>
        <v>6</v>
      </c>
      <c r="W218" s="110" t="str">
        <f>INDEX('배치점수 계산기'!$AG$11:$AG$800,MATCH('       나 군       '!$C218,'배치점수 계산기'!$U$11:$U$800,0))</f>
        <v>표점/만점</v>
      </c>
      <c r="X218" s="108" t="str">
        <f>INDEX('배치점수 계산기'!$AH$11:$AH$800,MATCH('       나 군       '!$C218,'배치점수 계산기'!$U$11:$U$800,0))</f>
        <v>변표/만점</v>
      </c>
      <c r="Y218" s="113">
        <f>INDEX('배치점수 계산기'!$AB$11:$AB$800,MATCH('       나 군       '!$C218,'배치점수 계산기'!$U$11:$U$800,0))</f>
        <v>0.30640028173525991</v>
      </c>
      <c r="Z218" s="73">
        <f>INDEX('배치점수 계산기'!$AC$11:$AC$800,MATCH('       나 군       '!$C218,'배치점수 계산기'!$U$11:$U$800,0))</f>
        <v>0.37268279166166307</v>
      </c>
      <c r="AA218" s="63">
        <f>INDEX('배치점수 계산기'!$AD$11:$AD$800,MATCH('       나 군       '!$C218,'배치점수 계산기'!$U$11:$U$800,0))</f>
        <v>0.32091692660307697</v>
      </c>
      <c r="AE218" s="7">
        <v>211</v>
      </c>
    </row>
    <row r="219" spans="3:31" x14ac:dyDescent="0.3">
      <c r="C219" s="7" t="s">
        <v>1451</v>
      </c>
      <c r="D219" s="41" t="s">
        <v>1198</v>
      </c>
      <c r="E219" s="41">
        <v>96</v>
      </c>
      <c r="F219" s="113" t="s">
        <v>346</v>
      </c>
      <c r="G219" s="41" t="s">
        <v>699</v>
      </c>
      <c r="H219" s="41" t="s">
        <v>845</v>
      </c>
      <c r="I219" s="41" t="s">
        <v>274</v>
      </c>
      <c r="J219" s="41" t="str">
        <f t="shared" si="9"/>
        <v>X</v>
      </c>
      <c r="K219" s="113">
        <f>IFERROR(INDEX(환산공식!CI$16:CI$301,MATCH($E219,환산공식!$A$16:$A$301,0)),"")</f>
        <v>200</v>
      </c>
      <c r="L219" s="41" t="str">
        <f>IFERROR(CONCATENATE(ROUND(INDEX(환산공식!CJ$16:CJ$301,MATCH(E219,환산공식!$A$16:$A$301,0)),1),"%"),"")</f>
        <v>100%</v>
      </c>
      <c r="M219" s="41">
        <f>IFERROR(INDEX(환산공식!CK$16:CK$301,MATCH(E219,환산공식!$A$16:$A$301,0)),"")</f>
        <v>10</v>
      </c>
      <c r="N219" s="113" t="str">
        <f t="shared" si="10"/>
        <v>1% 이하</v>
      </c>
      <c r="O219" s="119">
        <f>IFERROR(ROUND(INDEX(환산공식!$EF$16:$EF$301,MATCH(E219,환산공식!$A$16:$A$301,0)),3),"")</f>
        <v>0</v>
      </c>
      <c r="P219" s="119">
        <f>IFERROR(ROUND(INDEX('배치점수 계산기'!M$11:M$1000,MATCH($C219,'배치점수 계산기'!$U$11:$U$1000,0)),2),"")</f>
        <v>776.22</v>
      </c>
      <c r="Q219" s="41">
        <f>IFERROR(ROUND(INDEX('배치점수 계산기'!N$11:N$1000,MATCH($C219,'배치점수 계산기'!$U$11:$U$1000,0)),2),"")</f>
        <v>775.83</v>
      </c>
      <c r="R219" s="41">
        <f>IFERROR(ROUND(INDEX('배치점수 계산기'!O$11:O$1000,MATCH($C219,'배치점수 계산기'!$U$11:$U$1000,0)),2),"")</f>
        <v>773.47</v>
      </c>
      <c r="S219" s="41">
        <f>IFERROR(ROUND(INDEX('배치점수 계산기'!P$11:P$1000,MATCH($C219,'배치점수 계산기'!$U$11:$U$1000,0)),2),"")</f>
        <v>771.84</v>
      </c>
      <c r="T219" s="41">
        <f>IFERROR(ROUND(INDEX('배치점수 계산기'!Q$11:Q$1000,MATCH($C219,'배치점수 계산기'!$U$11:$U$1000,0)),2),"")</f>
        <v>768.49</v>
      </c>
      <c r="U219" s="41">
        <f>IFERROR(INDEX(환산공식!$DC$16:$DC$301,MATCH(E219,환산공식!$A$16:$A$301,0)),"")</f>
        <v>0</v>
      </c>
      <c r="V219" s="113">
        <f t="shared" si="11"/>
        <v>6</v>
      </c>
      <c r="W219" s="110" t="str">
        <f>INDEX('배치점수 계산기'!$AG$11:$AG$800,MATCH('       나 군       '!$C219,'배치점수 계산기'!$U$11:$U$800,0))</f>
        <v>표점</v>
      </c>
      <c r="X219" s="108" t="str">
        <f>INDEX('배치점수 계산기'!$AH$11:$AH$800,MATCH('       나 군       '!$C219,'배치점수 계산기'!$U$11:$U$800,0))</f>
        <v>변표</v>
      </c>
      <c r="Y219" s="113">
        <f>INDEX('배치점수 계산기'!$AB$11:$AB$800,MATCH('       나 군       '!$C219,'배치점수 계산기'!$U$11:$U$800,0))</f>
        <v>0.25</v>
      </c>
      <c r="Z219" s="73">
        <f>INDEX('배치점수 계산기'!$AC$11:$AC$800,MATCH('       나 군       '!$C219,'배치점수 계산기'!$U$11:$U$800,0))</f>
        <v>0.375</v>
      </c>
      <c r="AA219" s="63">
        <f>INDEX('배치점수 계산기'!$AD$11:$AD$800,MATCH('       나 군       '!$C219,'배치점수 계산기'!$U$11:$U$800,0))</f>
        <v>0.375</v>
      </c>
      <c r="AE219" s="7">
        <v>212</v>
      </c>
    </row>
    <row r="220" spans="3:31" x14ac:dyDescent="0.3">
      <c r="C220" s="7" t="s">
        <v>1452</v>
      </c>
      <c r="D220" s="41" t="s">
        <v>1211</v>
      </c>
      <c r="E220" s="41">
        <v>126</v>
      </c>
      <c r="F220" s="113" t="s">
        <v>346</v>
      </c>
      <c r="G220" s="41" t="s">
        <v>705</v>
      </c>
      <c r="H220" s="41" t="s">
        <v>845</v>
      </c>
      <c r="I220" s="41" t="s">
        <v>274</v>
      </c>
      <c r="J220" s="41" t="str">
        <f t="shared" si="9"/>
        <v>X</v>
      </c>
      <c r="K220" s="113">
        <f>IFERROR(INDEX(환산공식!CI$16:CI$301,MATCH($E220,환산공식!$A$16:$A$301,0)),"")</f>
        <v>40</v>
      </c>
      <c r="L220" s="41" t="str">
        <f>IFERROR(CONCATENATE(ROUND(INDEX(환산공식!CJ$16:CJ$301,MATCH(E220,환산공식!$A$16:$A$301,0)),1),"%"),"")</f>
        <v>100%</v>
      </c>
      <c r="M220" s="41">
        <f>IFERROR(INDEX(환산공식!CK$16:CK$301,MATCH(E220,환산공식!$A$16:$A$301,0)),"")</f>
        <v>0</v>
      </c>
      <c r="N220" s="113" t="str">
        <f t="shared" si="10"/>
        <v>1% 이하</v>
      </c>
      <c r="O220" s="119">
        <f>IFERROR(ROUND(INDEX(환산공식!$EF$16:$EF$301,MATCH(E220,환산공식!$A$16:$A$301,0)),3),"")</f>
        <v>800</v>
      </c>
      <c r="P220" s="119">
        <f>IFERROR(ROUND(INDEX('배치점수 계산기'!M$11:M$1000,MATCH($C220,'배치점수 계산기'!$U$11:$U$1000,0)),2),"")</f>
        <v>993.94</v>
      </c>
      <c r="Q220" s="41">
        <f>IFERROR(ROUND(INDEX('배치점수 계산기'!N$11:N$1000,MATCH($C220,'배치점수 계산기'!$U$11:$U$1000,0)),2),"")</f>
        <v>992.98</v>
      </c>
      <c r="R220" s="41">
        <f>IFERROR(ROUND(INDEX('배치점수 계산기'!O$11:O$1000,MATCH($C220,'배치점수 계산기'!$U$11:$U$1000,0)),2),"")</f>
        <v>992.18</v>
      </c>
      <c r="S220" s="41">
        <f>IFERROR(ROUND(INDEX('배치점수 계산기'!P$11:P$1000,MATCH($C220,'배치점수 계산기'!$U$11:$U$1000,0)),2),"")</f>
        <v>991.29</v>
      </c>
      <c r="T220" s="41">
        <f>IFERROR(ROUND(INDEX('배치점수 계산기'!Q$11:Q$1000,MATCH($C220,'배치점수 계산기'!$U$11:$U$1000,0)),2),"")</f>
        <v>990.78</v>
      </c>
      <c r="U220" s="41">
        <f>IFERROR(INDEX(환산공식!$DC$16:$DC$301,MATCH(E220,환산공식!$A$16:$A$301,0)),"")</f>
        <v>0</v>
      </c>
      <c r="V220" s="113">
        <f t="shared" si="11"/>
        <v>6</v>
      </c>
      <c r="W220" s="110" t="str">
        <f>INDEX('배치점수 계산기'!$AG$11:$AG$800,MATCH('       나 군       '!$C220,'배치점수 계산기'!$U$11:$U$800,0))</f>
        <v>표점/만점</v>
      </c>
      <c r="X220" s="108" t="str">
        <f>INDEX('배치점수 계산기'!$AH$11:$AH$800,MATCH('       나 군       '!$C220,'배치점수 계산기'!$U$11:$U$800,0))</f>
        <v>표점/만점</v>
      </c>
      <c r="Y220" s="113">
        <f>INDEX('배치점수 계산기'!$AB$11:$AB$800,MATCH('       나 군       '!$C220,'배치점수 계산기'!$U$11:$U$800,0))</f>
        <v>0.24423890341716833</v>
      </c>
      <c r="Z220" s="73">
        <f>INDEX('배치점수 계산기'!$AC$11:$AC$800,MATCH('       나 군       '!$C220,'배치점수 계산기'!$U$11:$U$800,0))</f>
        <v>0.37134282254242945</v>
      </c>
      <c r="AA220" s="63">
        <f>INDEX('배치점수 계산기'!$AD$11:$AD$800,MATCH('       나 군       '!$C220,'배치점수 계산기'!$U$11:$U$800,0))</f>
        <v>0.3844182740404023</v>
      </c>
      <c r="AE220" s="7">
        <v>213</v>
      </c>
    </row>
    <row r="221" spans="3:31" x14ac:dyDescent="0.3">
      <c r="C221" s="7" t="s">
        <v>1453</v>
      </c>
      <c r="D221" s="41" t="s">
        <v>1454</v>
      </c>
      <c r="E221" s="41">
        <v>113</v>
      </c>
      <c r="F221" s="113" t="s">
        <v>346</v>
      </c>
      <c r="G221" s="41" t="s">
        <v>852</v>
      </c>
      <c r="H221" s="41" t="s">
        <v>845</v>
      </c>
      <c r="I221" s="41" t="s">
        <v>274</v>
      </c>
      <c r="J221" s="41" t="str">
        <f t="shared" si="9"/>
        <v>X</v>
      </c>
      <c r="K221" s="113">
        <f>IFERROR(INDEX(환산공식!CI$16:CI$301,MATCH($E221,환산공식!$A$16:$A$301,0)),"")</f>
        <v>100</v>
      </c>
      <c r="L221" s="41" t="str">
        <f>IFERROR(CONCATENATE(ROUND(INDEX(환산공식!CJ$16:CJ$301,MATCH(E221,환산공식!$A$16:$A$301,0)),1),"%"),"")</f>
        <v>100%</v>
      </c>
      <c r="M221" s="41">
        <f>IFERROR(INDEX(환산공식!CK$16:CK$301,MATCH(E221,환산공식!$A$16:$A$301,0)),"")</f>
        <v>5</v>
      </c>
      <c r="N221" s="113" t="str">
        <f t="shared" si="10"/>
        <v>1% 이하</v>
      </c>
      <c r="O221" s="119">
        <f>IFERROR(ROUND(INDEX(환산공식!$EF$16:$EF$301,MATCH(E221,환산공식!$A$16:$A$301,0)),3),"")</f>
        <v>0</v>
      </c>
      <c r="P221" s="119">
        <f>IFERROR(ROUND(INDEX('배치점수 계산기'!M$11:M$1000,MATCH($C221,'배치점수 계산기'!$U$11:$U$1000,0)),2),"")</f>
        <v>995.1</v>
      </c>
      <c r="Q221" s="41">
        <f>IFERROR(ROUND(INDEX('배치점수 계산기'!N$11:N$1000,MATCH($C221,'배치점수 계산기'!$U$11:$U$1000,0)),2),"")</f>
        <v>994.35</v>
      </c>
      <c r="R221" s="41">
        <f>IFERROR(ROUND(INDEX('배치점수 계산기'!O$11:O$1000,MATCH($C221,'배치점수 계산기'!$U$11:$U$1000,0)),2),"")</f>
        <v>992.85</v>
      </c>
      <c r="S221" s="41">
        <f>IFERROR(ROUND(INDEX('배치점수 계산기'!P$11:P$1000,MATCH($C221,'배치점수 계산기'!$U$11:$U$1000,0)),2),"")</f>
        <v>992.1</v>
      </c>
      <c r="T221" s="41">
        <f>IFERROR(ROUND(INDEX('배치점수 계산기'!Q$11:Q$1000,MATCH($C221,'배치점수 계산기'!$U$11:$U$1000,0)),2),"")</f>
        <v>989.7</v>
      </c>
      <c r="U221" s="41">
        <f>IFERROR(INDEX(환산공식!$DC$16:$DC$301,MATCH(E221,환산공식!$A$16:$A$301,0)),"")</f>
        <v>0</v>
      </c>
      <c r="V221" s="113">
        <f t="shared" si="11"/>
        <v>6</v>
      </c>
      <c r="W221" s="110" t="str">
        <f>INDEX('배치점수 계산기'!$AG$11:$AG$800,MATCH('       나 군       '!$C221,'배치점수 계산기'!$U$11:$U$800,0))</f>
        <v>백분위</v>
      </c>
      <c r="X221" s="108" t="str">
        <f>INDEX('배치점수 계산기'!$AH$11:$AH$800,MATCH('       나 군       '!$C221,'배치점수 계산기'!$U$11:$U$800,0))</f>
        <v>백분위</v>
      </c>
      <c r="Y221" s="113">
        <f>INDEX('배치점수 계산기'!$AB$11:$AB$800,MATCH('       나 군       '!$C221,'배치점수 계산기'!$U$11:$U$800,0))</f>
        <v>0.33333333333333331</v>
      </c>
      <c r="Z221" s="73">
        <f>INDEX('배치점수 계산기'!$AC$11:$AC$800,MATCH('       나 군       '!$C221,'배치점수 계산기'!$U$11:$U$800,0))</f>
        <v>0.33333333333333331</v>
      </c>
      <c r="AA221" s="63">
        <f>INDEX('배치점수 계산기'!$AD$11:$AD$800,MATCH('       나 군       '!$C221,'배치점수 계산기'!$U$11:$U$800,0))</f>
        <v>0.33333333333333331</v>
      </c>
      <c r="AE221" s="7">
        <v>214</v>
      </c>
    </row>
    <row r="222" spans="3:31" x14ac:dyDescent="0.3">
      <c r="C222" s="7" t="s">
        <v>1455</v>
      </c>
      <c r="D222" s="41" t="s">
        <v>1379</v>
      </c>
      <c r="E222" s="41">
        <v>65</v>
      </c>
      <c r="F222" s="113" t="s">
        <v>346</v>
      </c>
      <c r="G222" s="41" t="s">
        <v>717</v>
      </c>
      <c r="H222" s="41" t="s">
        <v>853</v>
      </c>
      <c r="I222" s="41" t="s">
        <v>343</v>
      </c>
      <c r="J222" s="41" t="str">
        <f t="shared" si="9"/>
        <v>X</v>
      </c>
      <c r="K222" s="113">
        <f>IFERROR(INDEX(환산공식!CI$16:CI$301,MATCH($E222,환산공식!$A$16:$A$301,0)),"")</f>
        <v>200</v>
      </c>
      <c r="L222" s="41" t="str">
        <f>IFERROR(CONCATENATE(ROUND(INDEX(환산공식!CJ$16:CJ$301,MATCH(E222,환산공식!$A$16:$A$301,0)),1),"%"),"")</f>
        <v>100%</v>
      </c>
      <c r="M222" s="41">
        <f>IFERROR(INDEX(환산공식!CK$16:CK$301,MATCH(E222,환산공식!$A$16:$A$301,0)),"")</f>
        <v>10</v>
      </c>
      <c r="N222" s="113" t="str">
        <f t="shared" si="10"/>
        <v>1% 이하</v>
      </c>
      <c r="O222" s="119">
        <f>IFERROR(ROUND(INDEX(환산공식!$EF$16:$EF$301,MATCH(E222,환산공식!$A$16:$A$301,0)),3),"")</f>
        <v>0</v>
      </c>
      <c r="P222" s="119">
        <f>IFERROR(ROUND(INDEX('배치점수 계산기'!M$11:M$1000,MATCH($C222,'배치점수 계산기'!$U$11:$U$1000,0)),2),"")</f>
        <v>975.74</v>
      </c>
      <c r="Q222" s="41">
        <f>IFERROR(ROUND(INDEX('배치점수 계산기'!N$11:N$1000,MATCH($C222,'배치점수 계산기'!$U$11:$U$1000,0)),2),"")</f>
        <v>973.65</v>
      </c>
      <c r="R222" s="41">
        <f>IFERROR(ROUND(INDEX('배치점수 계산기'!O$11:O$1000,MATCH($C222,'배치점수 계산기'!$U$11:$U$1000,0)),2),"")</f>
        <v>970.5</v>
      </c>
      <c r="S222" s="41">
        <f>IFERROR(ROUND(INDEX('배치점수 계산기'!P$11:P$1000,MATCH($C222,'배치점수 계산기'!$U$11:$U$1000,0)),2),"")</f>
        <v>968.76</v>
      </c>
      <c r="T222" s="41">
        <f>IFERROR(ROUND(INDEX('배치점수 계산기'!Q$11:Q$1000,MATCH($C222,'배치점수 계산기'!$U$11:$U$1000,0)),2),"")</f>
        <v>967.51</v>
      </c>
      <c r="U222" s="41">
        <f>IFERROR(INDEX(환산공식!$DC$16:$DC$301,MATCH(E222,환산공식!$A$16:$A$301,0)),"")</f>
        <v>0</v>
      </c>
      <c r="V222" s="113">
        <f t="shared" si="11"/>
        <v>6</v>
      </c>
      <c r="W222" s="110" t="str">
        <f>INDEX('배치점수 계산기'!$AG$11:$AG$800,MATCH('       나 군       '!$C222,'배치점수 계산기'!$U$11:$U$800,0))</f>
        <v>표점/만점</v>
      </c>
      <c r="X222" s="108" t="str">
        <f>INDEX('배치점수 계산기'!$AH$11:$AH$800,MATCH('       나 군       '!$C222,'배치점수 계산기'!$U$11:$U$800,0))</f>
        <v>변표/만점</v>
      </c>
      <c r="Y222" s="113">
        <f>INDEX('배치점수 계산기'!$AB$11:$AB$800,MATCH('       나 군       '!$C222,'배치점수 계산기'!$U$11:$U$800,0))</f>
        <v>0.35902417362826461</v>
      </c>
      <c r="Z222" s="73">
        <f>INDEX('배치점수 계산기'!$AC$11:$AC$800,MATCH('       나 군       '!$C222,'배치점수 계산기'!$U$11:$U$800,0))</f>
        <v>0.3032573802188856</v>
      </c>
      <c r="AA222" s="63">
        <f>INDEX('배치점수 계산기'!$AD$11:$AD$800,MATCH('       나 군       '!$C222,'배치점수 계산기'!$U$11:$U$800,0))</f>
        <v>0.3377184461528499</v>
      </c>
      <c r="AE222" s="7">
        <v>215</v>
      </c>
    </row>
    <row r="223" spans="3:31" x14ac:dyDescent="0.3">
      <c r="C223" s="7" t="s">
        <v>1456</v>
      </c>
      <c r="D223" s="41" t="s">
        <v>1457</v>
      </c>
      <c r="E223" s="41">
        <v>106</v>
      </c>
      <c r="F223" s="113" t="s">
        <v>346</v>
      </c>
      <c r="G223" s="41" t="s">
        <v>854</v>
      </c>
      <c r="H223" s="41" t="s">
        <v>845</v>
      </c>
      <c r="I223" s="41" t="s">
        <v>274</v>
      </c>
      <c r="J223" s="41" t="str">
        <f t="shared" si="9"/>
        <v>X</v>
      </c>
      <c r="K223" s="113">
        <f>IFERROR(INDEX(환산공식!CI$16:CI$301,MATCH($E223,환산공식!$A$16:$A$301,0)),"")</f>
        <v>111.1</v>
      </c>
      <c r="L223" s="41" t="str">
        <f>IFERROR(CONCATENATE(ROUND(INDEX(환산공식!CJ$16:CJ$301,MATCH(E223,환산공식!$A$16:$A$301,0)),1),"%"),"")</f>
        <v>100%</v>
      </c>
      <c r="M223" s="41">
        <f>IFERROR(INDEX(환산공식!CK$16:CK$301,MATCH(E223,환산공식!$A$16:$A$301,0)),"")</f>
        <v>10</v>
      </c>
      <c r="N223" s="113" t="str">
        <f t="shared" si="10"/>
        <v>1% 이하</v>
      </c>
      <c r="O223" s="119">
        <f>IFERROR(ROUND(INDEX(환산공식!$EF$16:$EF$301,MATCH(E223,환산공식!$A$16:$A$301,0)),3),"")</f>
        <v>0</v>
      </c>
      <c r="P223" s="119">
        <f>IFERROR(ROUND(INDEX('배치점수 계산기'!M$11:M$1000,MATCH($C223,'배치점수 계산기'!$U$11:$U$1000,0)),2),"")</f>
        <v>747.19</v>
      </c>
      <c r="Q223" s="41">
        <f>IFERROR(ROUND(INDEX('배치점수 계산기'!N$11:N$1000,MATCH($C223,'배치점수 계산기'!$U$11:$U$1000,0)),2),"")</f>
        <v>743.86</v>
      </c>
      <c r="R223" s="41">
        <f>IFERROR(ROUND(INDEX('배치점수 계산기'!O$11:O$1000,MATCH($C223,'배치점수 계산기'!$U$11:$U$1000,0)),2),"")</f>
        <v>740.81</v>
      </c>
      <c r="S223" s="41">
        <f>IFERROR(ROUND(INDEX('배치점수 계산기'!P$11:P$1000,MATCH($C223,'배치점수 계산기'!$U$11:$U$1000,0)),2),"")</f>
        <v>736.85</v>
      </c>
      <c r="T223" s="41">
        <f>IFERROR(ROUND(INDEX('배치점수 계산기'!Q$11:Q$1000,MATCH($C223,'배치점수 계산기'!$U$11:$U$1000,0)),2),"")</f>
        <v>734.04</v>
      </c>
      <c r="U223" s="41">
        <f>IFERROR(INDEX(환산공식!$DC$16:$DC$301,MATCH(E223,환산공식!$A$16:$A$301,0)),"")</f>
        <v>0</v>
      </c>
      <c r="V223" s="113">
        <f t="shared" si="11"/>
        <v>6</v>
      </c>
      <c r="W223" s="110" t="str">
        <f>INDEX('배치점수 계산기'!$AG$11:$AG$800,MATCH('       나 군       '!$C223,'배치점수 계산기'!$U$11:$U$800,0))</f>
        <v>표점</v>
      </c>
      <c r="X223" s="108" t="str">
        <f>INDEX('배치점수 계산기'!$AH$11:$AH$800,MATCH('       나 군       '!$C223,'배치점수 계산기'!$U$11:$U$800,0))</f>
        <v>변표</v>
      </c>
      <c r="Y223" s="113">
        <f>INDEX('배치점수 계산기'!$AB$11:$AB$800,MATCH('       나 군       '!$C223,'배치점수 계산기'!$U$11:$U$800,0))</f>
        <v>0.24999999999999994</v>
      </c>
      <c r="Z223" s="73">
        <f>INDEX('배치점수 계산기'!$AC$11:$AC$800,MATCH('       나 군       '!$C223,'배치점수 계산기'!$U$11:$U$800,0))</f>
        <v>0.37499999999999994</v>
      </c>
      <c r="AA223" s="63">
        <f>INDEX('배치점수 계산기'!$AD$11:$AD$800,MATCH('       나 군       '!$C223,'배치점수 계산기'!$U$11:$U$800,0))</f>
        <v>0.37499999999999994</v>
      </c>
      <c r="AE223" s="7">
        <v>216</v>
      </c>
    </row>
    <row r="224" spans="3:31" x14ac:dyDescent="0.3">
      <c r="C224" s="7" t="s">
        <v>1458</v>
      </c>
      <c r="D224" s="41" t="s">
        <v>1459</v>
      </c>
      <c r="E224" s="41">
        <v>71</v>
      </c>
      <c r="F224" s="113" t="s">
        <v>346</v>
      </c>
      <c r="G224" s="41" t="s">
        <v>855</v>
      </c>
      <c r="H224" s="41" t="s">
        <v>845</v>
      </c>
      <c r="I224" s="41" t="s">
        <v>274</v>
      </c>
      <c r="J224" s="41" t="str">
        <f t="shared" si="9"/>
        <v>X</v>
      </c>
      <c r="K224" s="113">
        <f>IFERROR(INDEX(환산공식!CI$16:CI$301,MATCH($E224,환산공식!$A$16:$A$301,0)),"")</f>
        <v>190</v>
      </c>
      <c r="L224" s="41" t="str">
        <f>IFERROR(CONCATENATE(ROUND(INDEX(환산공식!CJ$16:CJ$301,MATCH(E224,환산공식!$A$16:$A$301,0)),1),"%"),"")</f>
        <v>100%</v>
      </c>
      <c r="M224" s="41">
        <f>IFERROR(INDEX(환산공식!CK$16:CK$301,MATCH(E224,환산공식!$A$16:$A$301,0)),"")</f>
        <v>0</v>
      </c>
      <c r="N224" s="113" t="str">
        <f t="shared" si="10"/>
        <v>1% 이하</v>
      </c>
      <c r="O224" s="119">
        <f>IFERROR(ROUND(INDEX(환산공식!$EF$16:$EF$301,MATCH(E224,환산공식!$A$16:$A$301,0)),3),"")</f>
        <v>0</v>
      </c>
      <c r="P224" s="119">
        <f>IFERROR(ROUND(INDEX('배치점수 계산기'!M$11:M$1000,MATCH($C224,'배치점수 계산기'!$U$11:$U$1000,0)),2),"")</f>
        <v>977.55</v>
      </c>
      <c r="Q224" s="41">
        <f>IFERROR(ROUND(INDEX('배치점수 계산기'!N$11:N$1000,MATCH($C224,'배치점수 계산기'!$U$11:$U$1000,0)),2),"")</f>
        <v>976.65</v>
      </c>
      <c r="R224" s="41">
        <f>IFERROR(ROUND(INDEX('배치점수 계산기'!O$11:O$1000,MATCH($C224,'배치점수 계산기'!$U$11:$U$1000,0)),2),"")</f>
        <v>974.6</v>
      </c>
      <c r="S224" s="41">
        <f>IFERROR(ROUND(INDEX('배치점수 계산기'!P$11:P$1000,MATCH($C224,'배치점수 계산기'!$U$11:$U$1000,0)),2),"")</f>
        <v>971.8</v>
      </c>
      <c r="T224" s="41">
        <f>IFERROR(ROUND(INDEX('배치점수 계산기'!Q$11:Q$1000,MATCH($C224,'배치점수 계산기'!$U$11:$U$1000,0)),2),"")</f>
        <v>969.4</v>
      </c>
      <c r="U224" s="41">
        <f>IFERROR(INDEX(환산공식!$DC$16:$DC$301,MATCH(E224,환산공식!$A$16:$A$301,0)),"")</f>
        <v>0</v>
      </c>
      <c r="V224" s="113">
        <f t="shared" si="11"/>
        <v>6</v>
      </c>
      <c r="W224" s="110" t="str">
        <f>INDEX('배치점수 계산기'!$AG$11:$AG$800,MATCH('       나 군       '!$C224,'배치점수 계산기'!$U$11:$U$800,0))</f>
        <v>백분위</v>
      </c>
      <c r="X224" s="108" t="str">
        <f>INDEX('배치점수 계산기'!$AH$11:$AH$800,MATCH('       나 군       '!$C224,'배치점수 계산기'!$U$11:$U$800,0))</f>
        <v>백분위</v>
      </c>
      <c r="Y224" s="113">
        <f>INDEX('배치점수 계산기'!$AB$11:$AB$800,MATCH('       나 군       '!$C224,'배치점수 계산기'!$U$11:$U$800,0))</f>
        <v>0.25</v>
      </c>
      <c r="Z224" s="73">
        <f>INDEX('배치점수 계산기'!$AC$11:$AC$800,MATCH('       나 군       '!$C224,'배치점수 계산기'!$U$11:$U$800,0))</f>
        <v>0.375</v>
      </c>
      <c r="AA224" s="63">
        <f>INDEX('배치점수 계산기'!$AD$11:$AD$800,MATCH('       나 군       '!$C224,'배치점수 계산기'!$U$11:$U$800,0))</f>
        <v>0.375</v>
      </c>
      <c r="AE224" s="7">
        <v>217</v>
      </c>
    </row>
    <row r="225" spans="3:31" x14ac:dyDescent="0.3">
      <c r="C225" s="7" t="s">
        <v>1460</v>
      </c>
      <c r="D225" s="41" t="s">
        <v>1461</v>
      </c>
      <c r="E225" s="41">
        <v>107</v>
      </c>
      <c r="F225" s="113" t="s">
        <v>346</v>
      </c>
      <c r="G225" s="41" t="s">
        <v>715</v>
      </c>
      <c r="H225" s="41" t="s">
        <v>845</v>
      </c>
      <c r="I225" s="41" t="s">
        <v>274</v>
      </c>
      <c r="J225" s="41" t="str">
        <f t="shared" si="9"/>
        <v>X</v>
      </c>
      <c r="K225" s="113">
        <f>IFERROR(INDEX(환산공식!CI$16:CI$301,MATCH($E225,환산공식!$A$16:$A$301,0)),"")</f>
        <v>80</v>
      </c>
      <c r="L225" s="41" t="str">
        <f>IFERROR(CONCATENATE(ROUND(INDEX(환산공식!CJ$16:CJ$301,MATCH(E225,환산공식!$A$16:$A$301,0)),1),"%"),"")</f>
        <v>100%</v>
      </c>
      <c r="M225" s="41">
        <f>IFERROR(INDEX(환산공식!CK$16:CK$301,MATCH(E225,환산공식!$A$16:$A$301,0)),"")</f>
        <v>10</v>
      </c>
      <c r="N225" s="113" t="str">
        <f t="shared" si="10"/>
        <v>1% 이하</v>
      </c>
      <c r="O225" s="119">
        <f>IFERROR(ROUND(INDEX(환산공식!$EF$16:$EF$301,MATCH(E225,환산공식!$A$16:$A$301,0)),3),"")</f>
        <v>0</v>
      </c>
      <c r="P225" s="119">
        <f>IFERROR(ROUND(INDEX('배치점수 계산기'!M$11:M$1000,MATCH($C225,'배치점수 계산기'!$U$11:$U$1000,0)),2),"")</f>
        <v>798.92</v>
      </c>
      <c r="Q225" s="41">
        <f>IFERROR(ROUND(INDEX('배치점수 계산기'!N$11:N$1000,MATCH($C225,'배치점수 계산기'!$U$11:$U$1000,0)),2),"")</f>
        <v>797.28</v>
      </c>
      <c r="R225" s="41">
        <f>IFERROR(ROUND(INDEX('배치점수 계산기'!O$11:O$1000,MATCH($C225,'배치점수 계산기'!$U$11:$U$1000,0)),2),"")</f>
        <v>795.6</v>
      </c>
      <c r="S225" s="41">
        <f>IFERROR(ROUND(INDEX('배치점수 계산기'!P$11:P$1000,MATCH($C225,'배치점수 계산기'!$U$11:$U$1000,0)),2),"")</f>
        <v>794.88</v>
      </c>
      <c r="T225" s="41">
        <f>IFERROR(ROUND(INDEX('배치점수 계산기'!Q$11:Q$1000,MATCH($C225,'배치점수 계산기'!$U$11:$U$1000,0)),2),"")</f>
        <v>793.44</v>
      </c>
      <c r="U225" s="41">
        <f>IFERROR(INDEX(환산공식!$DC$16:$DC$301,MATCH(E225,환산공식!$A$16:$A$301,0)),"")</f>
        <v>0</v>
      </c>
      <c r="V225" s="113">
        <f t="shared" si="11"/>
        <v>6</v>
      </c>
      <c r="W225" s="110" t="str">
        <f>INDEX('배치점수 계산기'!$AG$11:$AG$800,MATCH('       나 군       '!$C225,'배치점수 계산기'!$U$11:$U$800,0))</f>
        <v>백분위</v>
      </c>
      <c r="X225" s="108" t="str">
        <f>INDEX('배치점수 계산기'!$AH$11:$AH$800,MATCH('       나 군       '!$C225,'배치점수 계산기'!$U$11:$U$800,0))</f>
        <v>백분위</v>
      </c>
      <c r="Y225" s="113">
        <f>INDEX('배치점수 계산기'!$AB$11:$AB$800,MATCH('       나 군       '!$C225,'배치점수 계산기'!$U$11:$U$800,0))</f>
        <v>0.27777777777777779</v>
      </c>
      <c r="Z225" s="73">
        <f>INDEX('배치점수 계산기'!$AC$11:$AC$800,MATCH('       나 군       '!$C225,'배치점수 계산기'!$U$11:$U$800,0))</f>
        <v>0.3888888888888889</v>
      </c>
      <c r="AA225" s="63">
        <f>INDEX('배치점수 계산기'!$AD$11:$AD$800,MATCH('       나 군       '!$C225,'배치점수 계산기'!$U$11:$U$800,0))</f>
        <v>0.33333333333333337</v>
      </c>
      <c r="AE225" s="7">
        <v>218</v>
      </c>
    </row>
    <row r="226" spans="3:31" x14ac:dyDescent="0.3">
      <c r="C226" s="7" t="s">
        <v>1462</v>
      </c>
      <c r="D226" s="41" t="s">
        <v>1463</v>
      </c>
      <c r="E226" s="41">
        <v>111</v>
      </c>
      <c r="F226" s="113" t="s">
        <v>346</v>
      </c>
      <c r="G226" s="41" t="s">
        <v>690</v>
      </c>
      <c r="H226" s="41" t="s">
        <v>845</v>
      </c>
      <c r="I226" s="41" t="s">
        <v>274</v>
      </c>
      <c r="J226" s="41" t="str">
        <f t="shared" si="9"/>
        <v>X</v>
      </c>
      <c r="K226" s="113">
        <f>IFERROR(INDEX(환산공식!CI$16:CI$301,MATCH($E226,환산공식!$A$16:$A$301,0)),"")</f>
        <v>100</v>
      </c>
      <c r="L226" s="41" t="str">
        <f>IFERROR(CONCATENATE(ROUND(INDEX(환산공식!CJ$16:CJ$301,MATCH(E226,환산공식!$A$16:$A$301,0)),1),"%"),"")</f>
        <v>100%</v>
      </c>
      <c r="M226" s="41">
        <f>IFERROR(INDEX(환산공식!CK$16:CK$301,MATCH(E226,환산공식!$A$16:$A$301,0)),"")</f>
        <v>5</v>
      </c>
      <c r="N226" s="113" t="str">
        <f t="shared" si="10"/>
        <v>1% 이하</v>
      </c>
      <c r="O226" s="119">
        <f>IFERROR(ROUND(INDEX(환산공식!$EF$16:$EF$301,MATCH(E226,환산공식!$A$16:$A$301,0)),3),"")</f>
        <v>0</v>
      </c>
      <c r="P226" s="119">
        <f>IFERROR(ROUND(INDEX('배치점수 계산기'!M$11:M$1000,MATCH($C226,'배치점수 계산기'!$U$11:$U$1000,0)),2),"")</f>
        <v>521.5</v>
      </c>
      <c r="Q226" s="41">
        <f>IFERROR(ROUND(INDEX('배치점수 계산기'!N$11:N$1000,MATCH($C226,'배치점수 계산기'!$U$11:$U$1000,0)),2),"")</f>
        <v>520.20000000000005</v>
      </c>
      <c r="R226" s="41">
        <f>IFERROR(ROUND(INDEX('배치점수 계산기'!O$11:O$1000,MATCH($C226,'배치점수 계산기'!$U$11:$U$1000,0)),2),"")</f>
        <v>518.5</v>
      </c>
      <c r="S226" s="41">
        <f>IFERROR(ROUND(INDEX('배치점수 계산기'!P$11:P$1000,MATCH($C226,'배치점수 계산기'!$U$11:$U$1000,0)),2),"")</f>
        <v>517</v>
      </c>
      <c r="T226" s="41">
        <f>IFERROR(ROUND(INDEX('배치점수 계산기'!Q$11:Q$1000,MATCH($C226,'배치점수 계산기'!$U$11:$U$1000,0)),2),"")</f>
        <v>514.29999999999995</v>
      </c>
      <c r="U226" s="41">
        <f>IFERROR(INDEX(환산공식!$DC$16:$DC$301,MATCH(E226,환산공식!$A$16:$A$301,0)),"")</f>
        <v>0</v>
      </c>
      <c r="V226" s="113">
        <f t="shared" si="11"/>
        <v>6</v>
      </c>
      <c r="W226" s="110" t="str">
        <f>INDEX('배치점수 계산기'!$AG$11:$AG$800,MATCH('       나 군       '!$C226,'배치점수 계산기'!$U$11:$U$800,0))</f>
        <v>표점</v>
      </c>
      <c r="X226" s="108" t="str">
        <f>INDEX('배치점수 계산기'!$AH$11:$AH$800,MATCH('       나 군       '!$C226,'배치점수 계산기'!$U$11:$U$800,0))</f>
        <v>표점</v>
      </c>
      <c r="Y226" s="113">
        <f>INDEX('배치점수 계산기'!$AB$11:$AB$800,MATCH('       나 군       '!$C226,'배치점수 계산기'!$U$11:$U$800,0))</f>
        <v>0.33333333333333331</v>
      </c>
      <c r="Z226" s="73">
        <f>INDEX('배치점수 계산기'!$AC$11:$AC$800,MATCH('       나 군       '!$C226,'배치점수 계산기'!$U$11:$U$800,0))</f>
        <v>0.33333333333333331</v>
      </c>
      <c r="AA226" s="63">
        <f>INDEX('배치점수 계산기'!$AD$11:$AD$800,MATCH('       나 군       '!$C226,'배치점수 계산기'!$U$11:$U$800,0))</f>
        <v>0.33333333333333331</v>
      </c>
      <c r="AE226" s="7">
        <v>219</v>
      </c>
    </row>
    <row r="227" spans="3:31" x14ac:dyDescent="0.3">
      <c r="C227" s="7" t="s">
        <v>1464</v>
      </c>
      <c r="D227" s="41" t="s">
        <v>1465</v>
      </c>
      <c r="E227" s="41">
        <v>79</v>
      </c>
      <c r="F227" s="113" t="s">
        <v>346</v>
      </c>
      <c r="G227" s="41" t="s">
        <v>856</v>
      </c>
      <c r="H227" s="41" t="s">
        <v>845</v>
      </c>
      <c r="I227" s="41" t="s">
        <v>274</v>
      </c>
      <c r="J227" s="41" t="str">
        <f t="shared" si="9"/>
        <v>X</v>
      </c>
      <c r="K227" s="113">
        <f>IFERROR(INDEX(환산공식!CI$16:CI$301,MATCH($E227,환산공식!$A$16:$A$301,0)),"")</f>
        <v>200</v>
      </c>
      <c r="L227" s="41" t="str">
        <f>IFERROR(CONCATENATE(ROUND(INDEX(환산공식!CJ$16:CJ$301,MATCH(E227,환산공식!$A$16:$A$301,0)),1),"%"),"")</f>
        <v>100%</v>
      </c>
      <c r="M227" s="41">
        <f>IFERROR(INDEX(환산공식!CK$16:CK$301,MATCH(E227,환산공식!$A$16:$A$301,0)),"")</f>
        <v>10</v>
      </c>
      <c r="N227" s="113" t="str">
        <f t="shared" si="10"/>
        <v>1% 이하</v>
      </c>
      <c r="O227" s="119">
        <f>IFERROR(ROUND(INDEX(환산공식!$EF$16:$EF$301,MATCH(E227,환산공식!$A$16:$A$301,0)),3),"")</f>
        <v>0</v>
      </c>
      <c r="P227" s="119">
        <f>IFERROR(ROUND(INDEX('배치점수 계산기'!M$11:M$1000,MATCH($C227,'배치점수 계산기'!$U$11:$U$1000,0)),2),"")</f>
        <v>1002</v>
      </c>
      <c r="Q227" s="41">
        <f>IFERROR(ROUND(INDEX('배치점수 계산기'!N$11:N$1000,MATCH($C227,'배치점수 계산기'!$U$11:$U$1000,0)),2),"")</f>
        <v>1000.2</v>
      </c>
      <c r="R227" s="41">
        <f>IFERROR(ROUND(INDEX('배치점수 계산기'!O$11:O$1000,MATCH($C227,'배치점수 계산기'!$U$11:$U$1000,0)),2),"")</f>
        <v>999</v>
      </c>
      <c r="S227" s="41">
        <f>IFERROR(ROUND(INDEX('배치점수 계산기'!P$11:P$1000,MATCH($C227,'배치점수 계산기'!$U$11:$U$1000,0)),2),"")</f>
        <v>997.43</v>
      </c>
      <c r="T227" s="41">
        <f>IFERROR(ROUND(INDEX('배치점수 계산기'!Q$11:Q$1000,MATCH($C227,'배치점수 계산기'!$U$11:$U$1000,0)),2),"")</f>
        <v>995.93</v>
      </c>
      <c r="U227" s="41">
        <f>IFERROR(INDEX(환산공식!$DC$16:$DC$301,MATCH(E227,환산공식!$A$16:$A$301,0)),"")</f>
        <v>0</v>
      </c>
      <c r="V227" s="113">
        <f t="shared" si="11"/>
        <v>6</v>
      </c>
      <c r="W227" s="110" t="str">
        <f>INDEX('배치점수 계산기'!$AG$11:$AG$800,MATCH('       나 군       '!$C227,'배치점수 계산기'!$U$11:$U$800,0))</f>
        <v>백분위</v>
      </c>
      <c r="X227" s="108" t="str">
        <f>INDEX('배치점수 계산기'!$AH$11:$AH$800,MATCH('       나 군       '!$C227,'배치점수 계산기'!$U$11:$U$800,0))</f>
        <v>백분위</v>
      </c>
      <c r="Y227" s="113">
        <f>INDEX('배치점수 계산기'!$AB$11:$AB$800,MATCH('       나 군       '!$C227,'배치점수 계산기'!$U$11:$U$800,0))</f>
        <v>0.25</v>
      </c>
      <c r="Z227" s="73">
        <f>INDEX('배치점수 계산기'!$AC$11:$AC$800,MATCH('       나 군       '!$C227,'배치점수 계산기'!$U$11:$U$800,0))</f>
        <v>0.375</v>
      </c>
      <c r="AA227" s="63">
        <f>INDEX('배치점수 계산기'!$AD$11:$AD$800,MATCH('       나 군       '!$C227,'배치점수 계산기'!$U$11:$U$800,0))</f>
        <v>0.375</v>
      </c>
      <c r="AE227" s="7">
        <v>220</v>
      </c>
    </row>
    <row r="228" spans="3:31" x14ac:dyDescent="0.3">
      <c r="C228" s="7" t="s">
        <v>1466</v>
      </c>
      <c r="D228" s="41" t="s">
        <v>1232</v>
      </c>
      <c r="E228" s="41">
        <v>16</v>
      </c>
      <c r="F228" s="113" t="s">
        <v>346</v>
      </c>
      <c r="G228" s="41" t="s">
        <v>681</v>
      </c>
      <c r="H228" s="41" t="s">
        <v>860</v>
      </c>
      <c r="I228" s="41" t="s">
        <v>274</v>
      </c>
      <c r="J228" s="41" t="str">
        <f t="shared" si="9"/>
        <v>X</v>
      </c>
      <c r="K228" s="113">
        <f>IFERROR(INDEX(환산공식!CI$16:CI$301,MATCH($E228,환산공식!$A$16:$A$301,0)),"")</f>
        <v>0</v>
      </c>
      <c r="L228" s="41" t="str">
        <f>IFERROR(CONCATENATE(ROUND(INDEX(환산공식!CJ$16:CJ$301,MATCH(E228,환산공식!$A$16:$A$301,0)),1),"%"),"")</f>
        <v/>
      </c>
      <c r="M228" s="41">
        <f>IFERROR(INDEX(환산공식!CK$16:CK$301,MATCH(E228,환산공식!$A$16:$A$301,0)),"")</f>
        <v>0</v>
      </c>
      <c r="N228" s="113" t="str">
        <f t="shared" si="10"/>
        <v>1% 이하</v>
      </c>
      <c r="O228" s="119">
        <f>IFERROR(ROUND(INDEX(환산공식!$EF$16:$EF$301,MATCH(E228,환산공식!$A$16:$A$301,0)),3),"")</f>
        <v>0</v>
      </c>
      <c r="P228" s="119">
        <f>IFERROR(ROUND(INDEX('배치점수 계산기'!M$11:M$1000,MATCH($C228,'배치점수 계산기'!$U$11:$U$1000,0)),2),"")</f>
        <v>430.12</v>
      </c>
      <c r="Q228" s="41">
        <f>IFERROR(ROUND(INDEX('배치점수 계산기'!N$11:N$1000,MATCH($C228,'배치점수 계산기'!$U$11:$U$1000,0)),2),"")</f>
        <v>429.64</v>
      </c>
      <c r="R228" s="41">
        <f>IFERROR(ROUND(INDEX('배치점수 계산기'!O$11:O$1000,MATCH($C228,'배치점수 계산기'!$U$11:$U$1000,0)),2),"")</f>
        <v>429.32</v>
      </c>
      <c r="S228" s="41">
        <f>IFERROR(ROUND(INDEX('배치점수 계산기'!P$11:P$1000,MATCH($C228,'배치점수 계산기'!$U$11:$U$1000,0)),2),"")</f>
        <v>428.16</v>
      </c>
      <c r="T228" s="41">
        <f>IFERROR(ROUND(INDEX('배치점수 계산기'!Q$11:Q$1000,MATCH($C228,'배치점수 계산기'!$U$11:$U$1000,0)),2),"")</f>
        <v>426.06</v>
      </c>
      <c r="U228" s="41">
        <f>IFERROR(INDEX(환산공식!$DC$16:$DC$301,MATCH(E228,환산공식!$A$16:$A$301,0)),"")</f>
        <v>0</v>
      </c>
      <c r="V228" s="113">
        <f t="shared" si="11"/>
        <v>6</v>
      </c>
      <c r="W228" s="110" t="str">
        <f>INDEX('배치점수 계산기'!$AG$11:$AG$800,MATCH('       나 군       '!$C228,'배치점수 계산기'!$U$11:$U$800,0))</f>
        <v>표점</v>
      </c>
      <c r="X228" s="108" t="str">
        <f>INDEX('배치점수 계산기'!$AH$11:$AH$800,MATCH('       나 군       '!$C228,'배치점수 계산기'!$U$11:$U$800,0))</f>
        <v>표점</v>
      </c>
      <c r="Y228" s="113">
        <f>INDEX('배치점수 계산기'!$AB$11:$AB$800,MATCH('       나 군       '!$C228,'배치점수 계산기'!$U$11:$U$800,0))</f>
        <v>0.33333333333333331</v>
      </c>
      <c r="Z228" s="73">
        <f>INDEX('배치점수 계산기'!$AC$11:$AC$800,MATCH('       나 군       '!$C228,'배치점수 계산기'!$U$11:$U$800,0))</f>
        <v>0.39999999999999997</v>
      </c>
      <c r="AA228" s="63">
        <f>INDEX('배치점수 계산기'!$AD$11:$AD$800,MATCH('       나 군       '!$C228,'배치점수 계산기'!$U$11:$U$800,0))</f>
        <v>0.26666666666666666</v>
      </c>
      <c r="AE228" s="7">
        <v>221</v>
      </c>
    </row>
    <row r="229" spans="3:31" x14ac:dyDescent="0.3">
      <c r="C229" s="7" t="s">
        <v>1467</v>
      </c>
      <c r="D229" s="41" t="s">
        <v>1092</v>
      </c>
      <c r="E229" s="41">
        <v>33</v>
      </c>
      <c r="F229" s="113" t="s">
        <v>346</v>
      </c>
      <c r="G229" s="41" t="s">
        <v>380</v>
      </c>
      <c r="H229" s="41" t="s">
        <v>860</v>
      </c>
      <c r="I229" s="41" t="s">
        <v>274</v>
      </c>
      <c r="J229" s="41" t="str">
        <f t="shared" si="9"/>
        <v>X</v>
      </c>
      <c r="K229" s="113">
        <f>IFERROR(INDEX(환산공식!CI$16:CI$301,MATCH($E229,환산공식!$A$16:$A$301,0)),"")</f>
        <v>120</v>
      </c>
      <c r="L229" s="41" t="str">
        <f>IFERROR(CONCATENATE(ROUND(INDEX(환산공식!CJ$16:CJ$301,MATCH(E229,환산공식!$A$16:$A$301,0)),1),"%"),"")</f>
        <v>100%</v>
      </c>
      <c r="M229" s="41">
        <f>IFERROR(INDEX(환산공식!CK$16:CK$301,MATCH(E229,환산공식!$A$16:$A$301,0)),"")</f>
        <v>40</v>
      </c>
      <c r="N229" s="113" t="str">
        <f t="shared" si="10"/>
        <v>1% 이하</v>
      </c>
      <c r="O229" s="119">
        <f>IFERROR(ROUND(INDEX(환산공식!$EF$16:$EF$301,MATCH(E229,환산공식!$A$16:$A$301,0)),3),"")</f>
        <v>0</v>
      </c>
      <c r="P229" s="119">
        <f>IFERROR(ROUND(INDEX('배치점수 계산기'!M$11:M$1000,MATCH($C229,'배치점수 계산기'!$U$11:$U$1000,0)),2),"")</f>
        <v>607.02</v>
      </c>
      <c r="Q229" s="41">
        <f>IFERROR(ROUND(INDEX('배치점수 계산기'!N$11:N$1000,MATCH($C229,'배치점수 계산기'!$U$11:$U$1000,0)),2),"")</f>
        <v>604.67999999999995</v>
      </c>
      <c r="R229" s="41">
        <f>IFERROR(ROUND(INDEX('배치점수 계산기'!O$11:O$1000,MATCH($C229,'배치점수 계산기'!$U$11:$U$1000,0)),2),"")</f>
        <v>602.97</v>
      </c>
      <c r="S229" s="41">
        <f>IFERROR(ROUND(INDEX('배치점수 계산기'!P$11:P$1000,MATCH($C229,'배치점수 계산기'!$U$11:$U$1000,0)),2),"")</f>
        <v>599.80999999999995</v>
      </c>
      <c r="T229" s="41">
        <f>IFERROR(ROUND(INDEX('배치점수 계산기'!Q$11:Q$1000,MATCH($C229,'배치점수 계산기'!$U$11:$U$1000,0)),2),"")</f>
        <v>597.58000000000004</v>
      </c>
      <c r="U229" s="41">
        <f>IFERROR(INDEX(환산공식!$DC$16:$DC$301,MATCH(E229,환산공식!$A$16:$A$301,0)),"")</f>
        <v>0</v>
      </c>
      <c r="V229" s="113">
        <f t="shared" si="11"/>
        <v>6</v>
      </c>
      <c r="W229" s="110" t="str">
        <f>INDEX('배치점수 계산기'!$AG$11:$AG$800,MATCH('       나 군       '!$C229,'배치점수 계산기'!$U$11:$U$800,0))</f>
        <v>표점</v>
      </c>
      <c r="X229" s="108" t="str">
        <f>INDEX('배치점수 계산기'!$AH$11:$AH$800,MATCH('       나 군       '!$C229,'배치점수 계산기'!$U$11:$U$800,0))</f>
        <v>변표</v>
      </c>
      <c r="Y229" s="113">
        <f>INDEX('배치점수 계산기'!$AB$11:$AB$800,MATCH('       나 군       '!$C229,'배치점수 계산기'!$U$11:$U$800,0))</f>
        <v>0.25</v>
      </c>
      <c r="Z229" s="73">
        <f>INDEX('배치점수 계산기'!$AC$11:$AC$800,MATCH('       나 군       '!$C229,'배치점수 계산기'!$U$11:$U$800,0))</f>
        <v>0.43749999999999994</v>
      </c>
      <c r="AA229" s="63">
        <f>INDEX('배치점수 계산기'!$AD$11:$AD$800,MATCH('       나 군       '!$C229,'배치점수 계산기'!$U$11:$U$800,0))</f>
        <v>0.3125</v>
      </c>
      <c r="AE229" s="7">
        <v>222</v>
      </c>
    </row>
    <row r="230" spans="3:31" x14ac:dyDescent="0.3">
      <c r="C230" s="7" t="s">
        <v>1468</v>
      </c>
      <c r="D230" s="41" t="s">
        <v>1469</v>
      </c>
      <c r="E230" s="41">
        <v>112</v>
      </c>
      <c r="F230" s="113" t="s">
        <v>346</v>
      </c>
      <c r="G230" s="41" t="s">
        <v>690</v>
      </c>
      <c r="H230" s="41" t="s">
        <v>861</v>
      </c>
      <c r="I230" s="41" t="s">
        <v>275</v>
      </c>
      <c r="J230" s="41" t="str">
        <f t="shared" si="9"/>
        <v>X</v>
      </c>
      <c r="K230" s="113">
        <f>IFERROR(INDEX(환산공식!CI$16:CI$301,MATCH($E230,환산공식!$A$16:$A$301,0)),"")</f>
        <v>100</v>
      </c>
      <c r="L230" s="41" t="str">
        <f>IFERROR(CONCATENATE(ROUND(INDEX(환산공식!CJ$16:CJ$301,MATCH(E230,환산공식!$A$16:$A$301,0)),1),"%"),"")</f>
        <v>100%</v>
      </c>
      <c r="M230" s="41">
        <f>IFERROR(INDEX(환산공식!CK$16:CK$301,MATCH(E230,환산공식!$A$16:$A$301,0)),"")</f>
        <v>5</v>
      </c>
      <c r="N230" s="113" t="str">
        <f t="shared" si="10"/>
        <v>1% 이하</v>
      </c>
      <c r="O230" s="119">
        <f>IFERROR(ROUND(INDEX(환산공식!$EF$16:$EF$301,MATCH(E230,환산공식!$A$16:$A$301,0)),3),"")</f>
        <v>0</v>
      </c>
      <c r="P230" s="119">
        <f>IFERROR(ROUND(INDEX('배치점수 계산기'!M$11:M$1000,MATCH($C230,'배치점수 계산기'!$U$11:$U$1000,0)),2),"")</f>
        <v>516.5</v>
      </c>
      <c r="Q230" s="41">
        <f>IFERROR(ROUND(INDEX('배치점수 계산기'!N$11:N$1000,MATCH($C230,'배치점수 계산기'!$U$11:$U$1000,0)),2),"")</f>
        <v>513</v>
      </c>
      <c r="R230" s="41">
        <f>IFERROR(ROUND(INDEX('배치점수 계산기'!O$11:O$1000,MATCH($C230,'배치점수 계산기'!$U$11:$U$1000,0)),2),"")</f>
        <v>510.8</v>
      </c>
      <c r="S230" s="41">
        <f>IFERROR(ROUND(INDEX('배치점수 계산기'!P$11:P$1000,MATCH($C230,'배치점수 계산기'!$U$11:$U$1000,0)),2),"")</f>
        <v>506.9</v>
      </c>
      <c r="T230" s="41">
        <f>IFERROR(ROUND(INDEX('배치점수 계산기'!Q$11:Q$1000,MATCH($C230,'배치점수 계산기'!$U$11:$U$1000,0)),2),"")</f>
        <v>502.9</v>
      </c>
      <c r="U230" s="41">
        <f>IFERROR(INDEX(환산공식!$DC$16:$DC$301,MATCH(E230,환산공식!$A$16:$A$301,0)),"")</f>
        <v>0</v>
      </c>
      <c r="V230" s="113">
        <f t="shared" si="11"/>
        <v>6</v>
      </c>
      <c r="W230" s="110" t="str">
        <f>INDEX('배치점수 계산기'!$AG$11:$AG$800,MATCH('       나 군       '!$C230,'배치점수 계산기'!$U$11:$U$800,0))</f>
        <v>표점</v>
      </c>
      <c r="X230" s="108" t="str">
        <f>INDEX('배치점수 계산기'!$AH$11:$AH$800,MATCH('       나 군       '!$C230,'배치점수 계산기'!$U$11:$U$800,0))</f>
        <v>표점</v>
      </c>
      <c r="Y230" s="113">
        <f>INDEX('배치점수 계산기'!$AB$11:$AB$800,MATCH('       나 군       '!$C230,'배치점수 계산기'!$U$11:$U$800,0))</f>
        <v>0.33333333333333331</v>
      </c>
      <c r="Z230" s="73">
        <f>INDEX('배치점수 계산기'!$AC$11:$AC$800,MATCH('       나 군       '!$C230,'배치점수 계산기'!$U$11:$U$800,0))</f>
        <v>0.33333333333333331</v>
      </c>
      <c r="AA230" s="63">
        <f>INDEX('배치점수 계산기'!$AD$11:$AD$800,MATCH('       나 군       '!$C230,'배치점수 계산기'!$U$11:$U$800,0))</f>
        <v>0.33333333333333331</v>
      </c>
      <c r="AE230" s="7">
        <v>223</v>
      </c>
    </row>
    <row r="231" spans="3:31" x14ac:dyDescent="0.3">
      <c r="C231" s="7" t="s">
        <v>1470</v>
      </c>
      <c r="D231" s="41" t="s">
        <v>1463</v>
      </c>
      <c r="E231" s="41">
        <v>111</v>
      </c>
      <c r="F231" s="113" t="s">
        <v>346</v>
      </c>
      <c r="G231" s="41" t="s">
        <v>690</v>
      </c>
      <c r="H231" s="41" t="s">
        <v>860</v>
      </c>
      <c r="I231" s="41" t="s">
        <v>274</v>
      </c>
      <c r="J231" s="41" t="str">
        <f t="shared" si="9"/>
        <v>X</v>
      </c>
      <c r="K231" s="113">
        <f>IFERROR(INDEX(환산공식!CI$16:CI$301,MATCH($E231,환산공식!$A$16:$A$301,0)),"")</f>
        <v>100</v>
      </c>
      <c r="L231" s="41" t="str">
        <f>IFERROR(CONCATENATE(ROUND(INDEX(환산공식!CJ$16:CJ$301,MATCH(E231,환산공식!$A$16:$A$301,0)),1),"%"),"")</f>
        <v>100%</v>
      </c>
      <c r="M231" s="41">
        <f>IFERROR(INDEX(환산공식!CK$16:CK$301,MATCH(E231,환산공식!$A$16:$A$301,0)),"")</f>
        <v>5</v>
      </c>
      <c r="N231" s="113" t="str">
        <f t="shared" si="10"/>
        <v>1% 이하</v>
      </c>
      <c r="O231" s="119">
        <f>IFERROR(ROUND(INDEX(환산공식!$EF$16:$EF$301,MATCH(E231,환산공식!$A$16:$A$301,0)),3),"")</f>
        <v>0</v>
      </c>
      <c r="P231" s="119">
        <f>IFERROR(ROUND(INDEX('배치점수 계산기'!M$11:M$1000,MATCH($C231,'배치점수 계산기'!$U$11:$U$1000,0)),2),"")</f>
        <v>515.79999999999995</v>
      </c>
      <c r="Q231" s="41">
        <f>IFERROR(ROUND(INDEX('배치점수 계산기'!N$11:N$1000,MATCH($C231,'배치점수 계산기'!$U$11:$U$1000,0)),2),"")</f>
        <v>514.70000000000005</v>
      </c>
      <c r="R231" s="41">
        <f>IFERROR(ROUND(INDEX('배치점수 계산기'!O$11:O$1000,MATCH($C231,'배치점수 계산기'!$U$11:$U$1000,0)),2),"")</f>
        <v>513.6</v>
      </c>
      <c r="S231" s="41">
        <f>IFERROR(ROUND(INDEX('배치점수 계산기'!P$11:P$1000,MATCH($C231,'배치점수 계산기'!$U$11:$U$1000,0)),2),"")</f>
        <v>512.29999999999995</v>
      </c>
      <c r="T231" s="41">
        <f>IFERROR(ROUND(INDEX('배치점수 계산기'!Q$11:Q$1000,MATCH($C231,'배치점수 계산기'!$U$11:$U$1000,0)),2),"")</f>
        <v>511.6</v>
      </c>
      <c r="U231" s="41">
        <f>IFERROR(INDEX(환산공식!$DC$16:$DC$301,MATCH(E231,환산공식!$A$16:$A$301,0)),"")</f>
        <v>0</v>
      </c>
      <c r="V231" s="113">
        <f t="shared" si="11"/>
        <v>6</v>
      </c>
      <c r="W231" s="110" t="str">
        <f>INDEX('배치점수 계산기'!$AG$11:$AG$800,MATCH('       나 군       '!$C231,'배치점수 계산기'!$U$11:$U$800,0))</f>
        <v>표점</v>
      </c>
      <c r="X231" s="108" t="str">
        <f>INDEX('배치점수 계산기'!$AH$11:$AH$800,MATCH('       나 군       '!$C231,'배치점수 계산기'!$U$11:$U$800,0))</f>
        <v>표점</v>
      </c>
      <c r="Y231" s="113">
        <f>INDEX('배치점수 계산기'!$AB$11:$AB$800,MATCH('       나 군       '!$C231,'배치점수 계산기'!$U$11:$U$800,0))</f>
        <v>0.33333333333333331</v>
      </c>
      <c r="Z231" s="73">
        <f>INDEX('배치점수 계산기'!$AC$11:$AC$800,MATCH('       나 군       '!$C231,'배치점수 계산기'!$U$11:$U$800,0))</f>
        <v>0.33333333333333331</v>
      </c>
      <c r="AA231" s="63">
        <f>INDEX('배치점수 계산기'!$AD$11:$AD$800,MATCH('       나 군       '!$C231,'배치점수 계산기'!$U$11:$U$800,0))</f>
        <v>0.33333333333333331</v>
      </c>
      <c r="AE231" s="7">
        <v>224</v>
      </c>
    </row>
    <row r="232" spans="3:31" x14ac:dyDescent="0.3">
      <c r="C232" s="7" t="s">
        <v>1471</v>
      </c>
      <c r="D232" s="41" t="s">
        <v>181</v>
      </c>
      <c r="E232" s="41">
        <v>80</v>
      </c>
      <c r="F232" s="113" t="s">
        <v>346</v>
      </c>
      <c r="G232" s="41" t="s">
        <v>858</v>
      </c>
      <c r="H232" s="41" t="s">
        <v>860</v>
      </c>
      <c r="I232" s="41" t="s">
        <v>274</v>
      </c>
      <c r="J232" s="41" t="str">
        <f t="shared" si="9"/>
        <v>X</v>
      </c>
      <c r="K232" s="113">
        <f>IFERROR(INDEX(환산공식!CI$16:CI$301,MATCH($E232,환산공식!$A$16:$A$301,0)),"")</f>
        <v>150</v>
      </c>
      <c r="L232" s="41" t="str">
        <f>IFERROR(CONCATENATE(ROUND(INDEX(환산공식!CJ$16:CJ$301,MATCH(E232,환산공식!$A$16:$A$301,0)),1),"%"),"")</f>
        <v>100%</v>
      </c>
      <c r="M232" s="41">
        <f>IFERROR(INDEX(환산공식!CK$16:CK$301,MATCH(E232,환산공식!$A$16:$A$301,0)),"")</f>
        <v>5</v>
      </c>
      <c r="N232" s="113" t="str">
        <f t="shared" si="10"/>
        <v>1% 이하</v>
      </c>
      <c r="O232" s="119">
        <f>IFERROR(ROUND(INDEX(환산공식!$EF$16:$EF$301,MATCH(E232,환산공식!$A$16:$A$301,0)),3),"")</f>
        <v>0</v>
      </c>
      <c r="P232" s="119">
        <f>IFERROR(ROUND(INDEX('배치점수 계산기'!M$11:M$1000,MATCH($C232,'배치점수 계산기'!$U$11:$U$1000,0)),2),"")</f>
        <v>953.81</v>
      </c>
      <c r="Q232" s="41">
        <f>IFERROR(ROUND(INDEX('배치점수 계산기'!N$11:N$1000,MATCH($C232,'배치점수 계산기'!$U$11:$U$1000,0)),2),"")</f>
        <v>949.73</v>
      </c>
      <c r="R232" s="41">
        <f>IFERROR(ROUND(INDEX('배치점수 계산기'!O$11:O$1000,MATCH($C232,'배치점수 계산기'!$U$11:$U$1000,0)),2),"")</f>
        <v>948.04</v>
      </c>
      <c r="S232" s="41">
        <f>IFERROR(ROUND(INDEX('배치점수 계산기'!P$11:P$1000,MATCH($C232,'배치점수 계산기'!$U$11:$U$1000,0)),2),"")</f>
        <v>947.14</v>
      </c>
      <c r="T232" s="41">
        <f>IFERROR(ROUND(INDEX('배치점수 계산기'!Q$11:Q$1000,MATCH($C232,'배치점수 계산기'!$U$11:$U$1000,0)),2),"")</f>
        <v>945.71</v>
      </c>
      <c r="U232" s="41">
        <f>IFERROR(INDEX(환산공식!$DC$16:$DC$301,MATCH(E232,환산공식!$A$16:$A$301,0)),"")</f>
        <v>0</v>
      </c>
      <c r="V232" s="113">
        <f t="shared" si="11"/>
        <v>6</v>
      </c>
      <c r="W232" s="110" t="str">
        <f>INDEX('배치점수 계산기'!$AG$11:$AG$800,MATCH('       나 군       '!$C232,'배치점수 계산기'!$U$11:$U$800,0))</f>
        <v>표점/만점</v>
      </c>
      <c r="X232" s="108" t="str">
        <f>INDEX('배치점수 계산기'!$AH$11:$AH$800,MATCH('       나 군       '!$C232,'배치점수 계산기'!$U$11:$U$800,0))</f>
        <v>백분위</v>
      </c>
      <c r="Y232" s="113">
        <f>INDEX('배치점수 계산기'!$AB$11:$AB$800,MATCH('       나 군       '!$C232,'배치점수 계산기'!$U$11:$U$800,0))</f>
        <v>0.20451106898770499</v>
      </c>
      <c r="Z232" s="73">
        <f>INDEX('배치점수 계산기'!$AC$11:$AC$800,MATCH('       나 군       '!$C232,'배치점수 계산기'!$U$11:$U$800,0))</f>
        <v>0.41458706502269443</v>
      </c>
      <c r="AA232" s="63">
        <f>INDEX('배치점수 계산기'!$AD$11:$AD$800,MATCH('       나 군       '!$C232,'배치점수 계산기'!$U$11:$U$800,0))</f>
        <v>0.38090186598960052</v>
      </c>
      <c r="AE232" s="7">
        <v>225</v>
      </c>
    </row>
    <row r="233" spans="3:31" x14ac:dyDescent="0.3">
      <c r="C233" s="7" t="s">
        <v>1472</v>
      </c>
      <c r="D233" s="41" t="s">
        <v>1232</v>
      </c>
      <c r="E233" s="41">
        <v>16</v>
      </c>
      <c r="F233" s="113" t="s">
        <v>346</v>
      </c>
      <c r="G233" s="41" t="s">
        <v>681</v>
      </c>
      <c r="H233" s="41" t="s">
        <v>685</v>
      </c>
      <c r="I233" s="41" t="s">
        <v>274</v>
      </c>
      <c r="J233" s="41" t="str">
        <f t="shared" si="9"/>
        <v>X</v>
      </c>
      <c r="K233" s="113">
        <f>IFERROR(INDEX(환산공식!CI$16:CI$301,MATCH($E233,환산공식!$A$16:$A$301,0)),"")</f>
        <v>0</v>
      </c>
      <c r="L233" s="41" t="str">
        <f>IFERROR(CONCATENATE(ROUND(INDEX(환산공식!CJ$16:CJ$301,MATCH(E233,환산공식!$A$16:$A$301,0)),1),"%"),"")</f>
        <v/>
      </c>
      <c r="M233" s="41">
        <f>IFERROR(INDEX(환산공식!CK$16:CK$301,MATCH(E233,환산공식!$A$16:$A$301,0)),"")</f>
        <v>0</v>
      </c>
      <c r="N233" s="113" t="str">
        <f t="shared" si="10"/>
        <v>1% 이하</v>
      </c>
      <c r="O233" s="119">
        <f>IFERROR(ROUND(INDEX(환산공식!$EF$16:$EF$301,MATCH(E233,환산공식!$A$16:$A$301,0)),3),"")</f>
        <v>0</v>
      </c>
      <c r="P233" s="119">
        <f>IFERROR(ROUND(INDEX('배치점수 계산기'!M$11:M$1000,MATCH($C233,'배치점수 계산기'!$U$11:$U$1000,0)),2),"")</f>
        <v>418.86</v>
      </c>
      <c r="Q233" s="41">
        <f>IFERROR(ROUND(INDEX('배치점수 계산기'!N$11:N$1000,MATCH($C233,'배치점수 계산기'!$U$11:$U$1000,0)),2),"")</f>
        <v>417.62</v>
      </c>
      <c r="R233" s="41">
        <f>IFERROR(ROUND(INDEX('배치점수 계산기'!O$11:O$1000,MATCH($C233,'배치점수 계산기'!$U$11:$U$1000,0)),2),"")</f>
        <v>415.38</v>
      </c>
      <c r="S233" s="41">
        <f>IFERROR(ROUND(INDEX('배치점수 계산기'!P$11:P$1000,MATCH($C233,'배치점수 계산기'!$U$11:$U$1000,0)),2),"")</f>
        <v>413.96</v>
      </c>
      <c r="T233" s="41">
        <f>IFERROR(ROUND(INDEX('배치점수 계산기'!Q$11:Q$1000,MATCH($C233,'배치점수 계산기'!$U$11:$U$1000,0)),2),"")</f>
        <v>411.76</v>
      </c>
      <c r="U233" s="41">
        <f>IFERROR(INDEX(환산공식!$DC$16:$DC$301,MATCH(E233,환산공식!$A$16:$A$301,0)),"")</f>
        <v>0</v>
      </c>
      <c r="V233" s="113">
        <f t="shared" si="11"/>
        <v>6</v>
      </c>
      <c r="W233" s="110" t="str">
        <f>INDEX('배치점수 계산기'!$AG$11:$AG$800,MATCH('       나 군       '!$C233,'배치점수 계산기'!$U$11:$U$800,0))</f>
        <v>표점</v>
      </c>
      <c r="X233" s="108" t="str">
        <f>INDEX('배치점수 계산기'!$AH$11:$AH$800,MATCH('       나 군       '!$C233,'배치점수 계산기'!$U$11:$U$800,0))</f>
        <v>표점</v>
      </c>
      <c r="Y233" s="113">
        <f>INDEX('배치점수 계산기'!$AB$11:$AB$800,MATCH('       나 군       '!$C233,'배치점수 계산기'!$U$11:$U$800,0))</f>
        <v>0.33333333333333331</v>
      </c>
      <c r="Z233" s="73">
        <f>INDEX('배치점수 계산기'!$AC$11:$AC$800,MATCH('       나 군       '!$C233,'배치점수 계산기'!$U$11:$U$800,0))</f>
        <v>0.39999999999999997</v>
      </c>
      <c r="AA233" s="63">
        <f>INDEX('배치점수 계산기'!$AD$11:$AD$800,MATCH('       나 군       '!$C233,'배치점수 계산기'!$U$11:$U$800,0))</f>
        <v>0.26666666666666666</v>
      </c>
      <c r="AE233" s="7">
        <v>226</v>
      </c>
    </row>
    <row r="234" spans="3:31" x14ac:dyDescent="0.3">
      <c r="C234" s="7" t="s">
        <v>1473</v>
      </c>
      <c r="D234" s="41" t="s">
        <v>1474</v>
      </c>
      <c r="E234" s="41">
        <v>128</v>
      </c>
      <c r="F234" s="113" t="s">
        <v>346</v>
      </c>
      <c r="G234" s="41" t="s">
        <v>721</v>
      </c>
      <c r="H234" s="41" t="s">
        <v>685</v>
      </c>
      <c r="I234" s="41" t="s">
        <v>274</v>
      </c>
      <c r="J234" s="41" t="str">
        <f t="shared" si="9"/>
        <v>X</v>
      </c>
      <c r="K234" s="113">
        <f>IFERROR(INDEX(환산공식!CI$16:CI$301,MATCH($E234,환산공식!$A$16:$A$301,0)),"")</f>
        <v>200</v>
      </c>
      <c r="L234" s="41" t="str">
        <f>IFERROR(CONCATENATE(ROUND(INDEX(환산공식!CJ$16:CJ$301,MATCH(E234,환산공식!$A$16:$A$301,0)),1),"%"),"")</f>
        <v>100%</v>
      </c>
      <c r="M234" s="41">
        <f>IFERROR(INDEX(환산공식!CK$16:CK$301,MATCH(E234,환산공식!$A$16:$A$301,0)),"")</f>
        <v>10</v>
      </c>
      <c r="N234" s="113" t="str">
        <f t="shared" si="10"/>
        <v>1% 이하</v>
      </c>
      <c r="O234" s="119">
        <f>IFERROR(ROUND(INDEX(환산공식!$EF$16:$EF$301,MATCH(E234,환산공식!$A$16:$A$301,0)),3),"")</f>
        <v>0</v>
      </c>
      <c r="P234" s="119">
        <f>IFERROR(ROUND(INDEX('배치점수 계산기'!M$11:M$1000,MATCH($C234,'배치점수 계산기'!$U$11:$U$1000,0)),2),"")</f>
        <v>945.53</v>
      </c>
      <c r="Q234" s="41">
        <f>IFERROR(ROUND(INDEX('배치점수 계산기'!N$11:N$1000,MATCH($C234,'배치점수 계산기'!$U$11:$U$1000,0)),2),"")</f>
        <v>944.36</v>
      </c>
      <c r="R234" s="41">
        <f>IFERROR(ROUND(INDEX('배치점수 계산기'!O$11:O$1000,MATCH($C234,'배치점수 계산기'!$U$11:$U$1000,0)),2),"")</f>
        <v>943.06</v>
      </c>
      <c r="S234" s="41">
        <f>IFERROR(ROUND(INDEX('배치점수 계산기'!P$11:P$1000,MATCH($C234,'배치점수 계산기'!$U$11:$U$1000,0)),2),"")</f>
        <v>942.02</v>
      </c>
      <c r="T234" s="41">
        <f>IFERROR(ROUND(INDEX('배치점수 계산기'!Q$11:Q$1000,MATCH($C234,'배치점수 계산기'!$U$11:$U$1000,0)),2),"")</f>
        <v>940.04</v>
      </c>
      <c r="U234" s="41">
        <f>IFERROR(INDEX(환산공식!$DC$16:$DC$301,MATCH(E234,환산공식!$A$16:$A$301,0)),"")</f>
        <v>0</v>
      </c>
      <c r="V234" s="113">
        <f t="shared" si="11"/>
        <v>6</v>
      </c>
      <c r="W234" s="110" t="str">
        <f>INDEX('배치점수 계산기'!$AG$11:$AG$800,MATCH('       나 군       '!$C234,'배치점수 계산기'!$U$11:$U$800,0))</f>
        <v>표점/만점</v>
      </c>
      <c r="X234" s="108" t="str">
        <f>INDEX('배치점수 계산기'!$AH$11:$AH$800,MATCH('       나 군       '!$C234,'배치점수 계산기'!$U$11:$U$800,0))</f>
        <v>변표/만점</v>
      </c>
      <c r="Y234" s="113">
        <f>INDEX('배치점수 계산기'!$AB$11:$AB$800,MATCH('       나 군       '!$C234,'배치점수 계산기'!$U$11:$U$800,0))</f>
        <v>0.30640028173525991</v>
      </c>
      <c r="Z234" s="73">
        <f>INDEX('배치점수 계산기'!$AC$11:$AC$800,MATCH('       나 군       '!$C234,'배치점수 계산기'!$U$11:$U$800,0))</f>
        <v>0.37268279166166307</v>
      </c>
      <c r="AA234" s="63">
        <f>INDEX('배치점수 계산기'!$AD$11:$AD$800,MATCH('       나 군       '!$C234,'배치점수 계산기'!$U$11:$U$800,0))</f>
        <v>0.32091692660307697</v>
      </c>
      <c r="AE234" s="7">
        <v>227</v>
      </c>
    </row>
    <row r="235" spans="3:31" x14ac:dyDescent="0.3">
      <c r="C235" s="7" t="s">
        <v>1475</v>
      </c>
      <c r="D235" s="41" t="s">
        <v>1476</v>
      </c>
      <c r="E235" s="41">
        <v>124</v>
      </c>
      <c r="F235" s="113" t="s">
        <v>346</v>
      </c>
      <c r="G235" s="41" t="s">
        <v>720</v>
      </c>
      <c r="H235" s="41" t="s">
        <v>685</v>
      </c>
      <c r="I235" s="41" t="s">
        <v>274</v>
      </c>
      <c r="J235" s="41" t="str">
        <f t="shared" si="9"/>
        <v>X</v>
      </c>
      <c r="K235" s="113">
        <f>IFERROR(INDEX(환산공식!CI$16:CI$301,MATCH($E235,환산공식!$A$16:$A$301,0)),"")</f>
        <v>20</v>
      </c>
      <c r="L235" s="41" t="str">
        <f>IFERROR(CONCATENATE(ROUND(INDEX(환산공식!CJ$16:CJ$301,MATCH(E235,환산공식!$A$16:$A$301,0)),1),"%"),"")</f>
        <v>100%</v>
      </c>
      <c r="M235" s="41">
        <f>IFERROR(INDEX(환산공식!CK$16:CK$301,MATCH(E235,환산공식!$A$16:$A$301,0)),"")</f>
        <v>0</v>
      </c>
      <c r="N235" s="113" t="str">
        <f t="shared" si="10"/>
        <v>1% 이하</v>
      </c>
      <c r="O235" s="119">
        <f>IFERROR(ROUND(INDEX(환산공식!$EF$16:$EF$301,MATCH(E235,환산공식!$A$16:$A$301,0)),3),"")</f>
        <v>0</v>
      </c>
      <c r="P235" s="119">
        <f>IFERROR(ROUND(INDEX('배치점수 계산기'!M$11:M$1000,MATCH($C235,'배치점수 계산기'!$U$11:$U$1000,0)),2),"")</f>
        <v>93.51</v>
      </c>
      <c r="Q235" s="41">
        <f>IFERROR(ROUND(INDEX('배치점수 계산기'!N$11:N$1000,MATCH($C235,'배치점수 계산기'!$U$11:$U$1000,0)),2),"")</f>
        <v>93.35</v>
      </c>
      <c r="R235" s="41">
        <f>IFERROR(ROUND(INDEX('배치점수 계산기'!O$11:O$1000,MATCH($C235,'배치점수 계산기'!$U$11:$U$1000,0)),2),"")</f>
        <v>93.24</v>
      </c>
      <c r="S235" s="41">
        <f>IFERROR(ROUND(INDEX('배치점수 계산기'!P$11:P$1000,MATCH($C235,'배치점수 계산기'!$U$11:$U$1000,0)),2),"")</f>
        <v>93.14</v>
      </c>
      <c r="T235" s="41">
        <f>IFERROR(ROUND(INDEX('배치점수 계산기'!Q$11:Q$1000,MATCH($C235,'배치점수 계산기'!$U$11:$U$1000,0)),2),"")</f>
        <v>92.98</v>
      </c>
      <c r="U235" s="41">
        <f>IFERROR(INDEX(환산공식!$DC$16:$DC$301,MATCH(E235,환산공식!$A$16:$A$301,0)),"")</f>
        <v>0</v>
      </c>
      <c r="V235" s="113">
        <f t="shared" si="11"/>
        <v>6</v>
      </c>
      <c r="W235" s="110" t="str">
        <f>INDEX('배치점수 계산기'!$AG$11:$AG$800,MATCH('       나 군       '!$C235,'배치점수 계산기'!$U$11:$U$800,0))</f>
        <v>표점/만점</v>
      </c>
      <c r="X235" s="108" t="str">
        <f>INDEX('배치점수 계산기'!$AH$11:$AH$800,MATCH('       나 군       '!$C235,'배치점수 계산기'!$U$11:$U$800,0))</f>
        <v>변표/만점</v>
      </c>
      <c r="Y235" s="113">
        <f>INDEX('배치점수 계산기'!$AB$11:$AB$800,MATCH('       나 군       '!$C235,'배치점수 계산기'!$U$11:$U$800,0))</f>
        <v>0.24441062095095437</v>
      </c>
      <c r="Z235" s="73">
        <f>INDEX('배치점수 계산기'!$AC$11:$AC$800,MATCH('       나 군       '!$C235,'배치점수 계산기'!$U$11:$U$800,0))</f>
        <v>0.37160390328257348</v>
      </c>
      <c r="AA235" s="63">
        <f>INDEX('배치점수 계산기'!$AD$11:$AD$800,MATCH('       나 군       '!$C235,'배치점수 계산기'!$U$11:$U$800,0))</f>
        <v>0.38398547576647202</v>
      </c>
      <c r="AE235" s="7">
        <v>228</v>
      </c>
    </row>
    <row r="236" spans="3:31" x14ac:dyDescent="0.3">
      <c r="C236" s="7" t="s">
        <v>1477</v>
      </c>
      <c r="D236" s="41" t="s">
        <v>1377</v>
      </c>
      <c r="E236" s="41">
        <v>64</v>
      </c>
      <c r="F236" s="113" t="s">
        <v>346</v>
      </c>
      <c r="G236" s="41" t="s">
        <v>717</v>
      </c>
      <c r="H236" s="41" t="s">
        <v>685</v>
      </c>
      <c r="I236" s="41" t="s">
        <v>274</v>
      </c>
      <c r="J236" s="41" t="str">
        <f t="shared" si="9"/>
        <v>X</v>
      </c>
      <c r="K236" s="113">
        <f>IFERROR(INDEX(환산공식!CI$16:CI$301,MATCH($E236,환산공식!$A$16:$A$301,0)),"")</f>
        <v>200</v>
      </c>
      <c r="L236" s="41" t="str">
        <f>IFERROR(CONCATENATE(ROUND(INDEX(환산공식!CJ$16:CJ$301,MATCH(E236,환산공식!$A$16:$A$301,0)),1),"%"),"")</f>
        <v>100%</v>
      </c>
      <c r="M236" s="41">
        <f>IFERROR(INDEX(환산공식!CK$16:CK$301,MATCH(E236,환산공식!$A$16:$A$301,0)),"")</f>
        <v>10</v>
      </c>
      <c r="N236" s="113" t="str">
        <f t="shared" si="10"/>
        <v>1% 이하</v>
      </c>
      <c r="O236" s="119">
        <f>IFERROR(ROUND(INDEX(환산공식!$EF$16:$EF$301,MATCH(E236,환산공식!$A$16:$A$301,0)),3),"")</f>
        <v>0</v>
      </c>
      <c r="P236" s="119">
        <f>IFERROR(ROUND(INDEX('배치점수 계산기'!M$11:M$1000,MATCH($C236,'배치점수 계산기'!$U$11:$U$1000,0)),2),"")</f>
        <v>945.53</v>
      </c>
      <c r="Q236" s="41">
        <f>IFERROR(ROUND(INDEX('배치점수 계산기'!N$11:N$1000,MATCH($C236,'배치점수 계산기'!$U$11:$U$1000,0)),2),"")</f>
        <v>943.99</v>
      </c>
      <c r="R236" s="41">
        <f>IFERROR(ROUND(INDEX('배치점수 계산기'!O$11:O$1000,MATCH($C236,'배치점수 계산기'!$U$11:$U$1000,0)),2),"")</f>
        <v>942.02</v>
      </c>
      <c r="S236" s="41">
        <f>IFERROR(ROUND(INDEX('배치점수 계산기'!P$11:P$1000,MATCH($C236,'배치점수 계산기'!$U$11:$U$1000,0)),2),"")</f>
        <v>940.04</v>
      </c>
      <c r="T236" s="41">
        <f>IFERROR(ROUND(INDEX('배치점수 계산기'!Q$11:Q$1000,MATCH($C236,'배치점수 계산기'!$U$11:$U$1000,0)),2),"")</f>
        <v>936.96</v>
      </c>
      <c r="U236" s="41">
        <f>IFERROR(INDEX(환산공식!$DC$16:$DC$301,MATCH(E236,환산공식!$A$16:$A$301,0)),"")</f>
        <v>0</v>
      </c>
      <c r="V236" s="113">
        <f t="shared" si="11"/>
        <v>6</v>
      </c>
      <c r="W236" s="110" t="str">
        <f>INDEX('배치점수 계산기'!$AG$11:$AG$800,MATCH('       나 군       '!$C236,'배치점수 계산기'!$U$11:$U$800,0))</f>
        <v>표점/만점</v>
      </c>
      <c r="X236" s="108" t="str">
        <f>INDEX('배치점수 계산기'!$AH$11:$AH$800,MATCH('       나 군       '!$C236,'배치점수 계산기'!$U$11:$U$800,0))</f>
        <v>변표/만점</v>
      </c>
      <c r="Y236" s="113">
        <f>INDEX('배치점수 계산기'!$AB$11:$AB$800,MATCH('       나 군       '!$C236,'배치점수 계산기'!$U$11:$U$800,0))</f>
        <v>0.30640028173525991</v>
      </c>
      <c r="Z236" s="73">
        <f>INDEX('배치점수 계산기'!$AC$11:$AC$800,MATCH('       나 군       '!$C236,'배치점수 계산기'!$U$11:$U$800,0))</f>
        <v>0.37268279166166307</v>
      </c>
      <c r="AA236" s="63">
        <f>INDEX('배치점수 계산기'!$AD$11:$AD$800,MATCH('       나 군       '!$C236,'배치점수 계산기'!$U$11:$U$800,0))</f>
        <v>0.32091692660307697</v>
      </c>
      <c r="AE236" s="7">
        <v>229</v>
      </c>
    </row>
    <row r="237" spans="3:31" x14ac:dyDescent="0.3">
      <c r="C237" s="7" t="s">
        <v>1478</v>
      </c>
      <c r="D237" s="41" t="s">
        <v>1185</v>
      </c>
      <c r="E237" s="41">
        <v>125</v>
      </c>
      <c r="F237" s="113" t="s">
        <v>346</v>
      </c>
      <c r="G237" s="41" t="s">
        <v>707</v>
      </c>
      <c r="H237" s="41" t="s">
        <v>685</v>
      </c>
      <c r="I237" s="41" t="s">
        <v>274</v>
      </c>
      <c r="J237" s="41" t="str">
        <f t="shared" si="9"/>
        <v>X</v>
      </c>
      <c r="K237" s="113">
        <f>IFERROR(INDEX(환산공식!CI$16:CI$301,MATCH($E237,환산공식!$A$16:$A$301,0)),"")</f>
        <v>0</v>
      </c>
      <c r="L237" s="41" t="str">
        <f>IFERROR(CONCATENATE(ROUND(INDEX(환산공식!CJ$16:CJ$301,MATCH(E237,환산공식!$A$16:$A$301,0)),1),"%"),"")</f>
        <v/>
      </c>
      <c r="M237" s="41">
        <f>IFERROR(INDEX(환산공식!CK$16:CK$301,MATCH(E237,환산공식!$A$16:$A$301,0)),"")</f>
        <v>0</v>
      </c>
      <c r="N237" s="113" t="str">
        <f t="shared" si="10"/>
        <v>1% 이하</v>
      </c>
      <c r="O237" s="119">
        <f>IFERROR(ROUND(INDEX(환산공식!$EF$16:$EF$301,MATCH(E237,환산공식!$A$16:$A$301,0)),3),"")</f>
        <v>0</v>
      </c>
      <c r="P237" s="119">
        <f>IFERROR(ROUND(INDEX('배치점수 계산기'!M$11:M$1000,MATCH($C237,'배치점수 계산기'!$U$11:$U$1000,0)),2),"")</f>
        <v>203.9</v>
      </c>
      <c r="Q237" s="41">
        <f>IFERROR(ROUND(INDEX('배치점수 계산기'!N$11:N$1000,MATCH($C237,'배치점수 계산기'!$U$11:$U$1000,0)),2),"")</f>
        <v>203.45</v>
      </c>
      <c r="R237" s="41">
        <f>IFERROR(ROUND(INDEX('배치점수 계산기'!O$11:O$1000,MATCH($C237,'배치점수 계산기'!$U$11:$U$1000,0)),2),"")</f>
        <v>203.24</v>
      </c>
      <c r="S237" s="41">
        <f>IFERROR(ROUND(INDEX('배치점수 계산기'!P$11:P$1000,MATCH($C237,'배치점수 계산기'!$U$11:$U$1000,0)),2),"")</f>
        <v>202.68</v>
      </c>
      <c r="T237" s="41">
        <f>IFERROR(ROUND(INDEX('배치점수 계산기'!Q$11:Q$1000,MATCH($C237,'배치점수 계산기'!$U$11:$U$1000,0)),2),"")</f>
        <v>202.32</v>
      </c>
      <c r="U237" s="41">
        <f>IFERROR(INDEX(환산공식!$DC$16:$DC$301,MATCH(E237,환산공식!$A$16:$A$301,0)),"")</f>
        <v>0</v>
      </c>
      <c r="V237" s="113">
        <f t="shared" si="11"/>
        <v>6</v>
      </c>
      <c r="W237" s="110" t="str">
        <f>INDEX('배치점수 계산기'!$AG$11:$AG$800,MATCH('       나 군       '!$C237,'배치점수 계산기'!$U$11:$U$800,0))</f>
        <v>표점</v>
      </c>
      <c r="X237" s="108" t="str">
        <f>INDEX('배치점수 계산기'!$AH$11:$AH$800,MATCH('       나 군       '!$C237,'배치점수 계산기'!$U$11:$U$800,0))</f>
        <v>변표</v>
      </c>
      <c r="Y237" s="113">
        <f>INDEX('배치점수 계산기'!$AB$11:$AB$800,MATCH('       나 군       '!$C237,'배치점수 계산기'!$U$11:$U$800,0))</f>
        <v>0.25</v>
      </c>
      <c r="Z237" s="73">
        <f>INDEX('배치점수 계산기'!$AC$11:$AC$800,MATCH('       나 군       '!$C237,'배치점수 계산기'!$U$11:$U$800,0))</f>
        <v>0.45</v>
      </c>
      <c r="AA237" s="63">
        <f>INDEX('배치점수 계산기'!$AD$11:$AD$800,MATCH('       나 군       '!$C237,'배치점수 계산기'!$U$11:$U$800,0))</f>
        <v>0.3</v>
      </c>
      <c r="AE237" s="7">
        <v>230</v>
      </c>
    </row>
    <row r="238" spans="3:31" x14ac:dyDescent="0.3">
      <c r="C238" s="7" t="s">
        <v>1479</v>
      </c>
      <c r="D238" s="41" t="s">
        <v>1480</v>
      </c>
      <c r="E238" s="41">
        <v>77</v>
      </c>
      <c r="F238" s="113" t="s">
        <v>346</v>
      </c>
      <c r="G238" s="41" t="s">
        <v>719</v>
      </c>
      <c r="H238" s="41" t="s">
        <v>685</v>
      </c>
      <c r="I238" s="41" t="s">
        <v>274</v>
      </c>
      <c r="J238" s="41" t="str">
        <f t="shared" si="9"/>
        <v>X</v>
      </c>
      <c r="K238" s="113">
        <f>IFERROR(INDEX(환산공식!CI$16:CI$301,MATCH($E238,환산공식!$A$16:$A$301,0)),"")</f>
        <v>333</v>
      </c>
      <c r="L238" s="41" t="str">
        <f>IFERROR(CONCATENATE(ROUND(INDEX(환산공식!CJ$16:CJ$301,MATCH(E238,환산공식!$A$16:$A$301,0)),1),"%"),"")</f>
        <v>100%</v>
      </c>
      <c r="M238" s="41">
        <f>IFERROR(INDEX(환산공식!CK$16:CK$301,MATCH(E238,환산공식!$A$16:$A$301,0)),"")</f>
        <v>0</v>
      </c>
      <c r="N238" s="113" t="str">
        <f t="shared" si="10"/>
        <v>1% 이하</v>
      </c>
      <c r="O238" s="119">
        <f>IFERROR(ROUND(INDEX(환산공식!$EF$16:$EF$301,MATCH(E238,환산공식!$A$16:$A$301,0)),3),"")</f>
        <v>0</v>
      </c>
      <c r="P238" s="119">
        <f>IFERROR(ROUND(INDEX('배치점수 계산기'!M$11:M$1000,MATCH($C238,'배치점수 계산기'!$U$11:$U$1000,0)),2),"")</f>
        <v>946.76</v>
      </c>
      <c r="Q238" s="41">
        <f>IFERROR(ROUND(INDEX('배치점수 계산기'!N$11:N$1000,MATCH($C238,'배치점수 계산기'!$U$11:$U$1000,0)),2),"")</f>
        <v>944.36</v>
      </c>
      <c r="R238" s="41">
        <f>IFERROR(ROUND(INDEX('배치점수 계산기'!O$11:O$1000,MATCH($C238,'배치점수 계산기'!$U$11:$U$1000,0)),2),"")</f>
        <v>943.69</v>
      </c>
      <c r="S238" s="41">
        <f>IFERROR(ROUND(INDEX('배치점수 계산기'!P$11:P$1000,MATCH($C238,'배치점수 계산기'!$U$11:$U$1000,0)),2),"")</f>
        <v>942.6</v>
      </c>
      <c r="T238" s="41">
        <f>IFERROR(ROUND(INDEX('배치점수 계산기'!Q$11:Q$1000,MATCH($C238,'배치점수 계산기'!$U$11:$U$1000,0)),2),"")</f>
        <v>941.19</v>
      </c>
      <c r="U238" s="41">
        <f>IFERROR(INDEX(환산공식!$DC$16:$DC$301,MATCH(E238,환산공식!$A$16:$A$301,0)),"")</f>
        <v>0</v>
      </c>
      <c r="V238" s="113">
        <f t="shared" si="11"/>
        <v>6</v>
      </c>
      <c r="W238" s="110" t="str">
        <f>INDEX('배치점수 계산기'!$AG$11:$AG$800,MATCH('       나 군       '!$C238,'배치점수 계산기'!$U$11:$U$800,0))</f>
        <v>표점/만점</v>
      </c>
      <c r="X238" s="108" t="str">
        <f>INDEX('배치점수 계산기'!$AH$11:$AH$800,MATCH('       나 군       '!$C238,'배치점수 계산기'!$U$11:$U$800,0))</f>
        <v>변표/만점</v>
      </c>
      <c r="Y238" s="113">
        <f>INDEX('배치점수 계산기'!$AB$11:$AB$800,MATCH('       나 군       '!$C238,'배치점수 계산기'!$U$11:$U$800,0))</f>
        <v>0.24578965812626155</v>
      </c>
      <c r="Z238" s="73">
        <f>INDEX('배치점수 계산기'!$AC$11:$AC$800,MATCH('       나 군       '!$C238,'배치점수 계산기'!$U$11:$U$800,0))</f>
        <v>0.49677565144204322</v>
      </c>
      <c r="AA238" s="63">
        <f>INDEX('배치점수 계산기'!$AD$11:$AD$800,MATCH('       나 군       '!$C238,'배치점수 계산기'!$U$11:$U$800,0))</f>
        <v>0.25743469043169526</v>
      </c>
      <c r="AE238" s="7">
        <v>231</v>
      </c>
    </row>
    <row r="239" spans="3:31" x14ac:dyDescent="0.3">
      <c r="C239" s="7" t="s">
        <v>1481</v>
      </c>
      <c r="D239" s="41" t="s">
        <v>1482</v>
      </c>
      <c r="E239" s="41">
        <v>90</v>
      </c>
      <c r="F239" s="113" t="s">
        <v>346</v>
      </c>
      <c r="G239" s="41" t="s">
        <v>718</v>
      </c>
      <c r="H239" s="41" t="s">
        <v>685</v>
      </c>
      <c r="I239" s="41" t="s">
        <v>274</v>
      </c>
      <c r="J239" s="41" t="str">
        <f t="shared" si="9"/>
        <v>X</v>
      </c>
      <c r="K239" s="113">
        <f>IFERROR(INDEX(환산공식!CI$16:CI$301,MATCH($E239,환산공식!$A$16:$A$301,0)),"")</f>
        <v>250</v>
      </c>
      <c r="L239" s="41" t="str">
        <f>IFERROR(CONCATENATE(ROUND(INDEX(환산공식!CJ$16:CJ$301,MATCH(E239,환산공식!$A$16:$A$301,0)),1),"%"),"")</f>
        <v>100%</v>
      </c>
      <c r="M239" s="41">
        <f>IFERROR(INDEX(환산공식!CK$16:CK$301,MATCH(E239,환산공식!$A$16:$A$301,0)),"")</f>
        <v>3</v>
      </c>
      <c r="N239" s="113" t="str">
        <f t="shared" si="10"/>
        <v>1% 이하</v>
      </c>
      <c r="O239" s="119">
        <f>IFERROR(ROUND(INDEX(환산공식!$EF$16:$EF$301,MATCH(E239,환산공식!$A$16:$A$301,0)),3),"")</f>
        <v>0</v>
      </c>
      <c r="P239" s="119">
        <f>IFERROR(ROUND(INDEX('배치점수 계산기'!M$11:M$1000,MATCH($C239,'배치점수 계산기'!$U$11:$U$1000,0)),2),"")</f>
        <v>979.55</v>
      </c>
      <c r="Q239" s="41">
        <f>IFERROR(ROUND(INDEX('배치점수 계산기'!N$11:N$1000,MATCH($C239,'배치점수 계산기'!$U$11:$U$1000,0)),2),"")</f>
        <v>978.25</v>
      </c>
      <c r="R239" s="41">
        <f>IFERROR(ROUND(INDEX('배치점수 계산기'!O$11:O$1000,MATCH($C239,'배치점수 계산기'!$U$11:$U$1000,0)),2),"")</f>
        <v>977.85</v>
      </c>
      <c r="S239" s="41">
        <f>IFERROR(ROUND(INDEX('배치점수 계산기'!P$11:P$1000,MATCH($C239,'배치점수 계산기'!$U$11:$U$1000,0)),2),"")</f>
        <v>975.05</v>
      </c>
      <c r="T239" s="41">
        <f>IFERROR(ROUND(INDEX('배치점수 계산기'!Q$11:Q$1000,MATCH($C239,'배치점수 계산기'!$U$11:$U$1000,0)),2),"")</f>
        <v>969</v>
      </c>
      <c r="U239" s="41">
        <f>IFERROR(INDEX(환산공식!$DC$16:$DC$301,MATCH(E239,환산공식!$A$16:$A$301,0)),"")</f>
        <v>0</v>
      </c>
      <c r="V239" s="113">
        <f t="shared" si="11"/>
        <v>6</v>
      </c>
      <c r="W239" s="110" t="str">
        <f>INDEX('배치점수 계산기'!$AG$11:$AG$800,MATCH('       나 군       '!$C239,'배치점수 계산기'!$U$11:$U$800,0))</f>
        <v>백분위</v>
      </c>
      <c r="X239" s="108" t="str">
        <f>INDEX('배치점수 계산기'!$AH$11:$AH$800,MATCH('       나 군       '!$C239,'배치점수 계산기'!$U$11:$U$800,0))</f>
        <v>백분위</v>
      </c>
      <c r="Y239" s="113">
        <f>INDEX('배치점수 계산기'!$AB$11:$AB$800,MATCH('       나 군       '!$C239,'배치점수 계산기'!$U$11:$U$800,0))</f>
        <v>0.33333333333333331</v>
      </c>
      <c r="Z239" s="73">
        <f>INDEX('배치점수 계산기'!$AC$11:$AC$800,MATCH('       나 군       '!$C239,'배치점수 계산기'!$U$11:$U$800,0))</f>
        <v>0.4</v>
      </c>
      <c r="AA239" s="63">
        <f>INDEX('배치점수 계산기'!$AD$11:$AD$800,MATCH('       나 군       '!$C239,'배치점수 계산기'!$U$11:$U$800,0))</f>
        <v>0.26666666666666666</v>
      </c>
      <c r="AE239" s="7">
        <v>232</v>
      </c>
    </row>
    <row r="240" spans="3:31" x14ac:dyDescent="0.3">
      <c r="C240" s="7" t="s">
        <v>1483</v>
      </c>
      <c r="D240" s="41" t="s">
        <v>1379</v>
      </c>
      <c r="E240" s="41">
        <v>65</v>
      </c>
      <c r="F240" s="113" t="s">
        <v>346</v>
      </c>
      <c r="G240" s="41" t="s">
        <v>717</v>
      </c>
      <c r="H240" s="41" t="s">
        <v>716</v>
      </c>
      <c r="I240" s="41" t="s">
        <v>275</v>
      </c>
      <c r="J240" s="41" t="str">
        <f t="shared" si="9"/>
        <v>X</v>
      </c>
      <c r="K240" s="113">
        <f>IFERROR(INDEX(환산공식!CI$16:CI$301,MATCH($E240,환산공식!$A$16:$A$301,0)),"")</f>
        <v>200</v>
      </c>
      <c r="L240" s="41" t="str">
        <f>IFERROR(CONCATENATE(ROUND(INDEX(환산공식!CJ$16:CJ$301,MATCH(E240,환산공식!$A$16:$A$301,0)),1),"%"),"")</f>
        <v>100%</v>
      </c>
      <c r="M240" s="41">
        <f>IFERROR(INDEX(환산공식!CK$16:CK$301,MATCH(E240,환산공식!$A$16:$A$301,0)),"")</f>
        <v>10</v>
      </c>
      <c r="N240" s="113" t="str">
        <f t="shared" si="10"/>
        <v>1% 이하</v>
      </c>
      <c r="O240" s="119">
        <f>IFERROR(ROUND(INDEX(환산공식!$EF$16:$EF$301,MATCH(E240,환산공식!$A$16:$A$301,0)),3),"")</f>
        <v>0</v>
      </c>
      <c r="P240" s="119">
        <f>IFERROR(ROUND(INDEX('배치점수 계산기'!M$11:M$1000,MATCH($C240,'배치점수 계산기'!$U$11:$U$1000,0)),2),"")</f>
        <v>951.25</v>
      </c>
      <c r="Q240" s="41">
        <f>IFERROR(ROUND(INDEX('배치점수 계산기'!N$11:N$1000,MATCH($C240,'배치점수 계산기'!$U$11:$U$1000,0)),2),"")</f>
        <v>948.23</v>
      </c>
      <c r="R240" s="41">
        <f>IFERROR(ROUND(INDEX('배치점수 계산기'!O$11:O$1000,MATCH($C240,'배치점수 계산기'!$U$11:$U$1000,0)),2),"")</f>
        <v>945.79</v>
      </c>
      <c r="S240" s="41">
        <f>IFERROR(ROUND(INDEX('배치점수 계산기'!P$11:P$1000,MATCH($C240,'배치점수 계산기'!$U$11:$U$1000,0)),2),"")</f>
        <v>944.64</v>
      </c>
      <c r="T240" s="41">
        <f>IFERROR(ROUND(INDEX('배치점수 계산기'!Q$11:Q$1000,MATCH($C240,'배치점수 계산기'!$U$11:$U$1000,0)),2),"")</f>
        <v>943.28</v>
      </c>
      <c r="U240" s="41">
        <f>IFERROR(INDEX(환산공식!$DC$16:$DC$301,MATCH(E240,환산공식!$A$16:$A$301,0)),"")</f>
        <v>0</v>
      </c>
      <c r="V240" s="113">
        <f t="shared" si="11"/>
        <v>6</v>
      </c>
      <c r="W240" s="110" t="str">
        <f>INDEX('배치점수 계산기'!$AG$11:$AG$800,MATCH('       나 군       '!$C240,'배치점수 계산기'!$U$11:$U$800,0))</f>
        <v>표점/만점</v>
      </c>
      <c r="X240" s="108" t="str">
        <f>INDEX('배치점수 계산기'!$AH$11:$AH$800,MATCH('       나 군       '!$C240,'배치점수 계산기'!$U$11:$U$800,0))</f>
        <v>변표/만점</v>
      </c>
      <c r="Y240" s="113">
        <f>INDEX('배치점수 계산기'!$AB$11:$AB$800,MATCH('       나 군       '!$C240,'배치점수 계산기'!$U$11:$U$800,0))</f>
        <v>0.35902417362826461</v>
      </c>
      <c r="Z240" s="73">
        <f>INDEX('배치점수 계산기'!$AC$11:$AC$800,MATCH('       나 군       '!$C240,'배치점수 계산기'!$U$11:$U$800,0))</f>
        <v>0.3032573802188856</v>
      </c>
      <c r="AA240" s="63">
        <f>INDEX('배치점수 계산기'!$AD$11:$AD$800,MATCH('       나 군       '!$C240,'배치점수 계산기'!$U$11:$U$800,0))</f>
        <v>0.3377184461528499</v>
      </c>
      <c r="AE240" s="7">
        <v>233</v>
      </c>
    </row>
    <row r="241" spans="3:31" x14ac:dyDescent="0.3">
      <c r="C241" s="7" t="s">
        <v>1484</v>
      </c>
      <c r="D241" s="41" t="s">
        <v>1198</v>
      </c>
      <c r="E241" s="41">
        <v>96</v>
      </c>
      <c r="F241" s="113" t="s">
        <v>346</v>
      </c>
      <c r="G241" s="41" t="s">
        <v>699</v>
      </c>
      <c r="H241" s="41" t="s">
        <v>685</v>
      </c>
      <c r="I241" s="41" t="s">
        <v>274</v>
      </c>
      <c r="J241" s="41" t="str">
        <f t="shared" si="9"/>
        <v>X</v>
      </c>
      <c r="K241" s="113">
        <f>IFERROR(INDEX(환산공식!CI$16:CI$301,MATCH($E241,환산공식!$A$16:$A$301,0)),"")</f>
        <v>200</v>
      </c>
      <c r="L241" s="41" t="str">
        <f>IFERROR(CONCATENATE(ROUND(INDEX(환산공식!CJ$16:CJ$301,MATCH(E241,환산공식!$A$16:$A$301,0)),1),"%"),"")</f>
        <v>100%</v>
      </c>
      <c r="M241" s="41">
        <f>IFERROR(INDEX(환산공식!CK$16:CK$301,MATCH(E241,환산공식!$A$16:$A$301,0)),"")</f>
        <v>10</v>
      </c>
      <c r="N241" s="113" t="str">
        <f t="shared" si="10"/>
        <v>1% 이하</v>
      </c>
      <c r="O241" s="119">
        <f>IFERROR(ROUND(INDEX(환산공식!$EF$16:$EF$301,MATCH(E241,환산공식!$A$16:$A$301,0)),3),"")</f>
        <v>0</v>
      </c>
      <c r="P241" s="119">
        <f>IFERROR(ROUND(INDEX('배치점수 계산기'!M$11:M$1000,MATCH($C241,'배치점수 계산기'!$U$11:$U$1000,0)),2),"")</f>
        <v>748.04</v>
      </c>
      <c r="Q241" s="41">
        <f>IFERROR(ROUND(INDEX('배치점수 계산기'!N$11:N$1000,MATCH($C241,'배치점수 계산기'!$U$11:$U$1000,0)),2),"")</f>
        <v>747.07</v>
      </c>
      <c r="R241" s="41">
        <f>IFERROR(ROUND(INDEX('배치점수 계산기'!O$11:O$1000,MATCH($C241,'배치점수 계산기'!$U$11:$U$1000,0)),2),"")</f>
        <v>746.5</v>
      </c>
      <c r="S241" s="41">
        <f>IFERROR(ROUND(INDEX('배치점수 계산기'!P$11:P$1000,MATCH($C241,'배치점수 계산기'!$U$11:$U$1000,0)),2),"")</f>
        <v>745.79</v>
      </c>
      <c r="T241" s="41">
        <f>IFERROR(ROUND(INDEX('배치점수 계산기'!Q$11:Q$1000,MATCH($C241,'배치점수 계산기'!$U$11:$U$1000,0)),2),"")</f>
        <v>744.82</v>
      </c>
      <c r="U241" s="41">
        <f>IFERROR(INDEX(환산공식!$DC$16:$DC$301,MATCH(E241,환산공식!$A$16:$A$301,0)),"")</f>
        <v>0</v>
      </c>
      <c r="V241" s="113">
        <f t="shared" si="11"/>
        <v>6</v>
      </c>
      <c r="W241" s="110" t="str">
        <f>INDEX('배치점수 계산기'!$AG$11:$AG$800,MATCH('       나 군       '!$C241,'배치점수 계산기'!$U$11:$U$800,0))</f>
        <v>표점</v>
      </c>
      <c r="X241" s="108" t="str">
        <f>INDEX('배치점수 계산기'!$AH$11:$AH$800,MATCH('       나 군       '!$C241,'배치점수 계산기'!$U$11:$U$800,0))</f>
        <v>변표</v>
      </c>
      <c r="Y241" s="113">
        <f>INDEX('배치점수 계산기'!$AB$11:$AB$800,MATCH('       나 군       '!$C241,'배치점수 계산기'!$U$11:$U$800,0))</f>
        <v>0.25</v>
      </c>
      <c r="Z241" s="73">
        <f>INDEX('배치점수 계산기'!$AC$11:$AC$800,MATCH('       나 군       '!$C241,'배치점수 계산기'!$U$11:$U$800,0))</f>
        <v>0.375</v>
      </c>
      <c r="AA241" s="63">
        <f>INDEX('배치점수 계산기'!$AD$11:$AD$800,MATCH('       나 군       '!$C241,'배치점수 계산기'!$U$11:$U$800,0))</f>
        <v>0.375</v>
      </c>
      <c r="AE241" s="7">
        <v>234</v>
      </c>
    </row>
    <row r="242" spans="3:31" x14ac:dyDescent="0.3">
      <c r="C242" s="7" t="s">
        <v>1485</v>
      </c>
      <c r="D242" s="41" t="s">
        <v>1461</v>
      </c>
      <c r="E242" s="41">
        <v>107</v>
      </c>
      <c r="F242" s="113" t="s">
        <v>346</v>
      </c>
      <c r="G242" s="41" t="s">
        <v>715</v>
      </c>
      <c r="H242" s="41" t="s">
        <v>685</v>
      </c>
      <c r="I242" s="41" t="s">
        <v>274</v>
      </c>
      <c r="J242" s="41" t="str">
        <f t="shared" si="9"/>
        <v>X</v>
      </c>
      <c r="K242" s="113">
        <f>IFERROR(INDEX(환산공식!CI$16:CI$301,MATCH($E242,환산공식!$A$16:$A$301,0)),"")</f>
        <v>80</v>
      </c>
      <c r="L242" s="41" t="str">
        <f>IFERROR(CONCATENATE(ROUND(INDEX(환산공식!CJ$16:CJ$301,MATCH(E242,환산공식!$A$16:$A$301,0)),1),"%"),"")</f>
        <v>100%</v>
      </c>
      <c r="M242" s="41">
        <f>IFERROR(INDEX(환산공식!CK$16:CK$301,MATCH(E242,환산공식!$A$16:$A$301,0)),"")</f>
        <v>10</v>
      </c>
      <c r="N242" s="113" t="str">
        <f t="shared" si="10"/>
        <v>1% 이하</v>
      </c>
      <c r="O242" s="119">
        <f>IFERROR(ROUND(INDEX(환산공식!$EF$16:$EF$301,MATCH(E242,환산공식!$A$16:$A$301,0)),3),"")</f>
        <v>0</v>
      </c>
      <c r="P242" s="119">
        <f>IFERROR(ROUND(INDEX('배치점수 계산기'!M$11:M$1000,MATCH($C242,'배치점수 계산기'!$U$11:$U$1000,0)),2),"")</f>
        <v>782.44</v>
      </c>
      <c r="Q242" s="41">
        <f>IFERROR(ROUND(INDEX('배치점수 계산기'!N$11:N$1000,MATCH($C242,'배치점수 계산기'!$U$11:$U$1000,0)),2),"")</f>
        <v>780.96</v>
      </c>
      <c r="R242" s="41">
        <f>IFERROR(ROUND(INDEX('배치점수 계산기'!O$11:O$1000,MATCH($C242,'배치점수 계산기'!$U$11:$U$1000,0)),2),"")</f>
        <v>779.68</v>
      </c>
      <c r="S242" s="41">
        <f>IFERROR(ROUND(INDEX('배치점수 계산기'!P$11:P$1000,MATCH($C242,'배치점수 계산기'!$U$11:$U$1000,0)),2),"")</f>
        <v>775.4</v>
      </c>
      <c r="T242" s="41">
        <f>IFERROR(ROUND(INDEX('배치점수 계산기'!Q$11:Q$1000,MATCH($C242,'배치점수 계산기'!$U$11:$U$1000,0)),2),"")</f>
        <v>774.32</v>
      </c>
      <c r="U242" s="41">
        <f>IFERROR(INDEX(환산공식!$DC$16:$DC$301,MATCH(E242,환산공식!$A$16:$A$301,0)),"")</f>
        <v>0</v>
      </c>
      <c r="V242" s="113">
        <f t="shared" si="11"/>
        <v>6</v>
      </c>
      <c r="W242" s="110" t="str">
        <f>INDEX('배치점수 계산기'!$AG$11:$AG$800,MATCH('       나 군       '!$C242,'배치점수 계산기'!$U$11:$U$800,0))</f>
        <v>백분위</v>
      </c>
      <c r="X242" s="108" t="str">
        <f>INDEX('배치점수 계산기'!$AH$11:$AH$800,MATCH('       나 군       '!$C242,'배치점수 계산기'!$U$11:$U$800,0))</f>
        <v>백분위</v>
      </c>
      <c r="Y242" s="113">
        <f>INDEX('배치점수 계산기'!$AB$11:$AB$800,MATCH('       나 군       '!$C242,'배치점수 계산기'!$U$11:$U$800,0))</f>
        <v>0.27777777777777779</v>
      </c>
      <c r="Z242" s="73">
        <f>INDEX('배치점수 계산기'!$AC$11:$AC$800,MATCH('       나 군       '!$C242,'배치점수 계산기'!$U$11:$U$800,0))</f>
        <v>0.3888888888888889</v>
      </c>
      <c r="AA242" s="63">
        <f>INDEX('배치점수 계산기'!$AD$11:$AD$800,MATCH('       나 군       '!$C242,'배치점수 계산기'!$U$11:$U$800,0))</f>
        <v>0.33333333333333337</v>
      </c>
      <c r="AE242" s="7">
        <v>235</v>
      </c>
    </row>
    <row r="243" spans="3:31" x14ac:dyDescent="0.3">
      <c r="C243" s="7" t="s">
        <v>1486</v>
      </c>
      <c r="D243" s="41" t="s">
        <v>1187</v>
      </c>
      <c r="E243" s="41">
        <v>120</v>
      </c>
      <c r="F243" s="113" t="s">
        <v>346</v>
      </c>
      <c r="G243" s="41" t="s">
        <v>702</v>
      </c>
      <c r="H243" s="41" t="s">
        <v>685</v>
      </c>
      <c r="I243" s="41" t="s">
        <v>274</v>
      </c>
      <c r="J243" s="41" t="str">
        <f t="shared" si="9"/>
        <v>X</v>
      </c>
      <c r="K243" s="113">
        <f>IFERROR(INDEX(환산공식!CI$16:CI$301,MATCH($E243,환산공식!$A$16:$A$301,0)),"")</f>
        <v>200</v>
      </c>
      <c r="L243" s="41" t="str">
        <f>IFERROR(CONCATENATE(ROUND(INDEX(환산공식!CJ$16:CJ$301,MATCH(E243,환산공식!$A$16:$A$301,0)),1),"%"),"")</f>
        <v>100%</v>
      </c>
      <c r="M243" s="41">
        <f>IFERROR(INDEX(환산공식!CK$16:CK$301,MATCH(E243,환산공식!$A$16:$A$301,0)),"")</f>
        <v>10</v>
      </c>
      <c r="N243" s="113" t="str">
        <f t="shared" si="10"/>
        <v>1% 이하</v>
      </c>
      <c r="O243" s="119">
        <f>IFERROR(ROUND(INDEX(환산공식!$EF$16:$EF$301,MATCH(E243,환산공식!$A$16:$A$301,0)),3),"")</f>
        <v>0</v>
      </c>
      <c r="P243" s="119">
        <f>IFERROR(ROUND(INDEX('배치점수 계산기'!M$11:M$1000,MATCH($C243,'배치점수 계산기'!$U$11:$U$1000,0)),2),"")</f>
        <v>936.13</v>
      </c>
      <c r="Q243" s="41">
        <f>IFERROR(ROUND(INDEX('배치점수 계산기'!N$11:N$1000,MATCH($C243,'배치점수 계산기'!$U$11:$U$1000,0)),2),"")</f>
        <v>934.98</v>
      </c>
      <c r="R243" s="41">
        <f>IFERROR(ROUND(INDEX('배치점수 계산기'!O$11:O$1000,MATCH($C243,'배치점수 계산기'!$U$11:$U$1000,0)),2),"")</f>
        <v>933.78</v>
      </c>
      <c r="S243" s="41">
        <f>IFERROR(ROUND(INDEX('배치점수 계산기'!P$11:P$1000,MATCH($C243,'배치점수 계산기'!$U$11:$U$1000,0)),2),"")</f>
        <v>931.61</v>
      </c>
      <c r="T243" s="41">
        <f>IFERROR(ROUND(INDEX('배치점수 계산기'!Q$11:Q$1000,MATCH($C243,'배치점수 계산기'!$U$11:$U$1000,0)),2),"")</f>
        <v>927.03</v>
      </c>
      <c r="U243" s="41">
        <f>IFERROR(INDEX(환산공식!$DC$16:$DC$301,MATCH(E243,환산공식!$A$16:$A$301,0)),"")</f>
        <v>0</v>
      </c>
      <c r="V243" s="113">
        <f t="shared" si="11"/>
        <v>6</v>
      </c>
      <c r="W243" s="110" t="str">
        <f>INDEX('배치점수 계산기'!$AG$11:$AG$800,MATCH('       나 군       '!$C243,'배치점수 계산기'!$U$11:$U$800,0))</f>
        <v>표점/만점</v>
      </c>
      <c r="X243" s="108" t="str">
        <f>INDEX('배치점수 계산기'!$AH$11:$AH$800,MATCH('       나 군       '!$C243,'배치점수 계산기'!$U$11:$U$800,0))</f>
        <v>변표/만점</v>
      </c>
      <c r="Y243" s="113">
        <f>INDEX('배치점수 계산기'!$AB$11:$AB$800,MATCH('       나 군       '!$C243,'배치점수 계산기'!$U$11:$U$800,0))</f>
        <v>0.2942169917529503</v>
      </c>
      <c r="Z243" s="73">
        <f>INDEX('배치점수 계산기'!$AC$11:$AC$800,MATCH('       나 군       '!$C243,'배치점수 계산기'!$U$11:$U$800,0))</f>
        <v>0.39762659202893064</v>
      </c>
      <c r="AA243" s="63">
        <f>INDEX('배치점수 계산기'!$AD$11:$AD$800,MATCH('       나 군       '!$C243,'배치점수 계산기'!$U$11:$U$800,0))</f>
        <v>0.30815641621811896</v>
      </c>
      <c r="AE243" s="7">
        <v>236</v>
      </c>
    </row>
    <row r="244" spans="3:31" x14ac:dyDescent="0.3">
      <c r="C244" s="7" t="s">
        <v>1487</v>
      </c>
      <c r="D244" s="41" t="s">
        <v>1193</v>
      </c>
      <c r="E244" s="41">
        <v>121</v>
      </c>
      <c r="F244" s="113" t="s">
        <v>346</v>
      </c>
      <c r="G244" s="41" t="s">
        <v>701</v>
      </c>
      <c r="H244" s="41" t="s">
        <v>685</v>
      </c>
      <c r="I244" s="41" t="s">
        <v>274</v>
      </c>
      <c r="J244" s="41" t="str">
        <f t="shared" si="9"/>
        <v>X</v>
      </c>
      <c r="K244" s="113">
        <f>IFERROR(INDEX(환산공식!CI$16:CI$301,MATCH($E244,환산공식!$A$16:$A$301,0)),"")</f>
        <v>30</v>
      </c>
      <c r="L244" s="41" t="str">
        <f>IFERROR(CONCATENATE(ROUND(INDEX(환산공식!CJ$16:CJ$301,MATCH(E244,환산공식!$A$16:$A$301,0)),1),"%"),"")</f>
        <v>100%</v>
      </c>
      <c r="M244" s="41">
        <f>IFERROR(INDEX(환산공식!CK$16:CK$301,MATCH(E244,환산공식!$A$16:$A$301,0)),"")</f>
        <v>5</v>
      </c>
      <c r="N244" s="113" t="str">
        <f t="shared" si="10"/>
        <v>1% 이하</v>
      </c>
      <c r="O244" s="119">
        <f>IFERROR(ROUND(INDEX(환산공식!$EF$16:$EF$301,MATCH(E244,환산공식!$A$16:$A$301,0)),3),"")</f>
        <v>0</v>
      </c>
      <c r="P244" s="119">
        <f>IFERROR(ROUND(INDEX('배치점수 계산기'!M$11:M$1000,MATCH($C244,'배치점수 계산기'!$U$11:$U$1000,0)),2),"")</f>
        <v>370.95</v>
      </c>
      <c r="Q244" s="41">
        <f>IFERROR(ROUND(INDEX('배치점수 계산기'!N$11:N$1000,MATCH($C244,'배치점수 계산기'!$U$11:$U$1000,0)),2),"")</f>
        <v>370.23</v>
      </c>
      <c r="R244" s="41">
        <f>IFERROR(ROUND(INDEX('배치점수 계산기'!O$11:O$1000,MATCH($C244,'배치점수 계산기'!$U$11:$U$1000,0)),2),"")</f>
        <v>369.22</v>
      </c>
      <c r="S244" s="41">
        <f>IFERROR(ROUND(INDEX('배치점수 계산기'!P$11:P$1000,MATCH($C244,'배치점수 계산기'!$U$11:$U$1000,0)),2),"")</f>
        <v>368.35</v>
      </c>
      <c r="T244" s="41">
        <f>IFERROR(ROUND(INDEX('배치점수 계산기'!Q$11:Q$1000,MATCH($C244,'배치점수 계산기'!$U$11:$U$1000,0)),2),"")</f>
        <v>366.85</v>
      </c>
      <c r="U244" s="41">
        <f>IFERROR(INDEX(환산공식!$DC$16:$DC$301,MATCH(E244,환산공식!$A$16:$A$301,0)),"")</f>
        <v>0</v>
      </c>
      <c r="V244" s="113">
        <f t="shared" si="11"/>
        <v>6</v>
      </c>
      <c r="W244" s="110" t="str">
        <f>INDEX('배치점수 계산기'!$AG$11:$AG$800,MATCH('       나 군       '!$C244,'배치점수 계산기'!$U$11:$U$800,0))</f>
        <v>표점</v>
      </c>
      <c r="X244" s="108" t="str">
        <f>INDEX('배치점수 계산기'!$AH$11:$AH$800,MATCH('       나 군       '!$C244,'배치점수 계산기'!$U$11:$U$800,0))</f>
        <v>변표</v>
      </c>
      <c r="Y244" s="113">
        <f>INDEX('배치점수 계산기'!$AB$11:$AB$800,MATCH('       나 군       '!$C244,'배치점수 계산기'!$U$11:$U$800,0))</f>
        <v>0.3</v>
      </c>
      <c r="Z244" s="73">
        <f>INDEX('배치점수 계산기'!$AC$11:$AC$800,MATCH('       나 군       '!$C244,'배치점수 계산기'!$U$11:$U$800,0))</f>
        <v>0.4</v>
      </c>
      <c r="AA244" s="63">
        <f>INDEX('배치점수 계산기'!$AD$11:$AD$800,MATCH('       나 군       '!$C244,'배치점수 계산기'!$U$11:$U$800,0))</f>
        <v>0.3</v>
      </c>
      <c r="AE244" s="7">
        <v>237</v>
      </c>
    </row>
    <row r="245" spans="3:31" x14ac:dyDescent="0.3">
      <c r="C245" s="7" t="s">
        <v>1488</v>
      </c>
      <c r="D245" s="41" t="s">
        <v>1463</v>
      </c>
      <c r="E245" s="41">
        <v>111</v>
      </c>
      <c r="F245" s="113" t="s">
        <v>346</v>
      </c>
      <c r="G245" s="41" t="s">
        <v>690</v>
      </c>
      <c r="H245" s="41" t="s">
        <v>685</v>
      </c>
      <c r="I245" s="41" t="s">
        <v>274</v>
      </c>
      <c r="J245" s="41" t="str">
        <f t="shared" si="9"/>
        <v>X</v>
      </c>
      <c r="K245" s="113">
        <f>IFERROR(INDEX(환산공식!CI$16:CI$301,MATCH($E245,환산공식!$A$16:$A$301,0)),"")</f>
        <v>100</v>
      </c>
      <c r="L245" s="41" t="str">
        <f>IFERROR(CONCATENATE(ROUND(INDEX(환산공식!CJ$16:CJ$301,MATCH(E245,환산공식!$A$16:$A$301,0)),1),"%"),"")</f>
        <v>100%</v>
      </c>
      <c r="M245" s="41">
        <f>IFERROR(INDEX(환산공식!CK$16:CK$301,MATCH(E245,환산공식!$A$16:$A$301,0)),"")</f>
        <v>5</v>
      </c>
      <c r="N245" s="113" t="str">
        <f t="shared" si="10"/>
        <v>1% 이하</v>
      </c>
      <c r="O245" s="119">
        <f>IFERROR(ROUND(INDEX(환산공식!$EF$16:$EF$301,MATCH(E245,환산공식!$A$16:$A$301,0)),3),"")</f>
        <v>0</v>
      </c>
      <c r="P245" s="119">
        <f>IFERROR(ROUND(INDEX('배치점수 계산기'!M$11:M$1000,MATCH($C245,'배치점수 계산기'!$U$11:$U$1000,0)),2),"")</f>
        <v>505.3</v>
      </c>
      <c r="Q245" s="41">
        <f>IFERROR(ROUND(INDEX('배치점수 계산기'!N$11:N$1000,MATCH($C245,'배치점수 계산기'!$U$11:$U$1000,0)),2),"")</f>
        <v>504.1</v>
      </c>
      <c r="R245" s="41">
        <f>IFERROR(ROUND(INDEX('배치점수 계산기'!O$11:O$1000,MATCH($C245,'배치점수 계산기'!$U$11:$U$1000,0)),2),"")</f>
        <v>503.1</v>
      </c>
      <c r="S245" s="41">
        <f>IFERROR(ROUND(INDEX('배치점수 계산기'!P$11:P$1000,MATCH($C245,'배치점수 계산기'!$U$11:$U$1000,0)),2),"")</f>
        <v>501.4</v>
      </c>
      <c r="T245" s="41">
        <f>IFERROR(ROUND(INDEX('배치점수 계산기'!Q$11:Q$1000,MATCH($C245,'배치점수 계산기'!$U$11:$U$1000,0)),2),"")</f>
        <v>500.3</v>
      </c>
      <c r="U245" s="41">
        <f>IFERROR(INDEX(환산공식!$DC$16:$DC$301,MATCH(E245,환산공식!$A$16:$A$301,0)),"")</f>
        <v>0</v>
      </c>
      <c r="V245" s="113">
        <f t="shared" si="11"/>
        <v>6</v>
      </c>
      <c r="W245" s="110" t="str">
        <f>INDEX('배치점수 계산기'!$AG$11:$AG$800,MATCH('       나 군       '!$C245,'배치점수 계산기'!$U$11:$U$800,0))</f>
        <v>표점</v>
      </c>
      <c r="X245" s="108" t="str">
        <f>INDEX('배치점수 계산기'!$AH$11:$AH$800,MATCH('       나 군       '!$C245,'배치점수 계산기'!$U$11:$U$800,0))</f>
        <v>표점</v>
      </c>
      <c r="Y245" s="113">
        <f>INDEX('배치점수 계산기'!$AB$11:$AB$800,MATCH('       나 군       '!$C245,'배치점수 계산기'!$U$11:$U$800,0))</f>
        <v>0.33333333333333331</v>
      </c>
      <c r="Z245" s="73">
        <f>INDEX('배치점수 계산기'!$AC$11:$AC$800,MATCH('       나 군       '!$C245,'배치점수 계산기'!$U$11:$U$800,0))</f>
        <v>0.33333333333333331</v>
      </c>
      <c r="AA245" s="63">
        <f>INDEX('배치점수 계산기'!$AD$11:$AD$800,MATCH('       나 군       '!$C245,'배치점수 계산기'!$U$11:$U$800,0))</f>
        <v>0.33333333333333331</v>
      </c>
      <c r="AE245" s="7">
        <v>238</v>
      </c>
    </row>
    <row r="246" spans="3:31" x14ac:dyDescent="0.3">
      <c r="C246" s="7" t="s">
        <v>1489</v>
      </c>
      <c r="D246" s="41" t="s">
        <v>1490</v>
      </c>
      <c r="E246" s="41">
        <v>108</v>
      </c>
      <c r="F246" s="113" t="s">
        <v>346</v>
      </c>
      <c r="G246" s="41" t="s">
        <v>714</v>
      </c>
      <c r="H246" s="41" t="s">
        <v>685</v>
      </c>
      <c r="I246" s="41" t="s">
        <v>274</v>
      </c>
      <c r="J246" s="41" t="str">
        <f t="shared" si="9"/>
        <v>X</v>
      </c>
      <c r="K246" s="113">
        <f>IFERROR(INDEX(환산공식!CI$16:CI$301,MATCH($E246,환산공식!$A$16:$A$301,0)),"")</f>
        <v>80</v>
      </c>
      <c r="L246" s="41" t="str">
        <f>IFERROR(CONCATENATE(ROUND(INDEX(환산공식!CJ$16:CJ$301,MATCH(E246,환산공식!$A$16:$A$301,0)),1),"%"),"")</f>
        <v>100%</v>
      </c>
      <c r="M246" s="41">
        <f>IFERROR(INDEX(환산공식!CK$16:CK$301,MATCH(E246,환산공식!$A$16:$A$301,0)),"")</f>
        <v>5</v>
      </c>
      <c r="N246" s="113" t="str">
        <f t="shared" si="10"/>
        <v>1% 이하</v>
      </c>
      <c r="O246" s="119">
        <f>IFERROR(ROUND(INDEX(환산공식!$EF$16:$EF$301,MATCH(E246,환산공식!$A$16:$A$301,0)),3),"")</f>
        <v>0</v>
      </c>
      <c r="P246" s="119">
        <f>IFERROR(ROUND(INDEX('배치점수 계산기'!M$11:M$1000,MATCH($C246,'배치점수 계산기'!$U$11:$U$1000,0)),2),"")</f>
        <v>402.8</v>
      </c>
      <c r="Q246" s="41">
        <f>IFERROR(ROUND(INDEX('배치점수 계산기'!N$11:N$1000,MATCH($C246,'배치점수 계산기'!$U$11:$U$1000,0)),2),"")</f>
        <v>401.56</v>
      </c>
      <c r="R246" s="41">
        <f>IFERROR(ROUND(INDEX('배치점수 계산기'!O$11:O$1000,MATCH($C246,'배치점수 계산기'!$U$11:$U$1000,0)),2),"")</f>
        <v>399.96</v>
      </c>
      <c r="S246" s="41">
        <f>IFERROR(ROUND(INDEX('배치점수 계산기'!P$11:P$1000,MATCH($C246,'배치점수 계산기'!$U$11:$U$1000,0)),2),"")</f>
        <v>399.44</v>
      </c>
      <c r="T246" s="41">
        <f>IFERROR(ROUND(INDEX('배치점수 계산기'!Q$11:Q$1000,MATCH($C246,'배치점수 계산기'!$U$11:$U$1000,0)),2),"")</f>
        <v>398.76</v>
      </c>
      <c r="U246" s="41">
        <f>IFERROR(INDEX(환산공식!$DC$16:$DC$301,MATCH(E246,환산공식!$A$16:$A$301,0)),"")</f>
        <v>0</v>
      </c>
      <c r="V246" s="113">
        <f t="shared" si="11"/>
        <v>6</v>
      </c>
      <c r="W246" s="110" t="str">
        <f>INDEX('배치점수 계산기'!$AG$11:$AG$800,MATCH('       나 군       '!$C246,'배치점수 계산기'!$U$11:$U$800,0))</f>
        <v>백분위</v>
      </c>
      <c r="X246" s="108" t="str">
        <f>INDEX('배치점수 계산기'!$AH$11:$AH$800,MATCH('       나 군       '!$C246,'배치점수 계산기'!$U$11:$U$800,0))</f>
        <v>백분위</v>
      </c>
      <c r="Y246" s="113">
        <f>INDEX('배치점수 계산기'!$AB$11:$AB$800,MATCH('       나 군       '!$C246,'배치점수 계산기'!$U$11:$U$800,0))</f>
        <v>0.25</v>
      </c>
      <c r="Z246" s="73">
        <f>INDEX('배치점수 계산기'!$AC$11:$AC$800,MATCH('       나 군       '!$C246,'배치점수 계산기'!$U$11:$U$800,0))</f>
        <v>0.37499999999999994</v>
      </c>
      <c r="AA246" s="63">
        <f>INDEX('배치점수 계산기'!$AD$11:$AD$800,MATCH('       나 군       '!$C246,'배치점수 계산기'!$U$11:$U$800,0))</f>
        <v>0.37499999999999994</v>
      </c>
      <c r="AE246" s="7">
        <v>239</v>
      </c>
    </row>
    <row r="247" spans="3:31" x14ac:dyDescent="0.3">
      <c r="C247" s="7" t="s">
        <v>1491</v>
      </c>
      <c r="D247" s="41" t="s">
        <v>1492</v>
      </c>
      <c r="E247" s="41">
        <v>83</v>
      </c>
      <c r="F247" s="113" t="s">
        <v>346</v>
      </c>
      <c r="G247" s="41" t="s">
        <v>713</v>
      </c>
      <c r="H247" s="41" t="s">
        <v>685</v>
      </c>
      <c r="I247" s="41" t="s">
        <v>274</v>
      </c>
      <c r="J247" s="41" t="str">
        <f t="shared" si="9"/>
        <v>X</v>
      </c>
      <c r="K247" s="113">
        <f>IFERROR(INDEX(환산공식!CI$16:CI$301,MATCH($E247,환산공식!$A$16:$A$301,0)),"")</f>
        <v>200</v>
      </c>
      <c r="L247" s="41" t="str">
        <f>IFERROR(CONCATENATE(ROUND(INDEX(환산공식!CJ$16:CJ$301,MATCH(E247,환산공식!$A$16:$A$301,0)),1),"%"),"")</f>
        <v>100%</v>
      </c>
      <c r="M247" s="41">
        <f>IFERROR(INDEX(환산공식!CK$16:CK$301,MATCH(E247,환산공식!$A$16:$A$301,0)),"")</f>
        <v>5</v>
      </c>
      <c r="N247" s="113" t="str">
        <f t="shared" si="10"/>
        <v>1% 이하</v>
      </c>
      <c r="O247" s="119">
        <f>IFERROR(ROUND(INDEX(환산공식!$EF$16:$EF$301,MATCH(E247,환산공식!$A$16:$A$301,0)),3),"")</f>
        <v>0</v>
      </c>
      <c r="P247" s="119">
        <f>IFERROR(ROUND(INDEX('배치점수 계산기'!M$11:M$1000,MATCH($C247,'배치점수 계산기'!$U$11:$U$1000,0)),2),"")</f>
        <v>564.12</v>
      </c>
      <c r="Q247" s="41">
        <f>IFERROR(ROUND(INDEX('배치점수 계산기'!N$11:N$1000,MATCH($C247,'배치점수 계산기'!$U$11:$U$1000,0)),2),"")</f>
        <v>563.66</v>
      </c>
      <c r="R247" s="41">
        <f>IFERROR(ROUND(INDEX('배치점수 계산기'!O$11:O$1000,MATCH($C247,'배치점수 계산기'!$U$11:$U$1000,0)),2),"")</f>
        <v>562.72</v>
      </c>
      <c r="S247" s="41">
        <f>IFERROR(ROUND(INDEX('배치점수 계산기'!P$11:P$1000,MATCH($C247,'배치점수 계산기'!$U$11:$U$1000,0)),2),"")</f>
        <v>560.58000000000004</v>
      </c>
      <c r="T247" s="41">
        <f>IFERROR(ROUND(INDEX('배치점수 계산기'!Q$11:Q$1000,MATCH($C247,'배치점수 계산기'!$U$11:$U$1000,0)),2),"")</f>
        <v>559.65</v>
      </c>
      <c r="U247" s="41">
        <f>IFERROR(INDEX(환산공식!$DC$16:$DC$301,MATCH(E247,환산공식!$A$16:$A$301,0)),"")</f>
        <v>0</v>
      </c>
      <c r="V247" s="113">
        <f t="shared" si="11"/>
        <v>6</v>
      </c>
      <c r="W247" s="110" t="str">
        <f>INDEX('배치점수 계산기'!$AG$11:$AG$800,MATCH('       나 군       '!$C247,'배치점수 계산기'!$U$11:$U$800,0))</f>
        <v>표점</v>
      </c>
      <c r="X247" s="108" t="str">
        <f>INDEX('배치점수 계산기'!$AH$11:$AH$800,MATCH('       나 군       '!$C247,'배치점수 계산기'!$U$11:$U$800,0))</f>
        <v>표점/만점</v>
      </c>
      <c r="Y247" s="113">
        <f>INDEX('배치점수 계산기'!$AB$11:$AB$800,MATCH('       나 군       '!$C247,'배치점수 계산기'!$U$11:$U$800,0))</f>
        <v>0.29338842975206614</v>
      </c>
      <c r="Z247" s="73">
        <f>INDEX('배치점수 계산기'!$AC$11:$AC$800,MATCH('       나 군       '!$C247,'배치점수 계산기'!$U$11:$U$800,0))</f>
        <v>0.29338842975206614</v>
      </c>
      <c r="AA247" s="63">
        <f>INDEX('배치점수 계산기'!$AD$11:$AD$800,MATCH('       나 군       '!$C247,'배치점수 계산기'!$U$11:$U$800,0))</f>
        <v>0.41322314049586772</v>
      </c>
      <c r="AE247" s="7">
        <v>240</v>
      </c>
    </row>
    <row r="248" spans="3:31" x14ac:dyDescent="0.3">
      <c r="C248" s="7" t="s">
        <v>1493</v>
      </c>
      <c r="D248" s="41" t="s">
        <v>1092</v>
      </c>
      <c r="E248" s="41">
        <v>33</v>
      </c>
      <c r="F248" s="113" t="s">
        <v>346</v>
      </c>
      <c r="G248" s="41" t="s">
        <v>380</v>
      </c>
      <c r="H248" s="41" t="s">
        <v>695</v>
      </c>
      <c r="I248" s="41" t="s">
        <v>274</v>
      </c>
      <c r="J248" s="41" t="str">
        <f t="shared" si="9"/>
        <v>X</v>
      </c>
      <c r="K248" s="113">
        <f>IFERROR(INDEX(환산공식!CI$16:CI$301,MATCH($E248,환산공식!$A$16:$A$301,0)),"")</f>
        <v>120</v>
      </c>
      <c r="L248" s="41" t="str">
        <f>IFERROR(CONCATENATE(ROUND(INDEX(환산공식!CJ$16:CJ$301,MATCH(E248,환산공식!$A$16:$A$301,0)),1),"%"),"")</f>
        <v>100%</v>
      </c>
      <c r="M248" s="41">
        <f>IFERROR(INDEX(환산공식!CK$16:CK$301,MATCH(E248,환산공식!$A$16:$A$301,0)),"")</f>
        <v>40</v>
      </c>
      <c r="N248" s="113" t="str">
        <f t="shared" si="10"/>
        <v>1% 이하</v>
      </c>
      <c r="O248" s="119">
        <f>IFERROR(ROUND(INDEX(환산공식!$EF$16:$EF$301,MATCH(E248,환산공식!$A$16:$A$301,0)),3),"")</f>
        <v>0</v>
      </c>
      <c r="P248" s="119">
        <f>IFERROR(ROUND(INDEX('배치점수 계산기'!M$11:M$1000,MATCH($C248,'배치점수 계산기'!$U$11:$U$1000,0)),2),"")</f>
        <v>598.36</v>
      </c>
      <c r="Q248" s="41">
        <f>IFERROR(ROUND(INDEX('배치점수 계산기'!N$11:N$1000,MATCH($C248,'배치점수 계산기'!$U$11:$U$1000,0)),2),"")</f>
        <v>596.84</v>
      </c>
      <c r="R248" s="41">
        <f>IFERROR(ROUND(INDEX('배치점수 계산기'!O$11:O$1000,MATCH($C248,'배치점수 계산기'!$U$11:$U$1000,0)),2),"")</f>
        <v>595.9</v>
      </c>
      <c r="S248" s="41">
        <f>IFERROR(ROUND(INDEX('배치점수 계산기'!P$11:P$1000,MATCH($C248,'배치점수 계산기'!$U$11:$U$1000,0)),2),"")</f>
        <v>594.97</v>
      </c>
      <c r="T248" s="41">
        <f>IFERROR(ROUND(INDEX('배치점수 계산기'!Q$11:Q$1000,MATCH($C248,'배치점수 계산기'!$U$11:$U$1000,0)),2),"")</f>
        <v>594.02</v>
      </c>
      <c r="U248" s="41">
        <f>IFERROR(INDEX(환산공식!$DC$16:$DC$301,MATCH(E248,환산공식!$A$16:$A$301,0)),"")</f>
        <v>0</v>
      </c>
      <c r="V248" s="113">
        <f t="shared" si="11"/>
        <v>6</v>
      </c>
      <c r="W248" s="110" t="str">
        <f>INDEX('배치점수 계산기'!$AG$11:$AG$800,MATCH('       나 군       '!$C248,'배치점수 계산기'!$U$11:$U$800,0))</f>
        <v>표점</v>
      </c>
      <c r="X248" s="108" t="str">
        <f>INDEX('배치점수 계산기'!$AH$11:$AH$800,MATCH('       나 군       '!$C248,'배치점수 계산기'!$U$11:$U$800,0))</f>
        <v>변표</v>
      </c>
      <c r="Y248" s="113">
        <f>INDEX('배치점수 계산기'!$AB$11:$AB$800,MATCH('       나 군       '!$C248,'배치점수 계산기'!$U$11:$U$800,0))</f>
        <v>0.25</v>
      </c>
      <c r="Z248" s="73">
        <f>INDEX('배치점수 계산기'!$AC$11:$AC$800,MATCH('       나 군       '!$C248,'배치점수 계산기'!$U$11:$U$800,0))</f>
        <v>0.43749999999999994</v>
      </c>
      <c r="AA248" s="63">
        <f>INDEX('배치점수 계산기'!$AD$11:$AD$800,MATCH('       나 군       '!$C248,'배치점수 계산기'!$U$11:$U$800,0))</f>
        <v>0.3125</v>
      </c>
      <c r="AE248" s="7">
        <v>241</v>
      </c>
    </row>
    <row r="249" spans="3:31" x14ac:dyDescent="0.3">
      <c r="C249" s="7" t="s">
        <v>1494</v>
      </c>
      <c r="D249" s="41" t="s">
        <v>1198</v>
      </c>
      <c r="E249" s="41">
        <v>96</v>
      </c>
      <c r="F249" s="113" t="s">
        <v>346</v>
      </c>
      <c r="G249" s="41" t="s">
        <v>699</v>
      </c>
      <c r="H249" s="41" t="s">
        <v>695</v>
      </c>
      <c r="I249" s="41" t="s">
        <v>274</v>
      </c>
      <c r="J249" s="41" t="str">
        <f t="shared" si="9"/>
        <v>X</v>
      </c>
      <c r="K249" s="113">
        <f>IFERROR(INDEX(환산공식!CI$16:CI$301,MATCH($E249,환산공식!$A$16:$A$301,0)),"")</f>
        <v>200</v>
      </c>
      <c r="L249" s="41" t="str">
        <f>IFERROR(CONCATENATE(ROUND(INDEX(환산공식!CJ$16:CJ$301,MATCH(E249,환산공식!$A$16:$A$301,0)),1),"%"),"")</f>
        <v>100%</v>
      </c>
      <c r="M249" s="41">
        <f>IFERROR(INDEX(환산공식!CK$16:CK$301,MATCH(E249,환산공식!$A$16:$A$301,0)),"")</f>
        <v>10</v>
      </c>
      <c r="N249" s="113" t="str">
        <f t="shared" si="10"/>
        <v>1% 이하</v>
      </c>
      <c r="O249" s="119">
        <f>IFERROR(ROUND(INDEX(환산공식!$EF$16:$EF$301,MATCH(E249,환산공식!$A$16:$A$301,0)),3),"")</f>
        <v>0</v>
      </c>
      <c r="P249" s="119">
        <f>IFERROR(ROUND(INDEX('배치점수 계산기'!M$11:M$1000,MATCH($C249,'배치점수 계산기'!$U$11:$U$1000,0)),2),"")</f>
        <v>748.63</v>
      </c>
      <c r="Q249" s="41">
        <f>IFERROR(ROUND(INDEX('배치점수 계산기'!N$11:N$1000,MATCH($C249,'배치점수 계산기'!$U$11:$U$1000,0)),2),"")</f>
        <v>747.07</v>
      </c>
      <c r="R249" s="41">
        <f>IFERROR(ROUND(INDEX('배치점수 계산기'!O$11:O$1000,MATCH($C249,'배치점수 계산기'!$U$11:$U$1000,0)),2),"")</f>
        <v>746.5</v>
      </c>
      <c r="S249" s="41">
        <f>IFERROR(ROUND(INDEX('배치점수 계산기'!P$11:P$1000,MATCH($C249,'배치점수 계산기'!$U$11:$U$1000,0)),2),"")</f>
        <v>745.4</v>
      </c>
      <c r="T249" s="41">
        <f>IFERROR(ROUND(INDEX('배치점수 계산기'!Q$11:Q$1000,MATCH($C249,'배치점수 계산기'!$U$11:$U$1000,0)),2),"")</f>
        <v>743.88</v>
      </c>
      <c r="U249" s="41">
        <f>IFERROR(INDEX(환산공식!$DC$16:$DC$301,MATCH(E249,환산공식!$A$16:$A$301,0)),"")</f>
        <v>0</v>
      </c>
      <c r="V249" s="113">
        <f t="shared" si="11"/>
        <v>6</v>
      </c>
      <c r="W249" s="110" t="str">
        <f>INDEX('배치점수 계산기'!$AG$11:$AG$800,MATCH('       나 군       '!$C249,'배치점수 계산기'!$U$11:$U$800,0))</f>
        <v>표점</v>
      </c>
      <c r="X249" s="108" t="str">
        <f>INDEX('배치점수 계산기'!$AH$11:$AH$800,MATCH('       나 군       '!$C249,'배치점수 계산기'!$U$11:$U$800,0))</f>
        <v>변표</v>
      </c>
      <c r="Y249" s="113">
        <f>INDEX('배치점수 계산기'!$AB$11:$AB$800,MATCH('       나 군       '!$C249,'배치점수 계산기'!$U$11:$U$800,0))</f>
        <v>0.25</v>
      </c>
      <c r="Z249" s="73">
        <f>INDEX('배치점수 계산기'!$AC$11:$AC$800,MATCH('       나 군       '!$C249,'배치점수 계산기'!$U$11:$U$800,0))</f>
        <v>0.375</v>
      </c>
      <c r="AA249" s="63">
        <f>INDEX('배치점수 계산기'!$AD$11:$AD$800,MATCH('       나 군       '!$C249,'배치점수 계산기'!$U$11:$U$800,0))</f>
        <v>0.375</v>
      </c>
      <c r="AE249" s="7">
        <v>242</v>
      </c>
    </row>
    <row r="250" spans="3:31" x14ac:dyDescent="0.3">
      <c r="C250" s="7" t="s">
        <v>1495</v>
      </c>
      <c r="D250" s="41" t="s">
        <v>1496</v>
      </c>
      <c r="E250" s="41">
        <v>100</v>
      </c>
      <c r="F250" s="113" t="s">
        <v>346</v>
      </c>
      <c r="G250" s="41" t="s">
        <v>698</v>
      </c>
      <c r="H250" s="41" t="s">
        <v>695</v>
      </c>
      <c r="I250" s="41" t="s">
        <v>274</v>
      </c>
      <c r="J250" s="41" t="str">
        <f t="shared" si="9"/>
        <v>X</v>
      </c>
      <c r="K250" s="113">
        <f>IFERROR(INDEX(환산공식!CI$16:CI$301,MATCH($E250,환산공식!$A$16:$A$301,0)),"")</f>
        <v>100</v>
      </c>
      <c r="L250" s="41" t="str">
        <f>IFERROR(CONCATENATE(ROUND(INDEX(환산공식!CJ$16:CJ$301,MATCH(E250,환산공식!$A$16:$A$301,0)),1),"%"),"")</f>
        <v>100%</v>
      </c>
      <c r="M250" s="41">
        <f>IFERROR(INDEX(환산공식!CK$16:CK$301,MATCH(E250,환산공식!$A$16:$A$301,0)),"")</f>
        <v>0</v>
      </c>
      <c r="N250" s="113" t="str">
        <f t="shared" si="10"/>
        <v>1% 이하</v>
      </c>
      <c r="O250" s="119">
        <f>IFERROR(ROUND(INDEX(환산공식!$EF$16:$EF$301,MATCH(E250,환산공식!$A$16:$A$301,0)),3),"")</f>
        <v>0</v>
      </c>
      <c r="P250" s="119">
        <f>IFERROR(ROUND(INDEX('배치점수 계산기'!M$11:M$1000,MATCH($C250,'배치점수 계산기'!$U$11:$U$1000,0)),2),"")</f>
        <v>992.45</v>
      </c>
      <c r="Q250" s="41">
        <f>IFERROR(ROUND(INDEX('배치점수 계산기'!N$11:N$1000,MATCH($C250,'배치점수 계산기'!$U$11:$U$1000,0)),2),"")</f>
        <v>990.95</v>
      </c>
      <c r="R250" s="41">
        <f>IFERROR(ROUND(INDEX('배치점수 계산기'!O$11:O$1000,MATCH($C250,'배치점수 계산기'!$U$11:$U$1000,0)),2),"")</f>
        <v>986.15</v>
      </c>
      <c r="S250" s="41">
        <f>IFERROR(ROUND(INDEX('배치점수 계산기'!P$11:P$1000,MATCH($C250,'배치점수 계산기'!$U$11:$U$1000,0)),2),"")</f>
        <v>982.25</v>
      </c>
      <c r="T250" s="41">
        <f>IFERROR(ROUND(INDEX('배치점수 계산기'!Q$11:Q$1000,MATCH($C250,'배치점수 계산기'!$U$11:$U$1000,0)),2),"")</f>
        <v>981.35</v>
      </c>
      <c r="U250" s="41">
        <f>IFERROR(INDEX(환산공식!$DC$16:$DC$301,MATCH(E250,환산공식!$A$16:$A$301,0)),"")</f>
        <v>0</v>
      </c>
      <c r="V250" s="113">
        <f t="shared" si="11"/>
        <v>6</v>
      </c>
      <c r="W250" s="110" t="str">
        <f>INDEX('배치점수 계산기'!$AG$11:$AG$800,MATCH('       나 군       '!$C250,'배치점수 계산기'!$U$11:$U$800,0))</f>
        <v>백분위</v>
      </c>
      <c r="X250" s="108" t="str">
        <f>INDEX('배치점수 계산기'!$AH$11:$AH$800,MATCH('       나 군       '!$C250,'배치점수 계산기'!$U$11:$U$800,0))</f>
        <v>백분위</v>
      </c>
      <c r="Y250" s="113">
        <f>INDEX('배치점수 계산기'!$AB$11:$AB$800,MATCH('       나 군       '!$C250,'배치점수 계산기'!$U$11:$U$800,0))</f>
        <v>0.33333333333333331</v>
      </c>
      <c r="Z250" s="73">
        <f>INDEX('배치점수 계산기'!$AC$11:$AC$800,MATCH('       나 군       '!$C250,'배치점수 계산기'!$U$11:$U$800,0))</f>
        <v>0.33333333333333331</v>
      </c>
      <c r="AA250" s="63">
        <f>INDEX('배치점수 계산기'!$AD$11:$AD$800,MATCH('       나 군       '!$C250,'배치점수 계산기'!$U$11:$U$800,0))</f>
        <v>0.33333333333333331</v>
      </c>
      <c r="AE250" s="7">
        <v>243</v>
      </c>
    </row>
    <row r="251" spans="3:31" x14ac:dyDescent="0.3">
      <c r="C251" s="7" t="s">
        <v>1497</v>
      </c>
      <c r="D251" s="41" t="s">
        <v>1498</v>
      </c>
      <c r="E251" s="41">
        <v>84</v>
      </c>
      <c r="F251" s="113" t="s">
        <v>346</v>
      </c>
      <c r="G251" s="41" t="s">
        <v>687</v>
      </c>
      <c r="H251" s="41" t="s">
        <v>695</v>
      </c>
      <c r="I251" s="41" t="s">
        <v>274</v>
      </c>
      <c r="J251" s="41" t="str">
        <f t="shared" si="9"/>
        <v>X</v>
      </c>
      <c r="K251" s="113">
        <f>IFERROR(INDEX(환산공식!CI$16:CI$301,MATCH($E251,환산공식!$A$16:$A$301,0)),"")</f>
        <v>200</v>
      </c>
      <c r="L251" s="41" t="str">
        <f>IFERROR(CONCATENATE(ROUND(INDEX(환산공식!CJ$16:CJ$301,MATCH(E251,환산공식!$A$16:$A$301,0)),1),"%"),"")</f>
        <v>100%</v>
      </c>
      <c r="M251" s="41">
        <f>IFERROR(INDEX(환산공식!CK$16:CK$301,MATCH(E251,환산공식!$A$16:$A$301,0)),"")</f>
        <v>10</v>
      </c>
      <c r="N251" s="113" t="str">
        <f t="shared" si="10"/>
        <v>1% 이하</v>
      </c>
      <c r="O251" s="119">
        <f>IFERROR(ROUND(INDEX(환산공식!$EF$16:$EF$301,MATCH(E251,환산공식!$A$16:$A$301,0)),3),"")</f>
        <v>0</v>
      </c>
      <c r="P251" s="119">
        <f>IFERROR(ROUND(INDEX('배치점수 계산기'!M$11:M$1000,MATCH($C251,'배치점수 계산기'!$U$11:$U$1000,0)),2),"")</f>
        <v>980.6</v>
      </c>
      <c r="Q251" s="41">
        <f>IFERROR(ROUND(INDEX('배치점수 계산기'!N$11:N$1000,MATCH($C251,'배치점수 계산기'!$U$11:$U$1000,0)),2),"")</f>
        <v>979</v>
      </c>
      <c r="R251" s="41">
        <f>IFERROR(ROUND(INDEX('배치점수 계산기'!O$11:O$1000,MATCH($C251,'배치점수 계산기'!$U$11:$U$1000,0)),2),"")</f>
        <v>973.4</v>
      </c>
      <c r="S251" s="41">
        <f>IFERROR(ROUND(INDEX('배치점수 계산기'!P$11:P$1000,MATCH($C251,'배치점수 계산기'!$U$11:$U$1000,0)),2),"")</f>
        <v>972.8</v>
      </c>
      <c r="T251" s="41">
        <f>IFERROR(ROUND(INDEX('배치점수 계산기'!Q$11:Q$1000,MATCH($C251,'배치점수 계산기'!$U$11:$U$1000,0)),2),"")</f>
        <v>972.1</v>
      </c>
      <c r="U251" s="41">
        <f>IFERROR(INDEX(환산공식!$DC$16:$DC$301,MATCH(E251,환산공식!$A$16:$A$301,0)),"")</f>
        <v>0</v>
      </c>
      <c r="V251" s="113">
        <f t="shared" si="11"/>
        <v>6</v>
      </c>
      <c r="W251" s="110" t="str">
        <f>INDEX('배치점수 계산기'!$AG$11:$AG$800,MATCH('       나 군       '!$C251,'배치점수 계산기'!$U$11:$U$800,0))</f>
        <v>백분위</v>
      </c>
      <c r="X251" s="108" t="str">
        <f>INDEX('배치점수 계산기'!$AH$11:$AH$800,MATCH('       나 군       '!$C251,'배치점수 계산기'!$U$11:$U$800,0))</f>
        <v>백분위</v>
      </c>
      <c r="Y251" s="113">
        <f>INDEX('배치점수 계산기'!$AB$11:$AB$800,MATCH('       나 군       '!$C251,'배치점수 계산기'!$U$11:$U$800,0))</f>
        <v>0.375</v>
      </c>
      <c r="Z251" s="73">
        <f>INDEX('배치점수 계산기'!$AC$11:$AC$800,MATCH('       나 군       '!$C251,'배치점수 계산기'!$U$11:$U$800,0))</f>
        <v>0.375</v>
      </c>
      <c r="AA251" s="63">
        <f>INDEX('배치점수 계산기'!$AD$11:$AD$800,MATCH('       나 군       '!$C251,'배치점수 계산기'!$U$11:$U$800,0))</f>
        <v>0.25</v>
      </c>
      <c r="AE251" s="7">
        <v>244</v>
      </c>
    </row>
    <row r="252" spans="3:31" x14ac:dyDescent="0.3">
      <c r="C252" s="7" t="s">
        <v>1499</v>
      </c>
      <c r="D252" s="41" t="s">
        <v>1500</v>
      </c>
      <c r="E252" s="41">
        <v>109</v>
      </c>
      <c r="F252" s="113" t="s">
        <v>346</v>
      </c>
      <c r="G252" s="41" t="s">
        <v>696</v>
      </c>
      <c r="H252" s="41" t="s">
        <v>695</v>
      </c>
      <c r="I252" s="41" t="s">
        <v>274</v>
      </c>
      <c r="J252" s="41" t="str">
        <f t="shared" si="9"/>
        <v>X</v>
      </c>
      <c r="K252" s="113">
        <f>IFERROR(INDEX(환산공식!CI$16:CI$301,MATCH($E252,환산공식!$A$16:$A$301,0)),"")</f>
        <v>80</v>
      </c>
      <c r="L252" s="41" t="str">
        <f>IFERROR(CONCATENATE(ROUND(INDEX(환산공식!CJ$16:CJ$301,MATCH(E252,환산공식!$A$16:$A$301,0)),1),"%"),"")</f>
        <v>100%</v>
      </c>
      <c r="M252" s="41">
        <f>IFERROR(INDEX(환산공식!CK$16:CK$301,MATCH(E252,환산공식!$A$16:$A$301,0)),"")</f>
        <v>5</v>
      </c>
      <c r="N252" s="113" t="str">
        <f t="shared" si="10"/>
        <v>1% 이하</v>
      </c>
      <c r="O252" s="119">
        <f>IFERROR(ROUND(INDEX(환산공식!$EF$16:$EF$301,MATCH(E252,환산공식!$A$16:$A$301,0)),3),"")</f>
        <v>0</v>
      </c>
      <c r="P252" s="119">
        <f>IFERROR(ROUND(INDEX('배치점수 계산기'!M$11:M$1000,MATCH($C252,'배치점수 계산기'!$U$11:$U$1000,0)),2),"")</f>
        <v>402.4</v>
      </c>
      <c r="Q252" s="41">
        <f>IFERROR(ROUND(INDEX('배치점수 계산기'!N$11:N$1000,MATCH($C252,'배치점수 계산기'!$U$11:$U$1000,0)),2),"")</f>
        <v>401.16</v>
      </c>
      <c r="R252" s="41">
        <f>IFERROR(ROUND(INDEX('배치점수 계산기'!O$11:O$1000,MATCH($C252,'배치점수 계산기'!$U$11:$U$1000,0)),2),"")</f>
        <v>399.8</v>
      </c>
      <c r="S252" s="41">
        <f>IFERROR(ROUND(INDEX('배치점수 계산기'!P$11:P$1000,MATCH($C252,'배치점수 계산기'!$U$11:$U$1000,0)),2),"")</f>
        <v>399.44</v>
      </c>
      <c r="T252" s="41">
        <f>IFERROR(ROUND(INDEX('배치점수 계산기'!Q$11:Q$1000,MATCH($C252,'배치점수 계산기'!$U$11:$U$1000,0)),2),"")</f>
        <v>399.08</v>
      </c>
      <c r="U252" s="41">
        <f>IFERROR(INDEX(환산공식!$DC$16:$DC$301,MATCH(E252,환산공식!$A$16:$A$301,0)),"")</f>
        <v>0</v>
      </c>
      <c r="V252" s="113">
        <f t="shared" si="11"/>
        <v>6</v>
      </c>
      <c r="W252" s="110" t="str">
        <f>INDEX('배치점수 계산기'!$AG$11:$AG$800,MATCH('       나 군       '!$C252,'배치점수 계산기'!$U$11:$U$800,0))</f>
        <v>백분위</v>
      </c>
      <c r="X252" s="108" t="str">
        <f>INDEX('배치점수 계산기'!$AH$11:$AH$800,MATCH('       나 군       '!$C252,'배치점수 계산기'!$U$11:$U$800,0))</f>
        <v>백분위</v>
      </c>
      <c r="Y252" s="113">
        <f>INDEX('배치점수 계산기'!$AB$11:$AB$800,MATCH('       나 군       '!$C252,'배치점수 계산기'!$U$11:$U$800,0))</f>
        <v>0.25</v>
      </c>
      <c r="Z252" s="73">
        <f>INDEX('배치점수 계산기'!$AC$11:$AC$800,MATCH('       나 군       '!$C252,'배치점수 계산기'!$U$11:$U$800,0))</f>
        <v>0.37499999999999994</v>
      </c>
      <c r="AA252" s="63">
        <f>INDEX('배치점수 계산기'!$AD$11:$AD$800,MATCH('       나 군       '!$C252,'배치점수 계산기'!$U$11:$U$800,0))</f>
        <v>0.37499999999999994</v>
      </c>
      <c r="AE252" s="7">
        <v>245</v>
      </c>
    </row>
    <row r="253" spans="3:31" x14ac:dyDescent="0.3">
      <c r="C253" s="7" t="s">
        <v>1501</v>
      </c>
      <c r="D253" s="41" t="s">
        <v>1463</v>
      </c>
      <c r="E253" s="41">
        <v>111</v>
      </c>
      <c r="F253" s="113" t="s">
        <v>346</v>
      </c>
      <c r="G253" s="41" t="s">
        <v>690</v>
      </c>
      <c r="H253" s="41" t="s">
        <v>695</v>
      </c>
      <c r="I253" s="41" t="s">
        <v>274</v>
      </c>
      <c r="J253" s="41" t="str">
        <f t="shared" si="9"/>
        <v>X</v>
      </c>
      <c r="K253" s="113">
        <f>IFERROR(INDEX(환산공식!CI$16:CI$301,MATCH($E253,환산공식!$A$16:$A$301,0)),"")</f>
        <v>100</v>
      </c>
      <c r="L253" s="41" t="str">
        <f>IFERROR(CONCATENATE(ROUND(INDEX(환산공식!CJ$16:CJ$301,MATCH(E253,환산공식!$A$16:$A$301,0)),1),"%"),"")</f>
        <v>100%</v>
      </c>
      <c r="M253" s="41">
        <f>IFERROR(INDEX(환산공식!CK$16:CK$301,MATCH(E253,환산공식!$A$16:$A$301,0)),"")</f>
        <v>5</v>
      </c>
      <c r="N253" s="113" t="str">
        <f t="shared" si="10"/>
        <v>1% 이하</v>
      </c>
      <c r="O253" s="119">
        <f>IFERROR(ROUND(INDEX(환산공식!$EF$16:$EF$301,MATCH(E253,환산공식!$A$16:$A$301,0)),3),"")</f>
        <v>0</v>
      </c>
      <c r="P253" s="119">
        <f>IFERROR(ROUND(INDEX('배치점수 계산기'!M$11:M$1000,MATCH($C253,'배치점수 계산기'!$U$11:$U$1000,0)),2),"")</f>
        <v>504.8</v>
      </c>
      <c r="Q253" s="41">
        <f>IFERROR(ROUND(INDEX('배치점수 계산기'!N$11:N$1000,MATCH($C253,'배치점수 계산기'!$U$11:$U$1000,0)),2),"")</f>
        <v>503.1</v>
      </c>
      <c r="R253" s="41">
        <f>IFERROR(ROUND(INDEX('배치점수 계산기'!O$11:O$1000,MATCH($C253,'배치점수 계산기'!$U$11:$U$1000,0)),2),"")</f>
        <v>500.9</v>
      </c>
      <c r="S253" s="41">
        <f>IFERROR(ROUND(INDEX('배치점수 계산기'!P$11:P$1000,MATCH($C253,'배치점수 계산기'!$U$11:$U$1000,0)),2),"")</f>
        <v>500.3</v>
      </c>
      <c r="T253" s="41">
        <f>IFERROR(ROUND(INDEX('배치점수 계산기'!Q$11:Q$1000,MATCH($C253,'배치점수 계산기'!$U$11:$U$1000,0)),2),"")</f>
        <v>499.9</v>
      </c>
      <c r="U253" s="41">
        <f>IFERROR(INDEX(환산공식!$DC$16:$DC$301,MATCH(E253,환산공식!$A$16:$A$301,0)),"")</f>
        <v>0</v>
      </c>
      <c r="V253" s="113">
        <f t="shared" si="11"/>
        <v>6</v>
      </c>
      <c r="W253" s="110" t="str">
        <f>INDEX('배치점수 계산기'!$AG$11:$AG$800,MATCH('       나 군       '!$C253,'배치점수 계산기'!$U$11:$U$800,0))</f>
        <v>표점</v>
      </c>
      <c r="X253" s="108" t="str">
        <f>INDEX('배치점수 계산기'!$AH$11:$AH$800,MATCH('       나 군       '!$C253,'배치점수 계산기'!$U$11:$U$800,0))</f>
        <v>표점</v>
      </c>
      <c r="Y253" s="113">
        <f>INDEX('배치점수 계산기'!$AB$11:$AB$800,MATCH('       나 군       '!$C253,'배치점수 계산기'!$U$11:$U$800,0))</f>
        <v>0.33333333333333331</v>
      </c>
      <c r="Z253" s="73">
        <f>INDEX('배치점수 계산기'!$AC$11:$AC$800,MATCH('       나 군       '!$C253,'배치점수 계산기'!$U$11:$U$800,0))</f>
        <v>0.33333333333333331</v>
      </c>
      <c r="AA253" s="63">
        <f>INDEX('배치점수 계산기'!$AD$11:$AD$800,MATCH('       나 군       '!$C253,'배치점수 계산기'!$U$11:$U$800,0))</f>
        <v>0.33333333333333331</v>
      </c>
      <c r="AE253" s="7">
        <v>246</v>
      </c>
    </row>
    <row r="254" spans="3:31" x14ac:dyDescent="0.3">
      <c r="C254" s="7" t="s">
        <v>1502</v>
      </c>
      <c r="D254" s="41" t="s">
        <v>1503</v>
      </c>
      <c r="E254" s="41">
        <v>93</v>
      </c>
      <c r="F254" s="113" t="s">
        <v>346</v>
      </c>
      <c r="G254" s="41" t="s">
        <v>688</v>
      </c>
      <c r="H254" s="41" t="s">
        <v>695</v>
      </c>
      <c r="I254" s="41" t="s">
        <v>274</v>
      </c>
      <c r="J254" s="41" t="str">
        <f t="shared" si="9"/>
        <v>X</v>
      </c>
      <c r="K254" s="113">
        <f>IFERROR(INDEX(환산공식!CI$16:CI$301,MATCH($E254,환산공식!$A$16:$A$301,0)),"")</f>
        <v>139</v>
      </c>
      <c r="L254" s="41" t="str">
        <f>IFERROR(CONCATENATE(ROUND(INDEX(환산공식!CJ$16:CJ$301,MATCH(E254,환산공식!$A$16:$A$301,0)),1),"%"),"")</f>
        <v>100%</v>
      </c>
      <c r="M254" s="41">
        <f>IFERROR(INDEX(환산공식!CK$16:CK$301,MATCH(E254,환산공식!$A$16:$A$301,0)),"")</f>
        <v>0</v>
      </c>
      <c r="N254" s="113" t="str">
        <f t="shared" si="10"/>
        <v>1% 이하</v>
      </c>
      <c r="O254" s="119">
        <f>IFERROR(ROUND(INDEX(환산공식!$EF$16:$EF$301,MATCH(E254,환산공식!$A$16:$A$301,0)),3),"")</f>
        <v>0</v>
      </c>
      <c r="P254" s="119">
        <f>IFERROR(ROUND(INDEX('배치점수 계산기'!M$11:M$1000,MATCH($C254,'배치점수 계산기'!$U$11:$U$1000,0)),2),"")</f>
        <v>536.23</v>
      </c>
      <c r="Q254" s="41">
        <f>IFERROR(ROUND(INDEX('배치점수 계산기'!N$11:N$1000,MATCH($C254,'배치점수 계산기'!$U$11:$U$1000,0)),2),"")</f>
        <v>535.25</v>
      </c>
      <c r="R254" s="41">
        <f>IFERROR(ROUND(INDEX('배치점수 계산기'!O$11:O$1000,MATCH($C254,'배치점수 계산기'!$U$11:$U$1000,0)),2),"")</f>
        <v>533.37</v>
      </c>
      <c r="S254" s="41">
        <f>IFERROR(ROUND(INDEX('배치점수 계산기'!P$11:P$1000,MATCH($C254,'배치점수 계산기'!$U$11:$U$1000,0)),2),"")</f>
        <v>532.59</v>
      </c>
      <c r="T254" s="41">
        <f>IFERROR(ROUND(INDEX('배치점수 계산기'!Q$11:Q$1000,MATCH($C254,'배치점수 계산기'!$U$11:$U$1000,0)),2),"")</f>
        <v>531.91</v>
      </c>
      <c r="U254" s="41">
        <f>IFERROR(INDEX(환산공식!$DC$16:$DC$301,MATCH(E254,환산공식!$A$16:$A$301,0)),"")</f>
        <v>0</v>
      </c>
      <c r="V254" s="113">
        <f t="shared" si="11"/>
        <v>6</v>
      </c>
      <c r="W254" s="110" t="str">
        <f>INDEX('배치점수 계산기'!$AG$11:$AG$800,MATCH('       나 군       '!$C254,'배치점수 계산기'!$U$11:$U$800,0))</f>
        <v>표점</v>
      </c>
      <c r="X254" s="108" t="str">
        <f>INDEX('배치점수 계산기'!$AH$11:$AH$800,MATCH('       나 군       '!$C254,'배치점수 계산기'!$U$11:$U$800,0))</f>
        <v>변표</v>
      </c>
      <c r="Y254" s="113">
        <f>INDEX('배치점수 계산기'!$AB$11:$AB$800,MATCH('       나 군       '!$C254,'배치점수 계산기'!$U$11:$U$800,0))</f>
        <v>0.33333333333333331</v>
      </c>
      <c r="Z254" s="73">
        <f>INDEX('배치점수 계산기'!$AC$11:$AC$800,MATCH('       나 군       '!$C254,'배치점수 계산기'!$U$11:$U$800,0))</f>
        <v>0.33333333333333331</v>
      </c>
      <c r="AA254" s="63">
        <f>INDEX('배치점수 계산기'!$AD$11:$AD$800,MATCH('       나 군       '!$C254,'배치점수 계산기'!$U$11:$U$800,0))</f>
        <v>0.33333333333333331</v>
      </c>
      <c r="AE254" s="7">
        <v>247</v>
      </c>
    </row>
    <row r="255" spans="3:31" x14ac:dyDescent="0.3">
      <c r="C255" s="7" t="s">
        <v>1504</v>
      </c>
      <c r="D255" s="41" t="s">
        <v>1074</v>
      </c>
      <c r="E255" s="41">
        <v>35</v>
      </c>
      <c r="F255" s="113" t="s">
        <v>346</v>
      </c>
      <c r="G255" s="41" t="s">
        <v>694</v>
      </c>
      <c r="H255" s="41" t="s">
        <v>689</v>
      </c>
      <c r="I255" s="41" t="s">
        <v>275</v>
      </c>
      <c r="J255" s="41" t="str">
        <f t="shared" si="9"/>
        <v>X</v>
      </c>
      <c r="K255" s="113">
        <f>IFERROR(INDEX(환산공식!CI$16:CI$301,MATCH($E255,환산공식!$A$16:$A$301,0)),"")</f>
        <v>120</v>
      </c>
      <c r="L255" s="41" t="str">
        <f>IFERROR(CONCATENATE(ROUND(INDEX(환산공식!CJ$16:CJ$301,MATCH(E255,환산공식!$A$16:$A$301,0)),1),"%"),"")</f>
        <v>100%</v>
      </c>
      <c r="M255" s="41">
        <f>IFERROR(INDEX(환산공식!CK$16:CK$301,MATCH(E255,환산공식!$A$16:$A$301,0)),"")</f>
        <v>40</v>
      </c>
      <c r="N255" s="113" t="str">
        <f t="shared" si="10"/>
        <v>1% 이하</v>
      </c>
      <c r="O255" s="119">
        <f>IFERROR(ROUND(INDEX(환산공식!$EF$16:$EF$301,MATCH(E255,환산공식!$A$16:$A$301,0)),3),"")</f>
        <v>0</v>
      </c>
      <c r="P255" s="119">
        <f>IFERROR(ROUND(INDEX('배치점수 계산기'!M$11:M$1000,MATCH($C255,'배치점수 계산기'!$U$11:$U$1000,0)),2),"")</f>
        <v>598.78</v>
      </c>
      <c r="Q255" s="41">
        <f>IFERROR(ROUND(INDEX('배치점수 계산기'!N$11:N$1000,MATCH($C255,'배치점수 계산기'!$U$11:$U$1000,0)),2),"")</f>
        <v>596.75</v>
      </c>
      <c r="R255" s="41">
        <f>IFERROR(ROUND(INDEX('배치점수 계산기'!O$11:O$1000,MATCH($C255,'배치점수 계산기'!$U$11:$U$1000,0)),2),"")</f>
        <v>593.58000000000004</v>
      </c>
      <c r="S255" s="41">
        <f>IFERROR(ROUND(INDEX('배치점수 계산기'!P$11:P$1000,MATCH($C255,'배치점수 계산기'!$U$11:$U$1000,0)),2),"")</f>
        <v>590.91</v>
      </c>
      <c r="T255" s="41">
        <f>IFERROR(ROUND(INDEX('배치점수 계산기'!Q$11:Q$1000,MATCH($C255,'배치점수 계산기'!$U$11:$U$1000,0)),2),"")</f>
        <v>589.30999999999995</v>
      </c>
      <c r="U255" s="41">
        <f>IFERROR(INDEX(환산공식!$DC$16:$DC$301,MATCH(E255,환산공식!$A$16:$A$301,0)),"")</f>
        <v>0</v>
      </c>
      <c r="V255" s="113">
        <f t="shared" si="11"/>
        <v>6</v>
      </c>
      <c r="W255" s="110" t="str">
        <f>INDEX('배치점수 계산기'!$AG$11:$AG$800,MATCH('       나 군       '!$C255,'배치점수 계산기'!$U$11:$U$800,0))</f>
        <v>표점</v>
      </c>
      <c r="X255" s="108" t="str">
        <f>INDEX('배치점수 계산기'!$AH$11:$AH$800,MATCH('       나 군       '!$C255,'배치점수 계산기'!$U$11:$U$800,0))</f>
        <v>변표</v>
      </c>
      <c r="Y255" s="113">
        <f>INDEX('배치점수 계산기'!$AB$11:$AB$800,MATCH('       나 군       '!$C255,'배치점수 계산기'!$U$11:$U$800,0))</f>
        <v>0.3125</v>
      </c>
      <c r="Z255" s="73">
        <f>INDEX('배치점수 계산기'!$AC$11:$AC$800,MATCH('       나 군       '!$C255,'배치점수 계산기'!$U$11:$U$800,0))</f>
        <v>0.43749999999999994</v>
      </c>
      <c r="AA255" s="63">
        <f>INDEX('배치점수 계산기'!$AD$11:$AD$800,MATCH('       나 군       '!$C255,'배치점수 계산기'!$U$11:$U$800,0))</f>
        <v>0.25</v>
      </c>
      <c r="AE255" s="7">
        <v>248</v>
      </c>
    </row>
    <row r="256" spans="3:31" x14ac:dyDescent="0.3">
      <c r="C256" s="7" t="s">
        <v>1505</v>
      </c>
      <c r="D256" s="41" t="s">
        <v>1469</v>
      </c>
      <c r="E256" s="41">
        <v>112</v>
      </c>
      <c r="F256" s="113" t="s">
        <v>346</v>
      </c>
      <c r="G256" s="41" t="s">
        <v>690</v>
      </c>
      <c r="H256" s="41" t="s">
        <v>689</v>
      </c>
      <c r="I256" s="41" t="s">
        <v>275</v>
      </c>
      <c r="J256" s="41" t="str">
        <f t="shared" si="9"/>
        <v>X</v>
      </c>
      <c r="K256" s="113">
        <f>IFERROR(INDEX(환산공식!CI$16:CI$301,MATCH($E256,환산공식!$A$16:$A$301,0)),"")</f>
        <v>100</v>
      </c>
      <c r="L256" s="41" t="str">
        <f>IFERROR(CONCATENATE(ROUND(INDEX(환산공식!CJ$16:CJ$301,MATCH(E256,환산공식!$A$16:$A$301,0)),1),"%"),"")</f>
        <v>100%</v>
      </c>
      <c r="M256" s="41">
        <f>IFERROR(INDEX(환산공식!CK$16:CK$301,MATCH(E256,환산공식!$A$16:$A$301,0)),"")</f>
        <v>5</v>
      </c>
      <c r="N256" s="113" t="str">
        <f t="shared" si="10"/>
        <v>1% 이하</v>
      </c>
      <c r="O256" s="119">
        <f>IFERROR(ROUND(INDEX(환산공식!$EF$16:$EF$301,MATCH(E256,환산공식!$A$16:$A$301,0)),3),"")</f>
        <v>0</v>
      </c>
      <c r="P256" s="119">
        <f>IFERROR(ROUND(INDEX('배치점수 계산기'!M$11:M$1000,MATCH($C256,'배치점수 계산기'!$U$11:$U$1000,0)),2),"")</f>
        <v>504</v>
      </c>
      <c r="Q256" s="41">
        <f>IFERROR(ROUND(INDEX('배치점수 계산기'!N$11:N$1000,MATCH($C256,'배치점수 계산기'!$U$11:$U$1000,0)),2),"")</f>
        <v>502.4</v>
      </c>
      <c r="R256" s="41">
        <f>IFERROR(ROUND(INDEX('배치점수 계산기'!O$11:O$1000,MATCH($C256,'배치점수 계산기'!$U$11:$U$1000,0)),2),"")</f>
        <v>501.7</v>
      </c>
      <c r="S256" s="41">
        <f>IFERROR(ROUND(INDEX('배치점수 계산기'!P$11:P$1000,MATCH($C256,'배치점수 계산기'!$U$11:$U$1000,0)),2),"")</f>
        <v>501.1</v>
      </c>
      <c r="T256" s="41">
        <f>IFERROR(ROUND(INDEX('배치점수 계산기'!Q$11:Q$1000,MATCH($C256,'배치점수 계산기'!$U$11:$U$1000,0)),2),"")</f>
        <v>500.6</v>
      </c>
      <c r="U256" s="41">
        <f>IFERROR(INDEX(환산공식!$DC$16:$DC$301,MATCH(E256,환산공식!$A$16:$A$301,0)),"")</f>
        <v>0</v>
      </c>
      <c r="V256" s="113">
        <f t="shared" si="11"/>
        <v>6</v>
      </c>
      <c r="W256" s="110" t="str">
        <f>INDEX('배치점수 계산기'!$AG$11:$AG$800,MATCH('       나 군       '!$C256,'배치점수 계산기'!$U$11:$U$800,0))</f>
        <v>표점</v>
      </c>
      <c r="X256" s="108" t="str">
        <f>INDEX('배치점수 계산기'!$AH$11:$AH$800,MATCH('       나 군       '!$C256,'배치점수 계산기'!$U$11:$U$800,0))</f>
        <v>표점</v>
      </c>
      <c r="Y256" s="113">
        <f>INDEX('배치점수 계산기'!$AB$11:$AB$800,MATCH('       나 군       '!$C256,'배치점수 계산기'!$U$11:$U$800,0))</f>
        <v>0.33333333333333331</v>
      </c>
      <c r="Z256" s="73">
        <f>INDEX('배치점수 계산기'!$AC$11:$AC$800,MATCH('       나 군       '!$C256,'배치점수 계산기'!$U$11:$U$800,0))</f>
        <v>0.33333333333333331</v>
      </c>
      <c r="AA256" s="63">
        <f>INDEX('배치점수 계산기'!$AD$11:$AD$800,MATCH('       나 군       '!$C256,'배치점수 계산기'!$U$11:$U$800,0))</f>
        <v>0.33333333333333331</v>
      </c>
      <c r="AE256" s="7">
        <v>249</v>
      </c>
    </row>
    <row r="257" spans="3:31" x14ac:dyDescent="0.3">
      <c r="C257" s="7" t="s">
        <v>1506</v>
      </c>
      <c r="D257" s="41" t="s">
        <v>1507</v>
      </c>
      <c r="E257" s="41">
        <v>94</v>
      </c>
      <c r="F257" s="113" t="s">
        <v>346</v>
      </c>
      <c r="G257" s="41" t="s">
        <v>688</v>
      </c>
      <c r="H257" s="41" t="s">
        <v>686</v>
      </c>
      <c r="I257" s="41" t="s">
        <v>343</v>
      </c>
      <c r="J257" s="41" t="str">
        <f t="shared" si="9"/>
        <v>X</v>
      </c>
      <c r="K257" s="113">
        <f>IFERROR(INDEX(환산공식!CI$16:CI$301,MATCH($E257,환산공식!$A$16:$A$301,0)),"")</f>
        <v>139</v>
      </c>
      <c r="L257" s="41" t="str">
        <f>IFERROR(CONCATENATE(ROUND(INDEX(환산공식!CJ$16:CJ$301,MATCH(E257,환산공식!$A$16:$A$301,0)),1),"%"),"")</f>
        <v>100%</v>
      </c>
      <c r="M257" s="41">
        <f>IFERROR(INDEX(환산공식!CK$16:CK$301,MATCH(E257,환산공식!$A$16:$A$301,0)),"")</f>
        <v>0</v>
      </c>
      <c r="N257" s="113" t="str">
        <f t="shared" si="10"/>
        <v>1% 이하</v>
      </c>
      <c r="O257" s="119">
        <f>IFERROR(ROUND(INDEX(환산공식!$EF$16:$EF$301,MATCH(E257,환산공식!$A$16:$A$301,0)),3),"")</f>
        <v>0</v>
      </c>
      <c r="P257" s="119">
        <f>IFERROR(ROUND(INDEX('배치점수 계산기'!M$11:M$1000,MATCH($C257,'배치점수 계산기'!$U$11:$U$1000,0)),2),"")</f>
        <v>538.75</v>
      </c>
      <c r="Q257" s="41">
        <f>IFERROR(ROUND(INDEX('배치점수 계산기'!N$11:N$1000,MATCH($C257,'배치점수 계산기'!$U$11:$U$1000,0)),2),"")</f>
        <v>537.16</v>
      </c>
      <c r="R257" s="41">
        <f>IFERROR(ROUND(INDEX('배치점수 계산기'!O$11:O$1000,MATCH($C257,'배치점수 계산기'!$U$11:$U$1000,0)),2),"")</f>
        <v>536.49</v>
      </c>
      <c r="S257" s="41">
        <f>IFERROR(ROUND(INDEX('배치점수 계산기'!P$11:P$1000,MATCH($C257,'배치점수 계산기'!$U$11:$U$1000,0)),2),"")</f>
        <v>535.86</v>
      </c>
      <c r="T257" s="41">
        <f>IFERROR(ROUND(INDEX('배치점수 계산기'!Q$11:Q$1000,MATCH($C257,'배치점수 계산기'!$U$11:$U$1000,0)),2),"")</f>
        <v>535.4</v>
      </c>
      <c r="U257" s="41">
        <f>IFERROR(INDEX(환산공식!$DC$16:$DC$301,MATCH(E257,환산공식!$A$16:$A$301,0)),"")</f>
        <v>0</v>
      </c>
      <c r="V257" s="113">
        <f t="shared" si="11"/>
        <v>6</v>
      </c>
      <c r="W257" s="110" t="str">
        <f>INDEX('배치점수 계산기'!$AG$11:$AG$800,MATCH('       나 군       '!$C257,'배치점수 계산기'!$U$11:$U$800,0))</f>
        <v>표점</v>
      </c>
      <c r="X257" s="108" t="str">
        <f>INDEX('배치점수 계산기'!$AH$11:$AH$800,MATCH('       나 군       '!$C257,'배치점수 계산기'!$U$11:$U$800,0))</f>
        <v>변표</v>
      </c>
      <c r="Y257" s="113">
        <f>INDEX('배치점수 계산기'!$AB$11:$AB$800,MATCH('       나 군       '!$C257,'배치점수 계산기'!$U$11:$U$800,0))</f>
        <v>0.33333333333333331</v>
      </c>
      <c r="Z257" s="73">
        <f>INDEX('배치점수 계산기'!$AC$11:$AC$800,MATCH('       나 군       '!$C257,'배치점수 계산기'!$U$11:$U$800,0))</f>
        <v>0.33333333333333331</v>
      </c>
      <c r="AA257" s="63">
        <f>INDEX('배치점수 계산기'!$AD$11:$AD$800,MATCH('       나 군       '!$C257,'배치점수 계산기'!$U$11:$U$800,0))</f>
        <v>0.33333333333333331</v>
      </c>
      <c r="AE257" s="7">
        <v>250</v>
      </c>
    </row>
    <row r="258" spans="3:31" x14ac:dyDescent="0.3">
      <c r="C258" s="7" t="s">
        <v>1508</v>
      </c>
      <c r="D258" s="41" t="s">
        <v>1509</v>
      </c>
      <c r="E258" s="41">
        <v>85</v>
      </c>
      <c r="F258" s="113" t="s">
        <v>346</v>
      </c>
      <c r="G258" s="41" t="s">
        <v>687</v>
      </c>
      <c r="H258" s="41" t="s">
        <v>686</v>
      </c>
      <c r="I258" s="41" t="s">
        <v>343</v>
      </c>
      <c r="J258" s="41" t="str">
        <f t="shared" si="9"/>
        <v>X</v>
      </c>
      <c r="K258" s="113">
        <f>IFERROR(INDEX(환산공식!CI$16:CI$301,MATCH($E258,환산공식!$A$16:$A$301,0)),"")</f>
        <v>200</v>
      </c>
      <c r="L258" s="41" t="str">
        <f>IFERROR(CONCATENATE(ROUND(INDEX(환산공식!CJ$16:CJ$301,MATCH(E258,환산공식!$A$16:$A$301,0)),1),"%"),"")</f>
        <v>100%</v>
      </c>
      <c r="M258" s="41">
        <f>IFERROR(INDEX(환산공식!CK$16:CK$301,MATCH(E258,환산공식!$A$16:$A$301,0)),"")</f>
        <v>10</v>
      </c>
      <c r="N258" s="113" t="str">
        <f t="shared" si="10"/>
        <v>1% 이하</v>
      </c>
      <c r="O258" s="119">
        <f>IFERROR(ROUND(INDEX(환산공식!$EF$16:$EF$301,MATCH(E258,환산공식!$A$16:$A$301,0)),3),"")</f>
        <v>0</v>
      </c>
      <c r="P258" s="119">
        <f>IFERROR(ROUND(INDEX('배치점수 계산기'!M$11:M$1000,MATCH($C258,'배치점수 계산기'!$U$11:$U$1000,0)),2),"")</f>
        <v>984.2</v>
      </c>
      <c r="Q258" s="41">
        <f>IFERROR(ROUND(INDEX('배치점수 계산기'!N$11:N$1000,MATCH($C258,'배치점수 계산기'!$U$11:$U$1000,0)),2),"")</f>
        <v>982.7</v>
      </c>
      <c r="R258" s="41">
        <f>IFERROR(ROUND(INDEX('배치점수 계산기'!O$11:O$1000,MATCH($C258,'배치점수 계산기'!$U$11:$U$1000,0)),2),"")</f>
        <v>981.5</v>
      </c>
      <c r="S258" s="41">
        <f>IFERROR(ROUND(INDEX('배치점수 계산기'!P$11:P$1000,MATCH($C258,'배치점수 계산기'!$U$11:$U$1000,0)),2),"")</f>
        <v>980</v>
      </c>
      <c r="T258" s="41">
        <f>IFERROR(ROUND(INDEX('배치점수 계산기'!Q$11:Q$1000,MATCH($C258,'배치점수 계산기'!$U$11:$U$1000,0)),2),"")</f>
        <v>979.4</v>
      </c>
      <c r="U258" s="41">
        <f>IFERROR(INDEX(환산공식!$DC$16:$DC$301,MATCH(E258,환산공식!$A$16:$A$301,0)),"")</f>
        <v>0</v>
      </c>
      <c r="V258" s="113">
        <f t="shared" si="11"/>
        <v>6</v>
      </c>
      <c r="W258" s="110" t="str">
        <f>INDEX('배치점수 계산기'!$AG$11:$AG$800,MATCH('       나 군       '!$C258,'배치점수 계산기'!$U$11:$U$800,0))</f>
        <v>백분위</v>
      </c>
      <c r="X258" s="108" t="str">
        <f>INDEX('배치점수 계산기'!$AH$11:$AH$800,MATCH('       나 군       '!$C258,'배치점수 계산기'!$U$11:$U$800,0))</f>
        <v>백분위</v>
      </c>
      <c r="Y258" s="113">
        <f>INDEX('배치점수 계산기'!$AB$11:$AB$800,MATCH('       나 군       '!$C258,'배치점수 계산기'!$U$11:$U$800,0))</f>
        <v>0.42857142857142855</v>
      </c>
      <c r="Z258" s="73">
        <f>INDEX('배치점수 계산기'!$AC$11:$AC$800,MATCH('       나 군       '!$C258,'배치점수 계산기'!$U$11:$U$800,0))</f>
        <v>0.42857142857142855</v>
      </c>
      <c r="AA258" s="63">
        <f>INDEX('배치점수 계산기'!$AD$11:$AD$800,MATCH('       나 군       '!$C258,'배치점수 계산기'!$U$11:$U$800,0))</f>
        <v>0.14285714285714285</v>
      </c>
      <c r="AE258" s="7">
        <v>251</v>
      </c>
    </row>
    <row r="259" spans="3:31" x14ac:dyDescent="0.3">
      <c r="C259" s="7" t="s">
        <v>1510</v>
      </c>
      <c r="D259" s="41" t="s">
        <v>1232</v>
      </c>
      <c r="E259" s="41">
        <v>16</v>
      </c>
      <c r="F259" s="113" t="s">
        <v>346</v>
      </c>
      <c r="G259" s="41" t="s">
        <v>681</v>
      </c>
      <c r="H259" s="41" t="s">
        <v>700</v>
      </c>
      <c r="I259" s="41" t="s">
        <v>274</v>
      </c>
      <c r="J259" s="41" t="str">
        <f t="shared" si="9"/>
        <v>X</v>
      </c>
      <c r="K259" s="113">
        <f>IFERROR(INDEX(환산공식!CI$16:CI$301,MATCH($E259,환산공식!$A$16:$A$301,0)),"")</f>
        <v>0</v>
      </c>
      <c r="L259" s="41" t="str">
        <f>IFERROR(CONCATENATE(ROUND(INDEX(환산공식!CJ$16:CJ$301,MATCH(E259,환산공식!$A$16:$A$301,0)),1),"%"),"")</f>
        <v/>
      </c>
      <c r="M259" s="41">
        <f>IFERROR(INDEX(환산공식!CK$16:CK$301,MATCH(E259,환산공식!$A$16:$A$301,0)),"")</f>
        <v>0</v>
      </c>
      <c r="N259" s="113" t="str">
        <f t="shared" si="10"/>
        <v>1% 이하</v>
      </c>
      <c r="O259" s="119">
        <f>IFERROR(ROUND(INDEX(환산공식!$EF$16:$EF$301,MATCH(E259,환산공식!$A$16:$A$301,0)),3),"")</f>
        <v>0</v>
      </c>
      <c r="P259" s="119">
        <f>IFERROR(ROUND(INDEX('배치점수 계산기'!M$11:M$1000,MATCH($C259,'배치점수 계산기'!$U$11:$U$1000,0)),2),"")</f>
        <v>412.82</v>
      </c>
      <c r="Q259" s="41">
        <f>IFERROR(ROUND(INDEX('배치점수 계산기'!N$11:N$1000,MATCH($C259,'배치점수 계산기'!$U$11:$U$1000,0)),2),"")</f>
        <v>409.46</v>
      </c>
      <c r="R259" s="41">
        <f>IFERROR(ROUND(INDEX('배치점수 계산기'!O$11:O$1000,MATCH($C259,'배치점수 계산기'!$U$11:$U$1000,0)),2),"")</f>
        <v>407.64</v>
      </c>
      <c r="S259" s="41">
        <f>IFERROR(ROUND(INDEX('배치점수 계산기'!P$11:P$1000,MATCH($C259,'배치점수 계산기'!$U$11:$U$1000,0)),2),"")</f>
        <v>404.46</v>
      </c>
      <c r="T259" s="41">
        <f>IFERROR(ROUND(INDEX('배치점수 계산기'!Q$11:Q$1000,MATCH($C259,'배치점수 계산기'!$U$11:$U$1000,0)),2),"")</f>
        <v>396.88</v>
      </c>
      <c r="U259" s="41">
        <f>IFERROR(INDEX(환산공식!$DC$16:$DC$301,MATCH(E259,환산공식!$A$16:$A$301,0)),"")</f>
        <v>0</v>
      </c>
      <c r="V259" s="113">
        <f t="shared" si="11"/>
        <v>6</v>
      </c>
      <c r="W259" s="110" t="str">
        <f>INDEX('배치점수 계산기'!$AG$11:$AG$800,MATCH('       나 군       '!$C259,'배치점수 계산기'!$U$11:$U$800,0))</f>
        <v>표점</v>
      </c>
      <c r="X259" s="108" t="str">
        <f>INDEX('배치점수 계산기'!$AH$11:$AH$800,MATCH('       나 군       '!$C259,'배치점수 계산기'!$U$11:$U$800,0))</f>
        <v>표점</v>
      </c>
      <c r="Y259" s="113">
        <f>INDEX('배치점수 계산기'!$AB$11:$AB$800,MATCH('       나 군       '!$C259,'배치점수 계산기'!$U$11:$U$800,0))</f>
        <v>0.33333333333333331</v>
      </c>
      <c r="Z259" s="73">
        <f>INDEX('배치점수 계산기'!$AC$11:$AC$800,MATCH('       나 군       '!$C259,'배치점수 계산기'!$U$11:$U$800,0))</f>
        <v>0.39999999999999997</v>
      </c>
      <c r="AA259" s="63">
        <f>INDEX('배치점수 계산기'!$AD$11:$AD$800,MATCH('       나 군       '!$C259,'배치점수 계산기'!$U$11:$U$800,0))</f>
        <v>0.26666666666666666</v>
      </c>
      <c r="AE259" s="7">
        <v>252</v>
      </c>
    </row>
    <row r="260" spans="3:31" x14ac:dyDescent="0.3">
      <c r="C260" s="7" t="s">
        <v>1511</v>
      </c>
      <c r="D260" s="41" t="s">
        <v>1187</v>
      </c>
      <c r="E260" s="41">
        <v>120</v>
      </c>
      <c r="F260" s="113" t="s">
        <v>346</v>
      </c>
      <c r="G260" s="41" t="s">
        <v>702</v>
      </c>
      <c r="H260" s="41" t="s">
        <v>700</v>
      </c>
      <c r="I260" s="41" t="s">
        <v>274</v>
      </c>
      <c r="J260" s="41" t="str">
        <f t="shared" si="9"/>
        <v>X</v>
      </c>
      <c r="K260" s="113">
        <f>IFERROR(INDEX(환산공식!CI$16:CI$301,MATCH($E260,환산공식!$A$16:$A$301,0)),"")</f>
        <v>200</v>
      </c>
      <c r="L260" s="41" t="str">
        <f>IFERROR(CONCATENATE(ROUND(INDEX(환산공식!CJ$16:CJ$301,MATCH(E260,환산공식!$A$16:$A$301,0)),1),"%"),"")</f>
        <v>100%</v>
      </c>
      <c r="M260" s="41">
        <f>IFERROR(INDEX(환산공식!CK$16:CK$301,MATCH(E260,환산공식!$A$16:$A$301,0)),"")</f>
        <v>10</v>
      </c>
      <c r="N260" s="113" t="str">
        <f t="shared" si="10"/>
        <v>1% 이하</v>
      </c>
      <c r="O260" s="119">
        <f>IFERROR(ROUND(INDEX(환산공식!$EF$16:$EF$301,MATCH(E260,환산공식!$A$16:$A$301,0)),3),"")</f>
        <v>0</v>
      </c>
      <c r="P260" s="119">
        <f>IFERROR(ROUND(INDEX('배치점수 계산기'!M$11:M$1000,MATCH($C260,'배치점수 계산기'!$U$11:$U$1000,0)),2),"")</f>
        <v>926.03</v>
      </c>
      <c r="Q260" s="41">
        <f>IFERROR(ROUND(INDEX('배치점수 계산기'!N$11:N$1000,MATCH($C260,'배치점수 계산기'!$U$11:$U$1000,0)),2),"")</f>
        <v>923.85</v>
      </c>
      <c r="R260" s="41">
        <f>IFERROR(ROUND(INDEX('배치점수 계산기'!O$11:O$1000,MATCH($C260,'배치점수 계산기'!$U$11:$U$1000,0)),2),"")</f>
        <v>922.64</v>
      </c>
      <c r="S260" s="41">
        <f>IFERROR(ROUND(INDEX('배치점수 계산기'!P$11:P$1000,MATCH($C260,'배치점수 계산기'!$U$11:$U$1000,0)),2),"")</f>
        <v>921.51</v>
      </c>
      <c r="T260" s="41">
        <f>IFERROR(ROUND(INDEX('배치점수 계산기'!Q$11:Q$1000,MATCH($C260,'배치점수 계산기'!$U$11:$U$1000,0)),2),"")</f>
        <v>919.83</v>
      </c>
      <c r="U260" s="41">
        <f>IFERROR(INDEX(환산공식!$DC$16:$DC$301,MATCH(E260,환산공식!$A$16:$A$301,0)),"")</f>
        <v>0</v>
      </c>
      <c r="V260" s="113">
        <f t="shared" si="11"/>
        <v>6</v>
      </c>
      <c r="W260" s="110" t="str">
        <f>INDEX('배치점수 계산기'!$AG$11:$AG$800,MATCH('       나 군       '!$C260,'배치점수 계산기'!$U$11:$U$800,0))</f>
        <v>표점/만점</v>
      </c>
      <c r="X260" s="108" t="str">
        <f>INDEX('배치점수 계산기'!$AH$11:$AH$800,MATCH('       나 군       '!$C260,'배치점수 계산기'!$U$11:$U$800,0))</f>
        <v>변표/만점</v>
      </c>
      <c r="Y260" s="113">
        <f>INDEX('배치점수 계산기'!$AB$11:$AB$800,MATCH('       나 군       '!$C260,'배치점수 계산기'!$U$11:$U$800,0))</f>
        <v>0.2942169917529503</v>
      </c>
      <c r="Z260" s="73">
        <f>INDEX('배치점수 계산기'!$AC$11:$AC$800,MATCH('       나 군       '!$C260,'배치점수 계산기'!$U$11:$U$800,0))</f>
        <v>0.39762659202893064</v>
      </c>
      <c r="AA260" s="63">
        <f>INDEX('배치점수 계산기'!$AD$11:$AD$800,MATCH('       나 군       '!$C260,'배치점수 계산기'!$U$11:$U$800,0))</f>
        <v>0.30815641621811896</v>
      </c>
      <c r="AE260" s="7">
        <v>253</v>
      </c>
    </row>
    <row r="261" spans="3:31" x14ac:dyDescent="0.3">
      <c r="C261" s="7" t="s">
        <v>1512</v>
      </c>
      <c r="D261" s="41" t="s">
        <v>1193</v>
      </c>
      <c r="E261" s="41">
        <v>121</v>
      </c>
      <c r="F261" s="113" t="s">
        <v>346</v>
      </c>
      <c r="G261" s="41" t="s">
        <v>701</v>
      </c>
      <c r="H261" s="41" t="s">
        <v>700</v>
      </c>
      <c r="I261" s="41" t="s">
        <v>274</v>
      </c>
      <c r="J261" s="41" t="str">
        <f t="shared" si="9"/>
        <v>X</v>
      </c>
      <c r="K261" s="113">
        <f>IFERROR(INDEX(환산공식!CI$16:CI$301,MATCH($E261,환산공식!$A$16:$A$301,0)),"")</f>
        <v>30</v>
      </c>
      <c r="L261" s="41" t="str">
        <f>IFERROR(CONCATENATE(ROUND(INDEX(환산공식!CJ$16:CJ$301,MATCH(E261,환산공식!$A$16:$A$301,0)),1),"%"),"")</f>
        <v>100%</v>
      </c>
      <c r="M261" s="41">
        <f>IFERROR(INDEX(환산공식!CK$16:CK$301,MATCH(E261,환산공식!$A$16:$A$301,0)),"")</f>
        <v>5</v>
      </c>
      <c r="N261" s="113" t="str">
        <f t="shared" si="10"/>
        <v>1% 이하</v>
      </c>
      <c r="O261" s="119">
        <f>IFERROR(ROUND(INDEX(환산공식!$EF$16:$EF$301,MATCH(E261,환산공식!$A$16:$A$301,0)),3),"")</f>
        <v>0</v>
      </c>
      <c r="P261" s="119">
        <f>IFERROR(ROUND(INDEX('배치점수 계산기'!M$11:M$1000,MATCH($C261,'배치점수 계산기'!$U$11:$U$1000,0)),2),"")</f>
        <v>366.55</v>
      </c>
      <c r="Q261" s="41">
        <f>IFERROR(ROUND(INDEX('배치점수 계산기'!N$11:N$1000,MATCH($C261,'배치점수 계산기'!$U$11:$U$1000,0)),2),"")</f>
        <v>365.54</v>
      </c>
      <c r="R261" s="41">
        <f>IFERROR(ROUND(INDEX('배치점수 계산기'!O$11:O$1000,MATCH($C261,'배치점수 계산기'!$U$11:$U$1000,0)),2),"")</f>
        <v>364.98</v>
      </c>
      <c r="S261" s="41">
        <f>IFERROR(ROUND(INDEX('배치점수 계산기'!P$11:P$1000,MATCH($C261,'배치점수 계산기'!$U$11:$U$1000,0)),2),"")</f>
        <v>364.46</v>
      </c>
      <c r="T261" s="41">
        <f>IFERROR(ROUND(INDEX('배치점수 계산기'!Q$11:Q$1000,MATCH($C261,'배치점수 계산기'!$U$11:$U$1000,0)),2),"")</f>
        <v>363.67</v>
      </c>
      <c r="U261" s="41">
        <f>IFERROR(INDEX(환산공식!$DC$16:$DC$301,MATCH(E261,환산공식!$A$16:$A$301,0)),"")</f>
        <v>0</v>
      </c>
      <c r="V261" s="113">
        <f t="shared" si="11"/>
        <v>6</v>
      </c>
      <c r="W261" s="110" t="str">
        <f>INDEX('배치점수 계산기'!$AG$11:$AG$800,MATCH('       나 군       '!$C261,'배치점수 계산기'!$U$11:$U$800,0))</f>
        <v>표점</v>
      </c>
      <c r="X261" s="108" t="str">
        <f>INDEX('배치점수 계산기'!$AH$11:$AH$800,MATCH('       나 군       '!$C261,'배치점수 계산기'!$U$11:$U$800,0))</f>
        <v>변표</v>
      </c>
      <c r="Y261" s="113">
        <f>INDEX('배치점수 계산기'!$AB$11:$AB$800,MATCH('       나 군       '!$C261,'배치점수 계산기'!$U$11:$U$800,0))</f>
        <v>0.3</v>
      </c>
      <c r="Z261" s="73">
        <f>INDEX('배치점수 계산기'!$AC$11:$AC$800,MATCH('       나 군       '!$C261,'배치점수 계산기'!$U$11:$U$800,0))</f>
        <v>0.4</v>
      </c>
      <c r="AA261" s="63">
        <f>INDEX('배치점수 계산기'!$AD$11:$AD$800,MATCH('       나 군       '!$C261,'배치점수 계산기'!$U$11:$U$800,0))</f>
        <v>0.3</v>
      </c>
      <c r="AE261" s="7">
        <v>254</v>
      </c>
    </row>
    <row r="262" spans="3:31" x14ac:dyDescent="0.3">
      <c r="O262" s="119"/>
      <c r="P262" s="119"/>
      <c r="W262" s="110"/>
      <c r="Y262" s="113"/>
      <c r="Z262" s="73"/>
      <c r="AA262" s="63"/>
      <c r="AE262" s="7">
        <v>255</v>
      </c>
    </row>
    <row r="263" spans="3:31" x14ac:dyDescent="0.3">
      <c r="O263" s="119"/>
      <c r="P263" s="119"/>
      <c r="W263" s="110"/>
      <c r="Y263" s="113"/>
      <c r="Z263" s="73"/>
      <c r="AA263" s="63"/>
      <c r="AE263" s="7">
        <v>256</v>
      </c>
    </row>
    <row r="264" spans="3:31" x14ac:dyDescent="0.3">
      <c r="O264" s="119"/>
      <c r="P264" s="119"/>
      <c r="W264" s="110"/>
      <c r="Y264" s="113"/>
      <c r="Z264" s="73"/>
      <c r="AA264" s="63"/>
      <c r="AE264" s="7">
        <v>257</v>
      </c>
    </row>
    <row r="265" spans="3:31" x14ac:dyDescent="0.3">
      <c r="O265" s="119"/>
      <c r="P265" s="119"/>
      <c r="W265" s="110"/>
      <c r="Y265" s="113"/>
      <c r="Z265" s="73"/>
      <c r="AA265" s="63"/>
      <c r="AE265" s="7">
        <v>258</v>
      </c>
    </row>
    <row r="266" spans="3:31" x14ac:dyDescent="0.3">
      <c r="O266" s="119"/>
      <c r="P266" s="119"/>
      <c r="W266" s="110"/>
      <c r="Y266" s="113"/>
      <c r="Z266" s="73"/>
      <c r="AA266" s="63"/>
      <c r="AE266" s="7">
        <v>259</v>
      </c>
    </row>
    <row r="267" spans="3:31" x14ac:dyDescent="0.3">
      <c r="O267" s="119"/>
      <c r="P267" s="119"/>
      <c r="W267" s="110"/>
      <c r="Y267" s="113"/>
      <c r="Z267" s="73"/>
      <c r="AA267" s="63"/>
      <c r="AE267" s="7">
        <v>260</v>
      </c>
    </row>
    <row r="268" spans="3:31" x14ac:dyDescent="0.3">
      <c r="O268" s="119"/>
      <c r="P268" s="119"/>
      <c r="W268" s="110"/>
      <c r="Y268" s="113"/>
      <c r="Z268" s="73"/>
      <c r="AA268" s="63"/>
      <c r="AE268" s="7">
        <v>261</v>
      </c>
    </row>
    <row r="269" spans="3:31" x14ac:dyDescent="0.3">
      <c r="O269" s="119"/>
      <c r="P269" s="119"/>
      <c r="W269" s="110"/>
      <c r="Y269" s="113"/>
      <c r="Z269" s="73"/>
      <c r="AA269" s="63"/>
      <c r="AE269" s="7">
        <v>262</v>
      </c>
    </row>
    <row r="270" spans="3:31" x14ac:dyDescent="0.3">
      <c r="O270" s="119"/>
      <c r="P270" s="119"/>
      <c r="W270" s="110"/>
      <c r="Y270" s="113"/>
      <c r="Z270" s="73"/>
      <c r="AA270" s="63"/>
      <c r="AE270" s="7">
        <v>263</v>
      </c>
    </row>
    <row r="271" spans="3:31" x14ac:dyDescent="0.3">
      <c r="O271" s="119"/>
      <c r="P271" s="119"/>
      <c r="W271" s="110"/>
      <c r="Y271" s="113"/>
      <c r="Z271" s="73"/>
      <c r="AA271" s="63"/>
      <c r="AE271" s="7">
        <v>264</v>
      </c>
    </row>
    <row r="272" spans="3:31" x14ac:dyDescent="0.3">
      <c r="O272" s="119"/>
      <c r="P272" s="119"/>
      <c r="W272" s="110"/>
      <c r="Y272" s="113"/>
      <c r="Z272" s="73"/>
      <c r="AA272" s="63"/>
      <c r="AE272" s="7">
        <v>265</v>
      </c>
    </row>
    <row r="273" spans="15:31" x14ac:dyDescent="0.3">
      <c r="O273" s="119"/>
      <c r="P273" s="119"/>
      <c r="W273" s="110"/>
      <c r="Y273" s="113"/>
      <c r="Z273" s="73"/>
      <c r="AA273" s="63"/>
      <c r="AE273" s="7">
        <v>266</v>
      </c>
    </row>
    <row r="274" spans="15:31" x14ac:dyDescent="0.3">
      <c r="O274" s="119"/>
      <c r="P274" s="119"/>
      <c r="W274" s="110"/>
      <c r="Y274" s="113"/>
      <c r="Z274" s="73"/>
      <c r="AA274" s="63"/>
      <c r="AE274" s="7">
        <v>267</v>
      </c>
    </row>
    <row r="275" spans="15:31" x14ac:dyDescent="0.3">
      <c r="O275" s="119"/>
      <c r="P275" s="119"/>
      <c r="W275" s="110"/>
      <c r="Y275" s="113"/>
      <c r="Z275" s="73"/>
      <c r="AA275" s="63"/>
      <c r="AE275" s="7">
        <v>268</v>
      </c>
    </row>
    <row r="276" spans="15:31" x14ac:dyDescent="0.3">
      <c r="O276" s="119"/>
      <c r="P276" s="119"/>
      <c r="W276" s="110"/>
      <c r="Y276" s="113"/>
      <c r="Z276" s="73"/>
      <c r="AA276" s="63"/>
      <c r="AE276" s="7">
        <v>269</v>
      </c>
    </row>
    <row r="277" spans="15:31" x14ac:dyDescent="0.3">
      <c r="O277" s="119"/>
      <c r="P277" s="119"/>
      <c r="W277" s="110"/>
      <c r="Y277" s="113"/>
      <c r="Z277" s="73"/>
      <c r="AA277" s="63"/>
      <c r="AE277" s="7">
        <v>270</v>
      </c>
    </row>
    <row r="278" spans="15:31" x14ac:dyDescent="0.3">
      <c r="O278" s="119"/>
      <c r="P278" s="119"/>
      <c r="W278" s="110"/>
      <c r="Y278" s="113"/>
      <c r="Z278" s="73"/>
      <c r="AA278" s="63"/>
      <c r="AE278" s="7">
        <v>271</v>
      </c>
    </row>
    <row r="279" spans="15:31" x14ac:dyDescent="0.3">
      <c r="O279" s="119"/>
      <c r="P279" s="119"/>
      <c r="W279" s="110"/>
      <c r="Y279" s="113"/>
      <c r="Z279" s="73"/>
      <c r="AA279" s="63"/>
      <c r="AE279" s="7">
        <v>272</v>
      </c>
    </row>
    <row r="280" spans="15:31" x14ac:dyDescent="0.3">
      <c r="O280" s="119"/>
      <c r="P280" s="119"/>
      <c r="W280" s="110"/>
      <c r="Y280" s="113"/>
      <c r="Z280" s="73"/>
      <c r="AA280" s="63"/>
      <c r="AE280" s="7">
        <v>273</v>
      </c>
    </row>
    <row r="281" spans="15:31" x14ac:dyDescent="0.3">
      <c r="O281" s="119"/>
      <c r="P281" s="119"/>
      <c r="W281" s="110"/>
      <c r="Y281" s="113"/>
      <c r="Z281" s="73"/>
      <c r="AA281" s="63"/>
      <c r="AE281" s="7">
        <v>274</v>
      </c>
    </row>
    <row r="282" spans="15:31" x14ac:dyDescent="0.3">
      <c r="O282" s="119"/>
      <c r="P282" s="119"/>
      <c r="W282" s="110"/>
      <c r="Y282" s="113"/>
      <c r="Z282" s="73"/>
      <c r="AA282" s="63"/>
      <c r="AE282" s="7">
        <v>275</v>
      </c>
    </row>
    <row r="283" spans="15:31" x14ac:dyDescent="0.3">
      <c r="O283" s="119"/>
      <c r="P283" s="119"/>
      <c r="W283" s="110"/>
      <c r="Y283" s="113"/>
      <c r="Z283" s="73"/>
      <c r="AA283" s="63"/>
      <c r="AE283" s="7">
        <v>276</v>
      </c>
    </row>
    <row r="284" spans="15:31" x14ac:dyDescent="0.3">
      <c r="O284" s="119"/>
      <c r="P284" s="119"/>
      <c r="W284" s="110"/>
      <c r="Y284" s="113"/>
      <c r="Z284" s="73"/>
      <c r="AA284" s="63"/>
      <c r="AE284" s="7">
        <v>277</v>
      </c>
    </row>
    <row r="285" spans="15:31" x14ac:dyDescent="0.3">
      <c r="O285" s="119"/>
      <c r="P285" s="119"/>
      <c r="W285" s="110"/>
      <c r="Y285" s="113"/>
      <c r="Z285" s="73"/>
      <c r="AA285" s="63"/>
      <c r="AE285" s="7">
        <v>278</v>
      </c>
    </row>
    <row r="286" spans="15:31" x14ac:dyDescent="0.3">
      <c r="O286" s="119"/>
      <c r="P286" s="119"/>
      <c r="W286" s="110"/>
      <c r="Y286" s="113"/>
      <c r="Z286" s="73"/>
      <c r="AA286" s="63"/>
      <c r="AE286" s="7">
        <v>279</v>
      </c>
    </row>
    <row r="287" spans="15:31" x14ac:dyDescent="0.3">
      <c r="O287" s="119"/>
      <c r="P287" s="119"/>
      <c r="W287" s="110"/>
      <c r="Y287" s="113"/>
      <c r="Z287" s="73"/>
      <c r="AA287" s="63"/>
      <c r="AE287" s="7">
        <v>280</v>
      </c>
    </row>
    <row r="288" spans="15:31" x14ac:dyDescent="0.3">
      <c r="O288" s="119"/>
      <c r="P288" s="119"/>
      <c r="W288" s="110"/>
      <c r="Y288" s="113"/>
      <c r="Z288" s="73"/>
      <c r="AA288" s="63"/>
      <c r="AE288" s="7">
        <v>281</v>
      </c>
    </row>
    <row r="289" spans="15:31" x14ac:dyDescent="0.3">
      <c r="O289" s="119"/>
      <c r="P289" s="119"/>
      <c r="W289" s="110"/>
      <c r="Y289" s="113"/>
      <c r="Z289" s="73"/>
      <c r="AA289" s="63"/>
      <c r="AE289" s="7">
        <v>282</v>
      </c>
    </row>
    <row r="290" spans="15:31" x14ac:dyDescent="0.3">
      <c r="O290" s="119"/>
      <c r="P290" s="119"/>
      <c r="W290" s="110"/>
      <c r="Y290" s="113"/>
      <c r="Z290" s="73"/>
      <c r="AA290" s="63"/>
      <c r="AE290" s="7">
        <v>283</v>
      </c>
    </row>
    <row r="291" spans="15:31" x14ac:dyDescent="0.3">
      <c r="O291" s="119"/>
      <c r="P291" s="119"/>
      <c r="W291" s="110"/>
      <c r="Y291" s="113"/>
      <c r="Z291" s="73"/>
      <c r="AA291" s="63"/>
      <c r="AE291" s="7">
        <v>284</v>
      </c>
    </row>
    <row r="292" spans="15:31" x14ac:dyDescent="0.3">
      <c r="O292" s="119"/>
      <c r="P292" s="119"/>
      <c r="W292" s="110"/>
      <c r="Y292" s="113"/>
      <c r="Z292" s="73"/>
      <c r="AA292" s="63"/>
      <c r="AE292" s="7">
        <v>285</v>
      </c>
    </row>
    <row r="293" spans="15:31" x14ac:dyDescent="0.3">
      <c r="O293" s="119"/>
      <c r="P293" s="119"/>
      <c r="W293" s="110"/>
      <c r="Y293" s="113"/>
      <c r="Z293" s="73"/>
      <c r="AA293" s="63"/>
      <c r="AE293" s="7">
        <v>286</v>
      </c>
    </row>
    <row r="294" spans="15:31" x14ac:dyDescent="0.3">
      <c r="O294" s="119"/>
      <c r="P294" s="119"/>
      <c r="W294" s="110"/>
      <c r="Y294" s="113"/>
      <c r="Z294" s="73"/>
      <c r="AA294" s="63"/>
      <c r="AE294" s="7">
        <v>287</v>
      </c>
    </row>
    <row r="295" spans="15:31" x14ac:dyDescent="0.3">
      <c r="O295" s="119"/>
      <c r="P295" s="119"/>
      <c r="W295" s="110"/>
      <c r="Y295" s="113"/>
      <c r="Z295" s="73"/>
      <c r="AA295" s="63"/>
      <c r="AE295" s="7">
        <v>288</v>
      </c>
    </row>
    <row r="296" spans="15:31" x14ac:dyDescent="0.3">
      <c r="O296" s="119"/>
      <c r="P296" s="119"/>
      <c r="W296" s="110"/>
      <c r="Y296" s="113"/>
      <c r="Z296" s="73"/>
      <c r="AA296" s="63"/>
      <c r="AE296" s="7">
        <v>289</v>
      </c>
    </row>
    <row r="297" spans="15:31" x14ac:dyDescent="0.3">
      <c r="O297" s="119"/>
      <c r="P297" s="119"/>
      <c r="W297" s="110"/>
      <c r="Y297" s="113"/>
      <c r="Z297" s="73"/>
      <c r="AA297" s="63"/>
      <c r="AE297" s="7">
        <v>290</v>
      </c>
    </row>
    <row r="298" spans="15:31" x14ac:dyDescent="0.3">
      <c r="O298" s="119"/>
      <c r="P298" s="119"/>
      <c r="W298" s="110"/>
      <c r="Y298" s="113"/>
      <c r="Z298" s="73"/>
      <c r="AA298" s="63"/>
      <c r="AE298" s="7">
        <v>291</v>
      </c>
    </row>
    <row r="299" spans="15:31" x14ac:dyDescent="0.3">
      <c r="O299" s="119"/>
      <c r="P299" s="119"/>
      <c r="W299" s="110"/>
      <c r="Y299" s="113"/>
      <c r="Z299" s="73"/>
      <c r="AA299" s="63"/>
      <c r="AE299" s="7">
        <v>292</v>
      </c>
    </row>
    <row r="300" spans="15:31" x14ac:dyDescent="0.3">
      <c r="O300" s="119"/>
      <c r="P300" s="119"/>
      <c r="W300" s="110"/>
      <c r="Y300" s="113"/>
      <c r="Z300" s="73"/>
      <c r="AA300" s="63"/>
      <c r="AE300" s="7">
        <v>293</v>
      </c>
    </row>
    <row r="301" spans="15:31" x14ac:dyDescent="0.3">
      <c r="O301" s="119"/>
      <c r="P301" s="119"/>
      <c r="W301" s="110"/>
      <c r="Y301" s="113"/>
      <c r="Z301" s="73"/>
      <c r="AA301" s="63"/>
      <c r="AE301" s="7">
        <v>294</v>
      </c>
    </row>
    <row r="302" spans="15:31" x14ac:dyDescent="0.3">
      <c r="O302" s="119"/>
      <c r="P302" s="119"/>
      <c r="W302" s="110"/>
      <c r="Y302" s="113"/>
      <c r="Z302" s="73"/>
      <c r="AA302" s="63"/>
      <c r="AE302" s="7">
        <v>295</v>
      </c>
    </row>
    <row r="303" spans="15:31" x14ac:dyDescent="0.3">
      <c r="O303" s="119"/>
      <c r="P303" s="119"/>
      <c r="W303" s="110"/>
      <c r="Y303" s="113"/>
      <c r="Z303" s="73"/>
      <c r="AA303" s="63"/>
      <c r="AE303" s="7">
        <v>296</v>
      </c>
    </row>
    <row r="304" spans="15:31" x14ac:dyDescent="0.3">
      <c r="O304" s="119"/>
      <c r="P304" s="119"/>
      <c r="W304" s="110"/>
      <c r="Y304" s="113"/>
      <c r="Z304" s="73"/>
      <c r="AA304" s="63"/>
      <c r="AE304" s="7">
        <v>297</v>
      </c>
    </row>
    <row r="305" spans="15:31" x14ac:dyDescent="0.3">
      <c r="O305" s="119"/>
      <c r="P305" s="119"/>
      <c r="W305" s="110"/>
      <c r="Y305" s="113"/>
      <c r="Z305" s="73"/>
      <c r="AA305" s="63"/>
      <c r="AE305" s="7">
        <v>298</v>
      </c>
    </row>
    <row r="306" spans="15:31" x14ac:dyDescent="0.3">
      <c r="O306" s="119"/>
      <c r="P306" s="119"/>
      <c r="W306" s="110"/>
      <c r="Y306" s="113"/>
      <c r="Z306" s="73"/>
      <c r="AA306" s="63"/>
      <c r="AE306" s="7">
        <v>299</v>
      </c>
    </row>
    <row r="307" spans="15:31" x14ac:dyDescent="0.3">
      <c r="O307" s="119"/>
      <c r="P307" s="119"/>
      <c r="W307" s="110"/>
      <c r="Y307" s="113"/>
      <c r="Z307" s="73"/>
      <c r="AA307" s="63"/>
      <c r="AE307" s="7">
        <v>300</v>
      </c>
    </row>
    <row r="308" spans="15:31" x14ac:dyDescent="0.3">
      <c r="O308" s="119"/>
      <c r="P308" s="119"/>
      <c r="W308" s="110"/>
      <c r="Y308" s="113"/>
      <c r="Z308" s="73"/>
      <c r="AA308" s="63"/>
      <c r="AE308" s="7">
        <v>301</v>
      </c>
    </row>
    <row r="309" spans="15:31" x14ac:dyDescent="0.3">
      <c r="O309" s="119"/>
      <c r="P309" s="119"/>
      <c r="W309" s="110"/>
      <c r="Y309" s="113"/>
      <c r="Z309" s="73"/>
      <c r="AA309" s="63"/>
      <c r="AE309" s="7">
        <v>302</v>
      </c>
    </row>
    <row r="310" spans="15:31" x14ac:dyDescent="0.3">
      <c r="O310" s="119"/>
      <c r="P310" s="119"/>
      <c r="W310" s="110"/>
      <c r="Y310" s="113"/>
      <c r="Z310" s="73"/>
      <c r="AA310" s="63"/>
      <c r="AE310" s="7">
        <v>303</v>
      </c>
    </row>
    <row r="311" spans="15:31" x14ac:dyDescent="0.3">
      <c r="O311" s="119"/>
      <c r="P311" s="119"/>
      <c r="W311" s="110"/>
      <c r="Y311" s="113"/>
      <c r="Z311" s="73"/>
      <c r="AA311" s="63"/>
      <c r="AE311" s="7">
        <v>304</v>
      </c>
    </row>
    <row r="312" spans="15:31" x14ac:dyDescent="0.3">
      <c r="O312" s="119"/>
      <c r="P312" s="119"/>
      <c r="W312" s="110"/>
      <c r="Y312" s="113"/>
      <c r="Z312" s="73"/>
      <c r="AA312" s="63"/>
      <c r="AE312" s="7">
        <v>305</v>
      </c>
    </row>
    <row r="313" spans="15:31" x14ac:dyDescent="0.3">
      <c r="O313" s="119"/>
      <c r="P313" s="119"/>
      <c r="W313" s="110"/>
      <c r="Y313" s="113"/>
      <c r="Z313" s="73"/>
      <c r="AA313" s="63"/>
      <c r="AE313" s="7">
        <v>306</v>
      </c>
    </row>
    <row r="314" spans="15:31" x14ac:dyDescent="0.3">
      <c r="O314" s="119"/>
      <c r="P314" s="119"/>
      <c r="W314" s="110"/>
      <c r="Y314" s="113"/>
      <c r="Z314" s="73"/>
      <c r="AA314" s="63"/>
      <c r="AE314" s="7">
        <v>307</v>
      </c>
    </row>
    <row r="315" spans="15:31" x14ac:dyDescent="0.3">
      <c r="O315" s="119"/>
      <c r="P315" s="119"/>
      <c r="W315" s="110"/>
      <c r="Y315" s="113"/>
      <c r="Z315" s="73"/>
      <c r="AA315" s="63"/>
      <c r="AE315" s="7">
        <v>308</v>
      </c>
    </row>
    <row r="316" spans="15:31" x14ac:dyDescent="0.3">
      <c r="O316" s="119"/>
      <c r="P316" s="119"/>
      <c r="W316" s="110"/>
      <c r="Y316" s="113"/>
      <c r="Z316" s="73"/>
      <c r="AA316" s="63"/>
      <c r="AE316" s="7">
        <v>309</v>
      </c>
    </row>
    <row r="317" spans="15:31" x14ac:dyDescent="0.3">
      <c r="O317" s="119"/>
      <c r="P317" s="119"/>
      <c r="W317" s="110"/>
      <c r="Y317" s="113"/>
      <c r="Z317" s="73"/>
      <c r="AA317" s="63"/>
      <c r="AE317" s="7">
        <v>310</v>
      </c>
    </row>
    <row r="318" spans="15:31" x14ac:dyDescent="0.3">
      <c r="O318" s="119"/>
      <c r="P318" s="119"/>
      <c r="W318" s="110"/>
      <c r="Y318" s="113"/>
      <c r="Z318" s="73"/>
      <c r="AA318" s="63"/>
    </row>
    <row r="319" spans="15:31" x14ac:dyDescent="0.3">
      <c r="O319" s="119"/>
      <c r="P319" s="119"/>
      <c r="W319" s="110"/>
      <c r="Y319" s="113"/>
      <c r="Z319" s="73"/>
      <c r="AA319" s="63"/>
    </row>
    <row r="320" spans="15:31" x14ac:dyDescent="0.3">
      <c r="O320" s="119"/>
      <c r="P320" s="119"/>
      <c r="W320" s="110"/>
      <c r="Y320" s="113"/>
      <c r="Z320" s="73"/>
      <c r="AA320" s="63"/>
    </row>
    <row r="321" spans="15:27" x14ac:dyDescent="0.3">
      <c r="O321" s="119"/>
      <c r="P321" s="119"/>
      <c r="W321" s="110"/>
      <c r="Y321" s="113"/>
      <c r="Z321" s="73"/>
      <c r="AA321" s="63"/>
    </row>
    <row r="322" spans="15:27" x14ac:dyDescent="0.3">
      <c r="O322" s="119"/>
      <c r="P322" s="119"/>
      <c r="W322" s="110"/>
      <c r="Y322" s="113"/>
      <c r="Z322" s="73"/>
      <c r="AA322" s="63"/>
    </row>
    <row r="323" spans="15:27" x14ac:dyDescent="0.3">
      <c r="O323" s="119"/>
      <c r="P323" s="119"/>
      <c r="W323" s="110"/>
      <c r="Y323" s="113"/>
      <c r="Z323" s="73"/>
      <c r="AA323" s="63"/>
    </row>
    <row r="324" spans="15:27" x14ac:dyDescent="0.3">
      <c r="O324" s="119"/>
      <c r="P324" s="119"/>
      <c r="W324" s="110"/>
      <c r="Y324" s="113"/>
      <c r="Z324" s="73"/>
      <c r="AA324" s="63"/>
    </row>
    <row r="325" spans="15:27" x14ac:dyDescent="0.3">
      <c r="O325" s="119"/>
      <c r="P325" s="119"/>
      <c r="W325" s="110"/>
      <c r="Y325" s="113"/>
      <c r="Z325" s="73"/>
      <c r="AA325" s="63"/>
    </row>
    <row r="326" spans="15:27" x14ac:dyDescent="0.3">
      <c r="O326" s="119"/>
      <c r="P326" s="119"/>
      <c r="W326" s="110"/>
      <c r="Y326" s="113"/>
      <c r="Z326" s="73"/>
      <c r="AA326" s="63"/>
    </row>
    <row r="327" spans="15:27" x14ac:dyDescent="0.3">
      <c r="O327" s="119"/>
      <c r="P327" s="119"/>
      <c r="W327" s="110"/>
      <c r="Y327" s="113"/>
      <c r="Z327" s="73"/>
      <c r="AA327" s="63"/>
    </row>
    <row r="328" spans="15:27" x14ac:dyDescent="0.3">
      <c r="O328" s="119"/>
      <c r="P328" s="119"/>
      <c r="W328" s="110"/>
      <c r="Y328" s="113"/>
      <c r="Z328" s="73"/>
      <c r="AA328" s="63"/>
    </row>
    <row r="329" spans="15:27" x14ac:dyDescent="0.3">
      <c r="O329" s="119"/>
      <c r="P329" s="119"/>
      <c r="W329" s="110"/>
      <c r="Y329" s="113"/>
      <c r="Z329" s="73"/>
      <c r="AA329" s="63"/>
    </row>
    <row r="330" spans="15:27" x14ac:dyDescent="0.3">
      <c r="O330" s="119"/>
      <c r="P330" s="119"/>
      <c r="W330" s="110"/>
      <c r="Y330" s="113"/>
      <c r="Z330" s="73"/>
      <c r="AA330" s="63"/>
    </row>
    <row r="331" spans="15:27" x14ac:dyDescent="0.3">
      <c r="O331" s="119"/>
      <c r="P331" s="119"/>
      <c r="W331" s="110"/>
      <c r="Y331" s="113"/>
      <c r="Z331" s="73"/>
      <c r="AA331" s="63"/>
    </row>
    <row r="332" spans="15:27" x14ac:dyDescent="0.3">
      <c r="O332" s="119"/>
      <c r="P332" s="119"/>
      <c r="W332" s="110"/>
      <c r="Y332" s="113"/>
      <c r="Z332" s="73"/>
      <c r="AA332" s="63"/>
    </row>
    <row r="333" spans="15:27" x14ac:dyDescent="0.3">
      <c r="O333" s="119"/>
      <c r="P333" s="119"/>
      <c r="W333" s="110"/>
      <c r="Y333" s="113"/>
      <c r="Z333" s="73"/>
      <c r="AA333" s="63"/>
    </row>
    <row r="334" spans="15:27" x14ac:dyDescent="0.3">
      <c r="O334" s="119"/>
      <c r="P334" s="119"/>
      <c r="W334" s="110"/>
      <c r="Y334" s="113"/>
      <c r="Z334" s="73"/>
      <c r="AA334" s="63"/>
    </row>
    <row r="335" spans="15:27" x14ac:dyDescent="0.3">
      <c r="O335" s="119"/>
      <c r="P335" s="119"/>
      <c r="W335" s="110"/>
      <c r="Y335" s="113"/>
      <c r="Z335" s="73"/>
      <c r="AA335" s="63"/>
    </row>
    <row r="336" spans="15:27" x14ac:dyDescent="0.3">
      <c r="O336" s="119"/>
      <c r="P336" s="119"/>
      <c r="W336" s="110"/>
      <c r="Y336" s="113"/>
      <c r="Z336" s="73"/>
      <c r="AA336" s="63"/>
    </row>
    <row r="337" spans="15:27" x14ac:dyDescent="0.3">
      <c r="O337" s="119"/>
      <c r="P337" s="119"/>
      <c r="W337" s="110"/>
      <c r="Y337" s="113"/>
      <c r="Z337" s="73"/>
      <c r="AA337" s="63"/>
    </row>
    <row r="338" spans="15:27" x14ac:dyDescent="0.3">
      <c r="O338" s="119"/>
      <c r="P338" s="119"/>
      <c r="W338" s="110"/>
      <c r="Y338" s="113"/>
      <c r="Z338" s="73"/>
      <c r="AA338" s="63"/>
    </row>
    <row r="339" spans="15:27" x14ac:dyDescent="0.3">
      <c r="O339" s="119"/>
      <c r="P339" s="119"/>
      <c r="W339" s="110"/>
      <c r="Y339" s="113"/>
      <c r="Z339" s="73"/>
      <c r="AA339" s="63"/>
    </row>
    <row r="340" spans="15:27" x14ac:dyDescent="0.3">
      <c r="O340" s="119"/>
      <c r="P340" s="119"/>
      <c r="W340" s="110"/>
      <c r="Y340" s="113"/>
      <c r="Z340" s="73"/>
      <c r="AA340" s="63"/>
    </row>
    <row r="341" spans="15:27" x14ac:dyDescent="0.3">
      <c r="O341" s="119"/>
      <c r="P341" s="119"/>
      <c r="W341" s="110"/>
      <c r="Y341" s="113"/>
      <c r="Z341" s="73"/>
      <c r="AA341" s="63"/>
    </row>
    <row r="342" spans="15:27" x14ac:dyDescent="0.3">
      <c r="O342" s="119"/>
      <c r="P342" s="119"/>
      <c r="W342" s="110"/>
      <c r="Y342" s="113"/>
      <c r="Z342" s="73"/>
      <c r="AA342" s="63"/>
    </row>
    <row r="343" spans="15:27" x14ac:dyDescent="0.3">
      <c r="O343" s="119"/>
      <c r="P343" s="119"/>
      <c r="W343" s="110"/>
      <c r="Y343" s="113"/>
      <c r="Z343" s="73"/>
      <c r="AA343" s="63"/>
    </row>
    <row r="344" spans="15:27" x14ac:dyDescent="0.3">
      <c r="O344" s="119"/>
      <c r="P344" s="119"/>
      <c r="W344" s="110"/>
      <c r="Y344" s="113"/>
      <c r="Z344" s="73"/>
      <c r="AA344" s="63"/>
    </row>
    <row r="345" spans="15:27" x14ac:dyDescent="0.3">
      <c r="O345" s="119"/>
      <c r="P345" s="119"/>
      <c r="W345" s="110"/>
      <c r="Y345" s="113"/>
      <c r="Z345" s="73"/>
      <c r="AA345" s="63"/>
    </row>
    <row r="346" spans="15:27" x14ac:dyDescent="0.3">
      <c r="O346" s="119"/>
      <c r="P346" s="119"/>
      <c r="W346" s="110"/>
      <c r="Y346" s="113"/>
      <c r="Z346" s="73"/>
      <c r="AA346" s="63"/>
    </row>
    <row r="347" spans="15:27" x14ac:dyDescent="0.3">
      <c r="O347" s="119"/>
      <c r="P347" s="119"/>
      <c r="W347" s="110"/>
      <c r="Y347" s="113"/>
      <c r="Z347" s="73"/>
      <c r="AA347" s="63"/>
    </row>
    <row r="348" spans="15:27" x14ac:dyDescent="0.3">
      <c r="O348" s="119"/>
      <c r="P348" s="119"/>
      <c r="W348" s="110"/>
      <c r="Y348" s="113"/>
      <c r="Z348" s="73"/>
      <c r="AA348" s="63"/>
    </row>
    <row r="349" spans="15:27" x14ac:dyDescent="0.3">
      <c r="O349" s="119"/>
      <c r="P349" s="119"/>
      <c r="W349" s="110"/>
      <c r="Y349" s="113"/>
      <c r="Z349" s="73"/>
      <c r="AA349" s="63"/>
    </row>
    <row r="350" spans="15:27" x14ac:dyDescent="0.3">
      <c r="O350" s="119"/>
      <c r="P350" s="119"/>
      <c r="W350" s="110"/>
      <c r="Y350" s="113"/>
      <c r="Z350" s="73"/>
      <c r="AA350" s="63"/>
    </row>
    <row r="351" spans="15:27" x14ac:dyDescent="0.3">
      <c r="O351" s="119"/>
      <c r="P351" s="119"/>
      <c r="W351" s="110"/>
      <c r="Y351" s="113"/>
      <c r="Z351" s="73"/>
      <c r="AA351" s="63"/>
    </row>
    <row r="352" spans="15:27" x14ac:dyDescent="0.3">
      <c r="O352" s="119"/>
      <c r="P352" s="119"/>
      <c r="W352" s="110"/>
      <c r="Y352" s="113"/>
      <c r="Z352" s="73"/>
      <c r="AA352" s="63"/>
    </row>
    <row r="353" spans="15:27" x14ac:dyDescent="0.3">
      <c r="O353" s="119"/>
      <c r="P353" s="119"/>
      <c r="W353" s="110"/>
      <c r="Y353" s="113"/>
      <c r="Z353" s="73"/>
      <c r="AA353" s="63"/>
    </row>
    <row r="354" spans="15:27" x14ac:dyDescent="0.3">
      <c r="O354" s="119"/>
      <c r="P354" s="119"/>
      <c r="W354" s="110"/>
      <c r="Y354" s="113"/>
      <c r="Z354" s="73"/>
      <c r="AA354" s="63"/>
    </row>
    <row r="355" spans="15:27" x14ac:dyDescent="0.3">
      <c r="O355" s="119"/>
      <c r="P355" s="119"/>
      <c r="W355" s="110"/>
      <c r="Y355" s="113"/>
      <c r="Z355" s="73"/>
      <c r="AA355" s="63"/>
    </row>
    <row r="356" spans="15:27" x14ac:dyDescent="0.3">
      <c r="O356" s="119"/>
      <c r="P356" s="119"/>
      <c r="W356" s="110"/>
      <c r="Y356" s="113"/>
      <c r="Z356" s="73"/>
      <c r="AA356" s="63"/>
    </row>
    <row r="357" spans="15:27" x14ac:dyDescent="0.3">
      <c r="O357" s="119"/>
      <c r="P357" s="119"/>
      <c r="W357" s="110"/>
      <c r="Y357" s="113"/>
      <c r="Z357" s="73"/>
      <c r="AA357" s="63"/>
    </row>
    <row r="358" spans="15:27" x14ac:dyDescent="0.3">
      <c r="O358" s="119"/>
      <c r="P358" s="119"/>
      <c r="W358" s="110"/>
      <c r="Y358" s="113"/>
      <c r="Z358" s="73"/>
      <c r="AA358" s="63"/>
    </row>
    <row r="359" spans="15:27" x14ac:dyDescent="0.3">
      <c r="O359" s="119"/>
      <c r="P359" s="119"/>
      <c r="W359" s="110"/>
      <c r="Y359" s="113"/>
      <c r="Z359" s="73"/>
      <c r="AA359" s="63"/>
    </row>
    <row r="360" spans="15:27" x14ac:dyDescent="0.3">
      <c r="O360" s="119"/>
      <c r="P360" s="119"/>
      <c r="W360" s="110"/>
      <c r="Y360" s="113"/>
      <c r="Z360" s="73"/>
      <c r="AA360" s="63"/>
    </row>
    <row r="361" spans="15:27" x14ac:dyDescent="0.3">
      <c r="O361" s="119"/>
      <c r="P361" s="119"/>
      <c r="W361" s="110"/>
      <c r="Y361" s="113"/>
      <c r="Z361" s="73"/>
      <c r="AA361" s="63"/>
    </row>
    <row r="362" spans="15:27" x14ac:dyDescent="0.3">
      <c r="O362" s="119"/>
      <c r="P362" s="119"/>
      <c r="W362" s="110"/>
      <c r="Y362" s="113"/>
      <c r="Z362" s="73"/>
      <c r="AA362" s="63"/>
    </row>
    <row r="363" spans="15:27" x14ac:dyDescent="0.3">
      <c r="O363" s="119"/>
      <c r="P363" s="119"/>
      <c r="W363" s="110"/>
      <c r="Y363" s="113"/>
      <c r="Z363" s="73"/>
      <c r="AA363" s="63"/>
    </row>
    <row r="364" spans="15:27" x14ac:dyDescent="0.3">
      <c r="O364" s="119"/>
      <c r="P364" s="119"/>
      <c r="W364" s="110"/>
      <c r="Y364" s="113"/>
      <c r="Z364" s="73"/>
      <c r="AA364" s="63"/>
    </row>
    <row r="365" spans="15:27" x14ac:dyDescent="0.3">
      <c r="O365" s="119"/>
      <c r="P365" s="119"/>
      <c r="W365" s="110"/>
      <c r="Y365" s="113"/>
      <c r="Z365" s="73"/>
      <c r="AA365" s="63"/>
    </row>
    <row r="366" spans="15:27" x14ac:dyDescent="0.3">
      <c r="O366" s="119"/>
      <c r="P366" s="119"/>
      <c r="W366" s="110"/>
      <c r="Y366" s="113"/>
      <c r="Z366" s="73"/>
      <c r="AA366" s="63"/>
    </row>
    <row r="367" spans="15:27" x14ac:dyDescent="0.3">
      <c r="O367" s="119"/>
      <c r="P367" s="119"/>
      <c r="W367" s="110"/>
      <c r="Y367" s="113"/>
      <c r="Z367" s="73"/>
      <c r="AA367" s="63"/>
    </row>
    <row r="368" spans="15:27" x14ac:dyDescent="0.3">
      <c r="O368" s="119"/>
      <c r="P368" s="119"/>
      <c r="W368" s="110"/>
      <c r="Y368" s="113"/>
      <c r="Z368" s="73"/>
      <c r="AA368" s="63"/>
    </row>
    <row r="369" spans="15:27" x14ac:dyDescent="0.3">
      <c r="O369" s="119"/>
      <c r="P369" s="119"/>
      <c r="W369" s="110"/>
      <c r="Y369" s="113"/>
      <c r="Z369" s="73"/>
      <c r="AA369" s="63"/>
    </row>
    <row r="370" spans="15:27" x14ac:dyDescent="0.3">
      <c r="O370" s="119"/>
      <c r="P370" s="119"/>
      <c r="W370" s="110"/>
      <c r="Y370" s="113"/>
      <c r="Z370" s="73"/>
      <c r="AA370" s="63"/>
    </row>
    <row r="371" spans="15:27" x14ac:dyDescent="0.3">
      <c r="O371" s="119"/>
      <c r="P371" s="119"/>
      <c r="W371" s="110"/>
      <c r="Y371" s="113"/>
      <c r="Z371" s="73"/>
      <c r="AA371" s="63"/>
    </row>
    <row r="372" spans="15:27" x14ac:dyDescent="0.3">
      <c r="O372" s="119"/>
      <c r="P372" s="119"/>
      <c r="W372" s="110"/>
      <c r="Y372" s="113"/>
      <c r="Z372" s="73"/>
      <c r="AA372" s="63"/>
    </row>
    <row r="373" spans="15:27" x14ac:dyDescent="0.3">
      <c r="O373" s="119"/>
      <c r="P373" s="119"/>
      <c r="W373" s="110"/>
      <c r="Y373" s="113"/>
      <c r="Z373" s="73"/>
      <c r="AA373" s="63"/>
    </row>
    <row r="374" spans="15:27" x14ac:dyDescent="0.3">
      <c r="O374" s="119"/>
      <c r="P374" s="119"/>
      <c r="W374" s="110"/>
      <c r="Y374" s="113"/>
      <c r="Z374" s="73"/>
      <c r="AA374" s="63"/>
    </row>
    <row r="375" spans="15:27" x14ac:dyDescent="0.3">
      <c r="O375" s="119"/>
      <c r="P375" s="119"/>
      <c r="W375" s="110"/>
      <c r="Y375" s="113"/>
      <c r="Z375" s="73"/>
      <c r="AA375" s="63"/>
    </row>
    <row r="376" spans="15:27" x14ac:dyDescent="0.3">
      <c r="O376" s="119"/>
      <c r="P376" s="119"/>
      <c r="W376" s="110"/>
      <c r="Y376" s="113"/>
      <c r="Z376" s="73"/>
      <c r="AA376" s="63"/>
    </row>
    <row r="377" spans="15:27" x14ac:dyDescent="0.3">
      <c r="O377" s="119"/>
      <c r="P377" s="119"/>
      <c r="W377" s="110"/>
      <c r="Y377" s="113"/>
      <c r="Z377" s="73"/>
      <c r="AA377" s="63"/>
    </row>
    <row r="378" spans="15:27" x14ac:dyDescent="0.3">
      <c r="O378" s="119"/>
      <c r="P378" s="119"/>
      <c r="W378" s="110"/>
      <c r="Y378" s="113"/>
      <c r="Z378" s="73"/>
      <c r="AA378" s="63"/>
    </row>
    <row r="379" spans="15:27" x14ac:dyDescent="0.3">
      <c r="O379" s="119"/>
      <c r="P379" s="119"/>
      <c r="W379" s="110"/>
    </row>
    <row r="380" spans="15:27" x14ac:dyDescent="0.3">
      <c r="O380" s="119"/>
      <c r="P380" s="119"/>
      <c r="W380" s="110"/>
    </row>
    <row r="381" spans="15:27" x14ac:dyDescent="0.3">
      <c r="O381" s="119"/>
      <c r="P381" s="119"/>
      <c r="W381" s="110"/>
    </row>
    <row r="382" spans="15:27" x14ac:dyDescent="0.3">
      <c r="O382" s="119"/>
      <c r="P382" s="119"/>
      <c r="W382" s="110"/>
    </row>
    <row r="383" spans="15:27" x14ac:dyDescent="0.3">
      <c r="O383" s="119"/>
      <c r="P383" s="119"/>
      <c r="W383" s="110"/>
    </row>
    <row r="384" spans="15:27" x14ac:dyDescent="0.3">
      <c r="O384" s="119"/>
      <c r="P384" s="119"/>
      <c r="W384" s="110"/>
    </row>
    <row r="385" spans="15:23" x14ac:dyDescent="0.3">
      <c r="O385" s="119"/>
      <c r="P385" s="119"/>
      <c r="W385" s="110"/>
    </row>
    <row r="386" spans="15:23" x14ac:dyDescent="0.3">
      <c r="O386" s="119"/>
      <c r="P386" s="119"/>
      <c r="W386" s="110"/>
    </row>
    <row r="387" spans="15:23" x14ac:dyDescent="0.3">
      <c r="O387" s="119"/>
      <c r="P387" s="119"/>
      <c r="W387" s="110"/>
    </row>
    <row r="388" spans="15:23" x14ac:dyDescent="0.3">
      <c r="O388" s="119"/>
      <c r="P388" s="119"/>
      <c r="W388" s="110"/>
    </row>
    <row r="389" spans="15:23" x14ac:dyDescent="0.3">
      <c r="O389" s="119"/>
      <c r="P389" s="119"/>
      <c r="W389" s="110"/>
    </row>
    <row r="390" spans="15:23" x14ac:dyDescent="0.3">
      <c r="O390" s="119"/>
      <c r="P390" s="119"/>
      <c r="W390" s="110"/>
    </row>
    <row r="391" spans="15:23" x14ac:dyDescent="0.3">
      <c r="O391" s="119"/>
      <c r="P391" s="119"/>
      <c r="W391" s="110"/>
    </row>
    <row r="392" spans="15:23" x14ac:dyDescent="0.3">
      <c r="O392" s="119"/>
      <c r="P392" s="119"/>
      <c r="W392" s="110"/>
    </row>
    <row r="393" spans="15:23" x14ac:dyDescent="0.3">
      <c r="O393" s="119"/>
      <c r="P393" s="119"/>
      <c r="W393" s="110"/>
    </row>
    <row r="394" spans="15:23" x14ac:dyDescent="0.3">
      <c r="O394" s="119"/>
      <c r="P394" s="119"/>
      <c r="W394" s="110"/>
    </row>
    <row r="395" spans="15:23" x14ac:dyDescent="0.3">
      <c r="O395" s="119"/>
      <c r="P395" s="119"/>
      <c r="W395" s="110"/>
    </row>
    <row r="396" spans="15:23" x14ac:dyDescent="0.3">
      <c r="O396" s="119"/>
      <c r="P396" s="119"/>
      <c r="W396" s="110"/>
    </row>
    <row r="397" spans="15:23" x14ac:dyDescent="0.3">
      <c r="O397" s="119"/>
      <c r="P397" s="119"/>
      <c r="W397" s="110"/>
    </row>
    <row r="398" spans="15:23" x14ac:dyDescent="0.3">
      <c r="O398" s="119"/>
      <c r="P398" s="119"/>
      <c r="W398" s="110"/>
    </row>
    <row r="399" spans="15:23" x14ac:dyDescent="0.3">
      <c r="O399" s="119"/>
      <c r="P399" s="119"/>
      <c r="W399" s="110"/>
    </row>
    <row r="400" spans="15:23" x14ac:dyDescent="0.3">
      <c r="O400" s="119"/>
      <c r="P400" s="119"/>
      <c r="W400" s="110"/>
    </row>
    <row r="401" spans="15:16" x14ac:dyDescent="0.3">
      <c r="O401" s="119"/>
      <c r="P401" s="119"/>
    </row>
    <row r="402" spans="15:16" x14ac:dyDescent="0.3">
      <c r="O402" s="119"/>
      <c r="P402" s="119"/>
    </row>
    <row r="403" spans="15:16" x14ac:dyDescent="0.3">
      <c r="O403" s="119"/>
      <c r="P403" s="119"/>
    </row>
    <row r="404" spans="15:16" x14ac:dyDescent="0.3">
      <c r="O404" s="119"/>
      <c r="P404" s="119"/>
    </row>
    <row r="405" spans="15:16" x14ac:dyDescent="0.3">
      <c r="O405" s="119"/>
      <c r="P405" s="119"/>
    </row>
    <row r="406" spans="15:16" x14ac:dyDescent="0.3">
      <c r="O406" s="119"/>
      <c r="P406" s="119"/>
    </row>
    <row r="407" spans="15:16" x14ac:dyDescent="0.3">
      <c r="O407" s="119"/>
      <c r="P407" s="119"/>
    </row>
    <row r="408" spans="15:16" x14ac:dyDescent="0.3">
      <c r="O408" s="119"/>
      <c r="P408" s="119"/>
    </row>
    <row r="409" spans="15:16" x14ac:dyDescent="0.3">
      <c r="O409" s="119"/>
      <c r="P409" s="119"/>
    </row>
    <row r="410" spans="15:16" x14ac:dyDescent="0.3">
      <c r="O410" s="119"/>
      <c r="P410" s="119"/>
    </row>
    <row r="411" spans="15:16" x14ac:dyDescent="0.3">
      <c r="O411" s="119"/>
      <c r="P411" s="119"/>
    </row>
    <row r="412" spans="15:16" x14ac:dyDescent="0.3">
      <c r="O412" s="119"/>
      <c r="P412" s="119"/>
    </row>
    <row r="413" spans="15:16" x14ac:dyDescent="0.3">
      <c r="O413" s="119"/>
      <c r="P413" s="119"/>
    </row>
    <row r="414" spans="15:16" x14ac:dyDescent="0.3">
      <c r="O414" s="119"/>
      <c r="P414" s="119"/>
    </row>
    <row r="415" spans="15:16" x14ac:dyDescent="0.3">
      <c r="O415" s="119"/>
      <c r="P415" s="119"/>
    </row>
    <row r="416" spans="15:16" x14ac:dyDescent="0.3">
      <c r="O416" s="119"/>
      <c r="P416" s="119"/>
    </row>
    <row r="417" spans="15:16" x14ac:dyDescent="0.3">
      <c r="O417" s="119"/>
      <c r="P417" s="119"/>
    </row>
    <row r="418" spans="15:16" x14ac:dyDescent="0.3">
      <c r="O418" s="119"/>
      <c r="P418" s="119"/>
    </row>
    <row r="419" spans="15:16" x14ac:dyDescent="0.3">
      <c r="O419" s="119"/>
      <c r="P419" s="119"/>
    </row>
    <row r="420" spans="15:16" x14ac:dyDescent="0.3">
      <c r="O420" s="119"/>
      <c r="P420" s="119"/>
    </row>
    <row r="421" spans="15:16" x14ac:dyDescent="0.3">
      <c r="O421" s="119"/>
      <c r="P421" s="119"/>
    </row>
  </sheetData>
  <sheetProtection algorithmName="SHA-512" hashValue="12aev2TwWDS3IxvFviTt+706ttI7xkIYHy3sgo2jwJUrIuWg+jKdHJNB7iKmyO+g8+PELwIZRu6So3qxoiJnfg==" saltValue="HzzNWrxWVrvC6AkrAwxh9g==" spinCount="100000" sheet="1"/>
  <autoFilter ref="C7:I7" xr:uid="{E7E6543F-FB7F-4BE2-B9C4-605CB50977A6}"/>
  <mergeCells count="6">
    <mergeCell ref="Y6:AA6"/>
    <mergeCell ref="G1:O3"/>
    <mergeCell ref="P5:T5"/>
    <mergeCell ref="K6:M6"/>
    <mergeCell ref="N6:O6"/>
    <mergeCell ref="W6:X6"/>
  </mergeCells>
  <phoneticPr fontId="2" type="noConversion"/>
  <conditionalFormatting sqref="F318:O500 J8:O317">
    <cfRule type="expression" priority="9" stopIfTrue="1">
      <formula>$U8=""</formula>
    </cfRule>
    <cfRule type="expression" dxfId="51" priority="10">
      <formula>AND($U8=0)</formula>
    </cfRule>
    <cfRule type="expression" dxfId="50" priority="11">
      <formula>$V8=6</formula>
    </cfRule>
    <cfRule type="expression" dxfId="49" priority="12">
      <formula>$V8=5</formula>
    </cfRule>
    <cfRule type="expression" dxfId="48" priority="13">
      <formula>$V8=4</formula>
    </cfRule>
    <cfRule type="expression" dxfId="47" priority="14">
      <formula>$V8=3</formula>
    </cfRule>
    <cfRule type="expression" dxfId="46" priority="15">
      <formula>$V8=2</formula>
    </cfRule>
    <cfRule type="expression" dxfId="45" priority="16">
      <formula>$V8=1</formula>
    </cfRule>
  </conditionalFormatting>
  <conditionalFormatting sqref="F8:I317">
    <cfRule type="expression" priority="1" stopIfTrue="1">
      <formula>$U8=""</formula>
    </cfRule>
    <cfRule type="expression" dxfId="44" priority="2">
      <formula>AND($U8=0)</formula>
    </cfRule>
    <cfRule type="expression" dxfId="43" priority="3">
      <formula>$V8=6</formula>
    </cfRule>
    <cfRule type="expression" dxfId="42" priority="4">
      <formula>$V8=5</formula>
    </cfRule>
    <cfRule type="expression" dxfId="41" priority="5">
      <formula>$V8=4</formula>
    </cfRule>
    <cfRule type="expression" dxfId="40" priority="6">
      <formula>$V8=3</formula>
    </cfRule>
    <cfRule type="expression" dxfId="39" priority="7">
      <formula>$V8=2</formula>
    </cfRule>
    <cfRule type="expression" dxfId="38" priority="8">
      <formula>$V8=1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D2EE-CC8D-4766-8A84-820EFD1EF604}">
  <dimension ref="B1:AE421"/>
  <sheetViews>
    <sheetView workbookViewId="0">
      <pane ySplit="7" topLeftCell="A8" activePane="bottomLeft" state="frozen"/>
      <selection pane="bottomLeft" activeCell="G1" sqref="G1:O3"/>
    </sheetView>
  </sheetViews>
  <sheetFormatPr defaultRowHeight="16.5" x14ac:dyDescent="0.3"/>
  <cols>
    <col min="1" max="1" width="17.625" style="7" customWidth="1"/>
    <col min="2" max="2" width="0" style="7" hidden="1" customWidth="1"/>
    <col min="3" max="3" width="9" style="7" hidden="1" customWidth="1"/>
    <col min="4" max="4" width="9" style="41" hidden="1" customWidth="1"/>
    <col min="5" max="5" width="0" style="41" hidden="1" customWidth="1"/>
    <col min="6" max="6" width="6.875" style="113" customWidth="1"/>
    <col min="7" max="7" width="12.375" style="41" customWidth="1"/>
    <col min="8" max="8" width="14.75" style="41" customWidth="1"/>
    <col min="9" max="9" width="7" style="41" customWidth="1"/>
    <col min="10" max="10" width="8.625" style="41" customWidth="1"/>
    <col min="11" max="11" width="10.625" style="113" customWidth="1"/>
    <col min="12" max="12" width="12.125" style="41" customWidth="1"/>
    <col min="13" max="13" width="10.625" style="41" customWidth="1"/>
    <col min="14" max="14" width="13.875" style="113" customWidth="1"/>
    <col min="15" max="16" width="9.125" style="73" customWidth="1"/>
    <col min="17" max="20" width="9.125" style="41" customWidth="1"/>
    <col min="21" max="21" width="6.875" style="41" hidden="1" customWidth="1"/>
    <col min="22" max="22" width="14.375" style="113" hidden="1" customWidth="1"/>
    <col min="23" max="24" width="9.5" style="108" customWidth="1"/>
    <col min="25" max="27" width="5" style="41" customWidth="1"/>
    <col min="28" max="29" width="9" style="7"/>
    <col min="30" max="30" width="8.875" style="7" customWidth="1"/>
    <col min="31" max="31" width="9" style="7" hidden="1" customWidth="1"/>
    <col min="32" max="16384" width="9" style="7"/>
  </cols>
  <sheetData>
    <row r="1" spans="2:31" x14ac:dyDescent="0.3">
      <c r="B1" s="107" t="s">
        <v>345</v>
      </c>
      <c r="C1" s="73" t="s">
        <v>251</v>
      </c>
      <c r="D1" s="41" t="s">
        <v>379</v>
      </c>
      <c r="E1" s="73" t="s">
        <v>459</v>
      </c>
      <c r="F1" s="73"/>
      <c r="G1" s="217" t="s">
        <v>896</v>
      </c>
      <c r="H1" s="218"/>
      <c r="I1" s="218"/>
      <c r="J1" s="218"/>
      <c r="K1" s="218"/>
      <c r="L1" s="218"/>
      <c r="M1" s="218"/>
      <c r="N1" s="218"/>
      <c r="O1" s="218"/>
      <c r="T1" s="73"/>
      <c r="V1" s="73"/>
    </row>
    <row r="2" spans="2:31" x14ac:dyDescent="0.3">
      <c r="B2" s="107">
        <v>1</v>
      </c>
      <c r="C2" s="73">
        <v>2</v>
      </c>
      <c r="D2" s="41">
        <v>3</v>
      </c>
      <c r="E2" s="73">
        <v>4</v>
      </c>
      <c r="F2" s="73"/>
      <c r="G2" s="218"/>
      <c r="H2" s="218"/>
      <c r="I2" s="218"/>
      <c r="J2" s="218"/>
      <c r="K2" s="218"/>
      <c r="L2" s="218"/>
      <c r="M2" s="218"/>
      <c r="N2" s="218"/>
      <c r="O2" s="218"/>
      <c r="T2" s="73"/>
      <c r="V2" s="73"/>
    </row>
    <row r="3" spans="2:31" x14ac:dyDescent="0.3">
      <c r="B3" s="43" t="s">
        <v>671</v>
      </c>
      <c r="F3" s="73"/>
      <c r="G3" s="218"/>
      <c r="H3" s="218"/>
      <c r="I3" s="218"/>
      <c r="J3" s="218"/>
      <c r="K3" s="218"/>
      <c r="L3" s="218"/>
      <c r="M3" s="218"/>
      <c r="N3" s="218"/>
      <c r="O3" s="218"/>
      <c r="R3" s="73"/>
      <c r="T3" s="73"/>
      <c r="V3" s="73"/>
    </row>
    <row r="4" spans="2:31" x14ac:dyDescent="0.3">
      <c r="B4" s="43">
        <v>3</v>
      </c>
      <c r="C4" s="7" t="str">
        <f>IF($B$4=1,CONCATENATE($B$1,AE4),IF($B$4=2,CONCATENATE($C$1,AE4),IF($B$4=3,CONCATENATE($D$1,AE4),IF($B$4=4,CONCATENATE($E$1,AE4)))))</f>
        <v>다</v>
      </c>
      <c r="F4" s="73"/>
      <c r="J4" s="73"/>
      <c r="K4" s="73"/>
      <c r="M4" s="73"/>
      <c r="N4" s="73"/>
      <c r="T4" s="73"/>
      <c r="V4" s="73"/>
    </row>
    <row r="5" spans="2:31" x14ac:dyDescent="0.3">
      <c r="F5" s="73"/>
      <c r="J5" s="73"/>
      <c r="K5" s="73"/>
      <c r="M5" s="109"/>
      <c r="N5" s="73"/>
      <c r="P5" s="214" t="s">
        <v>474</v>
      </c>
      <c r="Q5" s="215"/>
      <c r="R5" s="215"/>
      <c r="S5" s="215"/>
      <c r="T5" s="216"/>
      <c r="V5" s="73"/>
      <c r="W5" s="110"/>
    </row>
    <row r="6" spans="2:31" x14ac:dyDescent="0.3">
      <c r="F6" s="111"/>
      <c r="G6" s="112"/>
      <c r="H6" s="112"/>
      <c r="I6" s="112"/>
      <c r="J6" s="62"/>
      <c r="K6" s="214" t="s">
        <v>475</v>
      </c>
      <c r="L6" s="215"/>
      <c r="M6" s="216"/>
      <c r="N6" s="219" t="s">
        <v>476</v>
      </c>
      <c r="O6" s="220"/>
      <c r="P6" s="61" t="s">
        <v>885</v>
      </c>
      <c r="Q6" s="62" t="s">
        <v>886</v>
      </c>
      <c r="R6" s="62" t="s">
        <v>887</v>
      </c>
      <c r="S6" s="62" t="s">
        <v>888</v>
      </c>
      <c r="T6" s="63"/>
      <c r="W6" s="221" t="s">
        <v>893</v>
      </c>
      <c r="X6" s="222"/>
      <c r="Y6" s="214" t="s">
        <v>672</v>
      </c>
      <c r="Z6" s="215"/>
      <c r="AA6" s="216"/>
    </row>
    <row r="7" spans="2:31" x14ac:dyDescent="0.3">
      <c r="D7" s="41" t="s">
        <v>473</v>
      </c>
      <c r="E7" s="41" t="s">
        <v>472</v>
      </c>
      <c r="F7" s="114" t="s">
        <v>97</v>
      </c>
      <c r="G7" s="109" t="s">
        <v>88</v>
      </c>
      <c r="H7" s="109" t="s">
        <v>89</v>
      </c>
      <c r="I7" s="109" t="s">
        <v>90</v>
      </c>
      <c r="J7" s="115" t="s">
        <v>96</v>
      </c>
      <c r="K7" s="114" t="s">
        <v>461</v>
      </c>
      <c r="L7" s="116" t="s">
        <v>463</v>
      </c>
      <c r="M7" s="116" t="s">
        <v>462</v>
      </c>
      <c r="N7" s="114" t="s">
        <v>284</v>
      </c>
      <c r="O7" s="115" t="s">
        <v>98</v>
      </c>
      <c r="P7" s="64">
        <v>0.9</v>
      </c>
      <c r="Q7" s="65">
        <v>0.7</v>
      </c>
      <c r="R7" s="66">
        <v>0.4</v>
      </c>
      <c r="S7" s="67">
        <v>0.1</v>
      </c>
      <c r="T7" s="68">
        <v>0.01</v>
      </c>
      <c r="U7" s="41" t="s">
        <v>96</v>
      </c>
      <c r="V7" s="113" t="s">
        <v>250</v>
      </c>
      <c r="W7" s="117" t="s">
        <v>894</v>
      </c>
      <c r="X7" s="118" t="s">
        <v>103</v>
      </c>
      <c r="Y7" s="109" t="s">
        <v>113</v>
      </c>
      <c r="Z7" s="109" t="s">
        <v>237</v>
      </c>
      <c r="AA7" s="115" t="s">
        <v>673</v>
      </c>
    </row>
    <row r="8" spans="2:31" x14ac:dyDescent="0.3">
      <c r="C8" s="7" t="s">
        <v>1513</v>
      </c>
      <c r="D8" s="41" t="s">
        <v>1064</v>
      </c>
      <c r="E8" s="41">
        <v>29</v>
      </c>
      <c r="F8" s="113" t="s">
        <v>378</v>
      </c>
      <c r="G8" s="41" t="s">
        <v>747</v>
      </c>
      <c r="H8" s="41" t="s">
        <v>750</v>
      </c>
      <c r="I8" s="41" t="s">
        <v>274</v>
      </c>
      <c r="J8" s="41" t="str">
        <f t="shared" ref="J8:J45" si="0">IFERROR(IF(U8=1,"O",IF(U8=0,"X","")),"")</f>
        <v>X</v>
      </c>
      <c r="K8" s="113">
        <f>IFERROR(INDEX(환산공식!CI$16:CI$301,MATCH($E8,환산공식!$A$16:$A$301,0)),"")</f>
        <v>100</v>
      </c>
      <c r="L8" s="41" t="str">
        <f>IFERROR(CONCATENATE(ROUND(INDEX(환산공식!CJ$16:CJ$301,MATCH(E8,환산공식!$A$16:$A$301,0)),1),"%"),"")</f>
        <v>100%</v>
      </c>
      <c r="M8" s="41">
        <f>IFERROR(INDEX(환산공식!CK$16:CK$301,MATCH(E8,환산공식!$A$16:$A$301,0)),"")</f>
        <v>10</v>
      </c>
      <c r="N8" s="113" t="str">
        <f t="shared" ref="N8:N45" si="1">IF(E8="","",IF(O8&gt;P8,"90% 이상",IF(O8&gt;Q8,CONCATENATE(ROUND(((O8-Q8)/(P8-Q8))*20+70,0),"%"),IF(O8&gt;R8,CONCATENATE(ROUND(((O8-R8)/(Q8-R8))*30+40,0),"%"),IF(O8&gt;S8,CONCATENATE(ROUND(((O8-S8)/(R8-S8))*30+10,0),"%"),IF(O8&gt;T8,CONCATENATE(ROUND(((O8-T8)/(S8-T8))*9+1,0),"%"),"1% 이하"))))))</f>
        <v>1% 이하</v>
      </c>
      <c r="O8" s="119">
        <f>IFERROR(ROUND(INDEX(환산공식!$EF$16:$EF$301,MATCH(E8,환산공식!$A$16:$A$301,0)),3),"")</f>
        <v>0</v>
      </c>
      <c r="P8" s="119">
        <f>IFERROR(ROUND(INDEX('배치점수 계산기'!M$11:M$1000,MATCH($C8,'배치점수 계산기'!$U$11:$U$1000,0)),2),"")</f>
        <v>762.6</v>
      </c>
      <c r="Q8" s="41">
        <f>IFERROR(ROUND(INDEX('배치점수 계산기'!N$11:N$1000,MATCH($C8,'배치점수 계산기'!$U$11:$U$1000,0)),2),"")</f>
        <v>760.31</v>
      </c>
      <c r="R8" s="41">
        <f>IFERROR(ROUND(INDEX('배치점수 계산기'!O$11:O$1000,MATCH($C8,'배치점수 계산기'!$U$11:$U$1000,0)),2),"")</f>
        <v>757.33</v>
      </c>
      <c r="S8" s="41">
        <f>IFERROR(ROUND(INDEX('배치점수 계산기'!P$11:P$1000,MATCH($C8,'배치점수 계산기'!$U$11:$U$1000,0)),2),"")</f>
        <v>756.5</v>
      </c>
      <c r="T8" s="41">
        <f>IFERROR(ROUND(INDEX('배치점수 계산기'!Q$11:Q$1000,MATCH($C8,'배치점수 계산기'!$U$11:$U$1000,0)),2),"")</f>
        <v>753.98</v>
      </c>
      <c r="U8" s="41">
        <f>IFERROR(INDEX(환산공식!$DC$16:$DC$301,MATCH(E8,환산공식!$A$16:$A$301,0)),"")</f>
        <v>0</v>
      </c>
      <c r="V8" s="113">
        <f t="shared" ref="V8:V45" si="2">IFERROR(IF(T8="","",IF(O8&gt;P8,1,IF(O8&gt;Q8,2,IF(O8&gt;R8,3,IF(O8&gt;S8,4,IF(O8&gt;=T8,5,IF(O8&lt;T8,6))))))),"")</f>
        <v>6</v>
      </c>
      <c r="W8" s="110" t="str">
        <f>INDEX('배치점수 계산기'!$AG$11:$AG$800,MATCH('       다 군       '!$C8,'배치점수 계산기'!$U$11:$U$800,0))</f>
        <v>표점</v>
      </c>
      <c r="X8" s="108" t="str">
        <f>INDEX('배치점수 계산기'!$AH$11:$AH$800,MATCH('       다 군       '!$C8,'배치점수 계산기'!$U$11:$U$800,0))</f>
        <v>변표</v>
      </c>
      <c r="Y8" s="111">
        <f>INDEX('배치점수 계산기'!$AB$11:$AB$800,MATCH('       다 군       '!$C8,'배치점수 계산기'!$U$11:$U$800,0))</f>
        <v>0.25</v>
      </c>
      <c r="Z8" s="112">
        <f>INDEX('배치점수 계산기'!$AC$11:$AC$800,MATCH('       다 군       '!$C8,'배치점수 계산기'!$U$11:$U$800,0))</f>
        <v>0.4</v>
      </c>
      <c r="AA8" s="62">
        <f>INDEX('배치점수 계산기'!$AD$11:$AD$800,MATCH('       다 군       '!$C8,'배치점수 계산기'!$U$11:$U$800,0))</f>
        <v>0.35</v>
      </c>
      <c r="AE8" s="7">
        <v>1</v>
      </c>
    </row>
    <row r="9" spans="2:31" x14ac:dyDescent="0.3">
      <c r="C9" s="7" t="s">
        <v>1514</v>
      </c>
      <c r="D9" s="41" t="s">
        <v>1064</v>
      </c>
      <c r="E9" s="41">
        <v>29</v>
      </c>
      <c r="F9" s="113" t="s">
        <v>378</v>
      </c>
      <c r="G9" s="41" t="s">
        <v>747</v>
      </c>
      <c r="H9" s="41" t="s">
        <v>751</v>
      </c>
      <c r="I9" s="41" t="s">
        <v>274</v>
      </c>
      <c r="J9" s="41" t="str">
        <f t="shared" si="0"/>
        <v>X</v>
      </c>
      <c r="K9" s="113">
        <f>IFERROR(INDEX(환산공식!CI$16:CI$301,MATCH($E9,환산공식!$A$16:$A$301,0)),"")</f>
        <v>100</v>
      </c>
      <c r="L9" s="41" t="str">
        <f>IFERROR(CONCATENATE(ROUND(INDEX(환산공식!CJ$16:CJ$301,MATCH(E9,환산공식!$A$16:$A$301,0)),1),"%"),"")</f>
        <v>100%</v>
      </c>
      <c r="M9" s="41">
        <f>IFERROR(INDEX(환산공식!CK$16:CK$301,MATCH(E9,환산공식!$A$16:$A$301,0)),"")</f>
        <v>10</v>
      </c>
      <c r="N9" s="113" t="str">
        <f t="shared" si="1"/>
        <v>1% 이하</v>
      </c>
      <c r="O9" s="119">
        <f>IFERROR(ROUND(INDEX(환산공식!$EF$16:$EF$301,MATCH(E9,환산공식!$A$16:$A$301,0)),3),"")</f>
        <v>0</v>
      </c>
      <c r="P9" s="119">
        <f>IFERROR(ROUND(INDEX('배치점수 계산기'!M$11:M$1000,MATCH($C9,'배치점수 계산기'!$U$11:$U$1000,0)),2),"")</f>
        <v>762.6</v>
      </c>
      <c r="Q9" s="41">
        <f>IFERROR(ROUND(INDEX('배치점수 계산기'!N$11:N$1000,MATCH($C9,'배치점수 계산기'!$U$11:$U$1000,0)),2),"")</f>
        <v>758.98</v>
      </c>
      <c r="R9" s="41">
        <f>IFERROR(ROUND(INDEX('배치점수 계산기'!O$11:O$1000,MATCH($C9,'배치점수 계산기'!$U$11:$U$1000,0)),2),"")</f>
        <v>757.09</v>
      </c>
      <c r="S9" s="41">
        <f>IFERROR(ROUND(INDEX('배치점수 계산기'!P$11:P$1000,MATCH($C9,'배치점수 계산기'!$U$11:$U$1000,0)),2),"")</f>
        <v>755.88</v>
      </c>
      <c r="T9" s="41">
        <f>IFERROR(ROUND(INDEX('배치점수 계산기'!Q$11:Q$1000,MATCH($C9,'배치점수 계산기'!$U$11:$U$1000,0)),2),"")</f>
        <v>753.98</v>
      </c>
      <c r="U9" s="41">
        <f>IFERROR(INDEX(환산공식!$DC$16:$DC$301,MATCH(E9,환산공식!$A$16:$A$301,0)),"")</f>
        <v>0</v>
      </c>
      <c r="V9" s="113">
        <f t="shared" si="2"/>
        <v>6</v>
      </c>
      <c r="W9" s="110" t="str">
        <f>INDEX('배치점수 계산기'!$AG$11:$AG$800,MATCH('       다 군       '!$C9,'배치점수 계산기'!$U$11:$U$800,0))</f>
        <v>표점</v>
      </c>
      <c r="X9" s="108" t="str">
        <f>INDEX('배치점수 계산기'!$AH$11:$AH$800,MATCH('       다 군       '!$C9,'배치점수 계산기'!$U$11:$U$800,0))</f>
        <v>변표</v>
      </c>
      <c r="Y9" s="113">
        <f>INDEX('배치점수 계산기'!$AB$11:$AB$800,MATCH('       다 군       '!$C9,'배치점수 계산기'!$U$11:$U$800,0))</f>
        <v>0.25</v>
      </c>
      <c r="Z9" s="73">
        <f>INDEX('배치점수 계산기'!$AC$11:$AC$800,MATCH('       다 군       '!$C9,'배치점수 계산기'!$U$11:$U$800,0))</f>
        <v>0.4</v>
      </c>
      <c r="AA9" s="63">
        <f>INDEX('배치점수 계산기'!$AD$11:$AD$800,MATCH('       다 군       '!$C9,'배치점수 계산기'!$U$11:$U$800,0))</f>
        <v>0.35</v>
      </c>
      <c r="AE9" s="7">
        <v>2</v>
      </c>
    </row>
    <row r="10" spans="2:31" x14ac:dyDescent="0.3">
      <c r="C10" s="7" t="s">
        <v>1515</v>
      </c>
      <c r="D10" s="41" t="s">
        <v>1311</v>
      </c>
      <c r="E10" s="41">
        <v>32</v>
      </c>
      <c r="F10" s="113" t="s">
        <v>378</v>
      </c>
      <c r="G10" s="41" t="s">
        <v>747</v>
      </c>
      <c r="H10" s="41" t="s">
        <v>756</v>
      </c>
      <c r="I10" s="41" t="s">
        <v>275</v>
      </c>
      <c r="J10" s="41" t="str">
        <f t="shared" si="0"/>
        <v>X</v>
      </c>
      <c r="K10" s="113">
        <f>IFERROR(INDEX(환산공식!CI$16:CI$301,MATCH($E10,환산공식!$A$16:$A$301,0)),"")</f>
        <v>100</v>
      </c>
      <c r="L10" s="41" t="str">
        <f>IFERROR(CONCATENATE(ROUND(INDEX(환산공식!CJ$16:CJ$301,MATCH(E10,환산공식!$A$16:$A$301,0)),1),"%"),"")</f>
        <v>100%</v>
      </c>
      <c r="M10" s="41">
        <f>IFERROR(INDEX(환산공식!CK$16:CK$301,MATCH(E10,환산공식!$A$16:$A$301,0)),"")</f>
        <v>10</v>
      </c>
      <c r="N10" s="113" t="str">
        <f t="shared" si="1"/>
        <v>1% 이하</v>
      </c>
      <c r="O10" s="119">
        <f>IFERROR(ROUND(INDEX(환산공식!$EF$16:$EF$301,MATCH(E10,환산공식!$A$16:$A$301,0)),3),"")</f>
        <v>0</v>
      </c>
      <c r="P10" s="119">
        <f>IFERROR(ROUND(INDEX('배치점수 계산기'!M$11:M$1000,MATCH($C10,'배치점수 계산기'!$U$11:$U$1000,0)),2),"")</f>
        <v>738.86</v>
      </c>
      <c r="Q10" s="41">
        <f>IFERROR(ROUND(INDEX('배치점수 계산기'!N$11:N$1000,MATCH($C10,'배치점수 계산기'!$U$11:$U$1000,0)),2),"")</f>
        <v>736.47</v>
      </c>
      <c r="R10" s="41">
        <f>IFERROR(ROUND(INDEX('배치점수 계산기'!O$11:O$1000,MATCH($C10,'배치점수 계산기'!$U$11:$U$1000,0)),2),"")</f>
        <v>734.74</v>
      </c>
      <c r="S10" s="41">
        <f>IFERROR(ROUND(INDEX('배치점수 계산기'!P$11:P$1000,MATCH($C10,'배치점수 계산기'!$U$11:$U$1000,0)),2),"")</f>
        <v>728.78</v>
      </c>
      <c r="T10" s="41">
        <f>IFERROR(ROUND(INDEX('배치점수 계산기'!Q$11:Q$1000,MATCH($C10,'배치점수 계산기'!$U$11:$U$1000,0)),2),"")</f>
        <v>725.84</v>
      </c>
      <c r="U10" s="41">
        <f>IFERROR(INDEX(환산공식!$DC$16:$DC$301,MATCH(E10,환산공식!$A$16:$A$301,0)),"")</f>
        <v>0</v>
      </c>
      <c r="V10" s="113">
        <f t="shared" si="2"/>
        <v>6</v>
      </c>
      <c r="W10" s="110" t="str">
        <f>INDEX('배치점수 계산기'!$AG$11:$AG$800,MATCH('       다 군       '!$C10,'배치점수 계산기'!$U$11:$U$800,0))</f>
        <v>표점</v>
      </c>
      <c r="X10" s="108" t="str">
        <f>INDEX('배치점수 계산기'!$AH$11:$AH$800,MATCH('       다 군       '!$C10,'배치점수 계산기'!$U$11:$U$800,0))</f>
        <v>변표</v>
      </c>
      <c r="Y10" s="113">
        <f>INDEX('배치점수 계산기'!$AB$11:$AB$800,MATCH('       다 군       '!$C10,'배치점수 계산기'!$U$11:$U$800,0))</f>
        <v>0.35</v>
      </c>
      <c r="Z10" s="73">
        <f>INDEX('배치점수 계산기'!$AC$11:$AC$800,MATCH('       다 군       '!$C10,'배치점수 계산기'!$U$11:$U$800,0))</f>
        <v>0.45</v>
      </c>
      <c r="AA10" s="63">
        <f>INDEX('배치점수 계산기'!$AD$11:$AD$800,MATCH('       다 군       '!$C10,'배치점수 계산기'!$U$11:$U$800,0))</f>
        <v>0.2</v>
      </c>
      <c r="AE10" s="7">
        <v>3</v>
      </c>
    </row>
    <row r="11" spans="2:31" x14ac:dyDescent="0.3">
      <c r="C11" s="7" t="s">
        <v>1516</v>
      </c>
      <c r="D11" s="41" t="s">
        <v>1064</v>
      </c>
      <c r="E11" s="41">
        <v>29</v>
      </c>
      <c r="F11" s="113" t="s">
        <v>378</v>
      </c>
      <c r="G11" s="41" t="s">
        <v>747</v>
      </c>
      <c r="H11" s="41" t="s">
        <v>260</v>
      </c>
      <c r="I11" s="41" t="s">
        <v>274</v>
      </c>
      <c r="J11" s="41" t="str">
        <f t="shared" si="0"/>
        <v>X</v>
      </c>
      <c r="K11" s="113">
        <f>IFERROR(INDEX(환산공식!CI$16:CI$301,MATCH($E11,환산공식!$A$16:$A$301,0)),"")</f>
        <v>100</v>
      </c>
      <c r="L11" s="41" t="str">
        <f>IFERROR(CONCATENATE(ROUND(INDEX(환산공식!CJ$16:CJ$301,MATCH(E11,환산공식!$A$16:$A$301,0)),1),"%"),"")</f>
        <v>100%</v>
      </c>
      <c r="M11" s="41">
        <f>IFERROR(INDEX(환산공식!CK$16:CK$301,MATCH(E11,환산공식!$A$16:$A$301,0)),"")</f>
        <v>10</v>
      </c>
      <c r="N11" s="113" t="str">
        <f t="shared" si="1"/>
        <v>1% 이하</v>
      </c>
      <c r="O11" s="119">
        <f>IFERROR(ROUND(INDEX(환산공식!$EF$16:$EF$301,MATCH(E11,환산공식!$A$16:$A$301,0)),3),"")</f>
        <v>0</v>
      </c>
      <c r="P11" s="119">
        <f>IFERROR(ROUND(INDEX('배치점수 계산기'!M$11:M$1000,MATCH($C11,'배치점수 계산기'!$U$11:$U$1000,0)),2),"")</f>
        <v>753.78</v>
      </c>
      <c r="Q11" s="41">
        <f>IFERROR(ROUND(INDEX('배치점수 계산기'!N$11:N$1000,MATCH($C11,'배치점수 계산기'!$U$11:$U$1000,0)),2),"")</f>
        <v>752.5</v>
      </c>
      <c r="R11" s="41">
        <f>IFERROR(ROUND(INDEX('배치점수 계산기'!O$11:O$1000,MATCH($C11,'배치점수 계산기'!$U$11:$U$1000,0)),2),"")</f>
        <v>750.94</v>
      </c>
      <c r="S11" s="41">
        <f>IFERROR(ROUND(INDEX('배치점수 계산기'!P$11:P$1000,MATCH($C11,'배치점수 계산기'!$U$11:$U$1000,0)),2),"")</f>
        <v>749.87</v>
      </c>
      <c r="T11" s="41">
        <f>IFERROR(ROUND(INDEX('배치점수 계산기'!Q$11:Q$1000,MATCH($C11,'배치점수 계산기'!$U$11:$U$1000,0)),2),"")</f>
        <v>745.61</v>
      </c>
      <c r="U11" s="41">
        <f>IFERROR(INDEX(환산공식!$DC$16:$DC$301,MATCH(E11,환산공식!$A$16:$A$301,0)),"")</f>
        <v>0</v>
      </c>
      <c r="V11" s="113">
        <f t="shared" si="2"/>
        <v>6</v>
      </c>
      <c r="W11" s="110" t="str">
        <f>INDEX('배치점수 계산기'!$AG$11:$AG$800,MATCH('       다 군       '!$C11,'배치점수 계산기'!$U$11:$U$800,0))</f>
        <v>표점</v>
      </c>
      <c r="X11" s="108" t="str">
        <f>INDEX('배치점수 계산기'!$AH$11:$AH$800,MATCH('       다 군       '!$C11,'배치점수 계산기'!$U$11:$U$800,0))</f>
        <v>변표</v>
      </c>
      <c r="Y11" s="113">
        <f>INDEX('배치점수 계산기'!$AB$11:$AB$800,MATCH('       다 군       '!$C11,'배치점수 계산기'!$U$11:$U$800,0))</f>
        <v>0.25</v>
      </c>
      <c r="Z11" s="73">
        <f>INDEX('배치점수 계산기'!$AC$11:$AC$800,MATCH('       다 군       '!$C11,'배치점수 계산기'!$U$11:$U$800,0))</f>
        <v>0.4</v>
      </c>
      <c r="AA11" s="63">
        <f>INDEX('배치점수 계산기'!$AD$11:$AD$800,MATCH('       다 군       '!$C11,'배치점수 계산기'!$U$11:$U$800,0))</f>
        <v>0.35</v>
      </c>
      <c r="AE11" s="7">
        <v>4</v>
      </c>
    </row>
    <row r="12" spans="2:31" x14ac:dyDescent="0.3">
      <c r="C12" s="7" t="s">
        <v>1517</v>
      </c>
      <c r="D12" s="41" t="s">
        <v>1061</v>
      </c>
      <c r="E12" s="41">
        <v>30</v>
      </c>
      <c r="F12" s="113" t="s">
        <v>378</v>
      </c>
      <c r="G12" s="41" t="s">
        <v>747</v>
      </c>
      <c r="H12" s="41" t="s">
        <v>272</v>
      </c>
      <c r="I12" s="41" t="s">
        <v>275</v>
      </c>
      <c r="J12" s="41" t="str">
        <f t="shared" si="0"/>
        <v>X</v>
      </c>
      <c r="K12" s="113">
        <f>IFERROR(INDEX(환산공식!CI$16:CI$301,MATCH($E12,환산공식!$A$16:$A$301,0)),"")</f>
        <v>100</v>
      </c>
      <c r="L12" s="41" t="str">
        <f>IFERROR(CONCATENATE(ROUND(INDEX(환산공식!CJ$16:CJ$301,MATCH(E12,환산공식!$A$16:$A$301,0)),1),"%"),"")</f>
        <v>100%</v>
      </c>
      <c r="M12" s="41">
        <f>IFERROR(INDEX(환산공식!CK$16:CK$301,MATCH(E12,환산공식!$A$16:$A$301,0)),"")</f>
        <v>10</v>
      </c>
      <c r="N12" s="113" t="str">
        <f t="shared" si="1"/>
        <v>1% 이하</v>
      </c>
      <c r="O12" s="119">
        <f>IFERROR(ROUND(INDEX(환산공식!$EF$16:$EF$301,MATCH(E12,환산공식!$A$16:$A$301,0)),3),"")</f>
        <v>0</v>
      </c>
      <c r="P12" s="119">
        <f>IFERROR(ROUND(INDEX('배치점수 계산기'!M$11:M$1000,MATCH($C12,'배치점수 계산기'!$U$11:$U$1000,0)),2),"")</f>
        <v>733.41</v>
      </c>
      <c r="Q12" s="41">
        <f>IFERROR(ROUND(INDEX('배치점수 계산기'!N$11:N$1000,MATCH($C12,'배치점수 계산기'!$U$11:$U$1000,0)),2),"")</f>
        <v>729.88</v>
      </c>
      <c r="R12" s="41">
        <f>IFERROR(ROUND(INDEX('배치점수 계산기'!O$11:O$1000,MATCH($C12,'배치점수 계산기'!$U$11:$U$1000,0)),2),"")</f>
        <v>728.53</v>
      </c>
      <c r="S12" s="41">
        <f>IFERROR(ROUND(INDEX('배치점수 계산기'!P$11:P$1000,MATCH($C12,'배치점수 계산기'!$U$11:$U$1000,0)),2),"")</f>
        <v>727.87</v>
      </c>
      <c r="T12" s="41">
        <f>IFERROR(ROUND(INDEX('배치점수 계산기'!Q$11:Q$1000,MATCH($C12,'배치점수 계산기'!$U$11:$U$1000,0)),2),"")</f>
        <v>727.07</v>
      </c>
      <c r="U12" s="41">
        <f>IFERROR(INDEX(환산공식!$DC$16:$DC$301,MATCH(E12,환산공식!$A$16:$A$301,0)),"")</f>
        <v>0</v>
      </c>
      <c r="V12" s="113">
        <f t="shared" si="2"/>
        <v>6</v>
      </c>
      <c r="W12" s="110" t="str">
        <f>INDEX('배치점수 계산기'!$AG$11:$AG$800,MATCH('       다 군       '!$C12,'배치점수 계산기'!$U$11:$U$800,0))</f>
        <v>표점</v>
      </c>
      <c r="X12" s="108" t="str">
        <f>INDEX('배치점수 계산기'!$AH$11:$AH$800,MATCH('       다 군       '!$C12,'배치점수 계산기'!$U$11:$U$800,0))</f>
        <v>변표</v>
      </c>
      <c r="Y12" s="113">
        <f>INDEX('배치점수 계산기'!$AB$11:$AB$800,MATCH('       다 군       '!$C12,'배치점수 계산기'!$U$11:$U$800,0))</f>
        <v>0.4</v>
      </c>
      <c r="Z12" s="73">
        <f>INDEX('배치점수 계산기'!$AC$11:$AC$800,MATCH('       다 군       '!$C12,'배치점수 계산기'!$U$11:$U$800,0))</f>
        <v>0.4</v>
      </c>
      <c r="AA12" s="63">
        <f>INDEX('배치점수 계산기'!$AD$11:$AD$800,MATCH('       다 군       '!$C12,'배치점수 계산기'!$U$11:$U$800,0))</f>
        <v>0.2</v>
      </c>
      <c r="AE12" s="7">
        <v>5</v>
      </c>
    </row>
    <row r="13" spans="2:31" x14ac:dyDescent="0.3">
      <c r="C13" s="7" t="s">
        <v>1518</v>
      </c>
      <c r="D13" s="41" t="s">
        <v>1109</v>
      </c>
      <c r="E13" s="41">
        <v>36</v>
      </c>
      <c r="F13" s="113" t="s">
        <v>378</v>
      </c>
      <c r="G13" s="41" t="s">
        <v>764</v>
      </c>
      <c r="H13" s="41" t="s">
        <v>262</v>
      </c>
      <c r="I13" s="41" t="s">
        <v>275</v>
      </c>
      <c r="J13" s="41" t="str">
        <f t="shared" si="0"/>
        <v>X</v>
      </c>
      <c r="K13" s="113">
        <f>IFERROR(INDEX(환산공식!CI$16:CI$301,MATCH($E13,환산공식!$A$16:$A$301,0)),"")</f>
        <v>140</v>
      </c>
      <c r="L13" s="41" t="str">
        <f>IFERROR(CONCATENATE(ROUND(INDEX(환산공식!CJ$16:CJ$301,MATCH(E13,환산공식!$A$16:$A$301,0)),1),"%"),"")</f>
        <v>100%</v>
      </c>
      <c r="M13" s="41">
        <f>IFERROR(INDEX(환산공식!CK$16:CK$301,MATCH(E13,환산공식!$A$16:$A$301,0)),"")</f>
        <v>10</v>
      </c>
      <c r="N13" s="113" t="str">
        <f t="shared" si="1"/>
        <v>1% 이하</v>
      </c>
      <c r="O13" s="119">
        <f>IFERROR(ROUND(INDEX(환산공식!$EF$16:$EF$301,MATCH(E13,환산공식!$A$16:$A$301,0)),3),"")</f>
        <v>0</v>
      </c>
      <c r="P13" s="119">
        <f>IFERROR(ROUND(INDEX('배치점수 계산기'!M$11:M$1000,MATCH($C13,'배치점수 계산기'!$U$11:$U$1000,0)),2),"")</f>
        <v>630.30999999999995</v>
      </c>
      <c r="Q13" s="41">
        <f>IFERROR(ROUND(INDEX('배치점수 계산기'!N$11:N$1000,MATCH($C13,'배치점수 계산기'!$U$11:$U$1000,0)),2),"")</f>
        <v>629.16</v>
      </c>
      <c r="R13" s="41">
        <f>IFERROR(ROUND(INDEX('배치점수 계산기'!O$11:O$1000,MATCH($C13,'배치점수 계산기'!$U$11:$U$1000,0)),2),"")</f>
        <v>628</v>
      </c>
      <c r="S13" s="41">
        <f>IFERROR(ROUND(INDEX('배치점수 계산기'!P$11:P$1000,MATCH($C13,'배치점수 계산기'!$U$11:$U$1000,0)),2),"")</f>
        <v>620.95000000000005</v>
      </c>
      <c r="T13" s="41">
        <f>IFERROR(ROUND(INDEX('배치점수 계산기'!Q$11:Q$1000,MATCH($C13,'배치점수 계산기'!$U$11:$U$1000,0)),2),"")</f>
        <v>617.89</v>
      </c>
      <c r="U13" s="41">
        <f>IFERROR(INDEX(환산공식!$DC$16:$DC$301,MATCH(E13,환산공식!$A$16:$A$301,0)),"")</f>
        <v>0</v>
      </c>
      <c r="V13" s="113">
        <f t="shared" si="2"/>
        <v>6</v>
      </c>
      <c r="W13" s="110" t="str">
        <f>INDEX('배치점수 계산기'!$AG$11:$AG$800,MATCH('       다 군       '!$C13,'배치점수 계산기'!$U$11:$U$800,0))</f>
        <v>표점/만점</v>
      </c>
      <c r="X13" s="108" t="str">
        <f>INDEX('배치점수 계산기'!$AH$11:$AH$800,MATCH('       다 군       '!$C13,'배치점수 계산기'!$U$11:$U$800,0))</f>
        <v>변표/만점</v>
      </c>
      <c r="Y13" s="113">
        <f>INDEX('배치점수 계산기'!$AB$11:$AB$800,MATCH('       다 군       '!$C13,'배치점수 계산기'!$U$11:$U$800,0))</f>
        <v>0.36151581771434954</v>
      </c>
      <c r="Z13" s="73">
        <f>INDEX('배치점수 계산기'!$AC$11:$AC$800,MATCH('       다 군       '!$C13,'배치점수 계산기'!$U$11:$U$800,0))</f>
        <v>0.36643440026828633</v>
      </c>
      <c r="AA13" s="63">
        <f>INDEX('배치점수 계산기'!$AD$11:$AD$800,MATCH('       다 군       '!$C13,'배치점수 계산기'!$U$11:$U$800,0))</f>
        <v>0.27204978201736407</v>
      </c>
      <c r="AE13" s="7">
        <v>6</v>
      </c>
    </row>
    <row r="14" spans="2:31" x14ac:dyDescent="0.3">
      <c r="C14" s="7" t="s">
        <v>1519</v>
      </c>
      <c r="D14" s="41" t="s">
        <v>1128</v>
      </c>
      <c r="E14" s="41">
        <v>43</v>
      </c>
      <c r="F14" s="113" t="s">
        <v>378</v>
      </c>
      <c r="G14" s="41" t="s">
        <v>708</v>
      </c>
      <c r="H14" s="41" t="s">
        <v>771</v>
      </c>
      <c r="I14" s="41" t="s">
        <v>274</v>
      </c>
      <c r="J14" s="41" t="str">
        <f t="shared" si="0"/>
        <v>X</v>
      </c>
      <c r="K14" s="113">
        <f>IFERROR(INDEX(환산공식!CI$16:CI$301,MATCH($E14,환산공식!$A$16:$A$301,0)),"")</f>
        <v>200</v>
      </c>
      <c r="L14" s="41" t="str">
        <f>IFERROR(CONCATENATE(ROUND(INDEX(환산공식!CJ$16:CJ$301,MATCH(E14,환산공식!$A$16:$A$301,0)),1),"%"),"")</f>
        <v>100%</v>
      </c>
      <c r="M14" s="41">
        <f>IFERROR(INDEX(환산공식!CK$16:CK$301,MATCH(E14,환산공식!$A$16:$A$301,0)),"")</f>
        <v>200</v>
      </c>
      <c r="N14" s="113" t="str">
        <f t="shared" si="1"/>
        <v>1% 이하</v>
      </c>
      <c r="O14" s="119">
        <f>IFERROR(ROUND(INDEX(환산공식!$EF$16:$EF$301,MATCH(E14,환산공식!$A$16:$A$301,0)),3),"")</f>
        <v>0</v>
      </c>
      <c r="P14" s="119">
        <f>IFERROR(ROUND(INDEX('배치점수 계산기'!M$11:M$1000,MATCH($C14,'배치점수 계산기'!$U$11:$U$1000,0)),2),"")</f>
        <v>903.5</v>
      </c>
      <c r="Q14" s="41">
        <f>IFERROR(ROUND(INDEX('배치점수 계산기'!N$11:N$1000,MATCH($C14,'배치점수 계산기'!$U$11:$U$1000,0)),2),"")</f>
        <v>902.82</v>
      </c>
      <c r="R14" s="41">
        <f>IFERROR(ROUND(INDEX('배치점수 계산기'!O$11:O$1000,MATCH($C14,'배치점수 계산기'!$U$11:$U$1000,0)),2),"")</f>
        <v>902.01</v>
      </c>
      <c r="S14" s="41">
        <f>IFERROR(ROUND(INDEX('배치점수 계산기'!P$11:P$1000,MATCH($C14,'배치점수 계산기'!$U$11:$U$1000,0)),2),"")</f>
        <v>900.1</v>
      </c>
      <c r="T14" s="41">
        <f>IFERROR(ROUND(INDEX('배치점수 계산기'!Q$11:Q$1000,MATCH($C14,'배치점수 계산기'!$U$11:$U$1000,0)),2),"")</f>
        <v>898.32</v>
      </c>
      <c r="U14" s="41">
        <f>IFERROR(INDEX(환산공식!$DC$16:$DC$301,MATCH(E14,환산공식!$A$16:$A$301,0)),"")</f>
        <v>0</v>
      </c>
      <c r="V14" s="113">
        <f t="shared" si="2"/>
        <v>6</v>
      </c>
      <c r="W14" s="110" t="str">
        <f>INDEX('배치점수 계산기'!$AG$11:$AG$800,MATCH('       다 군       '!$C14,'배치점수 계산기'!$U$11:$U$800,0))</f>
        <v>표점</v>
      </c>
      <c r="X14" s="108" t="str">
        <f>INDEX('배치점수 계산기'!$AH$11:$AH$800,MATCH('       다 군       '!$C14,'배치점수 계산기'!$U$11:$U$800,0))</f>
        <v>변표</v>
      </c>
      <c r="Y14" s="113">
        <f>INDEX('배치점수 계산기'!$AB$11:$AB$800,MATCH('       다 군       '!$C14,'배치점수 계산기'!$U$11:$U$800,0))</f>
        <v>0.25</v>
      </c>
      <c r="Z14" s="73">
        <f>INDEX('배치점수 계산기'!$AC$11:$AC$800,MATCH('       다 군       '!$C14,'배치점수 계산기'!$U$11:$U$800,0))</f>
        <v>0.4375</v>
      </c>
      <c r="AA14" s="63">
        <f>INDEX('배치점수 계산기'!$AD$11:$AD$800,MATCH('       다 군       '!$C14,'배치점수 계산기'!$U$11:$U$800,0))</f>
        <v>0.3125</v>
      </c>
      <c r="AE14" s="7">
        <v>7</v>
      </c>
    </row>
    <row r="15" spans="2:31" x14ac:dyDescent="0.3">
      <c r="C15" s="7" t="s">
        <v>1520</v>
      </c>
      <c r="D15" s="41" t="s">
        <v>1128</v>
      </c>
      <c r="E15" s="41">
        <v>43</v>
      </c>
      <c r="F15" s="113" t="s">
        <v>378</v>
      </c>
      <c r="G15" s="41" t="s">
        <v>708</v>
      </c>
      <c r="H15" s="41" t="s">
        <v>772</v>
      </c>
      <c r="I15" s="41" t="s">
        <v>274</v>
      </c>
      <c r="J15" s="41" t="str">
        <f t="shared" si="0"/>
        <v>X</v>
      </c>
      <c r="K15" s="113">
        <f>IFERROR(INDEX(환산공식!CI$16:CI$301,MATCH($E15,환산공식!$A$16:$A$301,0)),"")</f>
        <v>200</v>
      </c>
      <c r="L15" s="41" t="str">
        <f>IFERROR(CONCATENATE(ROUND(INDEX(환산공식!CJ$16:CJ$301,MATCH(E15,환산공식!$A$16:$A$301,0)),1),"%"),"")</f>
        <v>100%</v>
      </c>
      <c r="M15" s="41">
        <f>IFERROR(INDEX(환산공식!CK$16:CK$301,MATCH(E15,환산공식!$A$16:$A$301,0)),"")</f>
        <v>200</v>
      </c>
      <c r="N15" s="113" t="str">
        <f t="shared" si="1"/>
        <v>1% 이하</v>
      </c>
      <c r="O15" s="119">
        <f>IFERROR(ROUND(INDEX(환산공식!$EF$16:$EF$301,MATCH(E15,환산공식!$A$16:$A$301,0)),3),"")</f>
        <v>0</v>
      </c>
      <c r="P15" s="119">
        <f>IFERROR(ROUND(INDEX('배치점수 계산기'!M$11:M$1000,MATCH($C15,'배치점수 계산기'!$U$11:$U$1000,0)),2),"")</f>
        <v>902.82</v>
      </c>
      <c r="Q15" s="41">
        <f>IFERROR(ROUND(INDEX('배치점수 계산기'!N$11:N$1000,MATCH($C15,'배치점수 계산기'!$U$11:$U$1000,0)),2),"")</f>
        <v>902.63</v>
      </c>
      <c r="R15" s="41">
        <f>IFERROR(ROUND(INDEX('배치점수 계산기'!O$11:O$1000,MATCH($C15,'배치점수 계산기'!$U$11:$U$1000,0)),2),"")</f>
        <v>901.18</v>
      </c>
      <c r="S15" s="41">
        <f>IFERROR(ROUND(INDEX('배치점수 계산기'!P$11:P$1000,MATCH($C15,'배치점수 계산기'!$U$11:$U$1000,0)),2),"")</f>
        <v>899.47</v>
      </c>
      <c r="T15" s="41">
        <f>IFERROR(ROUND(INDEX('배치점수 계산기'!Q$11:Q$1000,MATCH($C15,'배치점수 계산기'!$U$11:$U$1000,0)),2),"")</f>
        <v>895.99</v>
      </c>
      <c r="U15" s="41">
        <f>IFERROR(INDEX(환산공식!$DC$16:$DC$301,MATCH(E15,환산공식!$A$16:$A$301,0)),"")</f>
        <v>0</v>
      </c>
      <c r="V15" s="113">
        <f t="shared" si="2"/>
        <v>6</v>
      </c>
      <c r="W15" s="110" t="str">
        <f>INDEX('배치점수 계산기'!$AG$11:$AG$800,MATCH('       다 군       '!$C15,'배치점수 계산기'!$U$11:$U$800,0))</f>
        <v>표점</v>
      </c>
      <c r="X15" s="108" t="str">
        <f>INDEX('배치점수 계산기'!$AH$11:$AH$800,MATCH('       다 군       '!$C15,'배치점수 계산기'!$U$11:$U$800,0))</f>
        <v>변표</v>
      </c>
      <c r="Y15" s="113">
        <f>INDEX('배치점수 계산기'!$AB$11:$AB$800,MATCH('       다 군       '!$C15,'배치점수 계산기'!$U$11:$U$800,0))</f>
        <v>0.25</v>
      </c>
      <c r="Z15" s="73">
        <f>INDEX('배치점수 계산기'!$AC$11:$AC$800,MATCH('       다 군       '!$C15,'배치점수 계산기'!$U$11:$U$800,0))</f>
        <v>0.4375</v>
      </c>
      <c r="AA15" s="63">
        <f>INDEX('배치점수 계산기'!$AD$11:$AD$800,MATCH('       다 군       '!$C15,'배치점수 계산기'!$U$11:$U$800,0))</f>
        <v>0.3125</v>
      </c>
      <c r="AE15" s="7">
        <v>8</v>
      </c>
    </row>
    <row r="16" spans="2:31" x14ac:dyDescent="0.3">
      <c r="C16" s="7" t="s">
        <v>1521</v>
      </c>
      <c r="D16" s="41" t="s">
        <v>1132</v>
      </c>
      <c r="E16" s="41">
        <v>44</v>
      </c>
      <c r="F16" s="113" t="s">
        <v>378</v>
      </c>
      <c r="G16" s="41" t="s">
        <v>708</v>
      </c>
      <c r="H16" s="41" t="s">
        <v>773</v>
      </c>
      <c r="I16" s="41" t="s">
        <v>274</v>
      </c>
      <c r="J16" s="41" t="str">
        <f t="shared" si="0"/>
        <v>X</v>
      </c>
      <c r="K16" s="113">
        <f>IFERROR(INDEX(환산공식!CI$16:CI$301,MATCH($E16,환산공식!$A$16:$A$301,0)),"")</f>
        <v>200</v>
      </c>
      <c r="L16" s="41" t="str">
        <f>IFERROR(CONCATENATE(ROUND(INDEX(환산공식!CJ$16:CJ$301,MATCH(E16,환산공식!$A$16:$A$301,0)),1),"%"),"")</f>
        <v>100%</v>
      </c>
      <c r="M16" s="41">
        <f>IFERROR(INDEX(환산공식!CK$16:CK$301,MATCH(E16,환산공식!$A$16:$A$301,0)),"")</f>
        <v>200</v>
      </c>
      <c r="N16" s="113" t="str">
        <f t="shared" si="1"/>
        <v>1% 이하</v>
      </c>
      <c r="O16" s="119">
        <f>IFERROR(ROUND(INDEX(환산공식!$EF$16:$EF$301,MATCH(E16,환산공식!$A$16:$A$301,0)),3),"")</f>
        <v>0</v>
      </c>
      <c r="P16" s="119">
        <f>IFERROR(ROUND(INDEX('배치점수 계산기'!M$11:M$1000,MATCH($C16,'배치점수 계산기'!$U$11:$U$1000,0)),2),"")</f>
        <v>900.16</v>
      </c>
      <c r="Q16" s="41">
        <f>IFERROR(ROUND(INDEX('배치점수 계산기'!N$11:N$1000,MATCH($C16,'배치점수 계산기'!$U$11:$U$1000,0)),2),"")</f>
        <v>899.32</v>
      </c>
      <c r="R16" s="41">
        <f>IFERROR(ROUND(INDEX('배치점수 계산기'!O$11:O$1000,MATCH($C16,'배치점수 계산기'!$U$11:$U$1000,0)),2),"")</f>
        <v>897.61</v>
      </c>
      <c r="S16" s="41">
        <f>IFERROR(ROUND(INDEX('배치점수 계산기'!P$11:P$1000,MATCH($C16,'배치점수 계산기'!$U$11:$U$1000,0)),2),"")</f>
        <v>893.66</v>
      </c>
      <c r="T16" s="41">
        <f>IFERROR(ROUND(INDEX('배치점수 계산기'!Q$11:Q$1000,MATCH($C16,'배치점수 계산기'!$U$11:$U$1000,0)),2),"")</f>
        <v>890.48</v>
      </c>
      <c r="U16" s="41">
        <f>IFERROR(INDEX(환산공식!$DC$16:$DC$301,MATCH(E16,환산공식!$A$16:$A$301,0)),"")</f>
        <v>0</v>
      </c>
      <c r="V16" s="113">
        <f t="shared" si="2"/>
        <v>6</v>
      </c>
      <c r="W16" s="110" t="str">
        <f>INDEX('배치점수 계산기'!$AG$11:$AG$800,MATCH('       다 군       '!$C16,'배치점수 계산기'!$U$11:$U$800,0))</f>
        <v>표점</v>
      </c>
      <c r="X16" s="108" t="str">
        <f>INDEX('배치점수 계산기'!$AH$11:$AH$800,MATCH('       다 군       '!$C16,'배치점수 계산기'!$U$11:$U$800,0))</f>
        <v>변표</v>
      </c>
      <c r="Y16" s="113">
        <f>INDEX('배치점수 계산기'!$AB$11:$AB$800,MATCH('       다 군       '!$C16,'배치점수 계산기'!$U$11:$U$800,0))</f>
        <v>0.25</v>
      </c>
      <c r="Z16" s="73">
        <f>INDEX('배치점수 계산기'!$AC$11:$AC$800,MATCH('       다 군       '!$C16,'배치점수 계산기'!$U$11:$U$800,0))</f>
        <v>0.375</v>
      </c>
      <c r="AA16" s="63">
        <f>INDEX('배치점수 계산기'!$AD$11:$AD$800,MATCH('       다 군       '!$C16,'배치점수 계산기'!$U$11:$U$800,0))</f>
        <v>0.375</v>
      </c>
      <c r="AE16" s="7">
        <v>9</v>
      </c>
    </row>
    <row r="17" spans="3:31" x14ac:dyDescent="0.3">
      <c r="C17" s="7" t="s">
        <v>1522</v>
      </c>
      <c r="D17" s="41" t="s">
        <v>1132</v>
      </c>
      <c r="E17" s="41">
        <v>44</v>
      </c>
      <c r="F17" s="113" t="s">
        <v>378</v>
      </c>
      <c r="G17" s="41" t="s">
        <v>708</v>
      </c>
      <c r="H17" s="41" t="s">
        <v>774</v>
      </c>
      <c r="I17" s="41" t="s">
        <v>274</v>
      </c>
      <c r="J17" s="41" t="str">
        <f t="shared" si="0"/>
        <v>X</v>
      </c>
      <c r="K17" s="113">
        <f>IFERROR(INDEX(환산공식!CI$16:CI$301,MATCH($E17,환산공식!$A$16:$A$301,0)),"")</f>
        <v>200</v>
      </c>
      <c r="L17" s="41" t="str">
        <f>IFERROR(CONCATENATE(ROUND(INDEX(환산공식!CJ$16:CJ$301,MATCH(E17,환산공식!$A$16:$A$301,0)),1),"%"),"")</f>
        <v>100%</v>
      </c>
      <c r="M17" s="41">
        <f>IFERROR(INDEX(환산공식!CK$16:CK$301,MATCH(E17,환산공식!$A$16:$A$301,0)),"")</f>
        <v>200</v>
      </c>
      <c r="N17" s="113" t="str">
        <f t="shared" si="1"/>
        <v>1% 이하</v>
      </c>
      <c r="O17" s="119">
        <f>IFERROR(ROUND(INDEX(환산공식!$EF$16:$EF$301,MATCH(E17,환산공식!$A$16:$A$301,0)),3),"")</f>
        <v>0</v>
      </c>
      <c r="P17" s="119">
        <f>IFERROR(ROUND(INDEX('배치점수 계산기'!M$11:M$1000,MATCH($C17,'배치점수 계산기'!$U$11:$U$1000,0)),2),"")</f>
        <v>900.16</v>
      </c>
      <c r="Q17" s="41">
        <f>IFERROR(ROUND(INDEX('배치점수 계산기'!N$11:N$1000,MATCH($C17,'배치점수 계산기'!$U$11:$U$1000,0)),2),"")</f>
        <v>899.32</v>
      </c>
      <c r="R17" s="41">
        <f>IFERROR(ROUND(INDEX('배치점수 계산기'!O$11:O$1000,MATCH($C17,'배치점수 계산기'!$U$11:$U$1000,0)),2),"")</f>
        <v>897.61</v>
      </c>
      <c r="S17" s="41">
        <f>IFERROR(ROUND(INDEX('배치점수 계산기'!P$11:P$1000,MATCH($C17,'배치점수 계산기'!$U$11:$U$1000,0)),2),"")</f>
        <v>893.66</v>
      </c>
      <c r="T17" s="41">
        <f>IFERROR(ROUND(INDEX('배치점수 계산기'!Q$11:Q$1000,MATCH($C17,'배치점수 계산기'!$U$11:$U$1000,0)),2),"")</f>
        <v>890.48</v>
      </c>
      <c r="U17" s="41">
        <f>IFERROR(INDEX(환산공식!$DC$16:$DC$301,MATCH(E17,환산공식!$A$16:$A$301,0)),"")</f>
        <v>0</v>
      </c>
      <c r="V17" s="113">
        <f t="shared" si="2"/>
        <v>6</v>
      </c>
      <c r="W17" s="110" t="str">
        <f>INDEX('배치점수 계산기'!$AG$11:$AG$800,MATCH('       다 군       '!$C17,'배치점수 계산기'!$U$11:$U$800,0))</f>
        <v>표점</v>
      </c>
      <c r="X17" s="108" t="str">
        <f>INDEX('배치점수 계산기'!$AH$11:$AH$800,MATCH('       다 군       '!$C17,'배치점수 계산기'!$U$11:$U$800,0))</f>
        <v>변표</v>
      </c>
      <c r="Y17" s="113">
        <f>INDEX('배치점수 계산기'!$AB$11:$AB$800,MATCH('       다 군       '!$C17,'배치점수 계산기'!$U$11:$U$800,0))</f>
        <v>0.25</v>
      </c>
      <c r="Z17" s="73">
        <f>INDEX('배치점수 계산기'!$AC$11:$AC$800,MATCH('       다 군       '!$C17,'배치점수 계산기'!$U$11:$U$800,0))</f>
        <v>0.375</v>
      </c>
      <c r="AA17" s="63">
        <f>INDEX('배치점수 계산기'!$AD$11:$AD$800,MATCH('       다 군       '!$C17,'배치점수 계산기'!$U$11:$U$800,0))</f>
        <v>0.375</v>
      </c>
      <c r="AE17" s="7">
        <v>10</v>
      </c>
    </row>
    <row r="18" spans="3:31" x14ac:dyDescent="0.3">
      <c r="C18" s="7" t="s">
        <v>1523</v>
      </c>
      <c r="D18" s="41" t="s">
        <v>1132</v>
      </c>
      <c r="E18" s="41">
        <v>44</v>
      </c>
      <c r="F18" s="113" t="s">
        <v>378</v>
      </c>
      <c r="G18" s="41" t="s">
        <v>708</v>
      </c>
      <c r="H18" s="41" t="s">
        <v>775</v>
      </c>
      <c r="I18" s="41" t="s">
        <v>274</v>
      </c>
      <c r="J18" s="41" t="str">
        <f t="shared" si="0"/>
        <v>X</v>
      </c>
      <c r="K18" s="113">
        <f>IFERROR(INDEX(환산공식!CI$16:CI$301,MATCH($E18,환산공식!$A$16:$A$301,0)),"")</f>
        <v>200</v>
      </c>
      <c r="L18" s="41" t="str">
        <f>IFERROR(CONCATENATE(ROUND(INDEX(환산공식!CJ$16:CJ$301,MATCH(E18,환산공식!$A$16:$A$301,0)),1),"%"),"")</f>
        <v>100%</v>
      </c>
      <c r="M18" s="41">
        <f>IFERROR(INDEX(환산공식!CK$16:CK$301,MATCH(E18,환산공식!$A$16:$A$301,0)),"")</f>
        <v>200</v>
      </c>
      <c r="N18" s="113" t="str">
        <f t="shared" si="1"/>
        <v>1% 이하</v>
      </c>
      <c r="O18" s="119">
        <f>IFERROR(ROUND(INDEX(환산공식!$EF$16:$EF$301,MATCH(E18,환산공식!$A$16:$A$301,0)),3),"")</f>
        <v>0</v>
      </c>
      <c r="P18" s="119">
        <f>IFERROR(ROUND(INDEX('배치점수 계산기'!M$11:M$1000,MATCH($C18,'배치점수 계산기'!$U$11:$U$1000,0)),2),"")</f>
        <v>900.16</v>
      </c>
      <c r="Q18" s="41">
        <f>IFERROR(ROUND(INDEX('배치점수 계산기'!N$11:N$1000,MATCH($C18,'배치점수 계산기'!$U$11:$U$1000,0)),2),"")</f>
        <v>899.32</v>
      </c>
      <c r="R18" s="41">
        <f>IFERROR(ROUND(INDEX('배치점수 계산기'!O$11:O$1000,MATCH($C18,'배치점수 계산기'!$U$11:$U$1000,0)),2),"")</f>
        <v>897.61</v>
      </c>
      <c r="S18" s="41">
        <f>IFERROR(ROUND(INDEX('배치점수 계산기'!P$11:P$1000,MATCH($C18,'배치점수 계산기'!$U$11:$U$1000,0)),2),"")</f>
        <v>895.09</v>
      </c>
      <c r="T18" s="41">
        <f>IFERROR(ROUND(INDEX('배치점수 계산기'!Q$11:Q$1000,MATCH($C18,'배치점수 계산기'!$U$11:$U$1000,0)),2),"")</f>
        <v>892.03</v>
      </c>
      <c r="U18" s="41">
        <f>IFERROR(INDEX(환산공식!$DC$16:$DC$301,MATCH(E18,환산공식!$A$16:$A$301,0)),"")</f>
        <v>0</v>
      </c>
      <c r="V18" s="113">
        <f t="shared" si="2"/>
        <v>6</v>
      </c>
      <c r="W18" s="110" t="str">
        <f>INDEX('배치점수 계산기'!$AG$11:$AG$800,MATCH('       다 군       '!$C18,'배치점수 계산기'!$U$11:$U$800,0))</f>
        <v>표점</v>
      </c>
      <c r="X18" s="108" t="str">
        <f>INDEX('배치점수 계산기'!$AH$11:$AH$800,MATCH('       다 군       '!$C18,'배치점수 계산기'!$U$11:$U$800,0))</f>
        <v>변표</v>
      </c>
      <c r="Y18" s="113">
        <f>INDEX('배치점수 계산기'!$AB$11:$AB$800,MATCH('       다 군       '!$C18,'배치점수 계산기'!$U$11:$U$800,0))</f>
        <v>0.25</v>
      </c>
      <c r="Z18" s="73">
        <f>INDEX('배치점수 계산기'!$AC$11:$AC$800,MATCH('       다 군       '!$C18,'배치점수 계산기'!$U$11:$U$800,0))</f>
        <v>0.375</v>
      </c>
      <c r="AA18" s="63">
        <f>INDEX('배치점수 계산기'!$AD$11:$AD$800,MATCH('       다 군       '!$C18,'배치점수 계산기'!$U$11:$U$800,0))</f>
        <v>0.375</v>
      </c>
      <c r="AE18" s="7">
        <v>11</v>
      </c>
    </row>
    <row r="19" spans="3:31" x14ac:dyDescent="0.3">
      <c r="C19" s="7" t="s">
        <v>1524</v>
      </c>
      <c r="D19" s="41" t="s">
        <v>1128</v>
      </c>
      <c r="E19" s="41">
        <v>43</v>
      </c>
      <c r="F19" s="113" t="s">
        <v>378</v>
      </c>
      <c r="G19" s="41" t="s">
        <v>708</v>
      </c>
      <c r="H19" s="41" t="s">
        <v>784</v>
      </c>
      <c r="I19" s="41" t="s">
        <v>274</v>
      </c>
      <c r="J19" s="41" t="str">
        <f t="shared" si="0"/>
        <v>X</v>
      </c>
      <c r="K19" s="113">
        <f>IFERROR(INDEX(환산공식!CI$16:CI$301,MATCH($E19,환산공식!$A$16:$A$301,0)),"")</f>
        <v>200</v>
      </c>
      <c r="L19" s="41" t="str">
        <f>IFERROR(CONCATENATE(ROUND(INDEX(환산공식!CJ$16:CJ$301,MATCH(E19,환산공식!$A$16:$A$301,0)),1),"%"),"")</f>
        <v>100%</v>
      </c>
      <c r="M19" s="41">
        <f>IFERROR(INDEX(환산공식!CK$16:CK$301,MATCH(E19,환산공식!$A$16:$A$301,0)),"")</f>
        <v>200</v>
      </c>
      <c r="N19" s="113" t="str">
        <f t="shared" si="1"/>
        <v>1% 이하</v>
      </c>
      <c r="O19" s="119">
        <f>IFERROR(ROUND(INDEX(환산공식!$EF$16:$EF$301,MATCH(E19,환산공식!$A$16:$A$301,0)),3),"")</f>
        <v>0</v>
      </c>
      <c r="P19" s="119">
        <f>IFERROR(ROUND(INDEX('배치점수 계산기'!M$11:M$1000,MATCH($C19,'배치점수 계산기'!$U$11:$U$1000,0)),2),"")</f>
        <v>902.34</v>
      </c>
      <c r="Q19" s="41">
        <f>IFERROR(ROUND(INDEX('배치점수 계산기'!N$11:N$1000,MATCH($C19,'배치점수 계산기'!$U$11:$U$1000,0)),2),"")</f>
        <v>901.18</v>
      </c>
      <c r="R19" s="41">
        <f>IFERROR(ROUND(INDEX('배치점수 계산기'!O$11:O$1000,MATCH($C19,'배치점수 계산기'!$U$11:$U$1000,0)),2),"")</f>
        <v>898.32</v>
      </c>
      <c r="S19" s="41">
        <f>IFERROR(ROUND(INDEX('배치점수 계산기'!P$11:P$1000,MATCH($C19,'배치점수 계산기'!$U$11:$U$1000,0)),2),"")</f>
        <v>896.4</v>
      </c>
      <c r="T19" s="41">
        <f>IFERROR(ROUND(INDEX('배치점수 계산기'!Q$11:Q$1000,MATCH($C19,'배치점수 계산기'!$U$11:$U$1000,0)),2),"")</f>
        <v>895.35</v>
      </c>
      <c r="U19" s="41">
        <f>IFERROR(INDEX(환산공식!$DC$16:$DC$301,MATCH(E19,환산공식!$A$16:$A$301,0)),"")</f>
        <v>0</v>
      </c>
      <c r="V19" s="113">
        <f t="shared" si="2"/>
        <v>6</v>
      </c>
      <c r="W19" s="110" t="str">
        <f>INDEX('배치점수 계산기'!$AG$11:$AG$800,MATCH('       다 군       '!$C19,'배치점수 계산기'!$U$11:$U$800,0))</f>
        <v>표점</v>
      </c>
      <c r="X19" s="108" t="str">
        <f>INDEX('배치점수 계산기'!$AH$11:$AH$800,MATCH('       다 군       '!$C19,'배치점수 계산기'!$U$11:$U$800,0))</f>
        <v>변표</v>
      </c>
      <c r="Y19" s="113">
        <f>INDEX('배치점수 계산기'!$AB$11:$AB$800,MATCH('       다 군       '!$C19,'배치점수 계산기'!$U$11:$U$800,0))</f>
        <v>0.25</v>
      </c>
      <c r="Z19" s="73">
        <f>INDEX('배치점수 계산기'!$AC$11:$AC$800,MATCH('       다 군       '!$C19,'배치점수 계산기'!$U$11:$U$800,0))</f>
        <v>0.4375</v>
      </c>
      <c r="AA19" s="63">
        <f>INDEX('배치점수 계산기'!$AD$11:$AD$800,MATCH('       다 군       '!$C19,'배치점수 계산기'!$U$11:$U$800,0))</f>
        <v>0.3125</v>
      </c>
      <c r="AE19" s="7">
        <v>12</v>
      </c>
    </row>
    <row r="20" spans="3:31" x14ac:dyDescent="0.3">
      <c r="C20" s="7" t="s">
        <v>1525</v>
      </c>
      <c r="D20" s="41" t="s">
        <v>1132</v>
      </c>
      <c r="E20" s="41">
        <v>44</v>
      </c>
      <c r="F20" s="113" t="s">
        <v>378</v>
      </c>
      <c r="G20" s="41" t="s">
        <v>708</v>
      </c>
      <c r="H20" s="41" t="s">
        <v>787</v>
      </c>
      <c r="I20" s="41" t="s">
        <v>274</v>
      </c>
      <c r="J20" s="41" t="str">
        <f t="shared" si="0"/>
        <v>X</v>
      </c>
      <c r="K20" s="113">
        <f>IFERROR(INDEX(환산공식!CI$16:CI$301,MATCH($E20,환산공식!$A$16:$A$301,0)),"")</f>
        <v>200</v>
      </c>
      <c r="L20" s="41" t="str">
        <f>IFERROR(CONCATENATE(ROUND(INDEX(환산공식!CJ$16:CJ$301,MATCH(E20,환산공식!$A$16:$A$301,0)),1),"%"),"")</f>
        <v>100%</v>
      </c>
      <c r="M20" s="41">
        <f>IFERROR(INDEX(환산공식!CK$16:CK$301,MATCH(E20,환산공식!$A$16:$A$301,0)),"")</f>
        <v>200</v>
      </c>
      <c r="N20" s="113" t="str">
        <f t="shared" si="1"/>
        <v>1% 이하</v>
      </c>
      <c r="O20" s="119">
        <f>IFERROR(ROUND(INDEX(환산공식!$EF$16:$EF$301,MATCH(E20,환산공식!$A$16:$A$301,0)),3),"")</f>
        <v>0</v>
      </c>
      <c r="P20" s="119">
        <f>IFERROR(ROUND(INDEX('배치점수 계산기'!M$11:M$1000,MATCH($C20,'배치점수 계산기'!$U$11:$U$1000,0)),2),"")</f>
        <v>900.51</v>
      </c>
      <c r="Q20" s="41">
        <f>IFERROR(ROUND(INDEX('배치점수 계산기'!N$11:N$1000,MATCH($C20,'배치점수 계산기'!$U$11:$U$1000,0)),2),"")</f>
        <v>899.98</v>
      </c>
      <c r="R20" s="41">
        <f>IFERROR(ROUND(INDEX('배치점수 계산기'!O$11:O$1000,MATCH($C20,'배치점수 계산기'!$U$11:$U$1000,0)),2),"")</f>
        <v>898.26</v>
      </c>
      <c r="S20" s="41">
        <f>IFERROR(ROUND(INDEX('배치점수 계산기'!P$11:P$1000,MATCH($C20,'배치점수 계산기'!$U$11:$U$1000,0)),2),"")</f>
        <v>896.5</v>
      </c>
      <c r="T20" s="41">
        <f>IFERROR(ROUND(INDEX('배치점수 계산기'!Q$11:Q$1000,MATCH($C20,'배치점수 계산기'!$U$11:$U$1000,0)),2),"")</f>
        <v>890.06</v>
      </c>
      <c r="U20" s="41">
        <f>IFERROR(INDEX(환산공식!$DC$16:$DC$301,MATCH(E20,환산공식!$A$16:$A$301,0)),"")</f>
        <v>0</v>
      </c>
      <c r="V20" s="113">
        <f t="shared" si="2"/>
        <v>6</v>
      </c>
      <c r="W20" s="110" t="str">
        <f>INDEX('배치점수 계산기'!$AG$11:$AG$800,MATCH('       다 군       '!$C20,'배치점수 계산기'!$U$11:$U$800,0))</f>
        <v>표점</v>
      </c>
      <c r="X20" s="108" t="str">
        <f>INDEX('배치점수 계산기'!$AH$11:$AH$800,MATCH('       다 군       '!$C20,'배치점수 계산기'!$U$11:$U$800,0))</f>
        <v>변표</v>
      </c>
      <c r="Y20" s="113">
        <f>INDEX('배치점수 계산기'!$AB$11:$AB$800,MATCH('       다 군       '!$C20,'배치점수 계산기'!$U$11:$U$800,0))</f>
        <v>0.25</v>
      </c>
      <c r="Z20" s="73">
        <f>INDEX('배치점수 계산기'!$AC$11:$AC$800,MATCH('       다 군       '!$C20,'배치점수 계산기'!$U$11:$U$800,0))</f>
        <v>0.375</v>
      </c>
      <c r="AA20" s="63">
        <f>INDEX('배치점수 계산기'!$AD$11:$AD$800,MATCH('       다 군       '!$C20,'배치점수 계산기'!$U$11:$U$800,0))</f>
        <v>0.375</v>
      </c>
      <c r="AE20" s="7">
        <v>13</v>
      </c>
    </row>
    <row r="21" spans="3:31" x14ac:dyDescent="0.3">
      <c r="C21" s="7" t="s">
        <v>1526</v>
      </c>
      <c r="D21" s="41" t="s">
        <v>1138</v>
      </c>
      <c r="E21" s="41">
        <v>45</v>
      </c>
      <c r="F21" s="113" t="s">
        <v>378</v>
      </c>
      <c r="G21" s="41" t="s">
        <v>708</v>
      </c>
      <c r="H21" s="41" t="s">
        <v>335</v>
      </c>
      <c r="I21" s="41" t="s">
        <v>275</v>
      </c>
      <c r="J21" s="41" t="str">
        <f t="shared" si="0"/>
        <v>X</v>
      </c>
      <c r="K21" s="113">
        <f>IFERROR(INDEX(환산공식!CI$16:CI$301,MATCH($E21,환산공식!$A$16:$A$301,0)),"")</f>
        <v>200</v>
      </c>
      <c r="L21" s="41" t="str">
        <f>IFERROR(CONCATENATE(ROUND(INDEX(환산공식!CJ$16:CJ$301,MATCH(E21,환산공식!$A$16:$A$301,0)),1),"%"),"")</f>
        <v>100%</v>
      </c>
      <c r="M21" s="41">
        <f>IFERROR(INDEX(환산공식!CK$16:CK$301,MATCH(E21,환산공식!$A$16:$A$301,0)),"")</f>
        <v>200</v>
      </c>
      <c r="N21" s="113" t="str">
        <f t="shared" si="1"/>
        <v>1% 이하</v>
      </c>
      <c r="O21" s="119">
        <f>IFERROR(ROUND(INDEX(환산공식!$EF$16:$EF$301,MATCH(E21,환산공식!$A$16:$A$301,0)),3),"")</f>
        <v>0</v>
      </c>
      <c r="P21" s="119">
        <f>IFERROR(ROUND(INDEX('배치점수 계산기'!M$11:M$1000,MATCH($C21,'배치점수 계산기'!$U$11:$U$1000,0)),2),"")</f>
        <v>897.72</v>
      </c>
      <c r="Q21" s="41">
        <f>IFERROR(ROUND(INDEX('배치점수 계산기'!N$11:N$1000,MATCH($C21,'배치점수 계산기'!$U$11:$U$1000,0)),2),"")</f>
        <v>896.8</v>
      </c>
      <c r="R21" s="41">
        <f>IFERROR(ROUND(INDEX('배치점수 계산기'!O$11:O$1000,MATCH($C21,'배치점수 계산기'!$U$11:$U$1000,0)),2),"")</f>
        <v>895.36</v>
      </c>
      <c r="S21" s="41">
        <f>IFERROR(ROUND(INDEX('배치점수 계산기'!P$11:P$1000,MATCH($C21,'배치점수 계산기'!$U$11:$U$1000,0)),2),"")</f>
        <v>890.38</v>
      </c>
      <c r="T21" s="41">
        <f>IFERROR(ROUND(INDEX('배치점수 계산기'!Q$11:Q$1000,MATCH($C21,'배치점수 계산기'!$U$11:$U$1000,0)),2),"")</f>
        <v>885.06</v>
      </c>
      <c r="U21" s="41">
        <f>IFERROR(INDEX(환산공식!$DC$16:$DC$301,MATCH(E21,환산공식!$A$16:$A$301,0)),"")</f>
        <v>0</v>
      </c>
      <c r="V21" s="113">
        <f t="shared" si="2"/>
        <v>6</v>
      </c>
      <c r="W21" s="110" t="str">
        <f>INDEX('배치점수 계산기'!$AG$11:$AG$800,MATCH('       다 군       '!$C21,'배치점수 계산기'!$U$11:$U$800,0))</f>
        <v>표점</v>
      </c>
      <c r="X21" s="108" t="str">
        <f>INDEX('배치점수 계산기'!$AH$11:$AH$800,MATCH('       다 군       '!$C21,'배치점수 계산기'!$U$11:$U$800,0))</f>
        <v>변표</v>
      </c>
      <c r="Y21" s="113">
        <f>INDEX('배치점수 계산기'!$AB$11:$AB$800,MATCH('       다 군       '!$C21,'배치점수 계산기'!$U$11:$U$800,0))</f>
        <v>0.375</v>
      </c>
      <c r="Z21" s="73">
        <f>INDEX('배치점수 계산기'!$AC$11:$AC$800,MATCH('       다 군       '!$C21,'배치점수 계산기'!$U$11:$U$800,0))</f>
        <v>0.3125</v>
      </c>
      <c r="AA21" s="63">
        <f>INDEX('배치점수 계산기'!$AD$11:$AD$800,MATCH('       다 군       '!$C21,'배치점수 계산기'!$U$11:$U$800,0))</f>
        <v>0.3125</v>
      </c>
      <c r="AE21" s="7">
        <v>14</v>
      </c>
    </row>
    <row r="22" spans="3:31" x14ac:dyDescent="0.3">
      <c r="C22" s="7" t="s">
        <v>1527</v>
      </c>
      <c r="D22" s="41" t="s">
        <v>1145</v>
      </c>
      <c r="E22" s="41">
        <v>48</v>
      </c>
      <c r="F22" s="113" t="s">
        <v>378</v>
      </c>
      <c r="G22" s="41" t="s">
        <v>801</v>
      </c>
      <c r="H22" s="41" t="s">
        <v>827</v>
      </c>
      <c r="I22" s="41" t="s">
        <v>274</v>
      </c>
      <c r="J22" s="41" t="str">
        <f t="shared" si="0"/>
        <v>X</v>
      </c>
      <c r="K22" s="113">
        <f>IFERROR(INDEX(환산공식!CI$16:CI$301,MATCH($E22,환산공식!$A$16:$A$301,0)),"")</f>
        <v>200</v>
      </c>
      <c r="L22" s="41" t="str">
        <f>IFERROR(CONCATENATE(ROUND(INDEX(환산공식!CJ$16:CJ$301,MATCH(E22,환산공식!$A$16:$A$301,0)),1),"%"),"")</f>
        <v>100%</v>
      </c>
      <c r="M22" s="41">
        <f>IFERROR(INDEX(환산공식!CK$16:CK$301,MATCH(E22,환산공식!$A$16:$A$301,0)),"")</f>
        <v>50</v>
      </c>
      <c r="N22" s="113" t="str">
        <f t="shared" si="1"/>
        <v>1% 이하</v>
      </c>
      <c r="O22" s="119">
        <f>IFERROR(ROUND(INDEX(환산공식!$EF$16:$EF$301,MATCH(E22,환산공식!$A$16:$A$301,0)),3),"")</f>
        <v>0</v>
      </c>
      <c r="P22" s="119">
        <f>IFERROR(ROUND(INDEX('배치점수 계산기'!M$11:M$1000,MATCH($C22,'배치점수 계산기'!$U$11:$U$1000,0)),2),"")</f>
        <v>712.98</v>
      </c>
      <c r="Q22" s="41">
        <f>IFERROR(ROUND(INDEX('배치점수 계산기'!N$11:N$1000,MATCH($C22,'배치점수 계산기'!$U$11:$U$1000,0)),2),"")</f>
        <v>712.14</v>
      </c>
      <c r="R22" s="41">
        <f>IFERROR(ROUND(INDEX('배치점수 계산기'!O$11:O$1000,MATCH($C22,'배치점수 계산기'!$U$11:$U$1000,0)),2),"")</f>
        <v>710.83</v>
      </c>
      <c r="S22" s="41">
        <f>IFERROR(ROUND(INDEX('배치점수 계산기'!P$11:P$1000,MATCH($C22,'배치점수 계산기'!$U$11:$U$1000,0)),2),"")</f>
        <v>709.97</v>
      </c>
      <c r="T22" s="41">
        <f>IFERROR(ROUND(INDEX('배치점수 계산기'!Q$11:Q$1000,MATCH($C22,'배치점수 계산기'!$U$11:$U$1000,0)),2),"")</f>
        <v>709.09</v>
      </c>
      <c r="U22" s="41">
        <f>IFERROR(INDEX(환산공식!$DC$16:$DC$301,MATCH(E22,환산공식!$A$16:$A$301,0)),"")</f>
        <v>0</v>
      </c>
      <c r="V22" s="113">
        <f t="shared" si="2"/>
        <v>6</v>
      </c>
      <c r="W22" s="110" t="str">
        <f>INDEX('배치점수 계산기'!$AG$11:$AG$800,MATCH('       다 군       '!$C22,'배치점수 계산기'!$U$11:$U$800,0))</f>
        <v>표점</v>
      </c>
      <c r="X22" s="108" t="str">
        <f>INDEX('배치점수 계산기'!$AH$11:$AH$800,MATCH('       다 군       '!$C22,'배치점수 계산기'!$U$11:$U$800,0))</f>
        <v>변표</v>
      </c>
      <c r="Y22" s="113">
        <f>INDEX('배치점수 계산기'!$AB$11:$AB$800,MATCH('       다 군       '!$C22,'배치점수 계산기'!$U$11:$U$800,0))</f>
        <v>0.33333333333333331</v>
      </c>
      <c r="Z22" s="73">
        <f>INDEX('배치점수 계산기'!$AC$11:$AC$800,MATCH('       다 군       '!$C22,'배치점수 계산기'!$U$11:$U$800,0))</f>
        <v>0.4</v>
      </c>
      <c r="AA22" s="63">
        <f>INDEX('배치점수 계산기'!$AD$11:$AD$800,MATCH('       다 군       '!$C22,'배치점수 계산기'!$U$11:$U$800,0))</f>
        <v>0.26666666666666666</v>
      </c>
      <c r="AE22" s="7">
        <v>15</v>
      </c>
    </row>
    <row r="23" spans="3:31" x14ac:dyDescent="0.3">
      <c r="C23" s="7" t="s">
        <v>1528</v>
      </c>
      <c r="D23" s="41" t="s">
        <v>1529</v>
      </c>
      <c r="E23" s="41">
        <v>52</v>
      </c>
      <c r="F23" s="113" t="s">
        <v>378</v>
      </c>
      <c r="G23" s="41" t="s">
        <v>828</v>
      </c>
      <c r="H23" s="41" t="s">
        <v>829</v>
      </c>
      <c r="I23" s="41" t="s">
        <v>274</v>
      </c>
      <c r="J23" s="41" t="str">
        <f t="shared" si="0"/>
        <v>X</v>
      </c>
      <c r="K23" s="113">
        <f>IFERROR(INDEX(환산공식!CI$16:CI$301,MATCH($E23,환산공식!$A$16:$A$301,0)),"")</f>
        <v>30</v>
      </c>
      <c r="L23" s="41" t="str">
        <f>IFERROR(CONCATENATE(ROUND(INDEX(환산공식!CJ$16:CJ$301,MATCH(E23,환산공식!$A$16:$A$301,0)),1),"%"),"")</f>
        <v>100%</v>
      </c>
      <c r="M23" s="41">
        <f>IFERROR(INDEX(환산공식!CK$16:CK$301,MATCH(E23,환산공식!$A$16:$A$301,0)),"")</f>
        <v>10</v>
      </c>
      <c r="N23" s="113" t="str">
        <f t="shared" si="1"/>
        <v>1% 이하</v>
      </c>
      <c r="O23" s="119">
        <f>IFERROR(ROUND(INDEX(환산공식!$EF$16:$EF$301,MATCH(E23,환산공식!$A$16:$A$301,0)),3),"")</f>
        <v>0</v>
      </c>
      <c r="P23" s="119">
        <f>IFERROR(ROUND(INDEX('배치점수 계산기'!M$11:M$1000,MATCH($C23,'배치점수 계산기'!$U$11:$U$1000,0)),2),"")</f>
        <v>144.24</v>
      </c>
      <c r="Q23" s="41">
        <f>IFERROR(ROUND(INDEX('배치점수 계산기'!N$11:N$1000,MATCH($C23,'배치점수 계산기'!$U$11:$U$1000,0)),2),"")</f>
        <v>143.99</v>
      </c>
      <c r="R23" s="41">
        <f>IFERROR(ROUND(INDEX('배치점수 계산기'!O$11:O$1000,MATCH($C23,'배치점수 계산기'!$U$11:$U$1000,0)),2),"")</f>
        <v>143.75</v>
      </c>
      <c r="S23" s="41">
        <f>IFERROR(ROUND(INDEX('배치점수 계산기'!P$11:P$1000,MATCH($C23,'배치점수 계산기'!$U$11:$U$1000,0)),2),"")</f>
        <v>143.21</v>
      </c>
      <c r="T23" s="41">
        <f>IFERROR(ROUND(INDEX('배치점수 계산기'!Q$11:Q$1000,MATCH($C23,'배치점수 계산기'!$U$11:$U$1000,0)),2),"")</f>
        <v>142.59</v>
      </c>
      <c r="U23" s="41">
        <f>IFERROR(INDEX(환산공식!$DC$16:$DC$301,MATCH(E23,환산공식!$A$16:$A$301,0)),"")</f>
        <v>0</v>
      </c>
      <c r="V23" s="113">
        <f t="shared" si="2"/>
        <v>6</v>
      </c>
      <c r="W23" s="110" t="str">
        <f>INDEX('배치점수 계산기'!$AG$11:$AG$800,MATCH('       다 군       '!$C23,'배치점수 계산기'!$U$11:$U$800,0))</f>
        <v>표점</v>
      </c>
      <c r="X23" s="108" t="str">
        <f>INDEX('배치점수 계산기'!$AH$11:$AH$800,MATCH('       다 군       '!$C23,'배치점수 계산기'!$U$11:$U$800,0))</f>
        <v>표점</v>
      </c>
      <c r="Y23" s="113">
        <f>INDEX('배치점수 계산기'!$AB$11:$AB$800,MATCH('       다 군       '!$C23,'배치점수 계산기'!$U$11:$U$800,0))</f>
        <v>0.23529411764705882</v>
      </c>
      <c r="Z23" s="73">
        <f>INDEX('배치점수 계산기'!$AC$11:$AC$800,MATCH('       다 군       '!$C23,'배치점수 계산기'!$U$11:$U$800,0))</f>
        <v>0.41176470588235287</v>
      </c>
      <c r="AA23" s="63">
        <f>INDEX('배치점수 계산기'!$AD$11:$AD$800,MATCH('       다 군       '!$C23,'배치점수 계산기'!$U$11:$U$800,0))</f>
        <v>0.3529411764705882</v>
      </c>
      <c r="AE23" s="7">
        <v>16</v>
      </c>
    </row>
    <row r="24" spans="3:31" x14ac:dyDescent="0.3">
      <c r="C24" s="7" t="s">
        <v>1530</v>
      </c>
      <c r="D24" s="41" t="s">
        <v>1531</v>
      </c>
      <c r="E24" s="41">
        <v>53</v>
      </c>
      <c r="F24" s="113" t="s">
        <v>378</v>
      </c>
      <c r="G24" s="41" t="s">
        <v>828</v>
      </c>
      <c r="H24" s="41" t="s">
        <v>830</v>
      </c>
      <c r="I24" s="41" t="s">
        <v>275</v>
      </c>
      <c r="J24" s="41" t="str">
        <f t="shared" si="0"/>
        <v>X</v>
      </c>
      <c r="K24" s="113">
        <f>IFERROR(INDEX(환산공식!CI$16:CI$301,MATCH($E24,환산공식!$A$16:$A$301,0)),"")</f>
        <v>30</v>
      </c>
      <c r="L24" s="41" t="str">
        <f>IFERROR(CONCATENATE(ROUND(INDEX(환산공식!CJ$16:CJ$301,MATCH(E24,환산공식!$A$16:$A$301,0)),1),"%"),"")</f>
        <v>100%</v>
      </c>
      <c r="M24" s="41">
        <f>IFERROR(INDEX(환산공식!CK$16:CK$301,MATCH(E24,환산공식!$A$16:$A$301,0)),"")</f>
        <v>10</v>
      </c>
      <c r="N24" s="113" t="str">
        <f t="shared" si="1"/>
        <v>1% 이하</v>
      </c>
      <c r="O24" s="119">
        <f>IFERROR(ROUND(INDEX(환산공식!$EF$16:$EF$301,MATCH(E24,환산공식!$A$16:$A$301,0)),3),"")</f>
        <v>0</v>
      </c>
      <c r="P24" s="119">
        <f>IFERROR(ROUND(INDEX('배치점수 계산기'!M$11:M$1000,MATCH($C24,'배치점수 계산기'!$U$11:$U$1000,0)),2),"")</f>
        <v>141.91</v>
      </c>
      <c r="Q24" s="41">
        <f>IFERROR(ROUND(INDEX('배치점수 계산기'!N$11:N$1000,MATCH($C24,'배치점수 계산기'!$U$11:$U$1000,0)),2),"")</f>
        <v>141.36000000000001</v>
      </c>
      <c r="R24" s="41">
        <f>IFERROR(ROUND(INDEX('배치점수 계산기'!O$11:O$1000,MATCH($C24,'배치점수 계산기'!$U$11:$U$1000,0)),2),"")</f>
        <v>140.97999999999999</v>
      </c>
      <c r="S24" s="41">
        <f>IFERROR(ROUND(INDEX('배치점수 계산기'!P$11:P$1000,MATCH($C24,'배치점수 계산기'!$U$11:$U$1000,0)),2),"")</f>
        <v>140.63</v>
      </c>
      <c r="T24" s="41">
        <f>IFERROR(ROUND(INDEX('배치점수 계산기'!Q$11:Q$1000,MATCH($C24,'배치점수 계산기'!$U$11:$U$1000,0)),2),"")</f>
        <v>140.28</v>
      </c>
      <c r="U24" s="41">
        <f>IFERROR(INDEX(환산공식!$DC$16:$DC$301,MATCH(E24,환산공식!$A$16:$A$301,0)),"")</f>
        <v>0</v>
      </c>
      <c r="V24" s="113">
        <f t="shared" si="2"/>
        <v>6</v>
      </c>
      <c r="W24" s="110" t="str">
        <f>INDEX('배치점수 계산기'!$AG$11:$AG$800,MATCH('       다 군       '!$C24,'배치점수 계산기'!$U$11:$U$800,0))</f>
        <v>표점</v>
      </c>
      <c r="X24" s="108" t="str">
        <f>INDEX('배치점수 계산기'!$AH$11:$AH$800,MATCH('       다 군       '!$C24,'배치점수 계산기'!$U$11:$U$800,0))</f>
        <v>표점</v>
      </c>
      <c r="Y24" s="113">
        <f>INDEX('배치점수 계산기'!$AB$11:$AB$800,MATCH('       다 군       '!$C24,'배치점수 계산기'!$U$11:$U$800,0))</f>
        <v>0.35294117647058826</v>
      </c>
      <c r="Z24" s="73">
        <f>INDEX('배치점수 계산기'!$AC$11:$AC$800,MATCH('       다 군       '!$C24,'배치점수 계산기'!$U$11:$U$800,0))</f>
        <v>0.35294117647058826</v>
      </c>
      <c r="AA24" s="63">
        <f>INDEX('배치점수 계산기'!$AD$11:$AD$800,MATCH('       다 군       '!$C24,'배치점수 계산기'!$U$11:$U$800,0))</f>
        <v>0.29411764705882354</v>
      </c>
      <c r="AE24" s="7">
        <v>17</v>
      </c>
    </row>
    <row r="25" spans="3:31" x14ac:dyDescent="0.3">
      <c r="C25" s="7" t="s">
        <v>1532</v>
      </c>
      <c r="D25" s="41" t="s">
        <v>1529</v>
      </c>
      <c r="E25" s="41">
        <v>52</v>
      </c>
      <c r="F25" s="113" t="s">
        <v>378</v>
      </c>
      <c r="G25" s="41" t="s">
        <v>828</v>
      </c>
      <c r="H25" s="41" t="s">
        <v>831</v>
      </c>
      <c r="I25" s="41" t="s">
        <v>274</v>
      </c>
      <c r="J25" s="41" t="str">
        <f t="shared" si="0"/>
        <v>X</v>
      </c>
      <c r="K25" s="113">
        <f>IFERROR(INDEX(환산공식!CI$16:CI$301,MATCH($E25,환산공식!$A$16:$A$301,0)),"")</f>
        <v>30</v>
      </c>
      <c r="L25" s="41" t="str">
        <f>IFERROR(CONCATENATE(ROUND(INDEX(환산공식!CJ$16:CJ$301,MATCH(E25,환산공식!$A$16:$A$301,0)),1),"%"),"")</f>
        <v>100%</v>
      </c>
      <c r="M25" s="41">
        <f>IFERROR(INDEX(환산공식!CK$16:CK$301,MATCH(E25,환산공식!$A$16:$A$301,0)),"")</f>
        <v>10</v>
      </c>
      <c r="N25" s="113" t="str">
        <f t="shared" si="1"/>
        <v>1% 이하</v>
      </c>
      <c r="O25" s="119">
        <f>IFERROR(ROUND(INDEX(환산공식!$EF$16:$EF$301,MATCH(E25,환산공식!$A$16:$A$301,0)),3),"")</f>
        <v>0</v>
      </c>
      <c r="P25" s="119">
        <f>IFERROR(ROUND(INDEX('배치점수 계산기'!M$11:M$1000,MATCH($C25,'배치점수 계산기'!$U$11:$U$1000,0)),2),"")</f>
        <v>144.1</v>
      </c>
      <c r="Q25" s="41">
        <f>IFERROR(ROUND(INDEX('배치점수 계산기'!N$11:N$1000,MATCH($C25,'배치점수 계산기'!$U$11:$U$1000,0)),2),"")</f>
        <v>143.83000000000001</v>
      </c>
      <c r="R25" s="41">
        <f>IFERROR(ROUND(INDEX('배치점수 계산기'!O$11:O$1000,MATCH($C25,'배치점수 계산기'!$U$11:$U$1000,0)),2),"")</f>
        <v>143.46</v>
      </c>
      <c r="S25" s="41">
        <f>IFERROR(ROUND(INDEX('배치점수 계산기'!P$11:P$1000,MATCH($C25,'배치점수 계산기'!$U$11:$U$1000,0)),2),"")</f>
        <v>142.91999999999999</v>
      </c>
      <c r="T25" s="41">
        <f>IFERROR(ROUND(INDEX('배치점수 계산기'!Q$11:Q$1000,MATCH($C25,'배치점수 계산기'!$U$11:$U$1000,0)),2),"")</f>
        <v>142.36000000000001</v>
      </c>
      <c r="U25" s="41">
        <f>IFERROR(INDEX(환산공식!$DC$16:$DC$301,MATCH(E25,환산공식!$A$16:$A$301,0)),"")</f>
        <v>0</v>
      </c>
      <c r="V25" s="113">
        <f t="shared" si="2"/>
        <v>6</v>
      </c>
      <c r="W25" s="110" t="str">
        <f>INDEX('배치점수 계산기'!$AG$11:$AG$800,MATCH('       다 군       '!$C25,'배치점수 계산기'!$U$11:$U$800,0))</f>
        <v>표점</v>
      </c>
      <c r="X25" s="108" t="str">
        <f>INDEX('배치점수 계산기'!$AH$11:$AH$800,MATCH('       다 군       '!$C25,'배치점수 계산기'!$U$11:$U$800,0))</f>
        <v>표점</v>
      </c>
      <c r="Y25" s="113">
        <f>INDEX('배치점수 계산기'!$AB$11:$AB$800,MATCH('       다 군       '!$C25,'배치점수 계산기'!$U$11:$U$800,0))</f>
        <v>0.23529411764705882</v>
      </c>
      <c r="Z25" s="73">
        <f>INDEX('배치점수 계산기'!$AC$11:$AC$800,MATCH('       다 군       '!$C25,'배치점수 계산기'!$U$11:$U$800,0))</f>
        <v>0.41176470588235287</v>
      </c>
      <c r="AA25" s="63">
        <f>INDEX('배치점수 계산기'!$AD$11:$AD$800,MATCH('       다 군       '!$C25,'배치점수 계산기'!$U$11:$U$800,0))</f>
        <v>0.3529411764705882</v>
      </c>
      <c r="AE25" s="7">
        <v>18</v>
      </c>
    </row>
    <row r="26" spans="3:31" x14ac:dyDescent="0.3">
      <c r="C26" s="7" t="s">
        <v>1533</v>
      </c>
      <c r="D26" s="41" t="s">
        <v>1531</v>
      </c>
      <c r="E26" s="41">
        <v>53</v>
      </c>
      <c r="F26" s="113" t="s">
        <v>378</v>
      </c>
      <c r="G26" s="41" t="s">
        <v>828</v>
      </c>
      <c r="H26" s="41" t="s">
        <v>832</v>
      </c>
      <c r="I26" s="41" t="s">
        <v>275</v>
      </c>
      <c r="J26" s="41" t="str">
        <f t="shared" si="0"/>
        <v>X</v>
      </c>
      <c r="K26" s="113">
        <f>IFERROR(INDEX(환산공식!CI$16:CI$301,MATCH($E26,환산공식!$A$16:$A$301,0)),"")</f>
        <v>30</v>
      </c>
      <c r="L26" s="41" t="str">
        <f>IFERROR(CONCATENATE(ROUND(INDEX(환산공식!CJ$16:CJ$301,MATCH(E26,환산공식!$A$16:$A$301,0)),1),"%"),"")</f>
        <v>100%</v>
      </c>
      <c r="M26" s="41">
        <f>IFERROR(INDEX(환산공식!CK$16:CK$301,MATCH(E26,환산공식!$A$16:$A$301,0)),"")</f>
        <v>10</v>
      </c>
      <c r="N26" s="113" t="str">
        <f t="shared" si="1"/>
        <v>1% 이하</v>
      </c>
      <c r="O26" s="119">
        <f>IFERROR(ROUND(INDEX(환산공식!$EF$16:$EF$301,MATCH(E26,환산공식!$A$16:$A$301,0)),3),"")</f>
        <v>0</v>
      </c>
      <c r="P26" s="119">
        <f>IFERROR(ROUND(INDEX('배치점수 계산기'!M$11:M$1000,MATCH($C26,'배치점수 계산기'!$U$11:$U$1000,0)),2),"")</f>
        <v>142.13</v>
      </c>
      <c r="Q26" s="41">
        <f>IFERROR(ROUND(INDEX('배치점수 계산기'!N$11:N$1000,MATCH($C26,'배치점수 계산기'!$U$11:$U$1000,0)),2),"")</f>
        <v>141.69</v>
      </c>
      <c r="R26" s="41">
        <f>IFERROR(ROUND(INDEX('배치점수 계산기'!O$11:O$1000,MATCH($C26,'배치점수 계산기'!$U$11:$U$1000,0)),2),"")</f>
        <v>141.26</v>
      </c>
      <c r="S26" s="41">
        <f>IFERROR(ROUND(INDEX('배치점수 계산기'!P$11:P$1000,MATCH($C26,'배치점수 계산기'!$U$11:$U$1000,0)),2),"")</f>
        <v>140.59</v>
      </c>
      <c r="T26" s="41">
        <f>IFERROR(ROUND(INDEX('배치점수 계산기'!Q$11:Q$1000,MATCH($C26,'배치점수 계산기'!$U$11:$U$1000,0)),2),"")</f>
        <v>140.22</v>
      </c>
      <c r="U26" s="41">
        <f>IFERROR(INDEX(환산공식!$DC$16:$DC$301,MATCH(E26,환산공식!$A$16:$A$301,0)),"")</f>
        <v>0</v>
      </c>
      <c r="V26" s="113">
        <f t="shared" si="2"/>
        <v>6</v>
      </c>
      <c r="W26" s="110" t="str">
        <f>INDEX('배치점수 계산기'!$AG$11:$AG$800,MATCH('       다 군       '!$C26,'배치점수 계산기'!$U$11:$U$800,0))</f>
        <v>표점</v>
      </c>
      <c r="X26" s="108" t="str">
        <f>INDEX('배치점수 계산기'!$AH$11:$AH$800,MATCH('       다 군       '!$C26,'배치점수 계산기'!$U$11:$U$800,0))</f>
        <v>표점</v>
      </c>
      <c r="Y26" s="113">
        <f>INDEX('배치점수 계산기'!$AB$11:$AB$800,MATCH('       다 군       '!$C26,'배치점수 계산기'!$U$11:$U$800,0))</f>
        <v>0.35294117647058826</v>
      </c>
      <c r="Z26" s="73">
        <f>INDEX('배치점수 계산기'!$AC$11:$AC$800,MATCH('       다 군       '!$C26,'배치점수 계산기'!$U$11:$U$800,0))</f>
        <v>0.35294117647058826</v>
      </c>
      <c r="AA26" s="63">
        <f>INDEX('배치점수 계산기'!$AD$11:$AD$800,MATCH('       다 군       '!$C26,'배치점수 계산기'!$U$11:$U$800,0))</f>
        <v>0.29411764705882354</v>
      </c>
      <c r="AE26" s="7">
        <v>19</v>
      </c>
    </row>
    <row r="27" spans="3:31" x14ac:dyDescent="0.3">
      <c r="C27" s="7" t="s">
        <v>1534</v>
      </c>
      <c r="D27" s="41" t="s">
        <v>1535</v>
      </c>
      <c r="E27" s="41">
        <v>117</v>
      </c>
      <c r="F27" s="113" t="s">
        <v>378</v>
      </c>
      <c r="G27" s="41" t="s">
        <v>843</v>
      </c>
      <c r="H27" s="41" t="s">
        <v>845</v>
      </c>
      <c r="I27" s="41" t="s">
        <v>274</v>
      </c>
      <c r="J27" s="41" t="str">
        <f t="shared" si="0"/>
        <v>X</v>
      </c>
      <c r="K27" s="113">
        <f>IFERROR(INDEX(환산공식!CI$16:CI$301,MATCH($E27,환산공식!$A$16:$A$301,0)),"")</f>
        <v>200</v>
      </c>
      <c r="L27" s="41" t="str">
        <f>IFERROR(CONCATENATE(ROUND(INDEX(환산공식!CJ$16:CJ$301,MATCH(E27,환산공식!$A$16:$A$301,0)),1),"%"),"")</f>
        <v>100%</v>
      </c>
      <c r="M27" s="41">
        <f>IFERROR(INDEX(환산공식!CK$16:CK$301,MATCH(E27,환산공식!$A$16:$A$301,0)),"")</f>
        <v>50</v>
      </c>
      <c r="N27" s="113" t="str">
        <f t="shared" si="1"/>
        <v>1% 이하</v>
      </c>
      <c r="O27" s="119">
        <f>IFERROR(ROUND(INDEX(환산공식!$EF$16:$EF$301,MATCH(E27,환산공식!$A$16:$A$301,0)),3),"")</f>
        <v>0</v>
      </c>
      <c r="P27" s="119">
        <f>IFERROR(ROUND(INDEX('배치점수 계산기'!M$11:M$1000,MATCH($C27,'배치점수 계산기'!$U$11:$U$1000,0)),2),"")</f>
        <v>975.75</v>
      </c>
      <c r="Q27" s="41">
        <f>IFERROR(ROUND(INDEX('배치점수 계산기'!N$11:N$1000,MATCH($C27,'배치점수 계산기'!$U$11:$U$1000,0)),2),"")</f>
        <v>972.13</v>
      </c>
      <c r="R27" s="41">
        <f>IFERROR(ROUND(INDEX('배치점수 계산기'!O$11:O$1000,MATCH($C27,'배치점수 계산기'!$U$11:$U$1000,0)),2),"")</f>
        <v>970.03</v>
      </c>
      <c r="S27" s="41">
        <f>IFERROR(ROUND(INDEX('배치점수 계산기'!P$11:P$1000,MATCH($C27,'배치점수 계산기'!$U$11:$U$1000,0)),2),"")</f>
        <v>964.98</v>
      </c>
      <c r="T27" s="41">
        <f>IFERROR(ROUND(INDEX('배치점수 계산기'!Q$11:Q$1000,MATCH($C27,'배치점수 계산기'!$U$11:$U$1000,0)),2),"")</f>
        <v>963.31</v>
      </c>
      <c r="U27" s="41">
        <f>IFERROR(INDEX(환산공식!$DC$16:$DC$301,MATCH(E27,환산공식!$A$16:$A$301,0)),"")</f>
        <v>0</v>
      </c>
      <c r="V27" s="113">
        <f t="shared" si="2"/>
        <v>6</v>
      </c>
      <c r="W27" s="110" t="str">
        <f>INDEX('배치점수 계산기'!$AG$11:$AG$800,MATCH('       다 군       '!$C27,'배치점수 계산기'!$U$11:$U$800,0))</f>
        <v>표점/만점</v>
      </c>
      <c r="X27" s="108" t="str">
        <f>INDEX('배치점수 계산기'!$AH$11:$AH$800,MATCH('       다 군       '!$C27,'배치점수 계산기'!$U$11:$U$800,0))</f>
        <v>변표/만점</v>
      </c>
      <c r="Y27" s="113">
        <f>INDEX('배치점수 계산기'!$AB$11:$AB$800,MATCH('       다 군       '!$C27,'배치점수 계산기'!$U$11:$U$800,0))</f>
        <v>0.26112178296153338</v>
      </c>
      <c r="Z27" s="73">
        <f>INDEX('배치점수 계산기'!$AC$11:$AC$800,MATCH('       다 군       '!$C27,'배치점수 계산기'!$U$11:$U$800,0))</f>
        <v>0.39701169042110684</v>
      </c>
      <c r="AA27" s="63">
        <f>INDEX('배치점수 계산기'!$AD$11:$AD$800,MATCH('       다 군       '!$C27,'배치점수 계산기'!$U$11:$U$800,0))</f>
        <v>0.34186652661735972</v>
      </c>
      <c r="AE27" s="7">
        <v>20</v>
      </c>
    </row>
    <row r="28" spans="3:31" x14ac:dyDescent="0.3">
      <c r="C28" s="7" t="s">
        <v>1536</v>
      </c>
      <c r="D28" s="41" t="s">
        <v>1537</v>
      </c>
      <c r="E28" s="41">
        <v>103</v>
      </c>
      <c r="F28" s="113" t="s">
        <v>378</v>
      </c>
      <c r="G28" s="41" t="s">
        <v>857</v>
      </c>
      <c r="H28" s="41" t="s">
        <v>845</v>
      </c>
      <c r="I28" s="41" t="s">
        <v>274</v>
      </c>
      <c r="J28" s="41" t="str">
        <f t="shared" si="0"/>
        <v>X</v>
      </c>
      <c r="K28" s="113">
        <f>IFERROR(INDEX(환산공식!CI$16:CI$301,MATCH($E28,환산공식!$A$16:$A$301,0)),"")</f>
        <v>57.6</v>
      </c>
      <c r="L28" s="41" t="str">
        <f>IFERROR(CONCATENATE(ROUND(INDEX(환산공식!CJ$16:CJ$301,MATCH(E28,환산공식!$A$16:$A$301,0)),1),"%"),"")</f>
        <v>100%</v>
      </c>
      <c r="M28" s="41">
        <f>IFERROR(INDEX(환산공식!CK$16:CK$301,MATCH(E28,환산공식!$A$16:$A$301,0)),"")</f>
        <v>0</v>
      </c>
      <c r="N28" s="113" t="str">
        <f t="shared" si="1"/>
        <v>1% 이하</v>
      </c>
      <c r="O28" s="119">
        <f>IFERROR(ROUND(INDEX(환산공식!$EF$16:$EF$301,MATCH(E28,환산공식!$A$16:$A$301,0)),3),"")</f>
        <v>800</v>
      </c>
      <c r="P28" s="119">
        <f>IFERROR(ROUND(INDEX('배치점수 계산기'!M$11:M$1000,MATCH($C28,'배치점수 계산기'!$U$11:$U$1000,0)),2),"")</f>
        <v>1006.78</v>
      </c>
      <c r="Q28" s="41">
        <f>IFERROR(ROUND(INDEX('배치점수 계산기'!N$11:N$1000,MATCH($C28,'배치점수 계산기'!$U$11:$U$1000,0)),2),"")</f>
        <v>1006.3</v>
      </c>
      <c r="R28" s="41">
        <f>IFERROR(ROUND(INDEX('배치점수 계산기'!O$11:O$1000,MATCH($C28,'배치점수 계산기'!$U$11:$U$1000,0)),2),"")</f>
        <v>1006</v>
      </c>
      <c r="S28" s="41">
        <f>IFERROR(ROUND(INDEX('배치점수 계산기'!P$11:P$1000,MATCH($C28,'배치점수 계산기'!$U$11:$U$1000,0)),2),"")</f>
        <v>1005.92</v>
      </c>
      <c r="T28" s="41">
        <f>IFERROR(ROUND(INDEX('배치점수 계산기'!Q$11:Q$1000,MATCH($C28,'배치점수 계산기'!$U$11:$U$1000,0)),2),"")</f>
        <v>1005.7</v>
      </c>
      <c r="U28" s="41">
        <f>IFERROR(INDEX(환산공식!$DC$16:$DC$301,MATCH(E28,환산공식!$A$16:$A$301,0)),"")</f>
        <v>0</v>
      </c>
      <c r="V28" s="113">
        <f t="shared" si="2"/>
        <v>6</v>
      </c>
      <c r="W28" s="110" t="str">
        <f>INDEX('배치점수 계산기'!$AG$11:$AG$800,MATCH('       다 군       '!$C28,'배치점수 계산기'!$U$11:$U$800,0))</f>
        <v>백분위</v>
      </c>
      <c r="X28" s="108" t="str">
        <f>INDEX('배치점수 계산기'!$AH$11:$AH$800,MATCH('       다 군       '!$C28,'배치점수 계산기'!$U$11:$U$800,0))</f>
        <v>백분위</v>
      </c>
      <c r="Y28" s="113">
        <f>INDEX('배치점수 계산기'!$AB$11:$AB$800,MATCH('       다 군       '!$C28,'배치점수 계산기'!$U$11:$U$800,0))</f>
        <v>0.28571428571428575</v>
      </c>
      <c r="Z28" s="73">
        <f>INDEX('배치점수 계산기'!$AC$11:$AC$800,MATCH('       다 군       '!$C28,'배치점수 계산기'!$U$11:$U$800,0))</f>
        <v>0.4285714285714286</v>
      </c>
      <c r="AA28" s="63">
        <f>INDEX('배치점수 계산기'!$AD$11:$AD$800,MATCH('       다 군       '!$C28,'배치점수 계산기'!$U$11:$U$800,0))</f>
        <v>0.28571428571428575</v>
      </c>
      <c r="AE28" s="7">
        <v>21</v>
      </c>
    </row>
    <row r="29" spans="3:31" x14ac:dyDescent="0.3">
      <c r="C29" s="7" t="s">
        <v>1538</v>
      </c>
      <c r="D29" s="41" t="s">
        <v>1539</v>
      </c>
      <c r="E29" s="41">
        <v>87</v>
      </c>
      <c r="F29" s="113" t="s">
        <v>378</v>
      </c>
      <c r="G29" s="41" t="s">
        <v>693</v>
      </c>
      <c r="H29" s="41" t="s">
        <v>845</v>
      </c>
      <c r="I29" s="41" t="s">
        <v>274</v>
      </c>
      <c r="J29" s="41" t="str">
        <f t="shared" si="0"/>
        <v>X</v>
      </c>
      <c r="K29" s="113">
        <f>IFERROR(INDEX(환산공식!CI$16:CI$301,MATCH($E29,환산공식!$A$16:$A$301,0)),"")</f>
        <v>200</v>
      </c>
      <c r="L29" s="41" t="str">
        <f>IFERROR(CONCATENATE(ROUND(INDEX(환산공식!CJ$16:CJ$301,MATCH(E29,환산공식!$A$16:$A$301,0)),1),"%"),"")</f>
        <v>100%</v>
      </c>
      <c r="M29" s="41">
        <f>IFERROR(INDEX(환산공식!CK$16:CK$301,MATCH(E29,환산공식!$A$16:$A$301,0)),"")</f>
        <v>10</v>
      </c>
      <c r="N29" s="113" t="str">
        <f t="shared" si="1"/>
        <v>1% 이하</v>
      </c>
      <c r="O29" s="119">
        <f>IFERROR(ROUND(INDEX(환산공식!$EF$16:$EF$301,MATCH(E29,환산공식!$A$16:$A$301,0)),3),"")</f>
        <v>0</v>
      </c>
      <c r="P29" s="119">
        <f>IFERROR(ROUND(INDEX('배치점수 계산기'!M$11:M$1000,MATCH($C29,'배치점수 계산기'!$U$11:$U$1000,0)),2),"")</f>
        <v>775.59</v>
      </c>
      <c r="Q29" s="41">
        <f>IFERROR(ROUND(INDEX('배치점수 계산기'!N$11:N$1000,MATCH($C29,'배치점수 계산기'!$U$11:$U$1000,0)),2),"")</f>
        <v>773.19</v>
      </c>
      <c r="R29" s="41">
        <f>IFERROR(ROUND(INDEX('배치점수 계산기'!O$11:O$1000,MATCH($C29,'배치점수 계산기'!$U$11:$U$1000,0)),2),"")</f>
        <v>768.74</v>
      </c>
      <c r="S29" s="41">
        <f>IFERROR(ROUND(INDEX('배치점수 계산기'!P$11:P$1000,MATCH($C29,'배치점수 계산기'!$U$11:$U$1000,0)),2),"")</f>
        <v>766.25</v>
      </c>
      <c r="T29" s="41">
        <f>IFERROR(ROUND(INDEX('배치점수 계산기'!Q$11:Q$1000,MATCH($C29,'배치점수 계산기'!$U$11:$U$1000,0)),2),"")</f>
        <v>762.75</v>
      </c>
      <c r="U29" s="41">
        <f>IFERROR(INDEX(환산공식!$DC$16:$DC$301,MATCH(E29,환산공식!$A$16:$A$301,0)),"")</f>
        <v>0</v>
      </c>
      <c r="V29" s="113">
        <f t="shared" si="2"/>
        <v>6</v>
      </c>
      <c r="W29" s="110" t="str">
        <f>INDEX('배치점수 계산기'!$AG$11:$AG$800,MATCH('       다 군       '!$C29,'배치점수 계산기'!$U$11:$U$800,0))</f>
        <v>표점</v>
      </c>
      <c r="X29" s="108" t="str">
        <f>INDEX('배치점수 계산기'!$AH$11:$AH$800,MATCH('       다 군       '!$C29,'배치점수 계산기'!$U$11:$U$800,0))</f>
        <v>표점</v>
      </c>
      <c r="Y29" s="113">
        <f>INDEX('배치점수 계산기'!$AB$11:$AB$800,MATCH('       다 군       '!$C29,'배치점수 계산기'!$U$11:$U$800,0))</f>
        <v>0.3125</v>
      </c>
      <c r="Z29" s="73">
        <f>INDEX('배치점수 계산기'!$AC$11:$AC$800,MATCH('       다 군       '!$C29,'배치점수 계산기'!$U$11:$U$800,0))</f>
        <v>0.375</v>
      </c>
      <c r="AA29" s="63">
        <f>INDEX('배치점수 계산기'!$AD$11:$AD$800,MATCH('       다 군       '!$C29,'배치점수 계산기'!$U$11:$U$800,0))</f>
        <v>0.3125</v>
      </c>
      <c r="AE29" s="7">
        <v>22</v>
      </c>
    </row>
    <row r="30" spans="3:31" x14ac:dyDescent="0.3">
      <c r="C30" s="7" t="s">
        <v>1540</v>
      </c>
      <c r="D30" s="41" t="s">
        <v>181</v>
      </c>
      <c r="E30" s="41">
        <v>80</v>
      </c>
      <c r="F30" s="113" t="s">
        <v>378</v>
      </c>
      <c r="G30" s="41" t="s">
        <v>858</v>
      </c>
      <c r="H30" s="41" t="s">
        <v>845</v>
      </c>
      <c r="I30" s="41" t="s">
        <v>274</v>
      </c>
      <c r="J30" s="41" t="str">
        <f t="shared" si="0"/>
        <v>X</v>
      </c>
      <c r="K30" s="113">
        <f>IFERROR(INDEX(환산공식!CI$16:CI$301,MATCH($E30,환산공식!$A$16:$A$301,0)),"")</f>
        <v>150</v>
      </c>
      <c r="L30" s="41" t="str">
        <f>IFERROR(CONCATENATE(ROUND(INDEX(환산공식!CJ$16:CJ$301,MATCH(E30,환산공식!$A$16:$A$301,0)),1),"%"),"")</f>
        <v>100%</v>
      </c>
      <c r="M30" s="41">
        <f>IFERROR(INDEX(환산공식!CK$16:CK$301,MATCH(E30,환산공식!$A$16:$A$301,0)),"")</f>
        <v>5</v>
      </c>
      <c r="N30" s="113" t="str">
        <f t="shared" si="1"/>
        <v>1% 이하</v>
      </c>
      <c r="O30" s="119">
        <f>IFERROR(ROUND(INDEX(환산공식!$EF$16:$EF$301,MATCH(E30,환산공식!$A$16:$A$301,0)),3),"")</f>
        <v>0</v>
      </c>
      <c r="P30" s="119">
        <f>IFERROR(ROUND(INDEX('배치점수 계산기'!M$11:M$1000,MATCH($C30,'배치점수 계산기'!$U$11:$U$1000,0)),2),"")</f>
        <v>970.75</v>
      </c>
      <c r="Q30" s="41">
        <f>IFERROR(ROUND(INDEX('배치점수 계산기'!N$11:N$1000,MATCH($C30,'배치점수 계산기'!$U$11:$U$1000,0)),2),"")</f>
        <v>965.14</v>
      </c>
      <c r="R30" s="41">
        <f>IFERROR(ROUND(INDEX('배치점수 계산기'!O$11:O$1000,MATCH($C30,'배치점수 계산기'!$U$11:$U$1000,0)),2),"")</f>
        <v>963.35</v>
      </c>
      <c r="S30" s="41">
        <f>IFERROR(ROUND(INDEX('배치점수 계산기'!P$11:P$1000,MATCH($C30,'배치점수 계산기'!$U$11:$U$1000,0)),2),"")</f>
        <v>961.78</v>
      </c>
      <c r="T30" s="41">
        <f>IFERROR(ROUND(INDEX('배치점수 계산기'!Q$11:Q$1000,MATCH($C30,'배치점수 계산기'!$U$11:$U$1000,0)),2),"")</f>
        <v>956.18</v>
      </c>
      <c r="U30" s="41">
        <f>IFERROR(INDEX(환산공식!$DC$16:$DC$301,MATCH(E30,환산공식!$A$16:$A$301,0)),"")</f>
        <v>0</v>
      </c>
      <c r="V30" s="113">
        <f t="shared" si="2"/>
        <v>6</v>
      </c>
      <c r="W30" s="110" t="str">
        <f>INDEX('배치점수 계산기'!$AG$11:$AG$800,MATCH('       다 군       '!$C30,'배치점수 계산기'!$U$11:$U$800,0))</f>
        <v>표점/만점</v>
      </c>
      <c r="X30" s="108" t="str">
        <f>INDEX('배치점수 계산기'!$AH$11:$AH$800,MATCH('       다 군       '!$C30,'배치점수 계산기'!$U$11:$U$800,0))</f>
        <v>백분위</v>
      </c>
      <c r="Y30" s="113">
        <f>INDEX('배치점수 계산기'!$AB$11:$AB$800,MATCH('       다 군       '!$C30,'배치점수 계산기'!$U$11:$U$800,0))</f>
        <v>0.20451106898770499</v>
      </c>
      <c r="Z30" s="73">
        <f>INDEX('배치점수 계산기'!$AC$11:$AC$800,MATCH('       다 군       '!$C30,'배치점수 계산기'!$U$11:$U$800,0))</f>
        <v>0.41458706502269443</v>
      </c>
      <c r="AA30" s="63">
        <f>INDEX('배치점수 계산기'!$AD$11:$AD$800,MATCH('       다 군       '!$C30,'배치점수 계산기'!$U$11:$U$800,0))</f>
        <v>0.38090186598960052</v>
      </c>
      <c r="AE30" s="7">
        <v>23</v>
      </c>
    </row>
    <row r="31" spans="3:31" x14ac:dyDescent="0.3">
      <c r="C31" s="7" t="s">
        <v>1541</v>
      </c>
      <c r="D31" s="41" t="s">
        <v>176</v>
      </c>
      <c r="E31" s="41">
        <v>76</v>
      </c>
      <c r="F31" s="113" t="s">
        <v>378</v>
      </c>
      <c r="G31" s="41" t="s">
        <v>710</v>
      </c>
      <c r="H31" s="41" t="s">
        <v>845</v>
      </c>
      <c r="I31" s="41" t="s">
        <v>274</v>
      </c>
      <c r="J31" s="41" t="str">
        <f t="shared" si="0"/>
        <v>X</v>
      </c>
      <c r="K31" s="113">
        <f>IFERROR(INDEX(환산공식!CI$16:CI$301,MATCH($E31,환산공식!$A$16:$A$301,0)),"")</f>
        <v>100</v>
      </c>
      <c r="L31" s="41" t="str">
        <f>IFERROR(CONCATENATE(ROUND(INDEX(환산공식!CJ$16:CJ$301,MATCH(E31,환산공식!$A$16:$A$301,0)),1),"%"),"")</f>
        <v>100%</v>
      </c>
      <c r="M31" s="41">
        <f>IFERROR(INDEX(환산공식!CK$16:CK$301,MATCH(E31,환산공식!$A$16:$A$301,0)),"")</f>
        <v>5</v>
      </c>
      <c r="N31" s="113" t="str">
        <f t="shared" si="1"/>
        <v>1% 이하</v>
      </c>
      <c r="O31" s="119">
        <f>IFERROR(ROUND(INDEX(환산공식!$EF$16:$EF$301,MATCH(E31,환산공식!$A$16:$A$301,0)),3),"")</f>
        <v>0</v>
      </c>
      <c r="P31" s="119">
        <f>IFERROR(ROUND(INDEX('배치점수 계산기'!M$11:M$1000,MATCH($C31,'배치점수 계산기'!$U$11:$U$1000,0)),2),"")</f>
        <v>400.7</v>
      </c>
      <c r="Q31" s="41">
        <f>IFERROR(ROUND(INDEX('배치점수 계산기'!N$11:N$1000,MATCH($C31,'배치점수 계산기'!$U$11:$U$1000,0)),2),"")</f>
        <v>399.8</v>
      </c>
      <c r="R31" s="41">
        <f>IFERROR(ROUND(INDEX('배치점수 계산기'!O$11:O$1000,MATCH($C31,'배치점수 계산기'!$U$11:$U$1000,0)),2),"")</f>
        <v>399</v>
      </c>
      <c r="S31" s="41">
        <f>IFERROR(ROUND(INDEX('배치점수 계산기'!P$11:P$1000,MATCH($C31,'배치점수 계산기'!$U$11:$U$1000,0)),2),"")</f>
        <v>398.7</v>
      </c>
      <c r="T31" s="41">
        <f>IFERROR(ROUND(INDEX('배치점수 계산기'!Q$11:Q$1000,MATCH($C31,'배치점수 계산기'!$U$11:$U$1000,0)),2),"")</f>
        <v>398.5</v>
      </c>
      <c r="U31" s="41">
        <f>IFERROR(INDEX(환산공식!$DC$16:$DC$301,MATCH(E31,환산공식!$A$16:$A$301,0)),"")</f>
        <v>0</v>
      </c>
      <c r="V31" s="113">
        <f t="shared" si="2"/>
        <v>6</v>
      </c>
      <c r="W31" s="110" t="str">
        <f>INDEX('배치점수 계산기'!$AG$11:$AG$800,MATCH('       다 군       '!$C31,'배치점수 계산기'!$U$11:$U$800,0))</f>
        <v>백분위</v>
      </c>
      <c r="X31" s="108" t="str">
        <f>INDEX('배치점수 계산기'!$AH$11:$AH$800,MATCH('       다 군       '!$C31,'배치점수 계산기'!$U$11:$U$800,0))</f>
        <v>백분위</v>
      </c>
      <c r="Y31" s="113">
        <f>INDEX('배치점수 계산기'!$AB$11:$AB$800,MATCH('       다 군       '!$C31,'배치점수 계산기'!$U$11:$U$800,0))</f>
        <v>0.33333333333333331</v>
      </c>
      <c r="Z31" s="73">
        <f>INDEX('배치점수 계산기'!$AC$11:$AC$800,MATCH('       다 군       '!$C31,'배치점수 계산기'!$U$11:$U$800,0))</f>
        <v>0.33333333333333331</v>
      </c>
      <c r="AA31" s="63">
        <f>INDEX('배치점수 계산기'!$AD$11:$AD$800,MATCH('       다 군       '!$C31,'배치점수 계산기'!$U$11:$U$800,0))</f>
        <v>0.33333333333333331</v>
      </c>
      <c r="AE31" s="7">
        <v>24</v>
      </c>
    </row>
    <row r="32" spans="3:31" x14ac:dyDescent="0.3">
      <c r="C32" s="7" t="s">
        <v>1542</v>
      </c>
      <c r="D32" s="41" t="s">
        <v>1543</v>
      </c>
      <c r="E32" s="41">
        <v>122</v>
      </c>
      <c r="F32" s="113" t="s">
        <v>378</v>
      </c>
      <c r="G32" s="41" t="s">
        <v>703</v>
      </c>
      <c r="H32" s="41" t="s">
        <v>845</v>
      </c>
      <c r="I32" s="41" t="s">
        <v>274</v>
      </c>
      <c r="J32" s="41" t="str">
        <f t="shared" si="0"/>
        <v>X</v>
      </c>
      <c r="K32" s="113">
        <f>IFERROR(INDEX(환산공식!CI$16:CI$301,MATCH($E32,환산공식!$A$16:$A$301,0)),"")</f>
        <v>200</v>
      </c>
      <c r="L32" s="41" t="str">
        <f>IFERROR(CONCATENATE(ROUND(INDEX(환산공식!CJ$16:CJ$301,MATCH(E32,환산공식!$A$16:$A$301,0)),1),"%"),"")</f>
        <v>100%</v>
      </c>
      <c r="M32" s="41">
        <f>IFERROR(INDEX(환산공식!CK$16:CK$301,MATCH(E32,환산공식!$A$16:$A$301,0)),"")</f>
        <v>10</v>
      </c>
      <c r="N32" s="113" t="str">
        <f t="shared" si="1"/>
        <v>1% 이하</v>
      </c>
      <c r="O32" s="119">
        <f>IFERROR(ROUND(INDEX(환산공식!$EF$16:$EF$301,MATCH(E32,환산공식!$A$16:$A$301,0)),3),"")</f>
        <v>0</v>
      </c>
      <c r="P32" s="119">
        <f>IFERROR(ROUND(INDEX('배치점수 계산기'!M$11:M$1000,MATCH($C32,'배치점수 계산기'!$U$11:$U$1000,0)),2),"")</f>
        <v>1055.9000000000001</v>
      </c>
      <c r="Q32" s="41">
        <f>IFERROR(ROUND(INDEX('배치점수 계산기'!N$11:N$1000,MATCH($C32,'배치점수 계산기'!$U$11:$U$1000,0)),2),"")</f>
        <v>1053.3</v>
      </c>
      <c r="R32" s="41">
        <f>IFERROR(ROUND(INDEX('배치점수 계산기'!O$11:O$1000,MATCH($C32,'배치점수 계산기'!$U$11:$U$1000,0)),2),"")</f>
        <v>1051.5</v>
      </c>
      <c r="S32" s="41">
        <f>IFERROR(ROUND(INDEX('배치점수 계산기'!P$11:P$1000,MATCH($C32,'배치점수 계산기'!$U$11:$U$1000,0)),2),"")</f>
        <v>1050.3</v>
      </c>
      <c r="T32" s="41">
        <f>IFERROR(ROUND(INDEX('배치점수 계산기'!Q$11:Q$1000,MATCH($C32,'배치점수 계산기'!$U$11:$U$1000,0)),2),"")</f>
        <v>1049.0999999999999</v>
      </c>
      <c r="U32" s="41">
        <f>IFERROR(INDEX(환산공식!$DC$16:$DC$301,MATCH(E32,환산공식!$A$16:$A$301,0)),"")</f>
        <v>0</v>
      </c>
      <c r="V32" s="113">
        <f t="shared" si="2"/>
        <v>6</v>
      </c>
      <c r="W32" s="110" t="str">
        <f>INDEX('배치점수 계산기'!$AG$11:$AG$800,MATCH('       다 군       '!$C32,'배치점수 계산기'!$U$11:$U$800,0))</f>
        <v>백분위</v>
      </c>
      <c r="X32" s="108" t="str">
        <f>INDEX('배치점수 계산기'!$AH$11:$AH$800,MATCH('       다 군       '!$C32,'배치점수 계산기'!$U$11:$U$800,0))</f>
        <v>백분위</v>
      </c>
      <c r="Y32" s="113">
        <f>INDEX('배치점수 계산기'!$AB$11:$AB$800,MATCH('       다 군       '!$C32,'배치점수 계산기'!$U$11:$U$800,0))</f>
        <v>0.25</v>
      </c>
      <c r="Z32" s="73">
        <f>INDEX('배치점수 계산기'!$AC$11:$AC$800,MATCH('       다 군       '!$C32,'배치점수 계산기'!$U$11:$U$800,0))</f>
        <v>0.375</v>
      </c>
      <c r="AA32" s="63">
        <f>INDEX('배치점수 계산기'!$AD$11:$AD$800,MATCH('       다 군       '!$C32,'배치점수 계산기'!$U$11:$U$800,0))</f>
        <v>0.375</v>
      </c>
      <c r="AE32" s="7">
        <v>25</v>
      </c>
    </row>
    <row r="33" spans="3:31" x14ac:dyDescent="0.3">
      <c r="C33" s="7" t="s">
        <v>1544</v>
      </c>
      <c r="D33" s="41" t="s">
        <v>1545</v>
      </c>
      <c r="E33" s="41">
        <v>78</v>
      </c>
      <c r="F33" s="113" t="s">
        <v>378</v>
      </c>
      <c r="G33" s="41" t="s">
        <v>859</v>
      </c>
      <c r="H33" s="41" t="s">
        <v>845</v>
      </c>
      <c r="I33" s="41" t="s">
        <v>274</v>
      </c>
      <c r="J33" s="41" t="str">
        <f t="shared" si="0"/>
        <v>X</v>
      </c>
      <c r="K33" s="113">
        <f>IFERROR(INDEX(환산공식!CI$16:CI$301,MATCH($E33,환산공식!$A$16:$A$301,0)),"")</f>
        <v>202.5</v>
      </c>
      <c r="L33" s="41" t="str">
        <f>IFERROR(CONCATENATE(ROUND(INDEX(환산공식!CJ$16:CJ$301,MATCH(E33,환산공식!$A$16:$A$301,0)),1),"%"),"")</f>
        <v>100%</v>
      </c>
      <c r="M33" s="41">
        <f>IFERROR(INDEX(환산공식!CK$16:CK$301,MATCH(E33,환산공식!$A$16:$A$301,0)),"")</f>
        <v>0</v>
      </c>
      <c r="N33" s="113" t="str">
        <f t="shared" si="1"/>
        <v>1% 이하</v>
      </c>
      <c r="O33" s="119">
        <f>IFERROR(ROUND(INDEX(환산공식!$EF$16:$EF$301,MATCH(E33,환산공식!$A$16:$A$301,0)),3),"")</f>
        <v>0</v>
      </c>
      <c r="P33" s="119">
        <f>IFERROR(ROUND(INDEX('배치점수 계산기'!M$11:M$1000,MATCH($C33,'배치점수 계산기'!$U$11:$U$1000,0)),2),"")</f>
        <v>691.55</v>
      </c>
      <c r="Q33" s="41">
        <f>IFERROR(ROUND(INDEX('배치점수 계산기'!N$11:N$1000,MATCH($C33,'배치점수 계산기'!$U$11:$U$1000,0)),2),"")</f>
        <v>689.7</v>
      </c>
      <c r="R33" s="41">
        <f>IFERROR(ROUND(INDEX('배치점수 계산기'!O$11:O$1000,MATCH($C33,'배치점수 계산기'!$U$11:$U$1000,0)),2),"")</f>
        <v>687.75</v>
      </c>
      <c r="S33" s="41">
        <f>IFERROR(ROUND(INDEX('배치점수 계산기'!P$11:P$1000,MATCH($C33,'배치점수 계산기'!$U$11:$U$1000,0)),2),"")</f>
        <v>686</v>
      </c>
      <c r="T33" s="41">
        <f>IFERROR(ROUND(INDEX('배치점수 계산기'!Q$11:Q$1000,MATCH($C33,'배치점수 계산기'!$U$11:$U$1000,0)),2),"")</f>
        <v>684.55</v>
      </c>
      <c r="U33" s="41">
        <f>IFERROR(INDEX(환산공식!$DC$16:$DC$301,MATCH(E33,환산공식!$A$16:$A$301,0)),"")</f>
        <v>0</v>
      </c>
      <c r="V33" s="113">
        <f t="shared" si="2"/>
        <v>6</v>
      </c>
      <c r="W33" s="110" t="str">
        <f>INDEX('배치점수 계산기'!$AG$11:$AG$800,MATCH('       다 군       '!$C33,'배치점수 계산기'!$U$11:$U$800,0))</f>
        <v>표점</v>
      </c>
      <c r="X33" s="108" t="str">
        <f>INDEX('배치점수 계산기'!$AH$11:$AH$800,MATCH('       다 군       '!$C33,'배치점수 계산기'!$U$11:$U$800,0))</f>
        <v>표점</v>
      </c>
      <c r="Y33" s="113">
        <f>INDEX('배치점수 계산기'!$AB$11:$AB$800,MATCH('       다 군       '!$C33,'배치점수 계산기'!$U$11:$U$800,0))</f>
        <v>0.2857142857142857</v>
      </c>
      <c r="Z33" s="73">
        <f>INDEX('배치점수 계산기'!$AC$11:$AC$800,MATCH('       다 군       '!$C33,'배치점수 계산기'!$U$11:$U$800,0))</f>
        <v>0.42857142857142855</v>
      </c>
      <c r="AA33" s="63">
        <f>INDEX('배치점수 계산기'!$AD$11:$AD$800,MATCH('       다 군       '!$C33,'배치점수 계산기'!$U$11:$U$800,0))</f>
        <v>0.2857142857142857</v>
      </c>
      <c r="AE33" s="7">
        <v>26</v>
      </c>
    </row>
    <row r="34" spans="3:31" x14ac:dyDescent="0.3">
      <c r="C34" s="7" t="s">
        <v>1546</v>
      </c>
      <c r="D34" s="41" t="s">
        <v>1547</v>
      </c>
      <c r="E34" s="41">
        <v>82</v>
      </c>
      <c r="F34" s="113" t="s">
        <v>378</v>
      </c>
      <c r="G34" s="41" t="s">
        <v>713</v>
      </c>
      <c r="H34" s="41" t="s">
        <v>845</v>
      </c>
      <c r="I34" s="41" t="s">
        <v>274</v>
      </c>
      <c r="J34" s="41" t="str">
        <f t="shared" si="0"/>
        <v>X</v>
      </c>
      <c r="K34" s="113">
        <f>IFERROR(INDEX(환산공식!CI$16:CI$301,MATCH($E34,환산공식!$A$16:$A$301,0)),"")</f>
        <v>120</v>
      </c>
      <c r="L34" s="41" t="str">
        <f>IFERROR(CONCATENATE(ROUND(INDEX(환산공식!CJ$16:CJ$301,MATCH(E34,환산공식!$A$16:$A$301,0)),1),"%"),"")</f>
        <v>100%</v>
      </c>
      <c r="M34" s="41">
        <f>IFERROR(INDEX(환산공식!CK$16:CK$301,MATCH(E34,환산공식!$A$16:$A$301,0)),"")</f>
        <v>5</v>
      </c>
      <c r="N34" s="113" t="str">
        <f t="shared" si="1"/>
        <v>1% 이하</v>
      </c>
      <c r="O34" s="119">
        <f>IFERROR(ROUND(INDEX(환산공식!$EF$16:$EF$301,MATCH(E34,환산공식!$A$16:$A$301,0)),3),"")</f>
        <v>0</v>
      </c>
      <c r="P34" s="119">
        <f>IFERROR(ROUND(INDEX('배치점수 계산기'!M$11:M$1000,MATCH($C34,'배치점수 계산기'!$U$11:$U$1000,0)),2),"")</f>
        <v>570</v>
      </c>
      <c r="Q34" s="41">
        <f>IFERROR(ROUND(INDEX('배치점수 계산기'!N$11:N$1000,MATCH($C34,'배치점수 계산기'!$U$11:$U$1000,0)),2),"")</f>
        <v>569.29999999999995</v>
      </c>
      <c r="R34" s="41">
        <f>IFERROR(ROUND(INDEX('배치점수 계산기'!O$11:O$1000,MATCH($C34,'배치점수 계산기'!$U$11:$U$1000,0)),2),"")</f>
        <v>567.54999999999995</v>
      </c>
      <c r="S34" s="41">
        <f>IFERROR(ROUND(INDEX('배치점수 계산기'!P$11:P$1000,MATCH($C34,'배치점수 계산기'!$U$11:$U$1000,0)),2),"")</f>
        <v>565.17999999999995</v>
      </c>
      <c r="T34" s="41">
        <f>IFERROR(ROUND(INDEX('배치점수 계산기'!Q$11:Q$1000,MATCH($C34,'배치점수 계산기'!$U$11:$U$1000,0)),2),"")</f>
        <v>562.66</v>
      </c>
      <c r="U34" s="41">
        <f>IFERROR(INDEX(환산공식!$DC$16:$DC$301,MATCH(E34,환산공식!$A$16:$A$301,0)),"")</f>
        <v>0</v>
      </c>
      <c r="V34" s="113">
        <f t="shared" si="2"/>
        <v>6</v>
      </c>
      <c r="W34" s="110" t="str">
        <f>INDEX('배치점수 계산기'!$AG$11:$AG$800,MATCH('       다 군       '!$C34,'배치점수 계산기'!$U$11:$U$800,0))</f>
        <v>표점</v>
      </c>
      <c r="X34" s="108" t="str">
        <f>INDEX('배치점수 계산기'!$AH$11:$AH$800,MATCH('       다 군       '!$C34,'배치점수 계산기'!$U$11:$U$800,0))</f>
        <v>표점/만점</v>
      </c>
      <c r="Y34" s="113">
        <f>INDEX('배치점수 계산기'!$AB$11:$AB$800,MATCH('       다 군       '!$C34,'배치점수 계산기'!$U$11:$U$800,0))</f>
        <v>0.26832955404383979</v>
      </c>
      <c r="Z34" s="73">
        <f>INDEX('배치점수 계산기'!$AC$11:$AC$800,MATCH('       다 군       '!$C34,'배치점수 계산기'!$U$11:$U$800,0))</f>
        <v>0.42932728647014362</v>
      </c>
      <c r="AA34" s="63">
        <f>INDEX('배치점수 계산기'!$AD$11:$AD$800,MATCH('       다 군       '!$C34,'배치점수 계산기'!$U$11:$U$800,0))</f>
        <v>0.30234315948601664</v>
      </c>
      <c r="AE34" s="7">
        <v>27</v>
      </c>
    </row>
    <row r="35" spans="3:31" x14ac:dyDescent="0.3">
      <c r="C35" s="7" t="s">
        <v>1548</v>
      </c>
      <c r="D35" s="41" t="s">
        <v>1549</v>
      </c>
      <c r="E35" s="41">
        <v>69</v>
      </c>
      <c r="F35" s="113" t="s">
        <v>378</v>
      </c>
      <c r="G35" s="41" t="s">
        <v>862</v>
      </c>
      <c r="H35" s="41" t="s">
        <v>860</v>
      </c>
      <c r="I35" s="41" t="s">
        <v>274</v>
      </c>
      <c r="J35" s="41" t="str">
        <f t="shared" si="0"/>
        <v>X</v>
      </c>
      <c r="K35" s="113">
        <f>IFERROR(INDEX(환산공식!CI$16:CI$301,MATCH($E35,환산공식!$A$16:$A$301,0)),"")</f>
        <v>200</v>
      </c>
      <c r="L35" s="41" t="str">
        <f>IFERROR(CONCATENATE(ROUND(INDEX(환산공식!CJ$16:CJ$301,MATCH(E35,환산공식!$A$16:$A$301,0)),1),"%"),"")</f>
        <v>100%</v>
      </c>
      <c r="M35" s="41">
        <f>IFERROR(INDEX(환산공식!CK$16:CK$301,MATCH(E35,환산공식!$A$16:$A$301,0)),"")</f>
        <v>50</v>
      </c>
      <c r="N35" s="113" t="str">
        <f t="shared" si="1"/>
        <v>1% 이하</v>
      </c>
      <c r="O35" s="119">
        <f>IFERROR(ROUND(INDEX(환산공식!$EF$16:$EF$301,MATCH(E35,환산공식!$A$16:$A$301,0)),3),"")</f>
        <v>0</v>
      </c>
      <c r="P35" s="119">
        <f>IFERROR(ROUND(INDEX('배치점수 계산기'!M$11:M$1000,MATCH($C35,'배치점수 계산기'!$U$11:$U$1000,0)),2),"")</f>
        <v>982.3</v>
      </c>
      <c r="Q35" s="41">
        <f>IFERROR(ROUND(INDEX('배치점수 계산기'!N$11:N$1000,MATCH($C35,'배치점수 계산기'!$U$11:$U$1000,0)),2),"")</f>
        <v>980.5</v>
      </c>
      <c r="R35" s="41">
        <f>IFERROR(ROUND(INDEX('배치점수 계산기'!O$11:O$1000,MATCH($C35,'배치점수 계산기'!$U$11:$U$1000,0)),2),"")</f>
        <v>979.4</v>
      </c>
      <c r="S35" s="41">
        <f>IFERROR(ROUND(INDEX('배치점수 계산기'!P$11:P$1000,MATCH($C35,'배치점수 계산기'!$U$11:$U$1000,0)),2),"")</f>
        <v>978.05</v>
      </c>
      <c r="T35" s="41">
        <f>IFERROR(ROUND(INDEX('배치점수 계산기'!Q$11:Q$1000,MATCH($C35,'배치점수 계산기'!$U$11:$U$1000,0)),2),"")</f>
        <v>976.55</v>
      </c>
      <c r="U35" s="41">
        <f>IFERROR(INDEX(환산공식!$DC$16:$DC$301,MATCH(E35,환산공식!$A$16:$A$301,0)),"")</f>
        <v>0</v>
      </c>
      <c r="V35" s="113">
        <f t="shared" si="2"/>
        <v>6</v>
      </c>
      <c r="W35" s="110" t="str">
        <f>INDEX('배치점수 계산기'!$AG$11:$AG$800,MATCH('       다 군       '!$C35,'배치점수 계산기'!$U$11:$U$800,0))</f>
        <v>백분위</v>
      </c>
      <c r="X35" s="108" t="str">
        <f>INDEX('배치점수 계산기'!$AH$11:$AH$800,MATCH('       다 군       '!$C35,'배치점수 계산기'!$U$11:$U$800,0))</f>
        <v>백분위</v>
      </c>
      <c r="Y35" s="113">
        <f>INDEX('배치점수 계산기'!$AB$11:$AB$800,MATCH('       다 군       '!$C35,'배치점수 계산기'!$U$11:$U$800,0))</f>
        <v>0.26666666666666666</v>
      </c>
      <c r="Z35" s="73">
        <f>INDEX('배치점수 계산기'!$AC$11:$AC$800,MATCH('       다 군       '!$C35,'배치점수 계산기'!$U$11:$U$800,0))</f>
        <v>0.33333333333333331</v>
      </c>
      <c r="AA35" s="63">
        <f>INDEX('배치점수 계산기'!$AD$11:$AD$800,MATCH('       다 군       '!$C35,'배치점수 계산기'!$U$11:$U$800,0))</f>
        <v>0.4</v>
      </c>
      <c r="AE35" s="7">
        <v>28</v>
      </c>
    </row>
    <row r="36" spans="3:31" x14ac:dyDescent="0.3">
      <c r="C36" s="7" t="s">
        <v>1550</v>
      </c>
      <c r="D36" s="41" t="s">
        <v>1551</v>
      </c>
      <c r="E36" s="41">
        <v>105</v>
      </c>
      <c r="F36" s="113" t="s">
        <v>378</v>
      </c>
      <c r="G36" s="41" t="s">
        <v>712</v>
      </c>
      <c r="H36" s="41" t="s">
        <v>685</v>
      </c>
      <c r="I36" s="41" t="s">
        <v>274</v>
      </c>
      <c r="J36" s="41" t="str">
        <f t="shared" si="0"/>
        <v>X</v>
      </c>
      <c r="K36" s="113">
        <f>IFERROR(INDEX(환산공식!CI$16:CI$301,MATCH($E36,환산공식!$A$16:$A$301,0)),"")</f>
        <v>200</v>
      </c>
      <c r="L36" s="41" t="str">
        <f>IFERROR(CONCATENATE(ROUND(INDEX(환산공식!CJ$16:CJ$301,MATCH(E36,환산공식!$A$16:$A$301,0)),1),"%"),"")</f>
        <v>100%</v>
      </c>
      <c r="M36" s="41">
        <f>IFERROR(INDEX(환산공식!CK$16:CK$301,MATCH(E36,환산공식!$A$16:$A$301,0)),"")</f>
        <v>0</v>
      </c>
      <c r="N36" s="113" t="str">
        <f t="shared" si="1"/>
        <v>1% 이하</v>
      </c>
      <c r="O36" s="119">
        <f>IFERROR(ROUND(INDEX(환산공식!$EF$16:$EF$301,MATCH(E36,환산공식!$A$16:$A$301,0)),3),"")</f>
        <v>0</v>
      </c>
      <c r="P36" s="119">
        <f>IFERROR(ROUND(INDEX('배치점수 계산기'!M$11:M$1000,MATCH($C36,'배치점수 계산기'!$U$11:$U$1000,0)),2),"")</f>
        <v>939.94</v>
      </c>
      <c r="Q36" s="41">
        <f>IFERROR(ROUND(INDEX('배치점수 계산기'!N$11:N$1000,MATCH($C36,'배치점수 계산기'!$U$11:$U$1000,0)),2),"")</f>
        <v>937.99</v>
      </c>
      <c r="R36" s="41">
        <f>IFERROR(ROUND(INDEX('배치점수 계산기'!O$11:O$1000,MATCH($C36,'배치점수 계산기'!$U$11:$U$1000,0)),2),"")</f>
        <v>936.52</v>
      </c>
      <c r="S36" s="41">
        <f>IFERROR(ROUND(INDEX('배치점수 계산기'!P$11:P$1000,MATCH($C36,'배치점수 계산기'!$U$11:$U$1000,0)),2),"")</f>
        <v>934.98</v>
      </c>
      <c r="T36" s="41">
        <f>IFERROR(ROUND(INDEX('배치점수 계산기'!Q$11:Q$1000,MATCH($C36,'배치점수 계산기'!$U$11:$U$1000,0)),2),"")</f>
        <v>933.56</v>
      </c>
      <c r="U36" s="41">
        <f>IFERROR(INDEX(환산공식!$DC$16:$DC$301,MATCH(E36,환산공식!$A$16:$A$301,0)),"")</f>
        <v>0</v>
      </c>
      <c r="V36" s="113">
        <f t="shared" si="2"/>
        <v>6</v>
      </c>
      <c r="W36" s="110" t="str">
        <f>INDEX('배치점수 계산기'!$AG$11:$AG$800,MATCH('       다 군       '!$C36,'배치점수 계산기'!$U$11:$U$800,0))</f>
        <v>표점/만점</v>
      </c>
      <c r="X36" s="108" t="str">
        <f>INDEX('배치점수 계산기'!$AH$11:$AH$800,MATCH('       다 군       '!$C36,'배치점수 계산기'!$U$11:$U$800,0))</f>
        <v>변표/만점</v>
      </c>
      <c r="Y36" s="113">
        <f>INDEX('배치점수 계산기'!$AB$11:$AB$800,MATCH('       다 군       '!$C36,'배치점수 계산기'!$U$11:$U$800,0))</f>
        <v>0.2449160285442693</v>
      </c>
      <c r="Z36" s="73">
        <f>INDEX('배치점수 계산기'!$AC$11:$AC$800,MATCH('       다 군       '!$C36,'배치점수 계산기'!$U$11:$U$800,0))</f>
        <v>0.43443438396543005</v>
      </c>
      <c r="AA36" s="63">
        <f>INDEX('배치점수 계산기'!$AD$11:$AD$800,MATCH('       다 군       '!$C36,'배치점수 계산기'!$U$11:$U$800,0))</f>
        <v>0.32064958749030059</v>
      </c>
      <c r="AE36" s="7">
        <v>29</v>
      </c>
    </row>
    <row r="37" spans="3:31" x14ac:dyDescent="0.3">
      <c r="C37" s="7" t="s">
        <v>1552</v>
      </c>
      <c r="D37" s="41" t="s">
        <v>1553</v>
      </c>
      <c r="E37" s="41">
        <v>97</v>
      </c>
      <c r="F37" s="113" t="s">
        <v>378</v>
      </c>
      <c r="G37" s="41" t="s">
        <v>711</v>
      </c>
      <c r="H37" s="41" t="s">
        <v>685</v>
      </c>
      <c r="I37" s="41" t="s">
        <v>274</v>
      </c>
      <c r="J37" s="41" t="str">
        <f t="shared" si="0"/>
        <v>X</v>
      </c>
      <c r="K37" s="113">
        <f>IFERROR(INDEX(환산공식!CI$16:CI$301,MATCH($E37,환산공식!$A$16:$A$301,0)),"")</f>
        <v>250</v>
      </c>
      <c r="L37" s="41" t="str">
        <f>IFERROR(CONCATENATE(ROUND(INDEX(환산공식!CJ$16:CJ$301,MATCH(E37,환산공식!$A$16:$A$301,0)),1),"%"),"")</f>
        <v>100%</v>
      </c>
      <c r="M37" s="41">
        <f>IFERROR(INDEX(환산공식!CK$16:CK$301,MATCH(E37,환산공식!$A$16:$A$301,0)),"")</f>
        <v>5</v>
      </c>
      <c r="N37" s="113" t="str">
        <f t="shared" si="1"/>
        <v>1% 이하</v>
      </c>
      <c r="O37" s="119">
        <f>IFERROR(ROUND(INDEX(환산공식!$EF$16:$EF$301,MATCH(E37,환산공식!$A$16:$A$301,0)),3),"")</f>
        <v>0</v>
      </c>
      <c r="P37" s="119">
        <f>IFERROR(ROUND(INDEX('배치점수 계산기'!M$11:M$1000,MATCH($C37,'배치점수 계산기'!$U$11:$U$1000,0)),2),"")</f>
        <v>1004.44</v>
      </c>
      <c r="Q37" s="41">
        <f>IFERROR(ROUND(INDEX('배치점수 계산기'!N$11:N$1000,MATCH($C37,'배치점수 계산기'!$U$11:$U$1000,0)),2),"")</f>
        <v>1002.14</v>
      </c>
      <c r="R37" s="41">
        <f>IFERROR(ROUND(INDEX('배치점수 계산기'!O$11:O$1000,MATCH($C37,'배치점수 계산기'!$U$11:$U$1000,0)),2),"")</f>
        <v>1000.84</v>
      </c>
      <c r="S37" s="41">
        <f>IFERROR(ROUND(INDEX('배치점수 계산기'!P$11:P$1000,MATCH($C37,'배치점수 계산기'!$U$11:$U$1000,0)),2),"")</f>
        <v>999.88</v>
      </c>
      <c r="T37" s="41">
        <f>IFERROR(ROUND(INDEX('배치점수 계산기'!Q$11:Q$1000,MATCH($C37,'배치점수 계산기'!$U$11:$U$1000,0)),2),"")</f>
        <v>997.83</v>
      </c>
      <c r="U37" s="41">
        <f>IFERROR(INDEX(환산공식!$DC$16:$DC$301,MATCH(E37,환산공식!$A$16:$A$301,0)),"")</f>
        <v>0</v>
      </c>
      <c r="V37" s="113">
        <f t="shared" si="2"/>
        <v>6</v>
      </c>
      <c r="W37" s="110" t="str">
        <f>INDEX('배치점수 계산기'!$AG$11:$AG$800,MATCH('       다 군       '!$C37,'배치점수 계산기'!$U$11:$U$800,0))</f>
        <v>백분위</v>
      </c>
      <c r="X37" s="108" t="str">
        <f>INDEX('배치점수 계산기'!$AH$11:$AH$800,MATCH('       다 군       '!$C37,'배치점수 계산기'!$U$11:$U$800,0))</f>
        <v>백분위</v>
      </c>
      <c r="Y37" s="113">
        <f>INDEX('배치점수 계산기'!$AB$11:$AB$800,MATCH('       다 군       '!$C37,'배치점수 계산기'!$U$11:$U$800,0))</f>
        <v>0.33333333333333331</v>
      </c>
      <c r="Z37" s="73">
        <f>INDEX('배치점수 계산기'!$AC$11:$AC$800,MATCH('       다 군       '!$C37,'배치점수 계산기'!$U$11:$U$800,0))</f>
        <v>0.4</v>
      </c>
      <c r="AA37" s="63">
        <f>INDEX('배치점수 계산기'!$AD$11:$AD$800,MATCH('       다 군       '!$C37,'배치점수 계산기'!$U$11:$U$800,0))</f>
        <v>0.26666666666666666</v>
      </c>
      <c r="AE37" s="7">
        <v>30</v>
      </c>
    </row>
    <row r="38" spans="3:31" x14ac:dyDescent="0.3">
      <c r="C38" s="7" t="s">
        <v>1554</v>
      </c>
      <c r="D38" s="41" t="s">
        <v>176</v>
      </c>
      <c r="E38" s="41">
        <v>76</v>
      </c>
      <c r="F38" s="113" t="s">
        <v>378</v>
      </c>
      <c r="G38" s="41" t="s">
        <v>710</v>
      </c>
      <c r="H38" s="41" t="s">
        <v>685</v>
      </c>
      <c r="I38" s="41" t="s">
        <v>274</v>
      </c>
      <c r="J38" s="41" t="str">
        <f t="shared" si="0"/>
        <v>X</v>
      </c>
      <c r="K38" s="113">
        <f>IFERROR(INDEX(환산공식!CI$16:CI$301,MATCH($E38,환산공식!$A$16:$A$301,0)),"")</f>
        <v>100</v>
      </c>
      <c r="L38" s="41" t="str">
        <f>IFERROR(CONCATENATE(ROUND(INDEX(환산공식!CJ$16:CJ$301,MATCH(E38,환산공식!$A$16:$A$301,0)),1),"%"),"")</f>
        <v>100%</v>
      </c>
      <c r="M38" s="41">
        <f>IFERROR(INDEX(환산공식!CK$16:CK$301,MATCH(E38,환산공식!$A$16:$A$301,0)),"")</f>
        <v>5</v>
      </c>
      <c r="N38" s="113" t="str">
        <f t="shared" si="1"/>
        <v>1% 이하</v>
      </c>
      <c r="O38" s="119">
        <f>IFERROR(ROUND(INDEX(환산공식!$EF$16:$EF$301,MATCH(E38,환산공식!$A$16:$A$301,0)),3),"")</f>
        <v>0</v>
      </c>
      <c r="P38" s="119">
        <f>IFERROR(ROUND(INDEX('배치점수 계산기'!M$11:M$1000,MATCH($C38,'배치점수 계산기'!$U$11:$U$1000,0)),2),"")</f>
        <v>394</v>
      </c>
      <c r="Q38" s="41">
        <f>IFERROR(ROUND(INDEX('배치점수 계산기'!N$11:N$1000,MATCH($C38,'배치점수 계산기'!$U$11:$U$1000,0)),2),"")</f>
        <v>393.3</v>
      </c>
      <c r="R38" s="41">
        <f>IFERROR(ROUND(INDEX('배치점수 계산기'!O$11:O$1000,MATCH($C38,'배치점수 계산기'!$U$11:$U$1000,0)),2),"")</f>
        <v>392.7</v>
      </c>
      <c r="S38" s="41">
        <f>IFERROR(ROUND(INDEX('배치점수 계산기'!P$11:P$1000,MATCH($C38,'배치점수 계산기'!$U$11:$U$1000,0)),2),"")</f>
        <v>392.2</v>
      </c>
      <c r="T38" s="41">
        <f>IFERROR(ROUND(INDEX('배치점수 계산기'!Q$11:Q$1000,MATCH($C38,'배치점수 계산기'!$U$11:$U$1000,0)),2),"")</f>
        <v>391</v>
      </c>
      <c r="U38" s="41">
        <f>IFERROR(INDEX(환산공식!$DC$16:$DC$301,MATCH(E38,환산공식!$A$16:$A$301,0)),"")</f>
        <v>0</v>
      </c>
      <c r="V38" s="113">
        <f t="shared" si="2"/>
        <v>6</v>
      </c>
      <c r="W38" s="110" t="str">
        <f>INDEX('배치점수 계산기'!$AG$11:$AG$800,MATCH('       다 군       '!$C38,'배치점수 계산기'!$U$11:$U$800,0))</f>
        <v>백분위</v>
      </c>
      <c r="X38" s="108" t="str">
        <f>INDEX('배치점수 계산기'!$AH$11:$AH$800,MATCH('       다 군       '!$C38,'배치점수 계산기'!$U$11:$U$800,0))</f>
        <v>백분위</v>
      </c>
      <c r="Y38" s="113">
        <f>INDEX('배치점수 계산기'!$AB$11:$AB$800,MATCH('       다 군       '!$C38,'배치점수 계산기'!$U$11:$U$800,0))</f>
        <v>0.33333333333333331</v>
      </c>
      <c r="Z38" s="73">
        <f>INDEX('배치점수 계산기'!$AC$11:$AC$800,MATCH('       다 군       '!$C38,'배치점수 계산기'!$U$11:$U$800,0))</f>
        <v>0.33333333333333331</v>
      </c>
      <c r="AA38" s="63">
        <f>INDEX('배치점수 계산기'!$AD$11:$AD$800,MATCH('       다 군       '!$C38,'배치점수 계산기'!$U$11:$U$800,0))</f>
        <v>0.33333333333333331</v>
      </c>
      <c r="AE38" s="7">
        <v>31</v>
      </c>
    </row>
    <row r="39" spans="3:31" x14ac:dyDescent="0.3">
      <c r="C39" s="7" t="s">
        <v>1555</v>
      </c>
      <c r="D39" s="41" t="s">
        <v>1543</v>
      </c>
      <c r="E39" s="41">
        <v>122</v>
      </c>
      <c r="F39" s="113" t="s">
        <v>378</v>
      </c>
      <c r="G39" s="41" t="s">
        <v>703</v>
      </c>
      <c r="H39" s="41" t="s">
        <v>685</v>
      </c>
      <c r="I39" s="41" t="s">
        <v>274</v>
      </c>
      <c r="J39" s="41" t="str">
        <f t="shared" si="0"/>
        <v>X</v>
      </c>
      <c r="K39" s="113">
        <f>IFERROR(INDEX(환산공식!CI$16:CI$301,MATCH($E39,환산공식!$A$16:$A$301,0)),"")</f>
        <v>200</v>
      </c>
      <c r="L39" s="41" t="str">
        <f>IFERROR(CONCATENATE(ROUND(INDEX(환산공식!CJ$16:CJ$301,MATCH(E39,환산공식!$A$16:$A$301,0)),1),"%"),"")</f>
        <v>100%</v>
      </c>
      <c r="M39" s="41">
        <f>IFERROR(INDEX(환산공식!CK$16:CK$301,MATCH(E39,환산공식!$A$16:$A$301,0)),"")</f>
        <v>10</v>
      </c>
      <c r="N39" s="113" t="str">
        <f t="shared" si="1"/>
        <v>1% 이하</v>
      </c>
      <c r="O39" s="119">
        <f>IFERROR(ROUND(INDEX(환산공식!$EF$16:$EF$301,MATCH(E39,환산공식!$A$16:$A$301,0)),3),"")</f>
        <v>0</v>
      </c>
      <c r="P39" s="119">
        <f>IFERROR(ROUND(INDEX('배치점수 계산기'!M$11:M$1000,MATCH($C39,'배치점수 계산기'!$U$11:$U$1000,0)),2),"")</f>
        <v>1032.4000000000001</v>
      </c>
      <c r="Q39" s="41">
        <f>IFERROR(ROUND(INDEX('배치점수 계산기'!N$11:N$1000,MATCH($C39,'배치점수 계산기'!$U$11:$U$1000,0)),2),"")</f>
        <v>1029.3</v>
      </c>
      <c r="R39" s="41">
        <f>IFERROR(ROUND(INDEX('배치점수 계산기'!O$11:O$1000,MATCH($C39,'배치점수 계산기'!$U$11:$U$1000,0)),2),"")</f>
        <v>1026.0999999999999</v>
      </c>
      <c r="S39" s="41">
        <f>IFERROR(ROUND(INDEX('배치점수 계산기'!P$11:P$1000,MATCH($C39,'배치점수 계산기'!$U$11:$U$1000,0)),2),"")</f>
        <v>1024.5999999999999</v>
      </c>
      <c r="T39" s="41">
        <f>IFERROR(ROUND(INDEX('배치점수 계산기'!Q$11:Q$1000,MATCH($C39,'배치점수 계산기'!$U$11:$U$1000,0)),2),"")</f>
        <v>1023.7</v>
      </c>
      <c r="U39" s="41">
        <f>IFERROR(INDEX(환산공식!$DC$16:$DC$301,MATCH(E39,환산공식!$A$16:$A$301,0)),"")</f>
        <v>0</v>
      </c>
      <c r="V39" s="113">
        <f t="shared" si="2"/>
        <v>6</v>
      </c>
      <c r="W39" s="110" t="str">
        <f>INDEX('배치점수 계산기'!$AG$11:$AG$800,MATCH('       다 군       '!$C39,'배치점수 계산기'!$U$11:$U$800,0))</f>
        <v>백분위</v>
      </c>
      <c r="X39" s="108" t="str">
        <f>INDEX('배치점수 계산기'!$AH$11:$AH$800,MATCH('       다 군       '!$C39,'배치점수 계산기'!$U$11:$U$800,0))</f>
        <v>백분위</v>
      </c>
      <c r="Y39" s="113">
        <f>INDEX('배치점수 계산기'!$AB$11:$AB$800,MATCH('       다 군       '!$C39,'배치점수 계산기'!$U$11:$U$800,0))</f>
        <v>0.25</v>
      </c>
      <c r="Z39" s="73">
        <f>INDEX('배치점수 계산기'!$AC$11:$AC$800,MATCH('       다 군       '!$C39,'배치점수 계산기'!$U$11:$U$800,0))</f>
        <v>0.375</v>
      </c>
      <c r="AA39" s="63">
        <f>INDEX('배치점수 계산기'!$AD$11:$AD$800,MATCH('       다 군       '!$C39,'배치점수 계산기'!$U$11:$U$800,0))</f>
        <v>0.375</v>
      </c>
      <c r="AE39" s="7">
        <v>32</v>
      </c>
    </row>
    <row r="40" spans="3:31" x14ac:dyDescent="0.3">
      <c r="C40" s="7" t="s">
        <v>1556</v>
      </c>
      <c r="D40" s="41" t="s">
        <v>1557</v>
      </c>
      <c r="E40" s="41">
        <v>102</v>
      </c>
      <c r="F40" s="113" t="s">
        <v>378</v>
      </c>
      <c r="G40" s="41" t="s">
        <v>709</v>
      </c>
      <c r="H40" s="41" t="s">
        <v>685</v>
      </c>
      <c r="I40" s="41" t="s">
        <v>274</v>
      </c>
      <c r="J40" s="41" t="str">
        <f t="shared" si="0"/>
        <v>X</v>
      </c>
      <c r="K40" s="113">
        <f>IFERROR(INDEX(환산공식!CI$16:CI$301,MATCH($E40,환산공식!$A$16:$A$301,0)),"")</f>
        <v>100</v>
      </c>
      <c r="L40" s="41" t="str">
        <f>IFERROR(CONCATENATE(ROUND(INDEX(환산공식!CJ$16:CJ$301,MATCH(E40,환산공식!$A$16:$A$301,0)),1),"%"),"")</f>
        <v>90.9%</v>
      </c>
      <c r="M40" s="41">
        <f>IFERROR(INDEX(환산공식!CK$16:CK$301,MATCH(E40,환산공식!$A$16:$A$301,0)),"")</f>
        <v>0</v>
      </c>
      <c r="N40" s="113" t="str">
        <f t="shared" si="1"/>
        <v>1% 이하</v>
      </c>
      <c r="O40" s="119">
        <f>IFERROR(ROUND(INDEX(환산공식!$EF$16:$EF$301,MATCH(E40,환산공식!$A$16:$A$301,0)),3),"")</f>
        <v>10</v>
      </c>
      <c r="P40" s="119">
        <f>IFERROR(ROUND(INDEX('배치점수 계산기'!M$11:M$1000,MATCH($C40,'배치점수 계산기'!$U$11:$U$1000,0)),2),"")</f>
        <v>298.5</v>
      </c>
      <c r="Q40" s="41">
        <f>IFERROR(ROUND(INDEX('배치점수 계산기'!N$11:N$1000,MATCH($C40,'배치점수 계산기'!$U$11:$U$1000,0)),2),"")</f>
        <v>297.8</v>
      </c>
      <c r="R40" s="41">
        <f>IFERROR(ROUND(INDEX('배치점수 계산기'!O$11:O$1000,MATCH($C40,'배치점수 계산기'!$U$11:$U$1000,0)),2),"")</f>
        <v>297.8</v>
      </c>
      <c r="S40" s="41">
        <f>IFERROR(ROUND(INDEX('배치점수 계산기'!P$11:P$1000,MATCH($C40,'배치점수 계산기'!$U$11:$U$1000,0)),2),"")</f>
        <v>297.5</v>
      </c>
      <c r="T40" s="41">
        <f>IFERROR(ROUND(INDEX('배치점수 계산기'!Q$11:Q$1000,MATCH($C40,'배치점수 계산기'!$U$11:$U$1000,0)),2),"")</f>
        <v>297</v>
      </c>
      <c r="U40" s="41">
        <f>IFERROR(INDEX(환산공식!$DC$16:$DC$301,MATCH(E40,환산공식!$A$16:$A$301,0)),"")</f>
        <v>0</v>
      </c>
      <c r="V40" s="113">
        <f t="shared" si="2"/>
        <v>6</v>
      </c>
      <c r="W40" s="110" t="str">
        <f>INDEX('배치점수 계산기'!$AG$11:$AG$800,MATCH('       다 군       '!$C40,'배치점수 계산기'!$U$11:$U$800,0))</f>
        <v>백분위</v>
      </c>
      <c r="X40" s="108" t="str">
        <f>INDEX('배치점수 계산기'!$AH$11:$AH$800,MATCH('       다 군       '!$C40,'배치점수 계산기'!$U$11:$U$800,0))</f>
        <v>백분위</v>
      </c>
      <c r="Y40" s="113">
        <f>INDEX('배치점수 계산기'!$AB$11:$AB$800,MATCH('       다 군       '!$C40,'배치점수 계산기'!$U$11:$U$800,0))</f>
        <v>0.33333333333333331</v>
      </c>
      <c r="Z40" s="73">
        <f>INDEX('배치점수 계산기'!$AC$11:$AC$800,MATCH('       다 군       '!$C40,'배치점수 계산기'!$U$11:$U$800,0))</f>
        <v>0.33333333333333331</v>
      </c>
      <c r="AA40" s="63">
        <f>INDEX('배치점수 계산기'!$AD$11:$AD$800,MATCH('       다 군       '!$C40,'배치점수 계산기'!$U$11:$U$800,0))</f>
        <v>0.33333333333333331</v>
      </c>
      <c r="AE40" s="7">
        <v>33</v>
      </c>
    </row>
    <row r="41" spans="3:31" x14ac:dyDescent="0.3">
      <c r="C41" s="7" t="s">
        <v>1558</v>
      </c>
      <c r="D41" s="41" t="s">
        <v>1559</v>
      </c>
      <c r="E41" s="41">
        <v>88</v>
      </c>
      <c r="F41" s="113" t="s">
        <v>378</v>
      </c>
      <c r="G41" s="41" t="s">
        <v>693</v>
      </c>
      <c r="H41" s="41" t="s">
        <v>695</v>
      </c>
      <c r="I41" s="41" t="s">
        <v>274</v>
      </c>
      <c r="J41" s="41" t="str">
        <f t="shared" si="0"/>
        <v>X</v>
      </c>
      <c r="K41" s="113">
        <f>IFERROR(INDEX(환산공식!CI$16:CI$301,MATCH($E41,환산공식!$A$16:$A$301,0)),"")</f>
        <v>200</v>
      </c>
      <c r="L41" s="41" t="str">
        <f>IFERROR(CONCATENATE(ROUND(INDEX(환산공식!CJ$16:CJ$301,MATCH(E41,환산공식!$A$16:$A$301,0)),1),"%"),"")</f>
        <v>100%</v>
      </c>
      <c r="M41" s="41">
        <f>IFERROR(INDEX(환산공식!CK$16:CK$301,MATCH(E41,환산공식!$A$16:$A$301,0)),"")</f>
        <v>10</v>
      </c>
      <c r="N41" s="113" t="str">
        <f t="shared" si="1"/>
        <v>1% 이하</v>
      </c>
      <c r="O41" s="119">
        <f>IFERROR(ROUND(INDEX(환산공식!$EF$16:$EF$301,MATCH(E41,환산공식!$A$16:$A$301,0)),3),"")</f>
        <v>0</v>
      </c>
      <c r="P41" s="119">
        <f>IFERROR(ROUND(INDEX('배치점수 계산기'!M$11:M$1000,MATCH($C41,'배치점수 계산기'!$U$11:$U$1000,0)),2),"")</f>
        <v>751</v>
      </c>
      <c r="Q41" s="41">
        <f>IFERROR(ROUND(INDEX('배치점수 계산기'!N$11:N$1000,MATCH($C41,'배치점수 계산기'!$U$11:$U$1000,0)),2),"")</f>
        <v>749.53</v>
      </c>
      <c r="R41" s="41">
        <f>IFERROR(ROUND(INDEX('배치점수 계산기'!O$11:O$1000,MATCH($C41,'배치점수 계산기'!$U$11:$U$1000,0)),2),"")</f>
        <v>747.45</v>
      </c>
      <c r="S41" s="41">
        <f>IFERROR(ROUND(INDEX('배치점수 계산기'!P$11:P$1000,MATCH($C41,'배치점수 계산기'!$U$11:$U$1000,0)),2),"")</f>
        <v>746.83</v>
      </c>
      <c r="T41" s="41">
        <f>IFERROR(ROUND(INDEX('배치점수 계산기'!Q$11:Q$1000,MATCH($C41,'배치점수 계산기'!$U$11:$U$1000,0)),2),"")</f>
        <v>745.62</v>
      </c>
      <c r="U41" s="41">
        <f>IFERROR(INDEX(환산공식!$DC$16:$DC$301,MATCH(E41,환산공식!$A$16:$A$301,0)),"")</f>
        <v>0</v>
      </c>
      <c r="V41" s="113">
        <f t="shared" si="2"/>
        <v>6</v>
      </c>
      <c r="W41" s="110" t="str">
        <f>INDEX('배치점수 계산기'!$AG$11:$AG$800,MATCH('       다 군       '!$C41,'배치점수 계산기'!$U$11:$U$800,0))</f>
        <v>표점</v>
      </c>
      <c r="X41" s="108" t="str">
        <f>INDEX('배치점수 계산기'!$AH$11:$AH$800,MATCH('       다 군       '!$C41,'배치점수 계산기'!$U$11:$U$800,0))</f>
        <v>표점</v>
      </c>
      <c r="Y41" s="113">
        <f>INDEX('배치점수 계산기'!$AB$11:$AB$800,MATCH('       다 군       '!$C41,'배치점수 계산기'!$U$11:$U$800,0))</f>
        <v>0.3125</v>
      </c>
      <c r="Z41" s="73">
        <f>INDEX('배치점수 계산기'!$AC$11:$AC$800,MATCH('       다 군       '!$C41,'배치점수 계산기'!$U$11:$U$800,0))</f>
        <v>0.375</v>
      </c>
      <c r="AA41" s="63">
        <f>INDEX('배치점수 계산기'!$AD$11:$AD$800,MATCH('       다 군       '!$C41,'배치점수 계산기'!$U$11:$U$800,0))</f>
        <v>0.3125</v>
      </c>
      <c r="AE41" s="7">
        <v>34</v>
      </c>
    </row>
    <row r="42" spans="3:31" x14ac:dyDescent="0.3">
      <c r="C42" s="7" t="s">
        <v>1560</v>
      </c>
      <c r="D42" s="41" t="s">
        <v>1561</v>
      </c>
      <c r="E42" s="41">
        <v>98</v>
      </c>
      <c r="F42" s="113" t="s">
        <v>378</v>
      </c>
      <c r="G42" s="41" t="s">
        <v>692</v>
      </c>
      <c r="H42" s="41" t="s">
        <v>695</v>
      </c>
      <c r="I42" s="41" t="s">
        <v>274</v>
      </c>
      <c r="J42" s="41" t="str">
        <f t="shared" si="0"/>
        <v>X</v>
      </c>
      <c r="K42" s="113">
        <f>IFERROR(INDEX(환산공식!CI$16:CI$301,MATCH($E42,환산공식!$A$16:$A$301,0)),"")</f>
        <v>200</v>
      </c>
      <c r="L42" s="41" t="str">
        <f>IFERROR(CONCATENATE(ROUND(INDEX(환산공식!CJ$16:CJ$301,MATCH(E42,환산공식!$A$16:$A$301,0)),1),"%"),"")</f>
        <v>100%</v>
      </c>
      <c r="M42" s="41">
        <f>IFERROR(INDEX(환산공식!CK$16:CK$301,MATCH(E42,환산공식!$A$16:$A$301,0)),"")</f>
        <v>3</v>
      </c>
      <c r="N42" s="113" t="str">
        <f t="shared" si="1"/>
        <v>1% 이하</v>
      </c>
      <c r="O42" s="119">
        <f>IFERROR(ROUND(INDEX(환산공식!$EF$16:$EF$301,MATCH(E42,환산공식!$A$16:$A$301,0)),3),"")</f>
        <v>0</v>
      </c>
      <c r="P42" s="119">
        <f>IFERROR(ROUND(INDEX('배치점수 계산기'!M$11:M$1000,MATCH($C42,'배치점수 계산기'!$U$11:$U$1000,0)),2),"")</f>
        <v>971.2</v>
      </c>
      <c r="Q42" s="41">
        <f>IFERROR(ROUND(INDEX('배치점수 계산기'!N$11:N$1000,MATCH($C42,'배치점수 계산기'!$U$11:$U$1000,0)),2),"")</f>
        <v>970</v>
      </c>
      <c r="R42" s="41">
        <f>IFERROR(ROUND(INDEX('배치점수 계산기'!O$11:O$1000,MATCH($C42,'배치점수 계산기'!$U$11:$U$1000,0)),2),"")</f>
        <v>964.6</v>
      </c>
      <c r="S42" s="41">
        <f>IFERROR(ROUND(INDEX('배치점수 계산기'!P$11:P$1000,MATCH($C42,'배치점수 계산기'!$U$11:$U$1000,0)),2),"")</f>
        <v>963.6</v>
      </c>
      <c r="T42" s="41">
        <f>IFERROR(ROUND(INDEX('배치점수 계산기'!Q$11:Q$1000,MATCH($C42,'배치점수 계산기'!$U$11:$U$1000,0)),2),"")</f>
        <v>962.8</v>
      </c>
      <c r="U42" s="41">
        <f>IFERROR(INDEX(환산공식!$DC$16:$DC$301,MATCH(E42,환산공식!$A$16:$A$301,0)),"")</f>
        <v>0</v>
      </c>
      <c r="V42" s="113">
        <f t="shared" si="2"/>
        <v>6</v>
      </c>
      <c r="W42" s="110" t="str">
        <f>INDEX('배치점수 계산기'!$AG$11:$AG$800,MATCH('       다 군       '!$C42,'배치점수 계산기'!$U$11:$U$800,0))</f>
        <v>백분위</v>
      </c>
      <c r="X42" s="108" t="str">
        <f>INDEX('배치점수 계산기'!$AH$11:$AH$800,MATCH('       다 군       '!$C42,'배치점수 계산기'!$U$11:$U$800,0))</f>
        <v>백분위</v>
      </c>
      <c r="Y42" s="113">
        <f>INDEX('배치점수 계산기'!$AB$11:$AB$800,MATCH('       다 군       '!$C42,'배치점수 계산기'!$U$11:$U$800,0))</f>
        <v>0.25</v>
      </c>
      <c r="Z42" s="73">
        <f>INDEX('배치점수 계산기'!$AC$11:$AC$800,MATCH('       다 군       '!$C42,'배치점수 계산기'!$U$11:$U$800,0))</f>
        <v>0.5</v>
      </c>
      <c r="AA42" s="63">
        <f>INDEX('배치점수 계산기'!$AD$11:$AD$800,MATCH('       다 군       '!$C42,'배치점수 계산기'!$U$11:$U$800,0))</f>
        <v>0.25</v>
      </c>
      <c r="AE42" s="7">
        <v>35</v>
      </c>
    </row>
    <row r="43" spans="3:31" x14ac:dyDescent="0.3">
      <c r="C43" s="7" t="s">
        <v>1562</v>
      </c>
      <c r="D43" s="41" t="s">
        <v>1563</v>
      </c>
      <c r="E43" s="41">
        <v>89</v>
      </c>
      <c r="F43" s="113" t="s">
        <v>378</v>
      </c>
      <c r="G43" s="41" t="s">
        <v>693</v>
      </c>
      <c r="H43" s="41" t="s">
        <v>689</v>
      </c>
      <c r="I43" s="41" t="s">
        <v>275</v>
      </c>
      <c r="J43" s="41" t="str">
        <f t="shared" si="0"/>
        <v>X</v>
      </c>
      <c r="K43" s="113">
        <f>IFERROR(INDEX(환산공식!CI$16:CI$301,MATCH($E43,환산공식!$A$16:$A$301,0)),"")</f>
        <v>200</v>
      </c>
      <c r="L43" s="41" t="str">
        <f>IFERROR(CONCATENATE(ROUND(INDEX(환산공식!CJ$16:CJ$301,MATCH(E43,환산공식!$A$16:$A$301,0)),1),"%"),"")</f>
        <v>100%</v>
      </c>
      <c r="M43" s="41">
        <f>IFERROR(INDEX(환산공식!CK$16:CK$301,MATCH(E43,환산공식!$A$16:$A$301,0)),"")</f>
        <v>10</v>
      </c>
      <c r="N43" s="113" t="str">
        <f t="shared" si="1"/>
        <v>1% 이하</v>
      </c>
      <c r="O43" s="119">
        <f>IFERROR(ROUND(INDEX(환산공식!$EF$16:$EF$301,MATCH(E43,환산공식!$A$16:$A$301,0)),3),"")</f>
        <v>0</v>
      </c>
      <c r="P43" s="119">
        <f>IFERROR(ROUND(INDEX('배치점수 계산기'!M$11:M$1000,MATCH($C43,'배치점수 계산기'!$U$11:$U$1000,0)),2),"")</f>
        <v>748.5</v>
      </c>
      <c r="Q43" s="41">
        <f>IFERROR(ROUND(INDEX('배치점수 계산기'!N$11:N$1000,MATCH($C43,'배치점수 계산기'!$U$11:$U$1000,0)),2),"")</f>
        <v>745.72</v>
      </c>
      <c r="R43" s="41">
        <f>IFERROR(ROUND(INDEX('배치점수 계산기'!O$11:O$1000,MATCH($C43,'배치점수 계산기'!$U$11:$U$1000,0)),2),"")</f>
        <v>743.42</v>
      </c>
      <c r="S43" s="41">
        <f>IFERROR(ROUND(INDEX('배치점수 계산기'!P$11:P$1000,MATCH($C43,'배치점수 계산기'!$U$11:$U$1000,0)),2),"")</f>
        <v>741.1</v>
      </c>
      <c r="T43" s="41">
        <f>IFERROR(ROUND(INDEX('배치점수 계산기'!Q$11:Q$1000,MATCH($C43,'배치점수 계산기'!$U$11:$U$1000,0)),2),"")</f>
        <v>740.12</v>
      </c>
      <c r="U43" s="41">
        <f>IFERROR(INDEX(환산공식!$DC$16:$DC$301,MATCH(E43,환산공식!$A$16:$A$301,0)),"")</f>
        <v>0</v>
      </c>
      <c r="V43" s="113">
        <f t="shared" si="2"/>
        <v>6</v>
      </c>
      <c r="W43" s="110" t="str">
        <f>INDEX('배치점수 계산기'!$AG$11:$AG$800,MATCH('       다 군       '!$C43,'배치점수 계산기'!$U$11:$U$800,0))</f>
        <v>표점</v>
      </c>
      <c r="X43" s="108" t="str">
        <f>INDEX('배치점수 계산기'!$AH$11:$AH$800,MATCH('       다 군       '!$C43,'배치점수 계산기'!$U$11:$U$800,0))</f>
        <v>표점</v>
      </c>
      <c r="Y43" s="113">
        <f>INDEX('배치점수 계산기'!$AB$11:$AB$800,MATCH('       다 군       '!$C43,'배치점수 계산기'!$U$11:$U$800,0))</f>
        <v>0.3125</v>
      </c>
      <c r="Z43" s="73">
        <f>INDEX('배치점수 계산기'!$AC$11:$AC$800,MATCH('       다 군       '!$C43,'배치점수 계산기'!$U$11:$U$800,0))</f>
        <v>0.375</v>
      </c>
      <c r="AA43" s="63">
        <f>INDEX('배치점수 계산기'!$AD$11:$AD$800,MATCH('       다 군       '!$C43,'배치점수 계산기'!$U$11:$U$800,0))</f>
        <v>0.3125</v>
      </c>
      <c r="AE43" s="7">
        <v>36</v>
      </c>
    </row>
    <row r="44" spans="3:31" x14ac:dyDescent="0.3">
      <c r="C44" s="7" t="s">
        <v>1564</v>
      </c>
      <c r="D44" s="41" t="s">
        <v>1565</v>
      </c>
      <c r="E44" s="41">
        <v>99</v>
      </c>
      <c r="F44" s="113" t="s">
        <v>378</v>
      </c>
      <c r="G44" s="41" t="s">
        <v>692</v>
      </c>
      <c r="H44" s="41" t="s">
        <v>689</v>
      </c>
      <c r="I44" s="41" t="s">
        <v>275</v>
      </c>
      <c r="J44" s="41" t="str">
        <f t="shared" si="0"/>
        <v>X</v>
      </c>
      <c r="K44" s="113">
        <f>IFERROR(INDEX(환산공식!CI$16:CI$301,MATCH($E44,환산공식!$A$16:$A$301,0)),"")</f>
        <v>200</v>
      </c>
      <c r="L44" s="41" t="str">
        <f>IFERROR(CONCATENATE(ROUND(INDEX(환산공식!CJ$16:CJ$301,MATCH(E44,환산공식!$A$16:$A$301,0)),1),"%"),"")</f>
        <v>100%</v>
      </c>
      <c r="M44" s="41">
        <f>IFERROR(INDEX(환산공식!CK$16:CK$301,MATCH(E44,환산공식!$A$16:$A$301,0)),"")</f>
        <v>3</v>
      </c>
      <c r="N44" s="113" t="str">
        <f t="shared" si="1"/>
        <v>1% 이하</v>
      </c>
      <c r="O44" s="119">
        <f>IFERROR(ROUND(INDEX(환산공식!$EF$16:$EF$301,MATCH(E44,환산공식!$A$16:$A$301,0)),3),"")</f>
        <v>0</v>
      </c>
      <c r="P44" s="119">
        <f>IFERROR(ROUND(INDEX('배치점수 계산기'!M$11:M$1000,MATCH($C44,'배치점수 계산기'!$U$11:$U$1000,0)),2),"")</f>
        <v>973.8</v>
      </c>
      <c r="Q44" s="41">
        <f>IFERROR(ROUND(INDEX('배치점수 계산기'!N$11:N$1000,MATCH($C44,'배치점수 계산기'!$U$11:$U$1000,0)),2),"")</f>
        <v>973.4</v>
      </c>
      <c r="R44" s="41">
        <f>IFERROR(ROUND(INDEX('배치점수 계산기'!O$11:O$1000,MATCH($C44,'배치점수 계산기'!$U$11:$U$1000,0)),2),"")</f>
        <v>971.2</v>
      </c>
      <c r="S44" s="41">
        <f>IFERROR(ROUND(INDEX('배치점수 계산기'!P$11:P$1000,MATCH($C44,'배치점수 계산기'!$U$11:$U$1000,0)),2),"")</f>
        <v>970.4</v>
      </c>
      <c r="T44" s="41">
        <f>IFERROR(ROUND(INDEX('배치점수 계산기'!Q$11:Q$1000,MATCH($C44,'배치점수 계산기'!$U$11:$U$1000,0)),2),"")</f>
        <v>970</v>
      </c>
      <c r="U44" s="41">
        <f>IFERROR(INDEX(환산공식!$DC$16:$DC$301,MATCH(E44,환산공식!$A$16:$A$301,0)),"")</f>
        <v>0</v>
      </c>
      <c r="V44" s="113">
        <f t="shared" si="2"/>
        <v>6</v>
      </c>
      <c r="W44" s="110" t="str">
        <f>INDEX('배치점수 계산기'!$AG$11:$AG$800,MATCH('       다 군       '!$C44,'배치점수 계산기'!$U$11:$U$800,0))</f>
        <v>백분위</v>
      </c>
      <c r="X44" s="108" t="str">
        <f>INDEX('배치점수 계산기'!$AH$11:$AH$800,MATCH('       다 군       '!$C44,'배치점수 계산기'!$U$11:$U$800,0))</f>
        <v>백분위</v>
      </c>
      <c r="Y44" s="113">
        <f>INDEX('배치점수 계산기'!$AB$11:$AB$800,MATCH('       다 군       '!$C44,'배치점수 계산기'!$U$11:$U$800,0))</f>
        <v>0.25</v>
      </c>
      <c r="Z44" s="73">
        <f>INDEX('배치점수 계산기'!$AC$11:$AC$800,MATCH('       다 군       '!$C44,'배치점수 계산기'!$U$11:$U$800,0))</f>
        <v>0.5</v>
      </c>
      <c r="AA44" s="63">
        <f>INDEX('배치점수 계산기'!$AD$11:$AD$800,MATCH('       다 군       '!$C44,'배치점수 계산기'!$U$11:$U$800,0))</f>
        <v>0.25</v>
      </c>
      <c r="AE44" s="7">
        <v>37</v>
      </c>
    </row>
    <row r="45" spans="3:31" x14ac:dyDescent="0.3">
      <c r="C45" s="7" t="s">
        <v>1566</v>
      </c>
      <c r="D45" s="41" t="s">
        <v>1543</v>
      </c>
      <c r="E45" s="41">
        <v>122</v>
      </c>
      <c r="F45" s="113" t="s">
        <v>378</v>
      </c>
      <c r="G45" s="41" t="s">
        <v>703</v>
      </c>
      <c r="H45" s="41" t="s">
        <v>700</v>
      </c>
      <c r="I45" s="41" t="s">
        <v>274</v>
      </c>
      <c r="J45" s="41" t="str">
        <f t="shared" si="0"/>
        <v>X</v>
      </c>
      <c r="K45" s="113">
        <f>IFERROR(INDEX(환산공식!CI$16:CI$301,MATCH($E45,환산공식!$A$16:$A$301,0)),"")</f>
        <v>200</v>
      </c>
      <c r="L45" s="41" t="str">
        <f>IFERROR(CONCATENATE(ROUND(INDEX(환산공식!CJ$16:CJ$301,MATCH(E45,환산공식!$A$16:$A$301,0)),1),"%"),"")</f>
        <v>100%</v>
      </c>
      <c r="M45" s="41">
        <f>IFERROR(INDEX(환산공식!CK$16:CK$301,MATCH(E45,환산공식!$A$16:$A$301,0)),"")</f>
        <v>10</v>
      </c>
      <c r="N45" s="113" t="str">
        <f t="shared" si="1"/>
        <v>1% 이하</v>
      </c>
      <c r="O45" s="119">
        <f>IFERROR(ROUND(INDEX(환산공식!$EF$16:$EF$301,MATCH(E45,환산공식!$A$16:$A$301,0)),3),"")</f>
        <v>0</v>
      </c>
      <c r="P45" s="119">
        <f>IFERROR(ROUND(INDEX('배치점수 계산기'!M$11:M$1000,MATCH($C45,'배치점수 계산기'!$U$11:$U$1000,0)),2),"")</f>
        <v>1031</v>
      </c>
      <c r="Q45" s="41">
        <f>IFERROR(ROUND(INDEX('배치점수 계산기'!N$11:N$1000,MATCH($C45,'배치점수 계산기'!$U$11:$U$1000,0)),2),"")</f>
        <v>1024.5999999999999</v>
      </c>
      <c r="R45" s="41">
        <f>IFERROR(ROUND(INDEX('배치점수 계산기'!O$11:O$1000,MATCH($C45,'배치점수 계산기'!$U$11:$U$1000,0)),2),"")</f>
        <v>1022.8</v>
      </c>
      <c r="S45" s="41">
        <f>IFERROR(ROUND(INDEX('배치점수 계산기'!P$11:P$1000,MATCH($C45,'배치점수 계산기'!$U$11:$U$1000,0)),2),"")</f>
        <v>1020.5</v>
      </c>
      <c r="T45" s="41">
        <f>IFERROR(ROUND(INDEX('배치점수 계산기'!Q$11:Q$1000,MATCH($C45,'배치점수 계산기'!$U$11:$U$1000,0)),2),"")</f>
        <v>1018.3</v>
      </c>
      <c r="U45" s="41">
        <f>IFERROR(INDEX(환산공식!$DC$16:$DC$301,MATCH(E45,환산공식!$A$16:$A$301,0)),"")</f>
        <v>0</v>
      </c>
      <c r="V45" s="113">
        <f t="shared" si="2"/>
        <v>6</v>
      </c>
      <c r="W45" s="110" t="str">
        <f>INDEX('배치점수 계산기'!$AG$11:$AG$800,MATCH('       다 군       '!$C45,'배치점수 계산기'!$U$11:$U$800,0))</f>
        <v>백분위</v>
      </c>
      <c r="X45" s="108" t="str">
        <f>INDEX('배치점수 계산기'!$AH$11:$AH$800,MATCH('       다 군       '!$C45,'배치점수 계산기'!$U$11:$U$800,0))</f>
        <v>백분위</v>
      </c>
      <c r="Y45" s="113">
        <f>INDEX('배치점수 계산기'!$AB$11:$AB$800,MATCH('       다 군       '!$C45,'배치점수 계산기'!$U$11:$U$800,0))</f>
        <v>0.25</v>
      </c>
      <c r="Z45" s="73">
        <f>INDEX('배치점수 계산기'!$AC$11:$AC$800,MATCH('       다 군       '!$C45,'배치점수 계산기'!$U$11:$U$800,0))</f>
        <v>0.375</v>
      </c>
      <c r="AA45" s="63">
        <f>INDEX('배치점수 계산기'!$AD$11:$AD$800,MATCH('       다 군       '!$C45,'배치점수 계산기'!$U$11:$U$800,0))</f>
        <v>0.375</v>
      </c>
      <c r="AE45" s="7">
        <v>38</v>
      </c>
    </row>
    <row r="46" spans="3:31" x14ac:dyDescent="0.3">
      <c r="O46" s="119"/>
      <c r="P46" s="119"/>
      <c r="W46" s="110"/>
      <c r="Y46" s="113"/>
      <c r="Z46" s="73"/>
      <c r="AA46" s="63"/>
    </row>
    <row r="47" spans="3:31" x14ac:dyDescent="0.3">
      <c r="O47" s="119"/>
      <c r="P47" s="119"/>
      <c r="W47" s="110"/>
      <c r="Y47" s="113"/>
      <c r="Z47" s="73"/>
      <c r="AA47" s="63"/>
    </row>
    <row r="48" spans="3:31" x14ac:dyDescent="0.3">
      <c r="O48" s="119"/>
      <c r="P48" s="119"/>
      <c r="W48" s="110"/>
      <c r="Y48" s="113"/>
      <c r="Z48" s="73"/>
      <c r="AA48" s="63"/>
    </row>
    <row r="49" spans="15:27" x14ac:dyDescent="0.3">
      <c r="O49" s="119"/>
      <c r="P49" s="119"/>
      <c r="W49" s="110"/>
      <c r="Y49" s="113"/>
      <c r="Z49" s="73"/>
      <c r="AA49" s="63"/>
    </row>
    <row r="50" spans="15:27" x14ac:dyDescent="0.3">
      <c r="O50" s="119"/>
      <c r="P50" s="119"/>
      <c r="W50" s="110"/>
      <c r="Y50" s="113"/>
      <c r="Z50" s="73"/>
      <c r="AA50" s="63"/>
    </row>
    <row r="51" spans="15:27" x14ac:dyDescent="0.3">
      <c r="O51" s="119"/>
      <c r="P51" s="119"/>
      <c r="W51" s="110"/>
      <c r="Y51" s="113"/>
      <c r="Z51" s="73"/>
      <c r="AA51" s="63"/>
    </row>
    <row r="52" spans="15:27" x14ac:dyDescent="0.3">
      <c r="O52" s="119"/>
      <c r="P52" s="119"/>
      <c r="W52" s="110"/>
      <c r="Y52" s="113"/>
      <c r="Z52" s="73"/>
      <c r="AA52" s="63"/>
    </row>
    <row r="53" spans="15:27" x14ac:dyDescent="0.3">
      <c r="O53" s="119"/>
      <c r="P53" s="119"/>
      <c r="W53" s="110"/>
      <c r="Y53" s="113"/>
      <c r="Z53" s="73"/>
      <c r="AA53" s="63"/>
    </row>
    <row r="54" spans="15:27" x14ac:dyDescent="0.3">
      <c r="O54" s="119"/>
      <c r="P54" s="119"/>
      <c r="W54" s="110"/>
      <c r="Y54" s="113"/>
      <c r="Z54" s="73"/>
      <c r="AA54" s="63"/>
    </row>
    <row r="55" spans="15:27" x14ac:dyDescent="0.3">
      <c r="O55" s="119"/>
      <c r="P55" s="119"/>
      <c r="W55" s="110"/>
      <c r="Y55" s="113"/>
      <c r="Z55" s="73"/>
      <c r="AA55" s="63"/>
    </row>
    <row r="56" spans="15:27" x14ac:dyDescent="0.3">
      <c r="O56" s="119"/>
      <c r="P56" s="119"/>
      <c r="W56" s="110"/>
      <c r="Y56" s="113"/>
      <c r="Z56" s="73"/>
      <c r="AA56" s="63"/>
    </row>
    <row r="57" spans="15:27" x14ac:dyDescent="0.3">
      <c r="O57" s="119"/>
      <c r="P57" s="119"/>
      <c r="W57" s="110"/>
      <c r="Y57" s="113"/>
      <c r="Z57" s="73"/>
      <c r="AA57" s="63"/>
    </row>
    <row r="58" spans="15:27" x14ac:dyDescent="0.3">
      <c r="O58" s="119"/>
      <c r="P58" s="119"/>
      <c r="W58" s="110"/>
      <c r="Y58" s="113"/>
      <c r="Z58" s="73"/>
      <c r="AA58" s="63"/>
    </row>
    <row r="59" spans="15:27" x14ac:dyDescent="0.3">
      <c r="O59" s="119"/>
      <c r="P59" s="119"/>
      <c r="W59" s="110"/>
      <c r="Y59" s="113"/>
      <c r="Z59" s="73"/>
      <c r="AA59" s="63"/>
    </row>
    <row r="60" spans="15:27" x14ac:dyDescent="0.3">
      <c r="O60" s="119"/>
      <c r="P60" s="119"/>
      <c r="W60" s="110"/>
      <c r="Y60" s="113"/>
      <c r="Z60" s="73"/>
      <c r="AA60" s="63"/>
    </row>
    <row r="61" spans="15:27" x14ac:dyDescent="0.3">
      <c r="O61" s="119"/>
      <c r="P61" s="119"/>
      <c r="W61" s="110"/>
      <c r="Y61" s="113"/>
      <c r="Z61" s="73"/>
      <c r="AA61" s="63"/>
    </row>
    <row r="62" spans="15:27" x14ac:dyDescent="0.3">
      <c r="O62" s="119"/>
      <c r="P62" s="119"/>
      <c r="W62" s="110"/>
      <c r="Y62" s="113"/>
      <c r="Z62" s="73"/>
      <c r="AA62" s="63"/>
    </row>
    <row r="63" spans="15:27" x14ac:dyDescent="0.3">
      <c r="O63" s="119"/>
      <c r="P63" s="119"/>
      <c r="W63" s="110"/>
      <c r="Y63" s="113"/>
      <c r="Z63" s="73"/>
      <c r="AA63" s="63"/>
    </row>
    <row r="64" spans="15:27" x14ac:dyDescent="0.3">
      <c r="O64" s="119"/>
      <c r="P64" s="119"/>
      <c r="W64" s="110"/>
      <c r="Y64" s="113"/>
      <c r="Z64" s="73"/>
      <c r="AA64" s="63"/>
    </row>
    <row r="65" spans="15:27" x14ac:dyDescent="0.3">
      <c r="O65" s="119"/>
      <c r="P65" s="119"/>
      <c r="W65" s="110"/>
      <c r="Y65" s="113"/>
      <c r="Z65" s="73"/>
      <c r="AA65" s="63"/>
    </row>
    <row r="66" spans="15:27" x14ac:dyDescent="0.3">
      <c r="O66" s="119"/>
      <c r="P66" s="119"/>
      <c r="W66" s="110"/>
      <c r="Y66" s="113"/>
      <c r="Z66" s="73"/>
      <c r="AA66" s="63"/>
    </row>
    <row r="67" spans="15:27" x14ac:dyDescent="0.3">
      <c r="O67" s="119"/>
      <c r="P67" s="119"/>
      <c r="W67" s="110"/>
      <c r="Y67" s="113"/>
      <c r="Z67" s="73"/>
      <c r="AA67" s="63"/>
    </row>
    <row r="68" spans="15:27" x14ac:dyDescent="0.3">
      <c r="O68" s="119"/>
      <c r="P68" s="119"/>
      <c r="W68" s="110"/>
      <c r="Y68" s="113"/>
      <c r="Z68" s="73"/>
      <c r="AA68" s="63"/>
    </row>
    <row r="69" spans="15:27" x14ac:dyDescent="0.3">
      <c r="O69" s="119"/>
      <c r="P69" s="119"/>
      <c r="W69" s="110"/>
      <c r="Y69" s="113"/>
      <c r="Z69" s="73"/>
      <c r="AA69" s="63"/>
    </row>
    <row r="70" spans="15:27" x14ac:dyDescent="0.3">
      <c r="O70" s="119"/>
      <c r="P70" s="119"/>
      <c r="W70" s="110"/>
      <c r="Y70" s="113"/>
      <c r="Z70" s="73"/>
      <c r="AA70" s="63"/>
    </row>
    <row r="71" spans="15:27" x14ac:dyDescent="0.3">
      <c r="O71" s="119"/>
      <c r="P71" s="119"/>
      <c r="W71" s="110"/>
      <c r="Y71" s="113"/>
      <c r="Z71" s="73"/>
      <c r="AA71" s="63"/>
    </row>
    <row r="72" spans="15:27" x14ac:dyDescent="0.3">
      <c r="O72" s="119"/>
      <c r="P72" s="119"/>
      <c r="W72" s="110"/>
      <c r="Y72" s="113"/>
      <c r="Z72" s="73"/>
      <c r="AA72" s="63"/>
    </row>
    <row r="73" spans="15:27" x14ac:dyDescent="0.3">
      <c r="O73" s="119"/>
      <c r="P73" s="119"/>
      <c r="W73" s="110"/>
      <c r="Y73" s="113"/>
      <c r="Z73" s="73"/>
      <c r="AA73" s="63"/>
    </row>
    <row r="74" spans="15:27" x14ac:dyDescent="0.3">
      <c r="O74" s="119"/>
      <c r="P74" s="119"/>
      <c r="W74" s="110"/>
      <c r="Y74" s="113"/>
      <c r="Z74" s="73"/>
      <c r="AA74" s="63"/>
    </row>
    <row r="75" spans="15:27" x14ac:dyDescent="0.3">
      <c r="O75" s="119"/>
      <c r="P75" s="119"/>
      <c r="W75" s="110"/>
      <c r="Y75" s="113"/>
      <c r="Z75" s="73"/>
      <c r="AA75" s="63"/>
    </row>
    <row r="76" spans="15:27" x14ac:dyDescent="0.3">
      <c r="O76" s="119"/>
      <c r="P76" s="119"/>
      <c r="W76" s="110"/>
      <c r="Y76" s="113"/>
      <c r="Z76" s="73"/>
      <c r="AA76" s="63"/>
    </row>
    <row r="77" spans="15:27" x14ac:dyDescent="0.3">
      <c r="O77" s="119"/>
      <c r="P77" s="119"/>
      <c r="W77" s="110"/>
      <c r="Y77" s="113"/>
      <c r="Z77" s="73"/>
      <c r="AA77" s="63"/>
    </row>
    <row r="78" spans="15:27" x14ac:dyDescent="0.3">
      <c r="O78" s="119"/>
      <c r="P78" s="119"/>
      <c r="W78" s="110"/>
      <c r="Y78" s="113"/>
      <c r="Z78" s="73"/>
      <c r="AA78" s="63"/>
    </row>
    <row r="79" spans="15:27" x14ac:dyDescent="0.3">
      <c r="O79" s="119"/>
      <c r="P79" s="119"/>
      <c r="W79" s="110"/>
      <c r="Y79" s="113"/>
      <c r="Z79" s="73"/>
      <c r="AA79" s="63"/>
    </row>
    <row r="80" spans="15:27" x14ac:dyDescent="0.3">
      <c r="O80" s="119"/>
      <c r="P80" s="119"/>
      <c r="W80" s="110"/>
      <c r="Y80" s="113"/>
      <c r="Z80" s="73"/>
      <c r="AA80" s="63"/>
    </row>
    <row r="81" spans="15:27" x14ac:dyDescent="0.3">
      <c r="O81" s="119"/>
      <c r="P81" s="119"/>
      <c r="W81" s="110"/>
      <c r="Y81" s="113"/>
      <c r="Z81" s="73"/>
      <c r="AA81" s="63"/>
    </row>
    <row r="82" spans="15:27" x14ac:dyDescent="0.3">
      <c r="O82" s="119"/>
      <c r="P82" s="119"/>
      <c r="W82" s="110"/>
      <c r="Y82" s="113"/>
      <c r="Z82" s="73"/>
      <c r="AA82" s="63"/>
    </row>
    <row r="83" spans="15:27" x14ac:dyDescent="0.3">
      <c r="O83" s="119"/>
      <c r="P83" s="119"/>
      <c r="W83" s="110"/>
      <c r="Y83" s="113"/>
      <c r="Z83" s="73"/>
      <c r="AA83" s="63"/>
    </row>
    <row r="84" spans="15:27" x14ac:dyDescent="0.3">
      <c r="O84" s="119"/>
      <c r="P84" s="119"/>
      <c r="W84" s="110"/>
      <c r="Y84" s="113"/>
      <c r="Z84" s="73"/>
      <c r="AA84" s="63"/>
    </row>
    <row r="85" spans="15:27" x14ac:dyDescent="0.3">
      <c r="O85" s="119"/>
      <c r="P85" s="119"/>
      <c r="W85" s="110"/>
      <c r="Y85" s="113"/>
      <c r="Z85" s="73"/>
      <c r="AA85" s="63"/>
    </row>
    <row r="86" spans="15:27" x14ac:dyDescent="0.3">
      <c r="O86" s="119"/>
      <c r="P86" s="119"/>
      <c r="W86" s="110"/>
      <c r="Y86" s="113"/>
      <c r="Z86" s="73"/>
      <c r="AA86" s="63"/>
    </row>
    <row r="87" spans="15:27" x14ac:dyDescent="0.3">
      <c r="O87" s="119"/>
      <c r="P87" s="119"/>
      <c r="W87" s="110"/>
      <c r="Y87" s="113"/>
      <c r="Z87" s="73"/>
      <c r="AA87" s="63"/>
    </row>
    <row r="88" spans="15:27" x14ac:dyDescent="0.3">
      <c r="O88" s="119"/>
      <c r="P88" s="119"/>
      <c r="W88" s="110"/>
      <c r="Y88" s="113"/>
      <c r="Z88" s="73"/>
      <c r="AA88" s="63"/>
    </row>
    <row r="89" spans="15:27" x14ac:dyDescent="0.3">
      <c r="O89" s="119"/>
      <c r="P89" s="119"/>
      <c r="W89" s="110"/>
      <c r="Y89" s="113"/>
      <c r="Z89" s="73"/>
      <c r="AA89" s="63"/>
    </row>
    <row r="90" spans="15:27" x14ac:dyDescent="0.3">
      <c r="O90" s="119"/>
      <c r="P90" s="119"/>
      <c r="W90" s="110"/>
      <c r="Y90" s="113"/>
      <c r="Z90" s="73"/>
      <c r="AA90" s="63"/>
    </row>
    <row r="91" spans="15:27" x14ac:dyDescent="0.3">
      <c r="O91" s="119"/>
      <c r="P91" s="119"/>
      <c r="W91" s="110"/>
      <c r="Y91" s="113"/>
      <c r="Z91" s="73"/>
      <c r="AA91" s="63"/>
    </row>
    <row r="92" spans="15:27" x14ac:dyDescent="0.3">
      <c r="O92" s="119"/>
      <c r="P92" s="119"/>
      <c r="W92" s="110"/>
      <c r="Y92" s="113"/>
      <c r="Z92" s="73"/>
      <c r="AA92" s="63"/>
    </row>
    <row r="93" spans="15:27" x14ac:dyDescent="0.3">
      <c r="O93" s="119"/>
      <c r="P93" s="119"/>
      <c r="W93" s="110"/>
      <c r="Y93" s="113"/>
      <c r="Z93" s="73"/>
      <c r="AA93" s="63"/>
    </row>
    <row r="94" spans="15:27" x14ac:dyDescent="0.3">
      <c r="O94" s="119"/>
      <c r="P94" s="119"/>
      <c r="W94" s="110"/>
      <c r="Y94" s="113"/>
      <c r="Z94" s="73"/>
      <c r="AA94" s="63"/>
    </row>
    <row r="95" spans="15:27" x14ac:dyDescent="0.3">
      <c r="O95" s="119"/>
      <c r="P95" s="119"/>
      <c r="W95" s="110"/>
      <c r="Y95" s="113"/>
      <c r="Z95" s="73"/>
      <c r="AA95" s="63"/>
    </row>
    <row r="96" spans="15:27" x14ac:dyDescent="0.3">
      <c r="O96" s="119"/>
      <c r="P96" s="119"/>
      <c r="W96" s="110"/>
      <c r="Y96" s="113"/>
      <c r="Z96" s="73"/>
      <c r="AA96" s="63"/>
    </row>
    <row r="97" spans="15:27" x14ac:dyDescent="0.3">
      <c r="O97" s="119"/>
      <c r="P97" s="119"/>
      <c r="W97" s="110"/>
      <c r="Y97" s="113"/>
      <c r="Z97" s="73"/>
      <c r="AA97" s="63"/>
    </row>
    <row r="98" spans="15:27" x14ac:dyDescent="0.3">
      <c r="O98" s="119"/>
      <c r="P98" s="119"/>
      <c r="W98" s="110"/>
      <c r="Y98" s="113"/>
      <c r="Z98" s="73"/>
      <c r="AA98" s="63"/>
    </row>
    <row r="99" spans="15:27" x14ac:dyDescent="0.3">
      <c r="O99" s="119"/>
      <c r="P99" s="119"/>
      <c r="W99" s="110"/>
      <c r="Y99" s="113"/>
      <c r="Z99" s="73"/>
      <c r="AA99" s="63"/>
    </row>
    <row r="100" spans="15:27" x14ac:dyDescent="0.3">
      <c r="O100" s="119"/>
      <c r="P100" s="119"/>
      <c r="W100" s="110"/>
      <c r="Y100" s="113"/>
      <c r="Z100" s="73"/>
      <c r="AA100" s="63"/>
    </row>
    <row r="101" spans="15:27" x14ac:dyDescent="0.3">
      <c r="O101" s="119"/>
      <c r="P101" s="119"/>
      <c r="W101" s="110"/>
      <c r="Y101" s="113"/>
      <c r="Z101" s="73"/>
      <c r="AA101" s="63"/>
    </row>
    <row r="102" spans="15:27" x14ac:dyDescent="0.3">
      <c r="O102" s="119"/>
      <c r="P102" s="119"/>
      <c r="W102" s="110"/>
      <c r="Y102" s="113"/>
      <c r="Z102" s="73"/>
      <c r="AA102" s="63"/>
    </row>
    <row r="103" spans="15:27" x14ac:dyDescent="0.3">
      <c r="O103" s="119"/>
      <c r="P103" s="119"/>
      <c r="W103" s="110"/>
      <c r="Y103" s="113"/>
      <c r="Z103" s="73"/>
      <c r="AA103" s="63"/>
    </row>
    <row r="104" spans="15:27" x14ac:dyDescent="0.3">
      <c r="O104" s="119"/>
      <c r="P104" s="119"/>
      <c r="W104" s="110"/>
      <c r="Y104" s="113"/>
      <c r="Z104" s="73"/>
      <c r="AA104" s="63"/>
    </row>
    <row r="105" spans="15:27" x14ac:dyDescent="0.3">
      <c r="O105" s="119"/>
      <c r="P105" s="119"/>
      <c r="W105" s="110"/>
      <c r="Y105" s="113"/>
      <c r="Z105" s="73"/>
      <c r="AA105" s="63"/>
    </row>
    <row r="106" spans="15:27" x14ac:dyDescent="0.3">
      <c r="O106" s="119"/>
      <c r="P106" s="119"/>
      <c r="W106" s="110"/>
      <c r="Y106" s="113"/>
      <c r="Z106" s="73"/>
      <c r="AA106" s="63"/>
    </row>
    <row r="107" spans="15:27" x14ac:dyDescent="0.3">
      <c r="O107" s="119"/>
      <c r="P107" s="119"/>
      <c r="W107" s="110"/>
      <c r="Y107" s="113"/>
      <c r="Z107" s="73"/>
      <c r="AA107" s="63"/>
    </row>
    <row r="108" spans="15:27" x14ac:dyDescent="0.3">
      <c r="O108" s="119"/>
      <c r="P108" s="119"/>
      <c r="W108" s="110"/>
      <c r="Y108" s="113"/>
      <c r="Z108" s="73"/>
      <c r="AA108" s="63"/>
    </row>
    <row r="109" spans="15:27" x14ac:dyDescent="0.3">
      <c r="O109" s="119"/>
      <c r="P109" s="119"/>
      <c r="W109" s="110"/>
      <c r="Y109" s="113"/>
      <c r="Z109" s="73"/>
      <c r="AA109" s="63"/>
    </row>
    <row r="110" spans="15:27" x14ac:dyDescent="0.3">
      <c r="O110" s="119"/>
      <c r="P110" s="119"/>
      <c r="W110" s="110"/>
      <c r="Y110" s="113"/>
      <c r="Z110" s="73"/>
      <c r="AA110" s="63"/>
    </row>
    <row r="111" spans="15:27" x14ac:dyDescent="0.3">
      <c r="O111" s="119"/>
      <c r="P111" s="119"/>
      <c r="W111" s="110"/>
      <c r="Y111" s="113"/>
      <c r="Z111" s="73"/>
      <c r="AA111" s="63"/>
    </row>
    <row r="112" spans="15:27" x14ac:dyDescent="0.3">
      <c r="O112" s="119"/>
      <c r="P112" s="119"/>
      <c r="W112" s="110"/>
      <c r="Y112" s="113"/>
      <c r="Z112" s="73"/>
      <c r="AA112" s="63"/>
    </row>
    <row r="113" spans="15:27" x14ac:dyDescent="0.3">
      <c r="O113" s="119"/>
      <c r="P113" s="119"/>
      <c r="W113" s="110"/>
      <c r="Y113" s="113"/>
      <c r="Z113" s="73"/>
      <c r="AA113" s="63"/>
    </row>
    <row r="114" spans="15:27" x14ac:dyDescent="0.3">
      <c r="O114" s="119"/>
      <c r="P114" s="119"/>
      <c r="W114" s="110"/>
      <c r="Y114" s="113"/>
      <c r="Z114" s="73"/>
      <c r="AA114" s="63"/>
    </row>
    <row r="115" spans="15:27" x14ac:dyDescent="0.3">
      <c r="O115" s="119"/>
      <c r="P115" s="119"/>
      <c r="W115" s="110"/>
      <c r="Y115" s="113"/>
      <c r="Z115" s="73"/>
      <c r="AA115" s="63"/>
    </row>
    <row r="116" spans="15:27" x14ac:dyDescent="0.3">
      <c r="O116" s="119"/>
      <c r="P116" s="119"/>
      <c r="W116" s="110"/>
      <c r="Y116" s="113"/>
      <c r="Z116" s="73"/>
      <c r="AA116" s="63"/>
    </row>
    <row r="117" spans="15:27" x14ac:dyDescent="0.3">
      <c r="O117" s="119"/>
      <c r="P117" s="119"/>
      <c r="W117" s="110"/>
      <c r="Y117" s="113"/>
      <c r="Z117" s="73"/>
      <c r="AA117" s="63"/>
    </row>
    <row r="118" spans="15:27" x14ac:dyDescent="0.3">
      <c r="O118" s="119"/>
      <c r="P118" s="119"/>
      <c r="W118" s="110"/>
      <c r="Y118" s="113"/>
      <c r="Z118" s="73"/>
      <c r="AA118" s="63"/>
    </row>
    <row r="119" spans="15:27" x14ac:dyDescent="0.3">
      <c r="O119" s="119"/>
      <c r="P119" s="119"/>
      <c r="W119" s="110"/>
      <c r="Y119" s="113"/>
      <c r="Z119" s="73"/>
      <c r="AA119" s="63"/>
    </row>
    <row r="120" spans="15:27" x14ac:dyDescent="0.3">
      <c r="O120" s="119"/>
      <c r="P120" s="119"/>
      <c r="W120" s="110"/>
      <c r="Y120" s="113"/>
      <c r="Z120" s="73"/>
      <c r="AA120" s="63"/>
    </row>
    <row r="121" spans="15:27" x14ac:dyDescent="0.3">
      <c r="O121" s="119"/>
      <c r="P121" s="119"/>
      <c r="W121" s="110"/>
      <c r="Y121" s="113"/>
      <c r="Z121" s="73"/>
      <c r="AA121" s="63"/>
    </row>
    <row r="122" spans="15:27" x14ac:dyDescent="0.3">
      <c r="O122" s="119"/>
      <c r="P122" s="119"/>
      <c r="W122" s="110"/>
      <c r="Y122" s="113"/>
      <c r="Z122" s="73"/>
      <c r="AA122" s="63"/>
    </row>
    <row r="123" spans="15:27" x14ac:dyDescent="0.3">
      <c r="O123" s="119"/>
      <c r="P123" s="119"/>
      <c r="W123" s="110"/>
      <c r="Y123" s="113"/>
      <c r="Z123" s="73"/>
      <c r="AA123" s="63"/>
    </row>
    <row r="124" spans="15:27" x14ac:dyDescent="0.3">
      <c r="O124" s="119"/>
      <c r="P124" s="119"/>
      <c r="W124" s="110"/>
      <c r="Y124" s="113"/>
      <c r="Z124" s="73"/>
      <c r="AA124" s="63"/>
    </row>
    <row r="125" spans="15:27" x14ac:dyDescent="0.3">
      <c r="O125" s="119"/>
      <c r="P125" s="119"/>
      <c r="W125" s="110"/>
      <c r="Y125" s="113"/>
      <c r="Z125" s="73"/>
      <c r="AA125" s="63"/>
    </row>
    <row r="126" spans="15:27" x14ac:dyDescent="0.3">
      <c r="O126" s="119"/>
      <c r="P126" s="119"/>
      <c r="W126" s="110"/>
      <c r="Y126" s="113"/>
      <c r="Z126" s="73"/>
      <c r="AA126" s="63"/>
    </row>
    <row r="127" spans="15:27" x14ac:dyDescent="0.3">
      <c r="O127" s="119"/>
      <c r="P127" s="119"/>
      <c r="W127" s="110"/>
      <c r="Y127" s="113"/>
      <c r="Z127" s="73"/>
      <c r="AA127" s="63"/>
    </row>
    <row r="128" spans="15:27" x14ac:dyDescent="0.3">
      <c r="O128" s="119"/>
      <c r="P128" s="119"/>
      <c r="W128" s="110"/>
      <c r="Y128" s="113"/>
      <c r="Z128" s="73"/>
      <c r="AA128" s="63"/>
    </row>
    <row r="129" spans="15:27" x14ac:dyDescent="0.3">
      <c r="O129" s="119"/>
      <c r="P129" s="119"/>
      <c r="W129" s="110"/>
      <c r="Y129" s="113"/>
      <c r="Z129" s="73"/>
      <c r="AA129" s="63"/>
    </row>
    <row r="130" spans="15:27" x14ac:dyDescent="0.3">
      <c r="O130" s="119"/>
      <c r="P130" s="119"/>
      <c r="W130" s="110"/>
      <c r="Y130" s="113"/>
      <c r="Z130" s="73"/>
      <c r="AA130" s="63"/>
    </row>
    <row r="131" spans="15:27" x14ac:dyDescent="0.3">
      <c r="O131" s="119"/>
      <c r="P131" s="119"/>
      <c r="W131" s="110"/>
      <c r="Y131" s="113"/>
      <c r="Z131" s="73"/>
      <c r="AA131" s="63"/>
    </row>
    <row r="132" spans="15:27" x14ac:dyDescent="0.3">
      <c r="O132" s="119"/>
      <c r="P132" s="119"/>
      <c r="W132" s="110"/>
      <c r="Y132" s="113"/>
      <c r="Z132" s="73"/>
      <c r="AA132" s="63"/>
    </row>
    <row r="133" spans="15:27" x14ac:dyDescent="0.3">
      <c r="O133" s="119"/>
      <c r="P133" s="119"/>
      <c r="W133" s="110"/>
      <c r="Y133" s="113"/>
      <c r="Z133" s="73"/>
      <c r="AA133" s="63"/>
    </row>
    <row r="134" spans="15:27" x14ac:dyDescent="0.3">
      <c r="O134" s="119"/>
      <c r="P134" s="119"/>
      <c r="W134" s="110"/>
      <c r="Y134" s="113"/>
      <c r="Z134" s="73"/>
      <c r="AA134" s="63"/>
    </row>
    <row r="135" spans="15:27" x14ac:dyDescent="0.3">
      <c r="O135" s="119"/>
      <c r="P135" s="119"/>
      <c r="W135" s="110"/>
      <c r="Y135" s="113"/>
      <c r="Z135" s="73"/>
      <c r="AA135" s="63"/>
    </row>
    <row r="136" spans="15:27" x14ac:dyDescent="0.3">
      <c r="O136" s="119"/>
      <c r="P136" s="119"/>
      <c r="W136" s="110"/>
      <c r="Y136" s="113"/>
      <c r="Z136" s="73"/>
      <c r="AA136" s="63"/>
    </row>
    <row r="137" spans="15:27" x14ac:dyDescent="0.3">
      <c r="O137" s="119"/>
      <c r="P137" s="119"/>
      <c r="W137" s="110"/>
      <c r="Y137" s="113"/>
      <c r="Z137" s="73"/>
      <c r="AA137" s="63"/>
    </row>
    <row r="138" spans="15:27" x14ac:dyDescent="0.3">
      <c r="O138" s="119"/>
      <c r="P138" s="119"/>
      <c r="W138" s="110"/>
      <c r="Y138" s="113"/>
      <c r="Z138" s="73"/>
      <c r="AA138" s="63"/>
    </row>
    <row r="139" spans="15:27" x14ac:dyDescent="0.3">
      <c r="O139" s="119"/>
      <c r="P139" s="119"/>
      <c r="W139" s="110"/>
      <c r="Y139" s="113"/>
      <c r="Z139" s="73"/>
      <c r="AA139" s="63"/>
    </row>
    <row r="140" spans="15:27" x14ac:dyDescent="0.3">
      <c r="O140" s="119"/>
      <c r="P140" s="119"/>
      <c r="W140" s="110"/>
      <c r="Y140" s="113"/>
      <c r="Z140" s="73"/>
      <c r="AA140" s="63"/>
    </row>
    <row r="141" spans="15:27" x14ac:dyDescent="0.3">
      <c r="O141" s="119"/>
      <c r="P141" s="119"/>
      <c r="W141" s="110"/>
      <c r="Y141" s="113"/>
      <c r="Z141" s="73"/>
      <c r="AA141" s="63"/>
    </row>
    <row r="142" spans="15:27" x14ac:dyDescent="0.3">
      <c r="O142" s="119"/>
      <c r="P142" s="119"/>
      <c r="W142" s="110"/>
      <c r="Y142" s="113"/>
      <c r="Z142" s="73"/>
      <c r="AA142" s="63"/>
    </row>
    <row r="143" spans="15:27" x14ac:dyDescent="0.3">
      <c r="O143" s="119"/>
      <c r="P143" s="119"/>
      <c r="W143" s="110"/>
      <c r="Y143" s="113"/>
      <c r="Z143" s="73"/>
      <c r="AA143" s="63"/>
    </row>
    <row r="144" spans="15:27" x14ac:dyDescent="0.3">
      <c r="O144" s="119"/>
      <c r="P144" s="119"/>
      <c r="W144" s="110"/>
      <c r="Y144" s="113"/>
      <c r="Z144" s="73"/>
      <c r="AA144" s="63"/>
    </row>
    <row r="145" spans="15:27" x14ac:dyDescent="0.3">
      <c r="O145" s="119"/>
      <c r="P145" s="119"/>
      <c r="W145" s="110"/>
      <c r="Y145" s="113"/>
      <c r="Z145" s="73"/>
      <c r="AA145" s="63"/>
    </row>
    <row r="146" spans="15:27" x14ac:dyDescent="0.3">
      <c r="O146" s="119"/>
      <c r="P146" s="119"/>
      <c r="W146" s="110"/>
      <c r="Y146" s="113"/>
      <c r="Z146" s="73"/>
      <c r="AA146" s="63"/>
    </row>
    <row r="147" spans="15:27" x14ac:dyDescent="0.3">
      <c r="O147" s="119"/>
      <c r="P147" s="119"/>
      <c r="W147" s="110"/>
      <c r="Y147" s="113"/>
      <c r="Z147" s="73"/>
      <c r="AA147" s="63"/>
    </row>
    <row r="148" spans="15:27" x14ac:dyDescent="0.3">
      <c r="O148" s="119"/>
      <c r="P148" s="119"/>
      <c r="W148" s="110"/>
      <c r="Y148" s="113"/>
      <c r="Z148" s="73"/>
      <c r="AA148" s="63"/>
    </row>
    <row r="149" spans="15:27" x14ac:dyDescent="0.3">
      <c r="O149" s="119"/>
      <c r="P149" s="119"/>
      <c r="W149" s="110"/>
      <c r="Y149" s="113"/>
      <c r="Z149" s="73"/>
      <c r="AA149" s="63"/>
    </row>
    <row r="150" spans="15:27" x14ac:dyDescent="0.3">
      <c r="O150" s="119"/>
      <c r="P150" s="119"/>
      <c r="W150" s="110"/>
      <c r="Y150" s="113"/>
      <c r="Z150" s="73"/>
      <c r="AA150" s="63"/>
    </row>
    <row r="151" spans="15:27" x14ac:dyDescent="0.3">
      <c r="O151" s="119"/>
      <c r="P151" s="119"/>
      <c r="W151" s="110"/>
      <c r="Y151" s="113"/>
      <c r="Z151" s="73"/>
      <c r="AA151" s="63"/>
    </row>
    <row r="152" spans="15:27" x14ac:dyDescent="0.3">
      <c r="O152" s="119"/>
      <c r="P152" s="119"/>
      <c r="W152" s="110"/>
      <c r="Y152" s="113"/>
      <c r="Z152" s="73"/>
      <c r="AA152" s="63"/>
    </row>
    <row r="153" spans="15:27" x14ac:dyDescent="0.3">
      <c r="O153" s="119"/>
      <c r="P153" s="119"/>
      <c r="W153" s="110"/>
      <c r="Y153" s="113"/>
      <c r="Z153" s="73"/>
      <c r="AA153" s="63"/>
    </row>
    <row r="154" spans="15:27" x14ac:dyDescent="0.3">
      <c r="O154" s="119"/>
      <c r="P154" s="119"/>
      <c r="W154" s="110"/>
      <c r="Y154" s="113"/>
      <c r="Z154" s="73"/>
      <c r="AA154" s="63"/>
    </row>
    <row r="155" spans="15:27" x14ac:dyDescent="0.3">
      <c r="O155" s="119"/>
      <c r="P155" s="119"/>
      <c r="W155" s="110"/>
      <c r="Y155" s="113"/>
      <c r="Z155" s="73"/>
      <c r="AA155" s="63"/>
    </row>
    <row r="156" spans="15:27" x14ac:dyDescent="0.3">
      <c r="O156" s="119"/>
      <c r="P156" s="119"/>
      <c r="W156" s="110"/>
      <c r="Y156" s="113"/>
      <c r="Z156" s="73"/>
      <c r="AA156" s="63"/>
    </row>
    <row r="157" spans="15:27" x14ac:dyDescent="0.3">
      <c r="O157" s="119"/>
      <c r="P157" s="119"/>
      <c r="W157" s="110"/>
      <c r="Y157" s="113"/>
      <c r="Z157" s="73"/>
      <c r="AA157" s="63"/>
    </row>
    <row r="158" spans="15:27" x14ac:dyDescent="0.3">
      <c r="O158" s="119"/>
      <c r="P158" s="119"/>
      <c r="W158" s="110"/>
      <c r="Y158" s="113"/>
      <c r="Z158" s="73"/>
      <c r="AA158" s="63"/>
    </row>
    <row r="159" spans="15:27" x14ac:dyDescent="0.3">
      <c r="O159" s="119"/>
      <c r="P159" s="119"/>
      <c r="W159" s="110"/>
      <c r="Y159" s="113"/>
      <c r="Z159" s="73"/>
      <c r="AA159" s="63"/>
    </row>
    <row r="160" spans="15:27" x14ac:dyDescent="0.3">
      <c r="O160" s="119"/>
      <c r="P160" s="119"/>
      <c r="W160" s="110"/>
      <c r="Y160" s="113"/>
      <c r="Z160" s="73"/>
      <c r="AA160" s="63"/>
    </row>
    <row r="161" spans="15:27" x14ac:dyDescent="0.3">
      <c r="O161" s="119"/>
      <c r="P161" s="119"/>
      <c r="W161" s="110"/>
      <c r="Y161" s="113"/>
      <c r="Z161" s="73"/>
      <c r="AA161" s="63"/>
    </row>
    <row r="162" spans="15:27" x14ac:dyDescent="0.3">
      <c r="O162" s="119"/>
      <c r="P162" s="119"/>
      <c r="W162" s="110"/>
      <c r="Y162" s="113"/>
      <c r="Z162" s="73"/>
      <c r="AA162" s="63"/>
    </row>
    <row r="163" spans="15:27" x14ac:dyDescent="0.3">
      <c r="O163" s="119"/>
      <c r="P163" s="119"/>
      <c r="W163" s="110"/>
      <c r="Y163" s="113"/>
      <c r="Z163" s="73"/>
      <c r="AA163" s="63"/>
    </row>
    <row r="164" spans="15:27" x14ac:dyDescent="0.3">
      <c r="O164" s="119"/>
      <c r="P164" s="119"/>
      <c r="W164" s="110"/>
      <c r="Y164" s="113"/>
      <c r="Z164" s="73"/>
      <c r="AA164" s="63"/>
    </row>
    <row r="165" spans="15:27" x14ac:dyDescent="0.3">
      <c r="O165" s="119"/>
      <c r="P165" s="119"/>
      <c r="W165" s="110"/>
      <c r="Y165" s="113"/>
      <c r="Z165" s="73"/>
      <c r="AA165" s="63"/>
    </row>
    <row r="166" spans="15:27" x14ac:dyDescent="0.3">
      <c r="O166" s="119"/>
      <c r="P166" s="119"/>
      <c r="W166" s="110"/>
      <c r="Y166" s="113"/>
      <c r="Z166" s="73"/>
      <c r="AA166" s="63"/>
    </row>
    <row r="167" spans="15:27" x14ac:dyDescent="0.3">
      <c r="O167" s="119"/>
      <c r="P167" s="119"/>
      <c r="W167" s="110"/>
      <c r="Y167" s="113"/>
      <c r="Z167" s="73"/>
      <c r="AA167" s="63"/>
    </row>
    <row r="168" spans="15:27" x14ac:dyDescent="0.3">
      <c r="O168" s="119"/>
      <c r="P168" s="119"/>
      <c r="W168" s="110"/>
      <c r="Y168" s="113"/>
      <c r="Z168" s="73"/>
      <c r="AA168" s="63"/>
    </row>
    <row r="169" spans="15:27" x14ac:dyDescent="0.3">
      <c r="O169" s="119"/>
      <c r="P169" s="119"/>
      <c r="W169" s="110"/>
      <c r="Y169" s="113"/>
      <c r="Z169" s="73"/>
      <c r="AA169" s="63"/>
    </row>
    <row r="170" spans="15:27" x14ac:dyDescent="0.3">
      <c r="O170" s="119"/>
      <c r="P170" s="119"/>
      <c r="W170" s="110"/>
      <c r="Y170" s="113"/>
      <c r="Z170" s="73"/>
      <c r="AA170" s="63"/>
    </row>
    <row r="171" spans="15:27" x14ac:dyDescent="0.3">
      <c r="O171" s="119"/>
      <c r="P171" s="119"/>
      <c r="W171" s="110"/>
      <c r="Y171" s="113"/>
      <c r="Z171" s="73"/>
      <c r="AA171" s="63"/>
    </row>
    <row r="172" spans="15:27" x14ac:dyDescent="0.3">
      <c r="O172" s="119"/>
      <c r="P172" s="119"/>
      <c r="W172" s="110"/>
      <c r="Y172" s="113"/>
      <c r="Z172" s="73"/>
      <c r="AA172" s="63"/>
    </row>
    <row r="173" spans="15:27" x14ac:dyDescent="0.3">
      <c r="O173" s="119"/>
      <c r="P173" s="119"/>
      <c r="W173" s="110"/>
      <c r="Y173" s="113"/>
      <c r="Z173" s="73"/>
      <c r="AA173" s="63"/>
    </row>
    <row r="174" spans="15:27" x14ac:dyDescent="0.3">
      <c r="O174" s="119"/>
      <c r="P174" s="119"/>
      <c r="W174" s="110"/>
      <c r="Y174" s="113"/>
      <c r="Z174" s="73"/>
      <c r="AA174" s="63"/>
    </row>
    <row r="175" spans="15:27" x14ac:dyDescent="0.3">
      <c r="O175" s="119"/>
      <c r="P175" s="119"/>
      <c r="W175" s="110"/>
      <c r="Y175" s="113"/>
      <c r="Z175" s="73"/>
      <c r="AA175" s="63"/>
    </row>
    <row r="176" spans="15:27" x14ac:dyDescent="0.3">
      <c r="O176" s="119"/>
      <c r="P176" s="119"/>
      <c r="W176" s="110"/>
      <c r="Y176" s="113"/>
      <c r="Z176" s="73"/>
      <c r="AA176" s="63"/>
    </row>
    <row r="177" spans="15:27" x14ac:dyDescent="0.3">
      <c r="O177" s="119"/>
      <c r="P177" s="119"/>
      <c r="W177" s="110"/>
      <c r="Y177" s="113"/>
      <c r="Z177" s="73"/>
      <c r="AA177" s="63"/>
    </row>
    <row r="178" spans="15:27" x14ac:dyDescent="0.3">
      <c r="O178" s="119"/>
      <c r="P178" s="119"/>
      <c r="W178" s="110"/>
      <c r="Y178" s="113"/>
      <c r="Z178" s="73"/>
      <c r="AA178" s="63"/>
    </row>
    <row r="179" spans="15:27" x14ac:dyDescent="0.3">
      <c r="O179" s="119"/>
      <c r="P179" s="119"/>
      <c r="W179" s="110"/>
      <c r="Y179" s="113"/>
      <c r="Z179" s="73"/>
      <c r="AA179" s="63"/>
    </row>
    <row r="180" spans="15:27" x14ac:dyDescent="0.3">
      <c r="O180" s="119"/>
      <c r="P180" s="119"/>
      <c r="W180" s="110"/>
      <c r="Y180" s="113"/>
      <c r="Z180" s="73"/>
      <c r="AA180" s="63"/>
    </row>
    <row r="181" spans="15:27" x14ac:dyDescent="0.3">
      <c r="O181" s="119"/>
      <c r="P181" s="119"/>
      <c r="W181" s="110"/>
      <c r="Y181" s="113"/>
      <c r="Z181" s="73"/>
      <c r="AA181" s="63"/>
    </row>
    <row r="182" spans="15:27" x14ac:dyDescent="0.3">
      <c r="O182" s="119"/>
      <c r="P182" s="119"/>
      <c r="W182" s="110"/>
      <c r="Y182" s="113"/>
      <c r="Z182" s="73"/>
      <c r="AA182" s="63"/>
    </row>
    <row r="183" spans="15:27" x14ac:dyDescent="0.3">
      <c r="O183" s="119"/>
      <c r="P183" s="119"/>
      <c r="W183" s="110"/>
      <c r="Y183" s="113"/>
      <c r="Z183" s="73"/>
      <c r="AA183" s="63"/>
    </row>
    <row r="184" spans="15:27" x14ac:dyDescent="0.3">
      <c r="O184" s="119"/>
      <c r="P184" s="119"/>
      <c r="W184" s="110"/>
      <c r="Y184" s="113"/>
      <c r="Z184" s="73"/>
      <c r="AA184" s="63"/>
    </row>
    <row r="185" spans="15:27" x14ac:dyDescent="0.3">
      <c r="O185" s="119"/>
      <c r="P185" s="119"/>
      <c r="W185" s="110"/>
      <c r="Y185" s="113"/>
      <c r="Z185" s="73"/>
      <c r="AA185" s="63"/>
    </row>
    <row r="186" spans="15:27" x14ac:dyDescent="0.3">
      <c r="O186" s="119"/>
      <c r="P186" s="119"/>
      <c r="W186" s="110"/>
      <c r="Y186" s="113"/>
      <c r="Z186" s="73"/>
      <c r="AA186" s="63"/>
    </row>
    <row r="187" spans="15:27" x14ac:dyDescent="0.3">
      <c r="O187" s="119"/>
      <c r="P187" s="119"/>
      <c r="W187" s="110"/>
      <c r="Y187" s="113"/>
      <c r="Z187" s="73"/>
      <c r="AA187" s="63"/>
    </row>
    <row r="188" spans="15:27" x14ac:dyDescent="0.3">
      <c r="O188" s="119"/>
      <c r="P188" s="119"/>
      <c r="W188" s="110"/>
      <c r="Y188" s="113"/>
      <c r="Z188" s="73"/>
      <c r="AA188" s="63"/>
    </row>
    <row r="189" spans="15:27" x14ac:dyDescent="0.3">
      <c r="O189" s="119"/>
      <c r="P189" s="119"/>
      <c r="W189" s="110"/>
      <c r="Y189" s="113"/>
      <c r="Z189" s="73"/>
      <c r="AA189" s="63"/>
    </row>
    <row r="190" spans="15:27" x14ac:dyDescent="0.3">
      <c r="O190" s="119"/>
      <c r="P190" s="119"/>
      <c r="W190" s="110"/>
      <c r="Y190" s="113"/>
      <c r="Z190" s="73"/>
      <c r="AA190" s="63"/>
    </row>
    <row r="191" spans="15:27" x14ac:dyDescent="0.3">
      <c r="O191" s="119"/>
      <c r="P191" s="119"/>
      <c r="W191" s="110"/>
      <c r="Y191" s="113"/>
      <c r="Z191" s="73"/>
      <c r="AA191" s="63"/>
    </row>
    <row r="192" spans="15:27" x14ac:dyDescent="0.3">
      <c r="O192" s="119"/>
      <c r="P192" s="119"/>
      <c r="W192" s="110"/>
      <c r="Y192" s="113"/>
      <c r="Z192" s="73"/>
      <c r="AA192" s="63"/>
    </row>
    <row r="193" spans="15:27" x14ac:dyDescent="0.3">
      <c r="O193" s="119"/>
      <c r="P193" s="119"/>
      <c r="W193" s="110"/>
      <c r="Y193" s="113"/>
      <c r="Z193" s="73"/>
      <c r="AA193" s="63"/>
    </row>
    <row r="194" spans="15:27" x14ac:dyDescent="0.3">
      <c r="O194" s="119"/>
      <c r="P194" s="119"/>
      <c r="W194" s="110"/>
      <c r="Y194" s="113"/>
      <c r="Z194" s="73"/>
      <c r="AA194" s="63"/>
    </row>
    <row r="195" spans="15:27" x14ac:dyDescent="0.3">
      <c r="O195" s="119"/>
      <c r="P195" s="119"/>
      <c r="W195" s="110"/>
      <c r="Y195" s="113"/>
      <c r="Z195" s="73"/>
      <c r="AA195" s="63"/>
    </row>
    <row r="196" spans="15:27" x14ac:dyDescent="0.3">
      <c r="O196" s="119"/>
      <c r="P196" s="119"/>
      <c r="W196" s="110"/>
      <c r="Y196" s="113"/>
      <c r="Z196" s="73"/>
      <c r="AA196" s="63"/>
    </row>
    <row r="197" spans="15:27" x14ac:dyDescent="0.3">
      <c r="O197" s="119"/>
      <c r="P197" s="119"/>
      <c r="W197" s="110"/>
      <c r="Y197" s="113"/>
      <c r="Z197" s="73"/>
      <c r="AA197" s="63"/>
    </row>
    <row r="198" spans="15:27" x14ac:dyDescent="0.3">
      <c r="O198" s="119"/>
      <c r="P198" s="119"/>
      <c r="W198" s="110"/>
      <c r="Y198" s="113"/>
      <c r="Z198" s="73"/>
      <c r="AA198" s="63"/>
    </row>
    <row r="199" spans="15:27" x14ac:dyDescent="0.3">
      <c r="O199" s="119"/>
      <c r="P199" s="119"/>
      <c r="W199" s="110"/>
      <c r="Y199" s="113"/>
      <c r="Z199" s="73"/>
      <c r="AA199" s="63"/>
    </row>
    <row r="200" spans="15:27" x14ac:dyDescent="0.3">
      <c r="O200" s="119"/>
      <c r="P200" s="119"/>
      <c r="W200" s="110"/>
      <c r="Y200" s="113"/>
      <c r="Z200" s="73"/>
      <c r="AA200" s="63"/>
    </row>
    <row r="201" spans="15:27" x14ac:dyDescent="0.3">
      <c r="O201" s="119"/>
      <c r="P201" s="119"/>
      <c r="W201" s="110"/>
      <c r="Y201" s="113"/>
      <c r="Z201" s="73"/>
      <c r="AA201" s="63"/>
    </row>
    <row r="202" spans="15:27" x14ac:dyDescent="0.3">
      <c r="O202" s="119"/>
      <c r="P202" s="119"/>
      <c r="W202" s="110"/>
      <c r="Y202" s="113"/>
      <c r="Z202" s="73"/>
      <c r="AA202" s="63"/>
    </row>
    <row r="203" spans="15:27" x14ac:dyDescent="0.3">
      <c r="O203" s="119"/>
      <c r="P203" s="119"/>
      <c r="W203" s="110"/>
      <c r="Y203" s="113"/>
      <c r="Z203" s="73"/>
      <c r="AA203" s="63"/>
    </row>
    <row r="204" spans="15:27" x14ac:dyDescent="0.3">
      <c r="O204" s="119"/>
      <c r="P204" s="119"/>
      <c r="W204" s="110"/>
      <c r="Y204" s="113"/>
      <c r="Z204" s="73"/>
      <c r="AA204" s="63"/>
    </row>
    <row r="205" spans="15:27" x14ac:dyDescent="0.3">
      <c r="O205" s="119"/>
      <c r="P205" s="119"/>
      <c r="W205" s="110"/>
      <c r="Y205" s="113"/>
      <c r="Z205" s="73"/>
      <c r="AA205" s="63"/>
    </row>
    <row r="206" spans="15:27" x14ac:dyDescent="0.3">
      <c r="O206" s="119"/>
      <c r="P206" s="119"/>
      <c r="W206" s="110"/>
      <c r="Y206" s="113"/>
      <c r="Z206" s="73"/>
      <c r="AA206" s="63"/>
    </row>
    <row r="207" spans="15:27" x14ac:dyDescent="0.3">
      <c r="O207" s="119"/>
      <c r="P207" s="119"/>
      <c r="W207" s="110"/>
      <c r="Y207" s="113"/>
      <c r="Z207" s="73"/>
      <c r="AA207" s="63"/>
    </row>
    <row r="208" spans="15:27" x14ac:dyDescent="0.3">
      <c r="O208" s="119"/>
      <c r="P208" s="119"/>
      <c r="W208" s="110"/>
      <c r="Y208" s="113"/>
      <c r="Z208" s="73"/>
      <c r="AA208" s="63"/>
    </row>
    <row r="209" spans="15:27" x14ac:dyDescent="0.3">
      <c r="O209" s="119"/>
      <c r="P209" s="119"/>
      <c r="W209" s="110"/>
      <c r="Y209" s="113"/>
      <c r="Z209" s="73"/>
      <c r="AA209" s="63"/>
    </row>
    <row r="210" spans="15:27" x14ac:dyDescent="0.3">
      <c r="O210" s="119"/>
      <c r="P210" s="119"/>
      <c r="W210" s="110"/>
      <c r="Y210" s="113"/>
      <c r="Z210" s="73"/>
      <c r="AA210" s="63"/>
    </row>
    <row r="211" spans="15:27" x14ac:dyDescent="0.3">
      <c r="O211" s="119"/>
      <c r="P211" s="119"/>
      <c r="W211" s="110"/>
      <c r="Y211" s="113"/>
      <c r="Z211" s="73"/>
      <c r="AA211" s="63"/>
    </row>
    <row r="212" spans="15:27" x14ac:dyDescent="0.3">
      <c r="O212" s="119"/>
      <c r="P212" s="119"/>
      <c r="W212" s="110"/>
      <c r="Y212" s="113"/>
      <c r="Z212" s="73"/>
      <c r="AA212" s="63"/>
    </row>
    <row r="213" spans="15:27" x14ac:dyDescent="0.3">
      <c r="O213" s="119"/>
      <c r="P213" s="119"/>
      <c r="W213" s="110"/>
      <c r="Y213" s="113"/>
      <c r="Z213" s="73"/>
      <c r="AA213" s="63"/>
    </row>
    <row r="214" spans="15:27" x14ac:dyDescent="0.3">
      <c r="O214" s="119"/>
      <c r="P214" s="119"/>
      <c r="W214" s="110"/>
      <c r="Y214" s="113"/>
      <c r="Z214" s="73"/>
      <c r="AA214" s="63"/>
    </row>
    <row r="215" spans="15:27" x14ac:dyDescent="0.3">
      <c r="O215" s="119"/>
      <c r="P215" s="119"/>
      <c r="W215" s="110"/>
      <c r="Y215" s="113"/>
      <c r="Z215" s="73"/>
      <c r="AA215" s="63"/>
    </row>
    <row r="216" spans="15:27" x14ac:dyDescent="0.3">
      <c r="O216" s="119"/>
      <c r="P216" s="119"/>
      <c r="W216" s="110"/>
      <c r="Y216" s="113"/>
      <c r="Z216" s="73"/>
      <c r="AA216" s="63"/>
    </row>
    <row r="217" spans="15:27" x14ac:dyDescent="0.3">
      <c r="O217" s="119"/>
      <c r="P217" s="119"/>
      <c r="W217" s="110"/>
      <c r="Y217" s="113"/>
      <c r="Z217" s="73"/>
      <c r="AA217" s="63"/>
    </row>
    <row r="218" spans="15:27" x14ac:dyDescent="0.3">
      <c r="O218" s="119"/>
      <c r="P218" s="119"/>
      <c r="W218" s="110"/>
      <c r="Y218" s="113"/>
      <c r="Z218" s="73"/>
      <c r="AA218" s="63"/>
    </row>
    <row r="219" spans="15:27" x14ac:dyDescent="0.3">
      <c r="O219" s="119"/>
      <c r="P219" s="119"/>
      <c r="W219" s="110"/>
      <c r="Y219" s="113"/>
      <c r="Z219" s="73"/>
      <c r="AA219" s="63"/>
    </row>
    <row r="220" spans="15:27" x14ac:dyDescent="0.3">
      <c r="O220" s="119"/>
      <c r="P220" s="119"/>
      <c r="W220" s="110"/>
      <c r="Y220" s="113"/>
      <c r="Z220" s="73"/>
      <c r="AA220" s="63"/>
    </row>
    <row r="221" spans="15:27" x14ac:dyDescent="0.3">
      <c r="O221" s="119"/>
      <c r="P221" s="119"/>
      <c r="W221" s="110"/>
      <c r="Y221" s="113"/>
      <c r="Z221" s="73"/>
      <c r="AA221" s="63"/>
    </row>
    <row r="222" spans="15:27" x14ac:dyDescent="0.3">
      <c r="O222" s="119"/>
      <c r="P222" s="119"/>
      <c r="W222" s="110"/>
      <c r="Y222" s="113"/>
      <c r="Z222" s="73"/>
      <c r="AA222" s="63"/>
    </row>
    <row r="223" spans="15:27" x14ac:dyDescent="0.3">
      <c r="O223" s="119"/>
      <c r="P223" s="119"/>
      <c r="W223" s="110"/>
      <c r="Y223" s="113"/>
      <c r="Z223" s="73"/>
      <c r="AA223" s="63"/>
    </row>
    <row r="224" spans="15:27" x14ac:dyDescent="0.3">
      <c r="O224" s="119"/>
      <c r="P224" s="119"/>
      <c r="W224" s="110"/>
      <c r="Y224" s="113"/>
      <c r="Z224" s="73"/>
      <c r="AA224" s="63"/>
    </row>
    <row r="225" spans="15:27" x14ac:dyDescent="0.3">
      <c r="O225" s="119"/>
      <c r="P225" s="119"/>
      <c r="W225" s="110"/>
      <c r="Y225" s="113"/>
      <c r="Z225" s="73"/>
      <c r="AA225" s="63"/>
    </row>
    <row r="226" spans="15:27" x14ac:dyDescent="0.3">
      <c r="O226" s="119"/>
      <c r="P226" s="119"/>
      <c r="W226" s="110"/>
      <c r="Y226" s="113"/>
      <c r="Z226" s="73"/>
      <c r="AA226" s="63"/>
    </row>
    <row r="227" spans="15:27" x14ac:dyDescent="0.3">
      <c r="O227" s="119"/>
      <c r="P227" s="119"/>
      <c r="W227" s="110"/>
      <c r="Y227" s="113"/>
      <c r="Z227" s="73"/>
      <c r="AA227" s="63"/>
    </row>
    <row r="228" spans="15:27" x14ac:dyDescent="0.3">
      <c r="O228" s="119"/>
      <c r="P228" s="119"/>
      <c r="W228" s="110"/>
      <c r="Y228" s="113"/>
      <c r="Z228" s="73"/>
      <c r="AA228" s="63"/>
    </row>
    <row r="229" spans="15:27" x14ac:dyDescent="0.3">
      <c r="O229" s="119"/>
      <c r="P229" s="119"/>
      <c r="W229" s="110"/>
      <c r="Y229" s="113"/>
      <c r="Z229" s="73"/>
      <c r="AA229" s="63"/>
    </row>
    <row r="230" spans="15:27" x14ac:dyDescent="0.3">
      <c r="O230" s="119"/>
      <c r="P230" s="119"/>
      <c r="W230" s="110"/>
      <c r="Y230" s="113"/>
      <c r="Z230" s="73"/>
      <c r="AA230" s="63"/>
    </row>
    <row r="231" spans="15:27" x14ac:dyDescent="0.3">
      <c r="O231" s="119"/>
      <c r="P231" s="119"/>
      <c r="W231" s="110"/>
      <c r="Y231" s="113"/>
      <c r="Z231" s="73"/>
      <c r="AA231" s="63"/>
    </row>
    <row r="232" spans="15:27" x14ac:dyDescent="0.3">
      <c r="O232" s="119"/>
      <c r="P232" s="119"/>
      <c r="W232" s="110"/>
      <c r="Y232" s="113"/>
      <c r="Z232" s="73"/>
      <c r="AA232" s="63"/>
    </row>
    <row r="233" spans="15:27" x14ac:dyDescent="0.3">
      <c r="O233" s="119"/>
      <c r="P233" s="119"/>
      <c r="W233" s="110"/>
      <c r="Y233" s="113"/>
      <c r="Z233" s="73"/>
      <c r="AA233" s="63"/>
    </row>
    <row r="234" spans="15:27" x14ac:dyDescent="0.3">
      <c r="O234" s="119"/>
      <c r="P234" s="119"/>
      <c r="W234" s="110"/>
      <c r="Y234" s="113"/>
      <c r="Z234" s="73"/>
      <c r="AA234" s="63"/>
    </row>
    <row r="235" spans="15:27" x14ac:dyDescent="0.3">
      <c r="O235" s="119"/>
      <c r="P235" s="119"/>
      <c r="W235" s="110"/>
      <c r="Y235" s="113"/>
      <c r="Z235" s="73"/>
      <c r="AA235" s="63"/>
    </row>
    <row r="236" spans="15:27" x14ac:dyDescent="0.3">
      <c r="O236" s="119"/>
      <c r="P236" s="119"/>
      <c r="W236" s="110"/>
      <c r="Y236" s="113"/>
      <c r="Z236" s="73"/>
      <c r="AA236" s="63"/>
    </row>
    <row r="237" spans="15:27" x14ac:dyDescent="0.3">
      <c r="O237" s="119"/>
      <c r="P237" s="119"/>
      <c r="W237" s="110"/>
      <c r="Y237" s="113"/>
      <c r="Z237" s="73"/>
      <c r="AA237" s="63"/>
    </row>
    <row r="238" spans="15:27" x14ac:dyDescent="0.3">
      <c r="O238" s="119"/>
      <c r="P238" s="119"/>
      <c r="W238" s="110"/>
      <c r="Y238" s="113"/>
      <c r="Z238" s="73"/>
      <c r="AA238" s="63"/>
    </row>
    <row r="239" spans="15:27" x14ac:dyDescent="0.3">
      <c r="O239" s="119"/>
      <c r="P239" s="119"/>
      <c r="W239" s="110"/>
      <c r="Y239" s="113"/>
      <c r="Z239" s="73"/>
      <c r="AA239" s="63"/>
    </row>
    <row r="240" spans="15:27" x14ac:dyDescent="0.3">
      <c r="O240" s="119"/>
      <c r="P240" s="119"/>
      <c r="W240" s="110"/>
      <c r="Y240" s="113"/>
      <c r="Z240" s="73"/>
      <c r="AA240" s="63"/>
    </row>
    <row r="241" spans="15:27" x14ac:dyDescent="0.3">
      <c r="O241" s="119"/>
      <c r="P241" s="119"/>
      <c r="W241" s="110"/>
      <c r="Y241" s="113"/>
      <c r="Z241" s="73"/>
      <c r="AA241" s="63"/>
    </row>
    <row r="242" spans="15:27" x14ac:dyDescent="0.3">
      <c r="O242" s="119"/>
      <c r="P242" s="119"/>
      <c r="W242" s="110"/>
      <c r="Y242" s="113"/>
      <c r="Z242" s="73"/>
      <c r="AA242" s="63"/>
    </row>
    <row r="243" spans="15:27" x14ac:dyDescent="0.3">
      <c r="O243" s="119"/>
      <c r="P243" s="119"/>
      <c r="W243" s="110"/>
      <c r="Y243" s="113"/>
      <c r="Z243" s="73"/>
      <c r="AA243" s="63"/>
    </row>
    <row r="244" spans="15:27" x14ac:dyDescent="0.3">
      <c r="O244" s="119"/>
      <c r="P244" s="119"/>
      <c r="W244" s="110"/>
      <c r="Y244" s="113"/>
      <c r="Z244" s="73"/>
      <c r="AA244" s="63"/>
    </row>
    <row r="245" spans="15:27" x14ac:dyDescent="0.3">
      <c r="O245" s="119"/>
      <c r="P245" s="119"/>
      <c r="W245" s="110"/>
      <c r="Y245" s="113"/>
      <c r="Z245" s="73"/>
      <c r="AA245" s="63"/>
    </row>
    <row r="246" spans="15:27" x14ac:dyDescent="0.3">
      <c r="O246" s="119"/>
      <c r="P246" s="119"/>
      <c r="W246" s="110"/>
      <c r="Y246" s="113"/>
      <c r="Z246" s="73"/>
      <c r="AA246" s="63"/>
    </row>
    <row r="247" spans="15:27" x14ac:dyDescent="0.3">
      <c r="O247" s="119"/>
      <c r="P247" s="119"/>
      <c r="W247" s="110"/>
      <c r="Y247" s="113"/>
      <c r="Z247" s="73"/>
      <c r="AA247" s="63"/>
    </row>
    <row r="248" spans="15:27" x14ac:dyDescent="0.3">
      <c r="O248" s="119"/>
      <c r="P248" s="119"/>
      <c r="W248" s="110"/>
      <c r="Y248" s="113"/>
      <c r="Z248" s="73"/>
      <c r="AA248" s="63"/>
    </row>
    <row r="249" spans="15:27" x14ac:dyDescent="0.3">
      <c r="O249" s="119"/>
      <c r="P249" s="119"/>
      <c r="W249" s="110"/>
      <c r="Y249" s="113"/>
      <c r="Z249" s="73"/>
      <c r="AA249" s="63"/>
    </row>
    <row r="250" spans="15:27" x14ac:dyDescent="0.3">
      <c r="O250" s="119"/>
      <c r="P250" s="119"/>
      <c r="W250" s="110"/>
      <c r="Y250" s="113"/>
      <c r="Z250" s="73"/>
      <c r="AA250" s="63"/>
    </row>
    <row r="251" spans="15:27" x14ac:dyDescent="0.3">
      <c r="O251" s="119"/>
      <c r="P251" s="119"/>
      <c r="W251" s="110"/>
      <c r="Y251" s="113"/>
      <c r="Z251" s="73"/>
      <c r="AA251" s="63"/>
    </row>
    <row r="252" spans="15:27" x14ac:dyDescent="0.3">
      <c r="O252" s="119"/>
      <c r="P252" s="119"/>
      <c r="W252" s="110"/>
      <c r="Y252" s="113"/>
      <c r="Z252" s="73"/>
      <c r="AA252" s="63"/>
    </row>
    <row r="253" spans="15:27" x14ac:dyDescent="0.3">
      <c r="O253" s="119"/>
      <c r="P253" s="119"/>
      <c r="W253" s="110"/>
      <c r="Y253" s="113"/>
      <c r="Z253" s="73"/>
      <c r="AA253" s="63"/>
    </row>
    <row r="254" spans="15:27" x14ac:dyDescent="0.3">
      <c r="O254" s="119"/>
      <c r="P254" s="119"/>
      <c r="W254" s="110"/>
      <c r="Y254" s="113"/>
      <c r="Z254" s="73"/>
      <c r="AA254" s="63"/>
    </row>
    <row r="255" spans="15:27" x14ac:dyDescent="0.3">
      <c r="O255" s="119"/>
      <c r="P255" s="119"/>
      <c r="W255" s="110"/>
      <c r="Y255" s="113"/>
      <c r="Z255" s="73"/>
      <c r="AA255" s="63"/>
    </row>
    <row r="256" spans="15:27" x14ac:dyDescent="0.3">
      <c r="O256" s="119"/>
      <c r="P256" s="119"/>
      <c r="W256" s="110"/>
      <c r="Y256" s="113"/>
      <c r="Z256" s="73"/>
      <c r="AA256" s="63"/>
    </row>
    <row r="257" spans="15:27" x14ac:dyDescent="0.3">
      <c r="O257" s="119"/>
      <c r="P257" s="119"/>
      <c r="W257" s="110"/>
      <c r="Y257" s="113"/>
      <c r="Z257" s="73"/>
      <c r="AA257" s="63"/>
    </row>
    <row r="258" spans="15:27" x14ac:dyDescent="0.3">
      <c r="O258" s="119"/>
      <c r="P258" s="119"/>
      <c r="W258" s="110"/>
      <c r="Y258" s="113"/>
      <c r="Z258" s="73"/>
      <c r="AA258" s="63"/>
    </row>
    <row r="259" spans="15:27" x14ac:dyDescent="0.3">
      <c r="O259" s="119"/>
      <c r="P259" s="119"/>
      <c r="W259" s="110"/>
      <c r="Y259" s="113"/>
      <c r="Z259" s="73"/>
      <c r="AA259" s="63"/>
    </row>
    <row r="260" spans="15:27" x14ac:dyDescent="0.3">
      <c r="O260" s="119"/>
      <c r="P260" s="119"/>
      <c r="W260" s="110"/>
      <c r="Y260" s="113"/>
      <c r="Z260" s="73"/>
      <c r="AA260" s="63"/>
    </row>
    <row r="261" spans="15:27" x14ac:dyDescent="0.3">
      <c r="O261" s="119"/>
      <c r="P261" s="119"/>
      <c r="W261" s="110"/>
      <c r="Y261" s="113"/>
      <c r="Z261" s="73"/>
      <c r="AA261" s="63"/>
    </row>
    <row r="262" spans="15:27" x14ac:dyDescent="0.3">
      <c r="O262" s="119"/>
      <c r="P262" s="119"/>
      <c r="W262" s="110"/>
      <c r="Y262" s="113"/>
      <c r="Z262" s="73"/>
      <c r="AA262" s="63"/>
    </row>
    <row r="263" spans="15:27" x14ac:dyDescent="0.3">
      <c r="O263" s="119"/>
      <c r="P263" s="119"/>
      <c r="W263" s="110"/>
      <c r="Y263" s="113"/>
      <c r="Z263" s="73"/>
      <c r="AA263" s="63"/>
    </row>
    <row r="264" spans="15:27" x14ac:dyDescent="0.3">
      <c r="O264" s="119"/>
      <c r="P264" s="119"/>
      <c r="W264" s="110"/>
      <c r="Y264" s="113"/>
      <c r="Z264" s="73"/>
      <c r="AA264" s="63"/>
    </row>
    <row r="265" spans="15:27" x14ac:dyDescent="0.3">
      <c r="O265" s="119"/>
      <c r="P265" s="119"/>
      <c r="W265" s="110"/>
      <c r="Y265" s="113"/>
      <c r="Z265" s="73"/>
      <c r="AA265" s="63"/>
    </row>
    <row r="266" spans="15:27" x14ac:dyDescent="0.3">
      <c r="O266" s="119"/>
      <c r="P266" s="119"/>
      <c r="W266" s="110"/>
      <c r="Y266" s="113"/>
      <c r="Z266" s="73"/>
      <c r="AA266" s="63"/>
    </row>
    <row r="267" spans="15:27" x14ac:dyDescent="0.3">
      <c r="O267" s="119"/>
      <c r="P267" s="119"/>
      <c r="W267" s="110"/>
      <c r="Y267" s="113"/>
      <c r="Z267" s="73"/>
      <c r="AA267" s="63"/>
    </row>
    <row r="268" spans="15:27" x14ac:dyDescent="0.3">
      <c r="O268" s="119"/>
      <c r="P268" s="119"/>
      <c r="W268" s="110"/>
      <c r="Y268" s="113"/>
      <c r="Z268" s="73"/>
      <c r="AA268" s="63"/>
    </row>
    <row r="269" spans="15:27" x14ac:dyDescent="0.3">
      <c r="O269" s="119"/>
      <c r="P269" s="119"/>
      <c r="W269" s="110"/>
      <c r="Y269" s="113"/>
      <c r="Z269" s="73"/>
      <c r="AA269" s="63"/>
    </row>
    <row r="270" spans="15:27" x14ac:dyDescent="0.3">
      <c r="O270" s="119"/>
      <c r="P270" s="119"/>
      <c r="W270" s="110"/>
      <c r="Y270" s="113"/>
      <c r="Z270" s="73"/>
      <c r="AA270" s="63"/>
    </row>
    <row r="271" spans="15:27" x14ac:dyDescent="0.3">
      <c r="O271" s="119"/>
      <c r="P271" s="119"/>
      <c r="W271" s="110"/>
      <c r="Y271" s="113"/>
      <c r="Z271" s="73"/>
      <c r="AA271" s="63"/>
    </row>
    <row r="272" spans="15:27" x14ac:dyDescent="0.3">
      <c r="O272" s="119"/>
      <c r="P272" s="119"/>
      <c r="W272" s="110"/>
      <c r="Y272" s="113"/>
      <c r="Z272" s="73"/>
      <c r="AA272" s="63"/>
    </row>
    <row r="273" spans="15:27" x14ac:dyDescent="0.3">
      <c r="O273" s="119"/>
      <c r="P273" s="119"/>
      <c r="W273" s="110"/>
      <c r="Y273" s="113"/>
      <c r="Z273" s="73"/>
      <c r="AA273" s="63"/>
    </row>
    <row r="274" spans="15:27" x14ac:dyDescent="0.3">
      <c r="O274" s="119"/>
      <c r="P274" s="119"/>
      <c r="W274" s="110"/>
      <c r="Y274" s="113"/>
      <c r="Z274" s="73"/>
      <c r="AA274" s="63"/>
    </row>
    <row r="275" spans="15:27" x14ac:dyDescent="0.3">
      <c r="O275" s="119"/>
      <c r="P275" s="119"/>
      <c r="W275" s="110"/>
      <c r="Y275" s="113"/>
      <c r="Z275" s="73"/>
      <c r="AA275" s="63"/>
    </row>
    <row r="276" spans="15:27" x14ac:dyDescent="0.3">
      <c r="O276" s="119"/>
      <c r="P276" s="119"/>
      <c r="W276" s="110"/>
      <c r="Y276" s="113"/>
      <c r="Z276" s="73"/>
      <c r="AA276" s="63"/>
    </row>
    <row r="277" spans="15:27" x14ac:dyDescent="0.3">
      <c r="O277" s="119"/>
      <c r="P277" s="119"/>
      <c r="W277" s="110"/>
      <c r="Y277" s="113"/>
      <c r="Z277" s="73"/>
      <c r="AA277" s="63"/>
    </row>
    <row r="278" spans="15:27" x14ac:dyDescent="0.3">
      <c r="O278" s="119"/>
      <c r="P278" s="119"/>
      <c r="W278" s="110"/>
      <c r="Y278" s="113"/>
      <c r="Z278" s="73"/>
      <c r="AA278" s="63"/>
    </row>
    <row r="279" spans="15:27" x14ac:dyDescent="0.3">
      <c r="O279" s="119"/>
      <c r="P279" s="119"/>
      <c r="W279" s="110"/>
      <c r="Y279" s="113"/>
      <c r="Z279" s="73"/>
      <c r="AA279" s="63"/>
    </row>
    <row r="280" spans="15:27" x14ac:dyDescent="0.3">
      <c r="O280" s="119"/>
      <c r="P280" s="119"/>
      <c r="W280" s="110"/>
      <c r="Y280" s="113"/>
      <c r="Z280" s="73"/>
      <c r="AA280" s="63"/>
    </row>
    <row r="281" spans="15:27" x14ac:dyDescent="0.3">
      <c r="O281" s="119"/>
      <c r="P281" s="119"/>
      <c r="W281" s="110"/>
      <c r="Y281" s="113"/>
      <c r="Z281" s="73"/>
      <c r="AA281" s="63"/>
    </row>
    <row r="282" spans="15:27" x14ac:dyDescent="0.3">
      <c r="O282" s="119"/>
      <c r="P282" s="119"/>
      <c r="W282" s="110"/>
      <c r="Y282" s="113"/>
      <c r="Z282" s="73"/>
      <c r="AA282" s="63"/>
    </row>
    <row r="283" spans="15:27" x14ac:dyDescent="0.3">
      <c r="O283" s="119"/>
      <c r="P283" s="119"/>
      <c r="W283" s="110"/>
      <c r="Y283" s="113"/>
      <c r="Z283" s="73"/>
      <c r="AA283" s="63"/>
    </row>
    <row r="284" spans="15:27" x14ac:dyDescent="0.3">
      <c r="O284" s="119"/>
      <c r="P284" s="119"/>
      <c r="W284" s="110"/>
      <c r="Y284" s="113"/>
      <c r="Z284" s="73"/>
      <c r="AA284" s="63"/>
    </row>
    <row r="285" spans="15:27" x14ac:dyDescent="0.3">
      <c r="O285" s="119"/>
      <c r="P285" s="119"/>
      <c r="W285" s="110"/>
      <c r="Y285" s="113"/>
      <c r="Z285" s="73"/>
      <c r="AA285" s="63"/>
    </row>
    <row r="286" spans="15:27" x14ac:dyDescent="0.3">
      <c r="O286" s="119"/>
      <c r="P286" s="119"/>
      <c r="W286" s="110"/>
      <c r="Y286" s="113"/>
      <c r="Z286" s="73"/>
      <c r="AA286" s="63"/>
    </row>
    <row r="287" spans="15:27" x14ac:dyDescent="0.3">
      <c r="O287" s="119"/>
      <c r="P287" s="119"/>
      <c r="W287" s="110"/>
      <c r="Y287" s="113"/>
      <c r="Z287" s="73"/>
      <c r="AA287" s="63"/>
    </row>
    <row r="288" spans="15:27" x14ac:dyDescent="0.3">
      <c r="O288" s="119"/>
      <c r="P288" s="119"/>
      <c r="W288" s="110"/>
      <c r="Y288" s="113"/>
      <c r="Z288" s="73"/>
      <c r="AA288" s="63"/>
    </row>
    <row r="289" spans="15:27" x14ac:dyDescent="0.3">
      <c r="O289" s="119"/>
      <c r="P289" s="119"/>
      <c r="W289" s="110"/>
      <c r="Y289" s="113"/>
      <c r="Z289" s="73"/>
      <c r="AA289" s="63"/>
    </row>
    <row r="290" spans="15:27" x14ac:dyDescent="0.3">
      <c r="O290" s="119"/>
      <c r="P290" s="119"/>
      <c r="W290" s="110"/>
      <c r="Y290" s="113"/>
      <c r="Z290" s="73"/>
      <c r="AA290" s="63"/>
    </row>
    <row r="291" spans="15:27" x14ac:dyDescent="0.3">
      <c r="O291" s="119"/>
      <c r="P291" s="119"/>
      <c r="W291" s="110"/>
      <c r="Y291" s="113"/>
      <c r="Z291" s="73"/>
      <c r="AA291" s="63"/>
    </row>
    <row r="292" spans="15:27" x14ac:dyDescent="0.3">
      <c r="O292" s="119"/>
      <c r="P292" s="119"/>
      <c r="W292" s="110"/>
      <c r="Y292" s="113"/>
      <c r="Z292" s="73"/>
      <c r="AA292" s="63"/>
    </row>
    <row r="293" spans="15:27" x14ac:dyDescent="0.3">
      <c r="O293" s="119"/>
      <c r="P293" s="119"/>
      <c r="W293" s="110"/>
      <c r="Y293" s="113"/>
      <c r="Z293" s="73"/>
      <c r="AA293" s="63"/>
    </row>
    <row r="294" spans="15:27" x14ac:dyDescent="0.3">
      <c r="O294" s="119"/>
      <c r="P294" s="119"/>
      <c r="W294" s="110"/>
      <c r="Y294" s="113"/>
      <c r="Z294" s="73"/>
      <c r="AA294" s="63"/>
    </row>
    <row r="295" spans="15:27" x14ac:dyDescent="0.3">
      <c r="O295" s="119"/>
      <c r="P295" s="119"/>
      <c r="W295" s="110"/>
      <c r="Y295" s="113"/>
      <c r="Z295" s="73"/>
      <c r="AA295" s="63"/>
    </row>
    <row r="296" spans="15:27" x14ac:dyDescent="0.3">
      <c r="O296" s="119"/>
      <c r="P296" s="119"/>
      <c r="W296" s="110"/>
      <c r="Y296" s="113"/>
      <c r="Z296" s="73"/>
      <c r="AA296" s="63"/>
    </row>
    <row r="297" spans="15:27" x14ac:dyDescent="0.3">
      <c r="O297" s="119"/>
      <c r="P297" s="119"/>
      <c r="W297" s="110"/>
      <c r="Y297" s="113"/>
      <c r="Z297" s="73"/>
      <c r="AA297" s="63"/>
    </row>
    <row r="298" spans="15:27" x14ac:dyDescent="0.3">
      <c r="O298" s="119"/>
      <c r="P298" s="119"/>
      <c r="W298" s="110"/>
      <c r="Y298" s="113"/>
      <c r="Z298" s="73"/>
      <c r="AA298" s="63"/>
    </row>
    <row r="299" spans="15:27" x14ac:dyDescent="0.3">
      <c r="O299" s="119"/>
      <c r="P299" s="119"/>
      <c r="W299" s="110"/>
      <c r="Y299" s="113"/>
      <c r="Z299" s="73"/>
      <c r="AA299" s="63"/>
    </row>
    <row r="300" spans="15:27" x14ac:dyDescent="0.3">
      <c r="O300" s="119"/>
      <c r="P300" s="119"/>
      <c r="W300" s="110"/>
      <c r="Y300" s="113"/>
      <c r="Z300" s="73"/>
      <c r="AA300" s="63"/>
    </row>
    <row r="301" spans="15:27" x14ac:dyDescent="0.3">
      <c r="O301" s="119"/>
      <c r="P301" s="119"/>
      <c r="W301" s="110"/>
      <c r="Y301" s="113"/>
      <c r="Z301" s="73"/>
      <c r="AA301" s="63"/>
    </row>
    <row r="302" spans="15:27" x14ac:dyDescent="0.3">
      <c r="O302" s="119"/>
      <c r="P302" s="119"/>
      <c r="W302" s="110"/>
      <c r="Y302" s="113"/>
      <c r="Z302" s="73"/>
      <c r="AA302" s="63"/>
    </row>
    <row r="303" spans="15:27" x14ac:dyDescent="0.3">
      <c r="O303" s="119"/>
      <c r="P303" s="119"/>
      <c r="W303" s="110"/>
      <c r="Y303" s="113"/>
      <c r="Z303" s="73"/>
      <c r="AA303" s="63"/>
    </row>
    <row r="304" spans="15:27" x14ac:dyDescent="0.3">
      <c r="O304" s="119"/>
      <c r="P304" s="119"/>
      <c r="W304" s="110"/>
      <c r="Y304" s="113"/>
      <c r="Z304" s="73"/>
      <c r="AA304" s="63"/>
    </row>
    <row r="305" spans="15:27" x14ac:dyDescent="0.3">
      <c r="O305" s="119"/>
      <c r="P305" s="119"/>
      <c r="W305" s="110"/>
      <c r="Y305" s="113"/>
      <c r="Z305" s="73"/>
      <c r="AA305" s="63"/>
    </row>
    <row r="306" spans="15:27" x14ac:dyDescent="0.3">
      <c r="O306" s="119"/>
      <c r="P306" s="119"/>
      <c r="W306" s="110"/>
      <c r="Y306" s="113"/>
      <c r="Z306" s="73"/>
      <c r="AA306" s="63"/>
    </row>
    <row r="307" spans="15:27" x14ac:dyDescent="0.3">
      <c r="O307" s="119"/>
      <c r="P307" s="119"/>
      <c r="W307" s="110"/>
      <c r="Y307" s="113"/>
      <c r="Z307" s="73"/>
      <c r="AA307" s="63"/>
    </row>
    <row r="308" spans="15:27" x14ac:dyDescent="0.3">
      <c r="O308" s="119"/>
      <c r="P308" s="119"/>
      <c r="W308" s="110"/>
      <c r="Y308" s="113"/>
      <c r="Z308" s="73"/>
      <c r="AA308" s="63"/>
    </row>
    <row r="309" spans="15:27" x14ac:dyDescent="0.3">
      <c r="O309" s="119"/>
      <c r="P309" s="119"/>
      <c r="W309" s="110"/>
      <c r="Y309" s="113"/>
      <c r="Z309" s="73"/>
      <c r="AA309" s="63"/>
    </row>
    <row r="310" spans="15:27" x14ac:dyDescent="0.3">
      <c r="O310" s="119"/>
      <c r="P310" s="119"/>
      <c r="W310" s="110"/>
      <c r="Y310" s="113"/>
      <c r="Z310" s="73"/>
      <c r="AA310" s="63"/>
    </row>
    <row r="311" spans="15:27" x14ac:dyDescent="0.3">
      <c r="O311" s="119"/>
      <c r="P311" s="119"/>
      <c r="W311" s="110"/>
      <c r="Y311" s="113"/>
      <c r="Z311" s="73"/>
      <c r="AA311" s="63"/>
    </row>
    <row r="312" spans="15:27" x14ac:dyDescent="0.3">
      <c r="O312" s="119"/>
      <c r="P312" s="119"/>
      <c r="W312" s="110"/>
      <c r="Y312" s="113"/>
      <c r="Z312" s="73"/>
      <c r="AA312" s="63"/>
    </row>
    <row r="313" spans="15:27" x14ac:dyDescent="0.3">
      <c r="O313" s="119"/>
      <c r="P313" s="119"/>
      <c r="W313" s="110"/>
      <c r="Y313" s="113"/>
      <c r="Z313" s="73"/>
      <c r="AA313" s="63"/>
    </row>
    <row r="314" spans="15:27" x14ac:dyDescent="0.3">
      <c r="O314" s="119"/>
      <c r="P314" s="119"/>
      <c r="W314" s="110"/>
      <c r="Y314" s="113"/>
      <c r="Z314" s="73"/>
      <c r="AA314" s="63"/>
    </row>
    <row r="315" spans="15:27" x14ac:dyDescent="0.3">
      <c r="O315" s="119"/>
      <c r="P315" s="119"/>
      <c r="W315" s="110"/>
      <c r="Y315" s="113"/>
      <c r="Z315" s="73"/>
      <c r="AA315" s="63"/>
    </row>
    <row r="316" spans="15:27" x14ac:dyDescent="0.3">
      <c r="O316" s="119"/>
      <c r="P316" s="119"/>
      <c r="W316" s="110"/>
      <c r="Y316" s="113"/>
      <c r="Z316" s="73"/>
      <c r="AA316" s="63"/>
    </row>
    <row r="317" spans="15:27" x14ac:dyDescent="0.3">
      <c r="O317" s="119"/>
      <c r="P317" s="119"/>
      <c r="W317" s="110"/>
      <c r="Y317" s="113"/>
      <c r="Z317" s="73"/>
      <c r="AA317" s="63"/>
    </row>
    <row r="318" spans="15:27" x14ac:dyDescent="0.3">
      <c r="O318" s="119"/>
      <c r="P318" s="119"/>
      <c r="W318" s="110"/>
      <c r="Y318" s="113"/>
      <c r="Z318" s="73"/>
      <c r="AA318" s="63"/>
    </row>
    <row r="319" spans="15:27" x14ac:dyDescent="0.3">
      <c r="O319" s="119"/>
      <c r="P319" s="119"/>
      <c r="W319" s="110"/>
      <c r="Y319" s="113"/>
      <c r="Z319" s="73"/>
      <c r="AA319" s="63"/>
    </row>
    <row r="320" spans="15:27" x14ac:dyDescent="0.3">
      <c r="O320" s="119"/>
      <c r="P320" s="119"/>
      <c r="W320" s="110"/>
      <c r="Y320" s="113"/>
      <c r="Z320" s="73"/>
      <c r="AA320" s="63"/>
    </row>
    <row r="321" spans="15:27" x14ac:dyDescent="0.3">
      <c r="O321" s="119"/>
      <c r="P321" s="119"/>
      <c r="W321" s="110"/>
      <c r="Y321" s="113"/>
      <c r="Z321" s="73"/>
      <c r="AA321" s="63"/>
    </row>
    <row r="322" spans="15:27" x14ac:dyDescent="0.3">
      <c r="O322" s="119"/>
      <c r="P322" s="119"/>
      <c r="W322" s="110"/>
      <c r="Y322" s="113"/>
      <c r="Z322" s="73"/>
      <c r="AA322" s="63"/>
    </row>
    <row r="323" spans="15:27" x14ac:dyDescent="0.3">
      <c r="O323" s="119"/>
      <c r="P323" s="119"/>
      <c r="W323" s="110"/>
      <c r="Y323" s="113"/>
      <c r="Z323" s="73"/>
      <c r="AA323" s="63"/>
    </row>
    <row r="324" spans="15:27" x14ac:dyDescent="0.3">
      <c r="O324" s="119"/>
      <c r="P324" s="119"/>
      <c r="W324" s="110"/>
      <c r="Y324" s="113"/>
      <c r="Z324" s="73"/>
      <c r="AA324" s="63"/>
    </row>
    <row r="325" spans="15:27" x14ac:dyDescent="0.3">
      <c r="O325" s="119"/>
      <c r="P325" s="119"/>
      <c r="W325" s="110"/>
      <c r="Y325" s="113"/>
      <c r="Z325" s="73"/>
      <c r="AA325" s="63"/>
    </row>
    <row r="326" spans="15:27" x14ac:dyDescent="0.3">
      <c r="O326" s="119"/>
      <c r="P326" s="119"/>
      <c r="W326" s="110"/>
      <c r="Y326" s="113"/>
      <c r="Z326" s="73"/>
      <c r="AA326" s="63"/>
    </row>
    <row r="327" spans="15:27" x14ac:dyDescent="0.3">
      <c r="O327" s="119"/>
      <c r="P327" s="119"/>
      <c r="W327" s="110"/>
      <c r="Y327" s="113"/>
      <c r="Z327" s="73"/>
      <c r="AA327" s="63"/>
    </row>
    <row r="328" spans="15:27" x14ac:dyDescent="0.3">
      <c r="O328" s="119"/>
      <c r="P328" s="119"/>
      <c r="W328" s="110"/>
      <c r="Y328" s="113"/>
      <c r="Z328" s="73"/>
      <c r="AA328" s="63"/>
    </row>
    <row r="329" spans="15:27" x14ac:dyDescent="0.3">
      <c r="O329" s="119"/>
      <c r="P329" s="119"/>
      <c r="W329" s="110"/>
      <c r="Y329" s="113"/>
      <c r="Z329" s="73"/>
      <c r="AA329" s="63"/>
    </row>
    <row r="330" spans="15:27" x14ac:dyDescent="0.3">
      <c r="O330" s="119"/>
      <c r="P330" s="119"/>
      <c r="W330" s="110"/>
      <c r="Y330" s="113"/>
      <c r="Z330" s="73"/>
      <c r="AA330" s="63"/>
    </row>
    <row r="331" spans="15:27" x14ac:dyDescent="0.3">
      <c r="O331" s="119"/>
      <c r="P331" s="119"/>
      <c r="W331" s="110"/>
      <c r="Y331" s="113"/>
      <c r="Z331" s="73"/>
      <c r="AA331" s="63"/>
    </row>
    <row r="332" spans="15:27" x14ac:dyDescent="0.3">
      <c r="O332" s="119"/>
      <c r="P332" s="119"/>
      <c r="W332" s="110"/>
      <c r="Y332" s="113"/>
      <c r="Z332" s="73"/>
      <c r="AA332" s="63"/>
    </row>
    <row r="333" spans="15:27" x14ac:dyDescent="0.3">
      <c r="O333" s="119"/>
      <c r="P333" s="119"/>
      <c r="W333" s="110"/>
      <c r="Y333" s="113"/>
      <c r="Z333" s="73"/>
      <c r="AA333" s="63"/>
    </row>
    <row r="334" spans="15:27" x14ac:dyDescent="0.3">
      <c r="O334" s="119"/>
      <c r="P334" s="119"/>
      <c r="W334" s="110"/>
      <c r="Y334" s="113"/>
      <c r="Z334" s="73"/>
      <c r="AA334" s="63"/>
    </row>
    <row r="335" spans="15:27" x14ac:dyDescent="0.3">
      <c r="O335" s="119"/>
      <c r="P335" s="119"/>
      <c r="W335" s="110"/>
      <c r="Y335" s="113"/>
      <c r="Z335" s="73"/>
      <c r="AA335" s="63"/>
    </row>
    <row r="336" spans="15:27" x14ac:dyDescent="0.3">
      <c r="O336" s="119"/>
      <c r="P336" s="119"/>
      <c r="W336" s="110"/>
      <c r="Y336" s="113"/>
      <c r="Z336" s="73"/>
      <c r="AA336" s="63"/>
    </row>
    <row r="337" spans="15:27" x14ac:dyDescent="0.3">
      <c r="O337" s="119"/>
      <c r="P337" s="119"/>
      <c r="W337" s="110"/>
      <c r="Y337" s="113"/>
      <c r="Z337" s="73"/>
      <c r="AA337" s="63"/>
    </row>
    <row r="338" spans="15:27" x14ac:dyDescent="0.3">
      <c r="O338" s="119"/>
      <c r="P338" s="119"/>
      <c r="W338" s="110"/>
      <c r="Y338" s="113"/>
      <c r="Z338" s="73"/>
      <c r="AA338" s="63"/>
    </row>
    <row r="339" spans="15:27" x14ac:dyDescent="0.3">
      <c r="O339" s="119"/>
      <c r="P339" s="119"/>
      <c r="W339" s="110"/>
      <c r="Y339" s="113"/>
      <c r="Z339" s="73"/>
      <c r="AA339" s="63"/>
    </row>
    <row r="340" spans="15:27" x14ac:dyDescent="0.3">
      <c r="O340" s="119"/>
      <c r="P340" s="119"/>
      <c r="W340" s="110"/>
      <c r="Y340" s="113"/>
      <c r="Z340" s="73"/>
      <c r="AA340" s="63"/>
    </row>
    <row r="341" spans="15:27" x14ac:dyDescent="0.3">
      <c r="O341" s="119"/>
      <c r="P341" s="119"/>
      <c r="W341" s="110"/>
      <c r="Y341" s="113"/>
      <c r="Z341" s="73"/>
      <c r="AA341" s="63"/>
    </row>
    <row r="342" spans="15:27" x14ac:dyDescent="0.3">
      <c r="O342" s="119"/>
      <c r="P342" s="119"/>
      <c r="W342" s="110"/>
      <c r="Y342" s="113"/>
      <c r="Z342" s="73"/>
      <c r="AA342" s="63"/>
    </row>
    <row r="343" spans="15:27" x14ac:dyDescent="0.3">
      <c r="O343" s="119"/>
      <c r="P343" s="119"/>
      <c r="W343" s="110"/>
      <c r="Y343" s="113"/>
      <c r="Z343" s="73"/>
      <c r="AA343" s="63"/>
    </row>
    <row r="344" spans="15:27" x14ac:dyDescent="0.3">
      <c r="O344" s="119"/>
      <c r="P344" s="119"/>
      <c r="W344" s="110"/>
      <c r="Y344" s="113"/>
      <c r="Z344" s="73"/>
      <c r="AA344" s="63"/>
    </row>
    <row r="345" spans="15:27" x14ac:dyDescent="0.3">
      <c r="O345" s="119"/>
      <c r="P345" s="119"/>
      <c r="W345" s="110"/>
      <c r="Y345" s="113"/>
      <c r="Z345" s="73"/>
      <c r="AA345" s="63"/>
    </row>
    <row r="346" spans="15:27" x14ac:dyDescent="0.3">
      <c r="O346" s="119"/>
      <c r="P346" s="119"/>
      <c r="W346" s="110"/>
      <c r="Y346" s="113"/>
      <c r="Z346" s="73"/>
      <c r="AA346" s="63"/>
    </row>
    <row r="347" spans="15:27" x14ac:dyDescent="0.3">
      <c r="O347" s="119"/>
      <c r="P347" s="119"/>
      <c r="W347" s="110"/>
      <c r="Y347" s="113"/>
      <c r="Z347" s="73"/>
      <c r="AA347" s="63"/>
    </row>
    <row r="348" spans="15:27" x14ac:dyDescent="0.3">
      <c r="O348" s="119"/>
      <c r="P348" s="119"/>
      <c r="W348" s="110"/>
      <c r="Y348" s="113"/>
      <c r="Z348" s="73"/>
      <c r="AA348" s="63"/>
    </row>
    <row r="349" spans="15:27" x14ac:dyDescent="0.3">
      <c r="O349" s="119"/>
      <c r="P349" s="119"/>
      <c r="W349" s="110"/>
      <c r="Y349" s="113"/>
      <c r="Z349" s="73"/>
      <c r="AA349" s="63"/>
    </row>
    <row r="350" spans="15:27" x14ac:dyDescent="0.3">
      <c r="O350" s="119"/>
      <c r="P350" s="119"/>
      <c r="W350" s="110"/>
      <c r="Y350" s="113"/>
      <c r="Z350" s="73"/>
      <c r="AA350" s="63"/>
    </row>
    <row r="351" spans="15:27" x14ac:dyDescent="0.3">
      <c r="O351" s="119"/>
      <c r="P351" s="119"/>
      <c r="W351" s="110"/>
      <c r="Y351" s="113"/>
      <c r="Z351" s="73"/>
      <c r="AA351" s="63"/>
    </row>
    <row r="352" spans="15:27" x14ac:dyDescent="0.3">
      <c r="O352" s="119"/>
      <c r="P352" s="119"/>
      <c r="W352" s="110"/>
      <c r="Y352" s="113"/>
      <c r="Z352" s="73"/>
      <c r="AA352" s="63"/>
    </row>
    <row r="353" spans="15:27" x14ac:dyDescent="0.3">
      <c r="O353" s="119"/>
      <c r="P353" s="119"/>
      <c r="W353" s="110"/>
      <c r="Y353" s="113"/>
      <c r="Z353" s="73"/>
      <c r="AA353" s="63"/>
    </row>
    <row r="354" spans="15:27" x14ac:dyDescent="0.3">
      <c r="O354" s="119"/>
      <c r="P354" s="119"/>
      <c r="W354" s="110"/>
      <c r="Y354" s="113"/>
      <c r="Z354" s="73"/>
      <c r="AA354" s="63"/>
    </row>
    <row r="355" spans="15:27" x14ac:dyDescent="0.3">
      <c r="O355" s="119"/>
      <c r="P355" s="119"/>
      <c r="W355" s="110"/>
      <c r="Y355" s="113"/>
      <c r="Z355" s="73"/>
      <c r="AA355" s="63"/>
    </row>
    <row r="356" spans="15:27" x14ac:dyDescent="0.3">
      <c r="O356" s="119"/>
      <c r="P356" s="119"/>
      <c r="W356" s="110"/>
      <c r="Y356" s="113"/>
      <c r="Z356" s="73"/>
      <c r="AA356" s="63"/>
    </row>
    <row r="357" spans="15:27" x14ac:dyDescent="0.3">
      <c r="O357" s="119"/>
      <c r="P357" s="119"/>
      <c r="W357" s="110"/>
      <c r="Y357" s="113"/>
      <c r="Z357" s="73"/>
      <c r="AA357" s="63"/>
    </row>
    <row r="358" spans="15:27" x14ac:dyDescent="0.3">
      <c r="O358" s="119"/>
      <c r="P358" s="119"/>
      <c r="W358" s="110"/>
      <c r="Y358" s="113"/>
      <c r="Z358" s="73"/>
      <c r="AA358" s="63"/>
    </row>
    <row r="359" spans="15:27" x14ac:dyDescent="0.3">
      <c r="O359" s="119"/>
      <c r="P359" s="119"/>
      <c r="W359" s="110"/>
      <c r="Y359" s="113"/>
      <c r="Z359" s="73"/>
      <c r="AA359" s="63"/>
    </row>
    <row r="360" spans="15:27" x14ac:dyDescent="0.3">
      <c r="O360" s="119"/>
      <c r="P360" s="119"/>
      <c r="W360" s="110"/>
      <c r="Y360" s="113"/>
      <c r="Z360" s="73"/>
      <c r="AA360" s="63"/>
    </row>
    <row r="361" spans="15:27" x14ac:dyDescent="0.3">
      <c r="O361" s="119"/>
      <c r="P361" s="119"/>
      <c r="W361" s="110"/>
      <c r="Y361" s="113"/>
      <c r="Z361" s="73"/>
      <c r="AA361" s="63"/>
    </row>
    <row r="362" spans="15:27" x14ac:dyDescent="0.3">
      <c r="O362" s="119"/>
      <c r="P362" s="119"/>
      <c r="W362" s="110"/>
      <c r="Y362" s="113"/>
      <c r="Z362" s="73"/>
      <c r="AA362" s="63"/>
    </row>
    <row r="363" spans="15:27" x14ac:dyDescent="0.3">
      <c r="O363" s="119"/>
      <c r="P363" s="119"/>
      <c r="W363" s="110"/>
      <c r="Y363" s="113"/>
      <c r="Z363" s="73"/>
      <c r="AA363" s="63"/>
    </row>
    <row r="364" spans="15:27" x14ac:dyDescent="0.3">
      <c r="O364" s="119"/>
      <c r="P364" s="119"/>
      <c r="W364" s="110"/>
      <c r="Y364" s="113"/>
      <c r="Z364" s="73"/>
      <c r="AA364" s="63"/>
    </row>
    <row r="365" spans="15:27" x14ac:dyDescent="0.3">
      <c r="O365" s="119"/>
      <c r="P365" s="119"/>
      <c r="W365" s="110"/>
      <c r="Y365" s="113"/>
      <c r="Z365" s="73"/>
      <c r="AA365" s="63"/>
    </row>
    <row r="366" spans="15:27" x14ac:dyDescent="0.3">
      <c r="O366" s="119"/>
      <c r="P366" s="119"/>
      <c r="W366" s="110"/>
      <c r="Y366" s="113"/>
      <c r="Z366" s="73"/>
      <c r="AA366" s="63"/>
    </row>
    <row r="367" spans="15:27" x14ac:dyDescent="0.3">
      <c r="O367" s="119"/>
      <c r="P367" s="119"/>
      <c r="W367" s="110"/>
      <c r="Y367" s="113"/>
      <c r="Z367" s="73"/>
      <c r="AA367" s="63"/>
    </row>
    <row r="368" spans="15:27" x14ac:dyDescent="0.3">
      <c r="O368" s="119"/>
      <c r="P368" s="119"/>
      <c r="W368" s="110"/>
      <c r="Y368" s="113"/>
      <c r="Z368" s="73"/>
      <c r="AA368" s="63"/>
    </row>
    <row r="369" spans="15:27" x14ac:dyDescent="0.3">
      <c r="O369" s="119"/>
      <c r="P369" s="119"/>
      <c r="W369" s="110"/>
      <c r="Y369" s="113"/>
      <c r="Z369" s="73"/>
      <c r="AA369" s="63"/>
    </row>
    <row r="370" spans="15:27" x14ac:dyDescent="0.3">
      <c r="O370" s="119"/>
      <c r="P370" s="119"/>
      <c r="W370" s="110"/>
      <c r="Y370" s="113"/>
      <c r="Z370" s="73"/>
      <c r="AA370" s="63"/>
    </row>
    <row r="371" spans="15:27" x14ac:dyDescent="0.3">
      <c r="O371" s="119"/>
      <c r="P371" s="119"/>
      <c r="W371" s="110"/>
      <c r="Y371" s="113"/>
      <c r="Z371" s="73"/>
      <c r="AA371" s="63"/>
    </row>
    <row r="372" spans="15:27" x14ac:dyDescent="0.3">
      <c r="O372" s="119"/>
      <c r="P372" s="119"/>
      <c r="W372" s="110"/>
      <c r="Y372" s="113"/>
      <c r="Z372" s="73"/>
      <c r="AA372" s="63"/>
    </row>
    <row r="373" spans="15:27" x14ac:dyDescent="0.3">
      <c r="O373" s="119"/>
      <c r="P373" s="119"/>
      <c r="W373" s="110"/>
      <c r="Y373" s="113"/>
      <c r="Z373" s="73"/>
      <c r="AA373" s="63"/>
    </row>
    <row r="374" spans="15:27" x14ac:dyDescent="0.3">
      <c r="O374" s="119"/>
      <c r="P374" s="119"/>
      <c r="W374" s="110"/>
      <c r="Y374" s="113"/>
      <c r="Z374" s="73"/>
      <c r="AA374" s="63"/>
    </row>
    <row r="375" spans="15:27" x14ac:dyDescent="0.3">
      <c r="O375" s="119"/>
      <c r="P375" s="119"/>
      <c r="W375" s="110"/>
      <c r="Y375" s="113"/>
      <c r="Z375" s="73"/>
      <c r="AA375" s="63"/>
    </row>
    <row r="376" spans="15:27" x14ac:dyDescent="0.3">
      <c r="O376" s="119"/>
      <c r="P376" s="119"/>
      <c r="W376" s="110"/>
      <c r="Y376" s="113"/>
      <c r="Z376" s="73"/>
      <c r="AA376" s="63"/>
    </row>
    <row r="377" spans="15:27" x14ac:dyDescent="0.3">
      <c r="O377" s="119"/>
      <c r="P377" s="119"/>
      <c r="W377" s="110"/>
      <c r="Y377" s="113"/>
      <c r="Z377" s="73"/>
      <c r="AA377" s="63"/>
    </row>
    <row r="378" spans="15:27" x14ac:dyDescent="0.3">
      <c r="O378" s="119"/>
      <c r="P378" s="119"/>
      <c r="W378" s="110"/>
      <c r="Y378" s="113"/>
      <c r="Z378" s="73"/>
      <c r="AA378" s="63"/>
    </row>
    <row r="379" spans="15:27" x14ac:dyDescent="0.3">
      <c r="O379" s="119"/>
      <c r="P379" s="119"/>
      <c r="W379" s="110"/>
    </row>
    <row r="380" spans="15:27" x14ac:dyDescent="0.3">
      <c r="O380" s="119"/>
      <c r="P380" s="119"/>
      <c r="W380" s="110"/>
    </row>
    <row r="381" spans="15:27" x14ac:dyDescent="0.3">
      <c r="O381" s="119"/>
      <c r="P381" s="119"/>
      <c r="W381" s="110"/>
    </row>
    <row r="382" spans="15:27" x14ac:dyDescent="0.3">
      <c r="O382" s="119"/>
      <c r="P382" s="119"/>
      <c r="W382" s="110"/>
    </row>
    <row r="383" spans="15:27" x14ac:dyDescent="0.3">
      <c r="O383" s="119"/>
      <c r="P383" s="119"/>
      <c r="W383" s="110"/>
    </row>
    <row r="384" spans="15:27" x14ac:dyDescent="0.3">
      <c r="O384" s="119"/>
      <c r="P384" s="119"/>
      <c r="W384" s="110"/>
    </row>
    <row r="385" spans="15:23" x14ac:dyDescent="0.3">
      <c r="O385" s="119"/>
      <c r="P385" s="119"/>
      <c r="W385" s="110"/>
    </row>
    <row r="386" spans="15:23" x14ac:dyDescent="0.3">
      <c r="O386" s="119"/>
      <c r="P386" s="119"/>
      <c r="W386" s="110"/>
    </row>
    <row r="387" spans="15:23" x14ac:dyDescent="0.3">
      <c r="O387" s="119"/>
      <c r="P387" s="119"/>
      <c r="W387" s="110"/>
    </row>
    <row r="388" spans="15:23" x14ac:dyDescent="0.3">
      <c r="O388" s="119"/>
      <c r="P388" s="119"/>
      <c r="W388" s="110"/>
    </row>
    <row r="389" spans="15:23" x14ac:dyDescent="0.3">
      <c r="O389" s="119"/>
      <c r="P389" s="119"/>
      <c r="W389" s="110"/>
    </row>
    <row r="390" spans="15:23" x14ac:dyDescent="0.3">
      <c r="O390" s="119"/>
      <c r="P390" s="119"/>
      <c r="W390" s="110"/>
    </row>
    <row r="391" spans="15:23" x14ac:dyDescent="0.3">
      <c r="O391" s="119"/>
      <c r="P391" s="119"/>
      <c r="W391" s="110"/>
    </row>
    <row r="392" spans="15:23" x14ac:dyDescent="0.3">
      <c r="O392" s="119"/>
      <c r="P392" s="119"/>
      <c r="W392" s="110"/>
    </row>
    <row r="393" spans="15:23" x14ac:dyDescent="0.3">
      <c r="O393" s="119"/>
      <c r="P393" s="119"/>
      <c r="W393" s="110"/>
    </row>
    <row r="394" spans="15:23" x14ac:dyDescent="0.3">
      <c r="O394" s="119"/>
      <c r="P394" s="119"/>
      <c r="W394" s="110"/>
    </row>
    <row r="395" spans="15:23" x14ac:dyDescent="0.3">
      <c r="O395" s="119"/>
      <c r="P395" s="119"/>
      <c r="W395" s="110"/>
    </row>
    <row r="396" spans="15:23" x14ac:dyDescent="0.3">
      <c r="O396" s="119"/>
      <c r="P396" s="119"/>
      <c r="W396" s="110"/>
    </row>
    <row r="397" spans="15:23" x14ac:dyDescent="0.3">
      <c r="O397" s="119"/>
      <c r="P397" s="119"/>
      <c r="W397" s="110"/>
    </row>
    <row r="398" spans="15:23" x14ac:dyDescent="0.3">
      <c r="O398" s="119"/>
      <c r="P398" s="119"/>
      <c r="W398" s="110"/>
    </row>
    <row r="399" spans="15:23" x14ac:dyDescent="0.3">
      <c r="O399" s="119"/>
      <c r="P399" s="119"/>
      <c r="W399" s="110"/>
    </row>
    <row r="400" spans="15:23" x14ac:dyDescent="0.3">
      <c r="O400" s="119"/>
      <c r="P400" s="119"/>
      <c r="W400" s="110"/>
    </row>
    <row r="401" spans="15:16" x14ac:dyDescent="0.3">
      <c r="O401" s="119"/>
      <c r="P401" s="119"/>
    </row>
    <row r="402" spans="15:16" x14ac:dyDescent="0.3">
      <c r="O402" s="119"/>
      <c r="P402" s="119"/>
    </row>
    <row r="403" spans="15:16" x14ac:dyDescent="0.3">
      <c r="O403" s="119"/>
      <c r="P403" s="119"/>
    </row>
    <row r="404" spans="15:16" x14ac:dyDescent="0.3">
      <c r="O404" s="119"/>
      <c r="P404" s="119"/>
    </row>
    <row r="405" spans="15:16" x14ac:dyDescent="0.3">
      <c r="O405" s="119"/>
      <c r="P405" s="119"/>
    </row>
    <row r="406" spans="15:16" x14ac:dyDescent="0.3">
      <c r="O406" s="119"/>
      <c r="P406" s="119"/>
    </row>
    <row r="407" spans="15:16" x14ac:dyDescent="0.3">
      <c r="O407" s="119"/>
      <c r="P407" s="119"/>
    </row>
    <row r="408" spans="15:16" x14ac:dyDescent="0.3">
      <c r="O408" s="119"/>
      <c r="P408" s="119"/>
    </row>
    <row r="409" spans="15:16" x14ac:dyDescent="0.3">
      <c r="O409" s="119"/>
      <c r="P409" s="119"/>
    </row>
    <row r="410" spans="15:16" x14ac:dyDescent="0.3">
      <c r="O410" s="119"/>
      <c r="P410" s="119"/>
    </row>
    <row r="411" spans="15:16" x14ac:dyDescent="0.3">
      <c r="O411" s="119"/>
      <c r="P411" s="119"/>
    </row>
    <row r="412" spans="15:16" x14ac:dyDescent="0.3">
      <c r="O412" s="119"/>
      <c r="P412" s="119"/>
    </row>
    <row r="413" spans="15:16" x14ac:dyDescent="0.3">
      <c r="O413" s="119"/>
      <c r="P413" s="119"/>
    </row>
    <row r="414" spans="15:16" x14ac:dyDescent="0.3">
      <c r="O414" s="119"/>
      <c r="P414" s="119"/>
    </row>
    <row r="415" spans="15:16" x14ac:dyDescent="0.3">
      <c r="O415" s="119"/>
      <c r="P415" s="119"/>
    </row>
    <row r="416" spans="15:16" x14ac:dyDescent="0.3">
      <c r="O416" s="119"/>
      <c r="P416" s="119"/>
    </row>
    <row r="417" spans="15:16" x14ac:dyDescent="0.3">
      <c r="O417" s="119"/>
      <c r="P417" s="119"/>
    </row>
    <row r="418" spans="15:16" x14ac:dyDescent="0.3">
      <c r="O418" s="119"/>
      <c r="P418" s="119"/>
    </row>
    <row r="419" spans="15:16" x14ac:dyDescent="0.3">
      <c r="O419" s="119"/>
      <c r="P419" s="119"/>
    </row>
    <row r="420" spans="15:16" x14ac:dyDescent="0.3">
      <c r="O420" s="119"/>
      <c r="P420" s="119"/>
    </row>
    <row r="421" spans="15:16" x14ac:dyDescent="0.3">
      <c r="O421" s="119"/>
      <c r="P421" s="119"/>
    </row>
  </sheetData>
  <sheetProtection algorithmName="SHA-512" hashValue="rk3eWUPO2E/SJxsta1tyaqFGaj0hMAhUXb1SPpRY69io34V5Mc4eqMcibw5QSm9vdQ6prLtv+9Wnm05QElErFQ==" saltValue="rBVz9Wmj4ZNfJ2MR5Nv18Q==" spinCount="100000" sheet="1"/>
  <autoFilter ref="C7:I7" xr:uid="{B0376E84-B501-43CB-B45C-1A1FEB7989A1}"/>
  <mergeCells count="6">
    <mergeCell ref="Y6:AA6"/>
    <mergeCell ref="G1:O3"/>
    <mergeCell ref="P5:T5"/>
    <mergeCell ref="K6:M6"/>
    <mergeCell ref="N6:O6"/>
    <mergeCell ref="W6:X6"/>
  </mergeCells>
  <phoneticPr fontId="2" type="noConversion"/>
  <conditionalFormatting sqref="F318:O500 J8:O317">
    <cfRule type="expression" priority="9" stopIfTrue="1">
      <formula>$U8=""</formula>
    </cfRule>
    <cfRule type="expression" dxfId="37" priority="10">
      <formula>AND($U8=0)</formula>
    </cfRule>
    <cfRule type="expression" dxfId="36" priority="11">
      <formula>$V8=6</formula>
    </cfRule>
    <cfRule type="expression" dxfId="35" priority="12">
      <formula>$V8=5</formula>
    </cfRule>
    <cfRule type="expression" dxfId="34" priority="13">
      <formula>$V8=4</formula>
    </cfRule>
    <cfRule type="expression" dxfId="33" priority="14">
      <formula>$V8=3</formula>
    </cfRule>
    <cfRule type="expression" dxfId="32" priority="15">
      <formula>$V8=2</formula>
    </cfRule>
    <cfRule type="expression" dxfId="31" priority="16">
      <formula>$V8=1</formula>
    </cfRule>
  </conditionalFormatting>
  <conditionalFormatting sqref="F8:I317">
    <cfRule type="expression" priority="1" stopIfTrue="1">
      <formula>$U8=""</formula>
    </cfRule>
    <cfRule type="expression" dxfId="30" priority="2">
      <formula>AND($U8=0)</formula>
    </cfRule>
    <cfRule type="expression" dxfId="29" priority="3">
      <formula>$V8=6</formula>
    </cfRule>
    <cfRule type="expression" dxfId="28" priority="4">
      <formula>$V8=5</formula>
    </cfRule>
    <cfRule type="expression" dxfId="27" priority="5">
      <formula>$V8=4</formula>
    </cfRule>
    <cfRule type="expression" dxfId="26" priority="6">
      <formula>$V8=3</formula>
    </cfRule>
    <cfRule type="expression" dxfId="25" priority="7">
      <formula>$V8=2</formula>
    </cfRule>
    <cfRule type="expression" dxfId="24" priority="8">
      <formula>$V8=1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C1E3-8D72-40FB-862C-BB4BB988539D}">
  <dimension ref="B1:AE421"/>
  <sheetViews>
    <sheetView workbookViewId="0">
      <pane ySplit="7" topLeftCell="A8" activePane="bottomLeft" state="frozen"/>
      <selection pane="bottomLeft" activeCell="G1" sqref="G1:O3"/>
    </sheetView>
  </sheetViews>
  <sheetFormatPr defaultRowHeight="16.5" x14ac:dyDescent="0.3"/>
  <cols>
    <col min="1" max="1" width="17.625" style="7" customWidth="1"/>
    <col min="2" max="3" width="0" style="7" hidden="1" customWidth="1"/>
    <col min="4" max="4" width="9" style="41" hidden="1" customWidth="1"/>
    <col min="5" max="5" width="0" style="41" hidden="1" customWidth="1"/>
    <col min="6" max="6" width="6.875" style="113" customWidth="1"/>
    <col min="7" max="7" width="12.375" style="41" customWidth="1"/>
    <col min="8" max="8" width="14.75" style="41" customWidth="1"/>
    <col min="9" max="9" width="7" style="41" customWidth="1"/>
    <col min="10" max="10" width="8.625" style="41" customWidth="1"/>
    <col min="11" max="11" width="10.625" style="113" customWidth="1"/>
    <col min="12" max="12" width="12.125" style="41" customWidth="1"/>
    <col min="13" max="13" width="10.625" style="41" customWidth="1"/>
    <col min="14" max="14" width="13.875" style="113" customWidth="1"/>
    <col min="15" max="16" width="9.125" style="73" customWidth="1"/>
    <col min="17" max="20" width="9.125" style="41" customWidth="1"/>
    <col min="21" max="21" width="5.125" style="41" hidden="1" customWidth="1"/>
    <col min="22" max="22" width="6.625" style="113" hidden="1" customWidth="1"/>
    <col min="23" max="24" width="9.5" style="108" customWidth="1"/>
    <col min="25" max="27" width="5" style="41" customWidth="1"/>
    <col min="28" max="29" width="9" style="7"/>
    <col min="30" max="30" width="8.875" style="7" customWidth="1"/>
    <col min="31" max="31" width="9" style="7" hidden="1" customWidth="1"/>
    <col min="32" max="16384" width="9" style="7"/>
  </cols>
  <sheetData>
    <row r="1" spans="2:31" x14ac:dyDescent="0.3">
      <c r="B1" s="107" t="s">
        <v>345</v>
      </c>
      <c r="C1" s="73" t="s">
        <v>251</v>
      </c>
      <c r="D1" s="41" t="s">
        <v>379</v>
      </c>
      <c r="E1" s="73" t="s">
        <v>459</v>
      </c>
      <c r="F1" s="73"/>
      <c r="G1" s="217" t="s">
        <v>1584</v>
      </c>
      <c r="H1" s="218"/>
      <c r="I1" s="218"/>
      <c r="J1" s="218"/>
      <c r="K1" s="218"/>
      <c r="L1" s="218"/>
      <c r="M1" s="218"/>
      <c r="N1" s="218"/>
      <c r="O1" s="218"/>
      <c r="T1" s="73"/>
      <c r="V1" s="73"/>
    </row>
    <row r="2" spans="2:31" x14ac:dyDescent="0.3">
      <c r="B2" s="107">
        <v>1</v>
      </c>
      <c r="C2" s="73">
        <v>2</v>
      </c>
      <c r="D2" s="41">
        <v>3</v>
      </c>
      <c r="E2" s="73">
        <v>4</v>
      </c>
      <c r="F2" s="73"/>
      <c r="G2" s="218"/>
      <c r="H2" s="218"/>
      <c r="I2" s="218"/>
      <c r="J2" s="218"/>
      <c r="K2" s="218"/>
      <c r="L2" s="218"/>
      <c r="M2" s="218"/>
      <c r="N2" s="218"/>
      <c r="O2" s="218"/>
      <c r="T2" s="73"/>
      <c r="V2" s="73"/>
    </row>
    <row r="3" spans="2:31" x14ac:dyDescent="0.3">
      <c r="B3" s="43" t="s">
        <v>671</v>
      </c>
      <c r="F3" s="73"/>
      <c r="G3" s="218"/>
      <c r="H3" s="218"/>
      <c r="I3" s="218"/>
      <c r="J3" s="218"/>
      <c r="K3" s="218"/>
      <c r="L3" s="218"/>
      <c r="M3" s="218"/>
      <c r="N3" s="218"/>
      <c r="O3" s="218"/>
      <c r="R3" s="73"/>
      <c r="T3" s="73"/>
      <c r="V3" s="73"/>
    </row>
    <row r="4" spans="2:31" x14ac:dyDescent="0.3">
      <c r="B4" s="43">
        <v>4</v>
      </c>
      <c r="C4" s="7" t="str">
        <f>IF($B$4=1,CONCATENATE($B$1,AE4),IF($B$4=2,CONCATENATE($C$1,AE4),IF($B$4=3,CONCATENATE($D$1,AE4),IF($B$4=4,CONCATENATE($E$1,AE4)))))</f>
        <v>가나다</v>
      </c>
      <c r="F4" s="73"/>
      <c r="J4" s="73"/>
      <c r="K4" s="73"/>
      <c r="M4" s="73"/>
      <c r="N4" s="73"/>
      <c r="T4" s="73"/>
      <c r="V4" s="73"/>
    </row>
    <row r="5" spans="2:31" x14ac:dyDescent="0.3">
      <c r="F5" s="73"/>
      <c r="J5" s="73"/>
      <c r="K5" s="73"/>
      <c r="M5" s="109"/>
      <c r="N5" s="73"/>
      <c r="P5" s="214" t="s">
        <v>474</v>
      </c>
      <c r="Q5" s="215"/>
      <c r="R5" s="215"/>
      <c r="S5" s="215"/>
      <c r="T5" s="216"/>
      <c r="V5" s="73"/>
      <c r="W5" s="110"/>
    </row>
    <row r="6" spans="2:31" x14ac:dyDescent="0.3">
      <c r="F6" s="111"/>
      <c r="G6" s="112"/>
      <c r="H6" s="112"/>
      <c r="I6" s="112"/>
      <c r="J6" s="62"/>
      <c r="K6" s="214" t="s">
        <v>475</v>
      </c>
      <c r="L6" s="215"/>
      <c r="M6" s="216"/>
      <c r="N6" s="219" t="s">
        <v>476</v>
      </c>
      <c r="O6" s="220"/>
      <c r="P6" s="61" t="s">
        <v>885</v>
      </c>
      <c r="Q6" s="62" t="s">
        <v>886</v>
      </c>
      <c r="R6" s="62" t="s">
        <v>887</v>
      </c>
      <c r="S6" s="62" t="s">
        <v>888</v>
      </c>
      <c r="T6" s="63"/>
      <c r="W6" s="221" t="s">
        <v>893</v>
      </c>
      <c r="X6" s="222"/>
      <c r="Y6" s="214" t="s">
        <v>672</v>
      </c>
      <c r="Z6" s="215"/>
      <c r="AA6" s="216"/>
    </row>
    <row r="7" spans="2:31" x14ac:dyDescent="0.3">
      <c r="D7" s="41" t="s">
        <v>473</v>
      </c>
      <c r="E7" s="41" t="s">
        <v>472</v>
      </c>
      <c r="F7" s="114" t="s">
        <v>97</v>
      </c>
      <c r="G7" s="109" t="s">
        <v>88</v>
      </c>
      <c r="H7" s="109" t="s">
        <v>89</v>
      </c>
      <c r="I7" s="109" t="s">
        <v>90</v>
      </c>
      <c r="J7" s="115" t="s">
        <v>96</v>
      </c>
      <c r="K7" s="114" t="s">
        <v>461</v>
      </c>
      <c r="L7" s="116" t="s">
        <v>463</v>
      </c>
      <c r="M7" s="116" t="s">
        <v>462</v>
      </c>
      <c r="N7" s="114" t="s">
        <v>284</v>
      </c>
      <c r="O7" s="115" t="s">
        <v>98</v>
      </c>
      <c r="P7" s="64">
        <v>0.9</v>
      </c>
      <c r="Q7" s="65">
        <v>0.7</v>
      </c>
      <c r="R7" s="66">
        <v>0.4</v>
      </c>
      <c r="S7" s="67">
        <v>0.1</v>
      </c>
      <c r="T7" s="68">
        <v>0.01</v>
      </c>
      <c r="U7" s="41" t="s">
        <v>96</v>
      </c>
      <c r="V7" s="113" t="s">
        <v>250</v>
      </c>
      <c r="W7" s="117" t="s">
        <v>894</v>
      </c>
      <c r="X7" s="118" t="s">
        <v>103</v>
      </c>
      <c r="Y7" s="109" t="s">
        <v>113</v>
      </c>
      <c r="Z7" s="109" t="s">
        <v>237</v>
      </c>
      <c r="AA7" s="115" t="s">
        <v>673</v>
      </c>
    </row>
    <row r="8" spans="2:31" x14ac:dyDescent="0.3">
      <c r="C8" s="7" t="s">
        <v>1567</v>
      </c>
      <c r="D8" s="41" t="s">
        <v>1568</v>
      </c>
      <c r="E8" s="41">
        <v>57</v>
      </c>
      <c r="F8" s="113" t="s">
        <v>833</v>
      </c>
      <c r="G8" s="41" t="s">
        <v>834</v>
      </c>
      <c r="H8" s="41" t="s">
        <v>835</v>
      </c>
      <c r="I8" s="41" t="s">
        <v>274</v>
      </c>
      <c r="J8" s="41" t="str">
        <f t="shared" ref="J8:J19" si="0">IFERROR(IF(U8=1,"O",IF(U8=0,"X","")),"")</f>
        <v>X</v>
      </c>
      <c r="K8" s="113">
        <f>IFERROR(INDEX(환산공식!CI$16:CI$301,MATCH($E8,환산공식!$A$16:$A$301,0)),"")</f>
        <v>200</v>
      </c>
      <c r="L8" s="41" t="str">
        <f>IFERROR(CONCATENATE(ROUND(INDEX(환산공식!CJ$16:CJ$301,MATCH(E8,환산공식!$A$16:$A$301,0)),1),"%"),"")</f>
        <v>100%</v>
      </c>
      <c r="M8" s="41">
        <f>IFERROR(INDEX(환산공식!CK$16:CK$301,MATCH(E8,환산공식!$A$16:$A$301,0)),"")</f>
        <v>4</v>
      </c>
      <c r="N8" s="113" t="str">
        <f t="shared" ref="N8:N19" si="1">IF(E8="","",IF(O8&gt;P8,"90% 이상",IF(O8&gt;Q8,CONCATENATE(ROUND(((O8-Q8)/(P8-Q8))*20+70,0),"%"),IF(O8&gt;R8,CONCATENATE(ROUND(((O8-R8)/(Q8-R8))*30+40,0),"%"),IF(O8&gt;S8,CONCATENATE(ROUND(((O8-S8)/(R8-S8))*30+10,0),"%"),IF(O8&gt;T8,CONCATENATE(ROUND(((O8-T8)/(S8-T8))*9+1,0),"%"),"1% 이하"))))))</f>
        <v>1% 이하</v>
      </c>
      <c r="O8" s="119">
        <f>IFERROR(ROUND(INDEX(환산공식!$EF$16:$EF$301,MATCH(E8,환산공식!$A$16:$A$301,0)),3),"")</f>
        <v>0</v>
      </c>
      <c r="P8" s="119">
        <f>IFERROR(ROUND(INDEX('배치점수 계산기'!M$11:M$1000,MATCH($C8,'배치점수 계산기'!$U$11:$U$1000,0)),2),"")</f>
        <v>881.23</v>
      </c>
      <c r="Q8" s="41">
        <f>IFERROR(ROUND(INDEX('배치점수 계산기'!N$11:N$1000,MATCH($C8,'배치점수 계산기'!$U$11:$U$1000,0)),2),"")</f>
        <v>879.02</v>
      </c>
      <c r="R8" s="41">
        <f>IFERROR(ROUND(INDEX('배치점수 계산기'!O$11:O$1000,MATCH($C8,'배치점수 계산기'!$U$11:$U$1000,0)),2),"")</f>
        <v>874.65</v>
      </c>
      <c r="S8" s="41">
        <f>IFERROR(ROUND(INDEX('배치점수 계산기'!P$11:P$1000,MATCH($C8,'배치점수 계산기'!$U$11:$U$1000,0)),2),"")</f>
        <v>871.26</v>
      </c>
      <c r="T8" s="41">
        <f>IFERROR(ROUND(INDEX('배치점수 계산기'!Q$11:Q$1000,MATCH($C8,'배치점수 계산기'!$U$11:$U$1000,0)),2),"")</f>
        <v>868.01</v>
      </c>
      <c r="U8" s="41">
        <f>IFERROR(INDEX(환산공식!$DC$16:$DC$301,MATCH(E8,환산공식!$A$16:$A$301,0)),"")</f>
        <v>0</v>
      </c>
      <c r="V8" s="113">
        <f t="shared" ref="V8:V19" si="2">IFERROR(IF(T8="","",IF(O8&gt;P8,1,IF(O8&gt;Q8,2,IF(O8&gt;R8,3,IF(O8&gt;S8,4,IF(O8&gt;=T8,5,IF(O8&lt;T8,6))))))),"")</f>
        <v>6</v>
      </c>
      <c r="W8" s="110" t="str">
        <f>INDEX('배치점수 계산기'!$AG$11:$AG$800,MATCH('  숭실.국민.인하  '!$C8,'배치점수 계산기'!$U$11:$U$800,0))</f>
        <v>표점/만점</v>
      </c>
      <c r="X8" s="108" t="str">
        <f>INDEX('배치점수 계산기'!$AH$11:$AH$800,MATCH('  숭실.국민.인하  '!$C8,'배치점수 계산기'!$U$11:$U$800,0))</f>
        <v>변표/만점</v>
      </c>
      <c r="Y8" s="111">
        <f>INDEX('배치점수 계산기'!$AB$11:$AB$800,MATCH('  숭실.국민.인하  '!$C8,'배치점수 계산기'!$U$11:$U$800,0))</f>
        <v>0.23896036723346481</v>
      </c>
      <c r="Z8" s="112">
        <f>INDEX('배치점수 계산기'!$AC$11:$AC$800,MATCH('  숭실.국민.인하  '!$C8,'배치점수 계산기'!$U$11:$U$800,0))</f>
        <v>0.42387017521174114</v>
      </c>
      <c r="AA8" s="62">
        <f>INDEX('배치점수 계산기'!$AD$11:$AD$800,MATCH('  숭실.국민.인하  '!$C8,'배치점수 계산기'!$U$11:$U$800,0))</f>
        <v>0.33716945755479411</v>
      </c>
      <c r="AE8" s="7">
        <v>1</v>
      </c>
    </row>
    <row r="9" spans="2:31" x14ac:dyDescent="0.3">
      <c r="C9" s="7" t="s">
        <v>1569</v>
      </c>
      <c r="D9" s="41" t="s">
        <v>1570</v>
      </c>
      <c r="E9" s="41">
        <v>56</v>
      </c>
      <c r="F9" s="113" t="s">
        <v>833</v>
      </c>
      <c r="G9" s="41" t="s">
        <v>834</v>
      </c>
      <c r="H9" s="41" t="s">
        <v>836</v>
      </c>
      <c r="I9" s="41" t="s">
        <v>274</v>
      </c>
      <c r="J9" s="41" t="str">
        <f t="shared" si="0"/>
        <v>X</v>
      </c>
      <c r="K9" s="113">
        <f>IFERROR(INDEX(환산공식!CI$16:CI$301,MATCH($E9,환산공식!$A$16:$A$301,0)),"")</f>
        <v>200</v>
      </c>
      <c r="L9" s="41" t="str">
        <f>IFERROR(CONCATENATE(ROUND(INDEX(환산공식!CJ$16:CJ$301,MATCH(E9,환산공식!$A$16:$A$301,0)),1),"%"),"")</f>
        <v>100%</v>
      </c>
      <c r="M9" s="41">
        <f>IFERROR(INDEX(환산공식!CK$16:CK$301,MATCH(E9,환산공식!$A$16:$A$301,0)),"")</f>
        <v>4</v>
      </c>
      <c r="N9" s="113" t="str">
        <f t="shared" si="1"/>
        <v>1% 이하</v>
      </c>
      <c r="O9" s="119">
        <f>IFERROR(ROUND(INDEX(환산공식!$EF$16:$EF$301,MATCH(E9,환산공식!$A$16:$A$301,0)),3),"")</f>
        <v>0</v>
      </c>
      <c r="P9" s="119">
        <f>IFERROR(ROUND(INDEX('배치점수 계산기'!M$11:M$1000,MATCH($C9,'배치점수 계산기'!$U$11:$U$1000,0)),2),"")</f>
        <v>864.65</v>
      </c>
      <c r="Q9" s="41">
        <f>IFERROR(ROUND(INDEX('배치점수 계산기'!N$11:N$1000,MATCH($C9,'배치점수 계산기'!$U$11:$U$1000,0)),2),"")</f>
        <v>862.16</v>
      </c>
      <c r="R9" s="41">
        <f>IFERROR(ROUND(INDEX('배치점수 계산기'!O$11:O$1000,MATCH($C9,'배치점수 계산기'!$U$11:$U$1000,0)),2),"")</f>
        <v>858.89</v>
      </c>
      <c r="S9" s="41">
        <f>IFERROR(ROUND(INDEX('배치점수 계산기'!P$11:P$1000,MATCH($C9,'배치점수 계산기'!$U$11:$U$1000,0)),2),"")</f>
        <v>855.75</v>
      </c>
      <c r="T9" s="41">
        <f>IFERROR(ROUND(INDEX('배치점수 계산기'!Q$11:Q$1000,MATCH($C9,'배치점수 계산기'!$U$11:$U$1000,0)),2),"")</f>
        <v>854.02</v>
      </c>
      <c r="U9" s="41">
        <f>IFERROR(INDEX(환산공식!$DC$16:$DC$301,MATCH(E9,환산공식!$A$16:$A$301,0)),"")</f>
        <v>0</v>
      </c>
      <c r="V9" s="113">
        <f t="shared" si="2"/>
        <v>6</v>
      </c>
      <c r="W9" s="110" t="str">
        <f>INDEX('배치점수 계산기'!$AG$11:$AG$800,MATCH('  숭실.국민.인하  '!$C9,'배치점수 계산기'!$U$11:$U$800,0))</f>
        <v>표점/만점</v>
      </c>
      <c r="X9" s="108" t="str">
        <f>INDEX('배치점수 계산기'!$AH$11:$AH$800,MATCH('  숭실.국민.인하  '!$C9,'배치점수 계산기'!$U$11:$U$800,0))</f>
        <v>변표/만점</v>
      </c>
      <c r="Y9" s="113">
        <f>INDEX('배치점수 계산기'!$AB$11:$AB$800,MATCH('  숭실.국민.인하  '!$C9,'배치점수 계산기'!$U$11:$U$800,0))</f>
        <v>0.2449160285442693</v>
      </c>
      <c r="Z9" s="73">
        <f>INDEX('배치점수 계산기'!$AC$11:$AC$800,MATCH('  숭실.국민.인하  '!$C9,'배치점수 계산기'!$U$11:$U$800,0))</f>
        <v>0.43443438396543005</v>
      </c>
      <c r="AA9" s="63">
        <f>INDEX('배치점수 계산기'!$AD$11:$AD$800,MATCH('  숭실.국민.인하  '!$C9,'배치점수 계산기'!$U$11:$U$800,0))</f>
        <v>0.32064958749030059</v>
      </c>
      <c r="AE9" s="7">
        <v>2</v>
      </c>
    </row>
    <row r="10" spans="2:31" x14ac:dyDescent="0.3">
      <c r="C10" s="7" t="s">
        <v>1571</v>
      </c>
      <c r="D10" s="41" t="s">
        <v>1570</v>
      </c>
      <c r="E10" s="41">
        <v>56</v>
      </c>
      <c r="F10" s="113" t="s">
        <v>833</v>
      </c>
      <c r="G10" s="41" t="s">
        <v>834</v>
      </c>
      <c r="H10" s="41" t="s">
        <v>837</v>
      </c>
      <c r="I10" s="41" t="s">
        <v>274</v>
      </c>
      <c r="J10" s="41" t="str">
        <f t="shared" si="0"/>
        <v>X</v>
      </c>
      <c r="K10" s="113">
        <f>IFERROR(INDEX(환산공식!CI$16:CI$301,MATCH($E10,환산공식!$A$16:$A$301,0)),"")</f>
        <v>200</v>
      </c>
      <c r="L10" s="41" t="str">
        <f>IFERROR(CONCATENATE(ROUND(INDEX(환산공식!CJ$16:CJ$301,MATCH(E10,환산공식!$A$16:$A$301,0)),1),"%"),"")</f>
        <v>100%</v>
      </c>
      <c r="M10" s="41">
        <f>IFERROR(INDEX(환산공식!CK$16:CK$301,MATCH(E10,환산공식!$A$16:$A$301,0)),"")</f>
        <v>4</v>
      </c>
      <c r="N10" s="113" t="str">
        <f t="shared" si="1"/>
        <v>1% 이하</v>
      </c>
      <c r="O10" s="119">
        <f>IFERROR(ROUND(INDEX(환산공식!$EF$16:$EF$301,MATCH(E10,환산공식!$A$16:$A$301,0)),3),"")</f>
        <v>0</v>
      </c>
      <c r="P10" s="119">
        <f>IFERROR(ROUND(INDEX('배치점수 계산기'!M$11:M$1000,MATCH($C10,'배치점수 계산기'!$U$11:$U$1000,0)),2),"")</f>
        <v>854.95</v>
      </c>
      <c r="Q10" s="41">
        <f>IFERROR(ROUND(INDEX('배치점수 계산기'!N$11:N$1000,MATCH($C10,'배치점수 계산기'!$U$11:$U$1000,0)),2),"")</f>
        <v>852.29</v>
      </c>
      <c r="R10" s="41">
        <f>IFERROR(ROUND(INDEX('배치점수 계산기'!O$11:O$1000,MATCH($C10,'배치점수 계산기'!$U$11:$U$1000,0)),2),"")</f>
        <v>850.22</v>
      </c>
      <c r="S10" s="41">
        <f>IFERROR(ROUND(INDEX('배치점수 계산기'!P$11:P$1000,MATCH($C10,'배치점수 계산기'!$U$11:$U$1000,0)),2),"")</f>
        <v>848.39</v>
      </c>
      <c r="T10" s="41">
        <f>IFERROR(ROUND(INDEX('배치점수 계산기'!Q$11:Q$1000,MATCH($C10,'배치점수 계산기'!$U$11:$U$1000,0)),2),"")</f>
        <v>846.61</v>
      </c>
      <c r="U10" s="41">
        <f>IFERROR(INDEX(환산공식!$DC$16:$DC$301,MATCH(E10,환산공식!$A$16:$A$301,0)),"")</f>
        <v>0</v>
      </c>
      <c r="V10" s="113">
        <f t="shared" si="2"/>
        <v>6</v>
      </c>
      <c r="W10" s="110" t="str">
        <f>INDEX('배치점수 계산기'!$AG$11:$AG$800,MATCH('  숭실.국민.인하  '!$C10,'배치점수 계산기'!$U$11:$U$800,0))</f>
        <v>표점/만점</v>
      </c>
      <c r="X10" s="108" t="str">
        <f>INDEX('배치점수 계산기'!$AH$11:$AH$800,MATCH('  숭실.국민.인하  '!$C10,'배치점수 계산기'!$U$11:$U$800,0))</f>
        <v>변표/만점</v>
      </c>
      <c r="Y10" s="113">
        <f>INDEX('배치점수 계산기'!$AB$11:$AB$800,MATCH('  숭실.국민.인하  '!$C10,'배치점수 계산기'!$U$11:$U$800,0))</f>
        <v>0.2449160285442693</v>
      </c>
      <c r="Z10" s="73">
        <f>INDEX('배치점수 계산기'!$AC$11:$AC$800,MATCH('  숭실.국민.인하  '!$C10,'배치점수 계산기'!$U$11:$U$800,0))</f>
        <v>0.43443438396543005</v>
      </c>
      <c r="AA10" s="63">
        <f>INDEX('배치점수 계산기'!$AD$11:$AD$800,MATCH('  숭실.국민.인하  '!$C10,'배치점수 계산기'!$U$11:$U$800,0))</f>
        <v>0.32064958749030059</v>
      </c>
      <c r="AE10" s="7">
        <v>3</v>
      </c>
    </row>
    <row r="11" spans="2:31" x14ac:dyDescent="0.3">
      <c r="C11" s="7" t="s">
        <v>1572</v>
      </c>
      <c r="D11" s="41" t="s">
        <v>1573</v>
      </c>
      <c r="E11" s="41">
        <v>59</v>
      </c>
      <c r="F11" s="113" t="s">
        <v>833</v>
      </c>
      <c r="G11" s="41" t="s">
        <v>834</v>
      </c>
      <c r="H11" s="41" t="s">
        <v>838</v>
      </c>
      <c r="I11" s="41" t="s">
        <v>275</v>
      </c>
      <c r="J11" s="41" t="str">
        <f t="shared" si="0"/>
        <v>X</v>
      </c>
      <c r="K11" s="113">
        <f>IFERROR(INDEX(환산공식!CI$16:CI$301,MATCH($E11,환산공식!$A$16:$A$301,0)),"")</f>
        <v>200</v>
      </c>
      <c r="L11" s="41" t="str">
        <f>IFERROR(CONCATENATE(ROUND(INDEX(환산공식!CJ$16:CJ$301,MATCH(E11,환산공식!$A$16:$A$301,0)),1),"%"),"")</f>
        <v>100%</v>
      </c>
      <c r="M11" s="41">
        <f>IFERROR(INDEX(환산공식!CK$16:CK$301,MATCH(E11,환산공식!$A$16:$A$301,0)),"")</f>
        <v>4</v>
      </c>
      <c r="N11" s="113" t="str">
        <f t="shared" si="1"/>
        <v>1% 이하</v>
      </c>
      <c r="O11" s="119">
        <f>IFERROR(ROUND(INDEX(환산공식!$EF$16:$EF$301,MATCH(E11,환산공식!$A$16:$A$301,0)),3),"")</f>
        <v>0</v>
      </c>
      <c r="P11" s="119">
        <f>IFERROR(ROUND(INDEX('배치점수 계산기'!M$11:M$1000,MATCH($C11,'배치점수 계산기'!$U$11:$U$1000,0)),2),"")</f>
        <v>862.35</v>
      </c>
      <c r="Q11" s="41">
        <f>IFERROR(ROUND(INDEX('배치점수 계산기'!N$11:N$1000,MATCH($C11,'배치점수 계산기'!$U$11:$U$1000,0)),2),"")</f>
        <v>859.61</v>
      </c>
      <c r="R11" s="41">
        <f>IFERROR(ROUND(INDEX('배치점수 계산기'!O$11:O$1000,MATCH($C11,'배치점수 계산기'!$U$11:$U$1000,0)),2),"")</f>
        <v>856.85</v>
      </c>
      <c r="S11" s="41">
        <f>IFERROR(ROUND(INDEX('배치점수 계산기'!P$11:P$1000,MATCH($C11,'배치점수 계산기'!$U$11:$U$1000,0)),2),"")</f>
        <v>853.63</v>
      </c>
      <c r="T11" s="41">
        <f>IFERROR(ROUND(INDEX('배치점수 계산기'!Q$11:Q$1000,MATCH($C11,'배치점수 계산기'!$U$11:$U$1000,0)),2),"")</f>
        <v>851.53</v>
      </c>
      <c r="U11" s="41">
        <f>IFERROR(INDEX(환산공식!$DC$16:$DC$301,MATCH(E11,환산공식!$A$16:$A$301,0)),"")</f>
        <v>0</v>
      </c>
      <c r="V11" s="113">
        <f t="shared" si="2"/>
        <v>6</v>
      </c>
      <c r="W11" s="110" t="str">
        <f>INDEX('배치점수 계산기'!$AG$11:$AG$800,MATCH('  숭실.국민.인하  '!$C11,'배치점수 계산기'!$U$11:$U$800,0))</f>
        <v>표점/만점</v>
      </c>
      <c r="X11" s="108" t="str">
        <f>INDEX('배치점수 계산기'!$AH$11:$AH$800,MATCH('  숭실.국민.인하  '!$C11,'배치점수 계산기'!$U$11:$U$800,0))</f>
        <v>변표/만점</v>
      </c>
      <c r="Y11" s="113">
        <f>INDEX('배치점수 계산기'!$AB$11:$AB$800,MATCH('  숭실.국민.인하  '!$C11,'배치점수 계산기'!$U$11:$U$800,0))</f>
        <v>0.30101641907740423</v>
      </c>
      <c r="Z11" s="73">
        <f>INDEX('배치점수 계산기'!$AC$11:$AC$800,MATCH('  숭실.국민.인하  '!$C11,'배치점수 계산기'!$U$11:$U$800,0))</f>
        <v>0.42715663278603078</v>
      </c>
      <c r="AA11" s="63">
        <f>INDEX('배치점수 계산기'!$AD$11:$AD$800,MATCH('  숭실.국민.인하  '!$C11,'배치점수 계산기'!$U$11:$U$800,0))</f>
        <v>0.27182694813656505</v>
      </c>
      <c r="AE11" s="7">
        <v>4</v>
      </c>
    </row>
    <row r="12" spans="2:31" x14ac:dyDescent="0.3">
      <c r="C12" s="7" t="s">
        <v>1574</v>
      </c>
      <c r="D12" s="41" t="s">
        <v>1575</v>
      </c>
      <c r="E12" s="41">
        <v>58</v>
      </c>
      <c r="F12" s="113" t="s">
        <v>833</v>
      </c>
      <c r="G12" s="41" t="s">
        <v>834</v>
      </c>
      <c r="H12" s="41" t="s">
        <v>839</v>
      </c>
      <c r="I12" s="41" t="s">
        <v>275</v>
      </c>
      <c r="J12" s="41" t="str">
        <f t="shared" si="0"/>
        <v>X</v>
      </c>
      <c r="K12" s="113">
        <f>IFERROR(INDEX(환산공식!CI$16:CI$301,MATCH($E12,환산공식!$A$16:$A$301,0)),"")</f>
        <v>200</v>
      </c>
      <c r="L12" s="41" t="str">
        <f>IFERROR(CONCATENATE(ROUND(INDEX(환산공식!CJ$16:CJ$301,MATCH(E12,환산공식!$A$16:$A$301,0)),1),"%"),"")</f>
        <v>100%</v>
      </c>
      <c r="M12" s="41">
        <f>IFERROR(INDEX(환산공식!CK$16:CK$301,MATCH(E12,환산공식!$A$16:$A$301,0)),"")</f>
        <v>4</v>
      </c>
      <c r="N12" s="113" t="str">
        <f t="shared" si="1"/>
        <v>1% 이하</v>
      </c>
      <c r="O12" s="119">
        <f>IFERROR(ROUND(INDEX(환산공식!$EF$16:$EF$301,MATCH(E12,환산공식!$A$16:$A$301,0)),3),"")</f>
        <v>0</v>
      </c>
      <c r="P12" s="119">
        <f>IFERROR(ROUND(INDEX('배치점수 계산기'!M$11:M$1000,MATCH($C12,'배치점수 계산기'!$U$11:$U$1000,0)),2),"")</f>
        <v>856.59</v>
      </c>
      <c r="Q12" s="41">
        <f>IFERROR(ROUND(INDEX('배치점수 계산기'!N$11:N$1000,MATCH($C12,'배치점수 계산기'!$U$11:$U$1000,0)),2),"")</f>
        <v>855.43</v>
      </c>
      <c r="R12" s="41">
        <f>IFERROR(ROUND(INDEX('배치점수 계산기'!O$11:O$1000,MATCH($C12,'배치점수 계산기'!$U$11:$U$1000,0)),2),"")</f>
        <v>853.4</v>
      </c>
      <c r="S12" s="41">
        <f>IFERROR(ROUND(INDEX('배치점수 계산기'!P$11:P$1000,MATCH($C12,'배치점수 계산기'!$U$11:$U$1000,0)),2),"")</f>
        <v>852.03</v>
      </c>
      <c r="T12" s="41">
        <f>IFERROR(ROUND(INDEX('배치점수 계산기'!Q$11:Q$1000,MATCH($C12,'배치점수 계산기'!$U$11:$U$1000,0)),2),"")</f>
        <v>850.52</v>
      </c>
      <c r="U12" s="41">
        <f>IFERROR(INDEX(환산공식!$DC$16:$DC$301,MATCH(E12,환산공식!$A$16:$A$301,0)),"")</f>
        <v>0</v>
      </c>
      <c r="V12" s="113">
        <f t="shared" si="2"/>
        <v>6</v>
      </c>
      <c r="W12" s="110" t="str">
        <f>INDEX('배치점수 계산기'!$AG$11:$AG$800,MATCH('  숭실.국민.인하  '!$C12,'배치점수 계산기'!$U$11:$U$800,0))</f>
        <v>표점/만점</v>
      </c>
      <c r="X12" s="108" t="str">
        <f>INDEX('배치점수 계산기'!$AH$11:$AH$800,MATCH('  숭실.국민.인하  '!$C12,'배치점수 계산기'!$U$11:$U$800,0))</f>
        <v>변표/만점</v>
      </c>
      <c r="Y12" s="113">
        <f>INDEX('배치점수 계산기'!$AB$11:$AB$800,MATCH('  숭실.국민.인하  '!$C12,'배치점수 계산기'!$U$11:$U$800,0))</f>
        <v>0.42211448815961222</v>
      </c>
      <c r="Z12" s="73">
        <f>INDEX('배치점수 계산기'!$AC$11:$AC$800,MATCH('  숭실.국민.인하  '!$C12,'배치점수 계산기'!$U$11:$U$800,0))</f>
        <v>0.30561253030020513</v>
      </c>
      <c r="AA12" s="63">
        <f>INDEX('배치점수 계산기'!$AD$11:$AD$800,MATCH('  숭실.국민.인하  '!$C12,'배치점수 계산기'!$U$11:$U$800,0))</f>
        <v>0.27227298154018276</v>
      </c>
      <c r="AE12" s="7">
        <v>5</v>
      </c>
    </row>
    <row r="13" spans="2:31" x14ac:dyDescent="0.3">
      <c r="C13" s="7" t="s">
        <v>1576</v>
      </c>
      <c r="D13" s="41" t="s">
        <v>1575</v>
      </c>
      <c r="E13" s="41">
        <v>58</v>
      </c>
      <c r="F13" s="113" t="s">
        <v>833</v>
      </c>
      <c r="G13" s="41" t="s">
        <v>834</v>
      </c>
      <c r="H13" s="41" t="s">
        <v>840</v>
      </c>
      <c r="I13" s="41" t="s">
        <v>275</v>
      </c>
      <c r="J13" s="41" t="str">
        <f t="shared" si="0"/>
        <v>X</v>
      </c>
      <c r="K13" s="113">
        <f>IFERROR(INDEX(환산공식!CI$16:CI$301,MATCH($E13,환산공식!$A$16:$A$301,0)),"")</f>
        <v>200</v>
      </c>
      <c r="L13" s="41" t="str">
        <f>IFERROR(CONCATENATE(ROUND(INDEX(환산공식!CJ$16:CJ$301,MATCH(E13,환산공식!$A$16:$A$301,0)),1),"%"),"")</f>
        <v>100%</v>
      </c>
      <c r="M13" s="41">
        <f>IFERROR(INDEX(환산공식!CK$16:CK$301,MATCH(E13,환산공식!$A$16:$A$301,0)),"")</f>
        <v>4</v>
      </c>
      <c r="N13" s="113" t="str">
        <f t="shared" si="1"/>
        <v>1% 이하</v>
      </c>
      <c r="O13" s="119">
        <f>IFERROR(ROUND(INDEX(환산공식!$EF$16:$EF$301,MATCH(E13,환산공식!$A$16:$A$301,0)),3),"")</f>
        <v>0</v>
      </c>
      <c r="P13" s="119">
        <f>IFERROR(ROUND(INDEX('배치점수 계산기'!M$11:M$1000,MATCH($C13,'배치점수 계산기'!$U$11:$U$1000,0)),2),"")</f>
        <v>852.03</v>
      </c>
      <c r="Q13" s="41">
        <f>IFERROR(ROUND(INDEX('배치점수 계산기'!N$11:N$1000,MATCH($C13,'배치점수 계산기'!$U$11:$U$1000,0)),2),"")</f>
        <v>851.09</v>
      </c>
      <c r="R13" s="41">
        <f>IFERROR(ROUND(INDEX('배치점수 계산기'!O$11:O$1000,MATCH($C13,'배치점수 계산기'!$U$11:$U$1000,0)),2),"")</f>
        <v>849.86</v>
      </c>
      <c r="S13" s="41">
        <f>IFERROR(ROUND(INDEX('배치점수 계산기'!P$11:P$1000,MATCH($C13,'배치점수 계산기'!$U$11:$U$1000,0)),2),"")</f>
        <v>849.1</v>
      </c>
      <c r="T13" s="41">
        <f>IFERROR(ROUND(INDEX('배치점수 계산기'!Q$11:Q$1000,MATCH($C13,'배치점수 계산기'!$U$11:$U$1000,0)),2),"")</f>
        <v>847.19</v>
      </c>
      <c r="U13" s="41">
        <f>IFERROR(INDEX(환산공식!$DC$16:$DC$301,MATCH(E13,환산공식!$A$16:$A$301,0)),"")</f>
        <v>0</v>
      </c>
      <c r="V13" s="113">
        <f t="shared" si="2"/>
        <v>6</v>
      </c>
      <c r="W13" s="110" t="str">
        <f>INDEX('배치점수 계산기'!$AG$11:$AG$800,MATCH('  숭실.국민.인하  '!$C13,'배치점수 계산기'!$U$11:$U$800,0))</f>
        <v>표점/만점</v>
      </c>
      <c r="X13" s="108" t="str">
        <f>INDEX('배치점수 계산기'!$AH$11:$AH$800,MATCH('  숭실.국민.인하  '!$C13,'배치점수 계산기'!$U$11:$U$800,0))</f>
        <v>변표/만점</v>
      </c>
      <c r="Y13" s="113">
        <f>INDEX('배치점수 계산기'!$AB$11:$AB$800,MATCH('  숭실.국민.인하  '!$C13,'배치점수 계산기'!$U$11:$U$800,0))</f>
        <v>0.42211448815961222</v>
      </c>
      <c r="Z13" s="73">
        <f>INDEX('배치점수 계산기'!$AC$11:$AC$800,MATCH('  숭실.국민.인하  '!$C13,'배치점수 계산기'!$U$11:$U$800,0))</f>
        <v>0.30561253030020513</v>
      </c>
      <c r="AA13" s="63">
        <f>INDEX('배치점수 계산기'!$AD$11:$AD$800,MATCH('  숭실.국민.인하  '!$C13,'배치점수 계산기'!$U$11:$U$800,0))</f>
        <v>0.27227298154018276</v>
      </c>
      <c r="AE13" s="7">
        <v>6</v>
      </c>
    </row>
    <row r="14" spans="2:31" x14ac:dyDescent="0.3">
      <c r="C14" s="7" t="s">
        <v>1577</v>
      </c>
      <c r="D14" s="41" t="s">
        <v>1578</v>
      </c>
      <c r="E14" s="41">
        <v>55</v>
      </c>
      <c r="F14" s="113" t="s">
        <v>833</v>
      </c>
      <c r="G14" s="41" t="s">
        <v>841</v>
      </c>
      <c r="H14" s="41" t="s">
        <v>842</v>
      </c>
      <c r="I14" s="41" t="s">
        <v>275</v>
      </c>
      <c r="J14" s="41" t="str">
        <f t="shared" si="0"/>
        <v>X</v>
      </c>
      <c r="K14" s="113">
        <f>IFERROR(INDEX(환산공식!CI$16:CI$301,MATCH($E14,환산공식!$A$16:$A$301,0)),"")</f>
        <v>200</v>
      </c>
      <c r="L14" s="41" t="str">
        <f>IFERROR(CONCATENATE(ROUND(INDEX(환산공식!CJ$16:CJ$301,MATCH(E14,환산공식!$A$16:$A$301,0)),1),"%"),"")</f>
        <v>100%</v>
      </c>
      <c r="M14" s="41">
        <f>IFERROR(INDEX(환산공식!CK$16:CK$301,MATCH(E14,환산공식!$A$16:$A$301,0)),"")</f>
        <v>0</v>
      </c>
      <c r="N14" s="113" t="str">
        <f t="shared" si="1"/>
        <v>1% 이하</v>
      </c>
      <c r="O14" s="119">
        <f>IFERROR(ROUND(INDEX(환산공식!$EF$16:$EF$301,MATCH(E14,환산공식!$A$16:$A$301,0)),3),"")</f>
        <v>0</v>
      </c>
      <c r="P14" s="119">
        <f>IFERROR(ROUND(INDEX('배치점수 계산기'!M$11:M$1000,MATCH($C14,'배치점수 계산기'!$U$11:$U$1000,0)),2),"")</f>
        <v>863.5</v>
      </c>
      <c r="Q14" s="41">
        <f>IFERROR(ROUND(INDEX('배치점수 계산기'!N$11:N$1000,MATCH($C14,'배치점수 계산기'!$U$11:$U$1000,0)),2),"")</f>
        <v>856.6</v>
      </c>
      <c r="R14" s="41">
        <f>IFERROR(ROUND(INDEX('배치점수 계산기'!O$11:O$1000,MATCH($C14,'배치점수 계산기'!$U$11:$U$1000,0)),2),"")</f>
        <v>853.3</v>
      </c>
      <c r="S14" s="41">
        <f>IFERROR(ROUND(INDEX('배치점수 계산기'!P$11:P$1000,MATCH($C14,'배치점수 계산기'!$U$11:$U$1000,0)),2),"")</f>
        <v>850.4</v>
      </c>
      <c r="T14" s="41">
        <f>IFERROR(ROUND(INDEX('배치점수 계산기'!Q$11:Q$1000,MATCH($C14,'배치점수 계산기'!$U$11:$U$1000,0)),2),"")</f>
        <v>846.5</v>
      </c>
      <c r="U14" s="41">
        <f>IFERROR(INDEX(환산공식!$DC$16:$DC$301,MATCH(E14,환산공식!$A$16:$A$301,0)),"")</f>
        <v>0</v>
      </c>
      <c r="V14" s="113">
        <f t="shared" si="2"/>
        <v>6</v>
      </c>
      <c r="W14" s="110" t="str">
        <f>INDEX('배치점수 계산기'!$AG$11:$AG$800,MATCH('  숭실.국민.인하  '!$C14,'배치점수 계산기'!$U$11:$U$800,0))</f>
        <v>백분위</v>
      </c>
      <c r="X14" s="108" t="str">
        <f>INDEX('배치점수 계산기'!$AH$11:$AH$800,MATCH('  숭실.국민.인하  '!$C14,'배치점수 계산기'!$U$11:$U$800,0))</f>
        <v>백분위</v>
      </c>
      <c r="Y14" s="113">
        <f>INDEX('배치점수 계산기'!$AB$11:$AB$800,MATCH('  숭실.국민.인하  '!$C14,'배치점수 계산기'!$U$11:$U$800,0))</f>
        <v>0.375</v>
      </c>
      <c r="Z14" s="73">
        <f>INDEX('배치점수 계산기'!$AC$11:$AC$800,MATCH('  숭실.국민.인하  '!$C14,'배치점수 계산기'!$U$11:$U$800,0))</f>
        <v>0.25</v>
      </c>
      <c r="AA14" s="63">
        <f>INDEX('배치점수 계산기'!$AD$11:$AD$800,MATCH('  숭실.국민.인하  '!$C14,'배치점수 계산기'!$U$11:$U$800,0))</f>
        <v>0.375</v>
      </c>
      <c r="AE14" s="7">
        <v>7</v>
      </c>
    </row>
    <row r="15" spans="2:31" x14ac:dyDescent="0.3">
      <c r="C15" s="7" t="s">
        <v>1579</v>
      </c>
      <c r="D15" s="41" t="s">
        <v>1578</v>
      </c>
      <c r="E15" s="41">
        <v>55</v>
      </c>
      <c r="F15" s="113" t="s">
        <v>833</v>
      </c>
      <c r="G15" s="41" t="s">
        <v>841</v>
      </c>
      <c r="H15" s="41" t="s">
        <v>839</v>
      </c>
      <c r="I15" s="41" t="s">
        <v>275</v>
      </c>
      <c r="J15" s="41" t="str">
        <f t="shared" si="0"/>
        <v>X</v>
      </c>
      <c r="K15" s="113">
        <f>IFERROR(INDEX(환산공식!CI$16:CI$301,MATCH($E15,환산공식!$A$16:$A$301,0)),"")</f>
        <v>200</v>
      </c>
      <c r="L15" s="41" t="str">
        <f>IFERROR(CONCATENATE(ROUND(INDEX(환산공식!CJ$16:CJ$301,MATCH(E15,환산공식!$A$16:$A$301,0)),1),"%"),"")</f>
        <v>100%</v>
      </c>
      <c r="M15" s="41">
        <f>IFERROR(INDEX(환산공식!CK$16:CK$301,MATCH(E15,환산공식!$A$16:$A$301,0)),"")</f>
        <v>0</v>
      </c>
      <c r="N15" s="113" t="str">
        <f t="shared" si="1"/>
        <v>1% 이하</v>
      </c>
      <c r="O15" s="119">
        <f>IFERROR(ROUND(INDEX(환산공식!$EF$16:$EF$301,MATCH(E15,환산공식!$A$16:$A$301,0)),3),"")</f>
        <v>0</v>
      </c>
      <c r="P15" s="119">
        <f>IFERROR(ROUND(INDEX('배치점수 계산기'!M$11:M$1000,MATCH($C15,'배치점수 계산기'!$U$11:$U$1000,0)),2),"")</f>
        <v>853.8</v>
      </c>
      <c r="Q15" s="41">
        <f>IFERROR(ROUND(INDEX('배치점수 계산기'!N$11:N$1000,MATCH($C15,'배치점수 계산기'!$U$11:$U$1000,0)),2),"")</f>
        <v>852.7</v>
      </c>
      <c r="R15" s="41">
        <f>IFERROR(ROUND(INDEX('배치점수 계산기'!O$11:O$1000,MATCH($C15,'배치점수 계산기'!$U$11:$U$1000,0)),2),"")</f>
        <v>845.9</v>
      </c>
      <c r="S15" s="41">
        <f>IFERROR(ROUND(INDEX('배치점수 계산기'!P$11:P$1000,MATCH($C15,'배치점수 계산기'!$U$11:$U$1000,0)),2),"")</f>
        <v>838.5</v>
      </c>
      <c r="T15" s="41">
        <f>IFERROR(ROUND(INDEX('배치점수 계산기'!Q$11:Q$1000,MATCH($C15,'배치점수 계산기'!$U$11:$U$1000,0)),2),"")</f>
        <v>832.9</v>
      </c>
      <c r="U15" s="41">
        <f>IFERROR(INDEX(환산공식!$DC$16:$DC$301,MATCH(E15,환산공식!$A$16:$A$301,0)),"")</f>
        <v>0</v>
      </c>
      <c r="V15" s="113">
        <f t="shared" si="2"/>
        <v>6</v>
      </c>
      <c r="W15" s="110" t="str">
        <f>INDEX('배치점수 계산기'!$AG$11:$AG$800,MATCH('  숭실.국민.인하  '!$C15,'배치점수 계산기'!$U$11:$U$800,0))</f>
        <v>백분위</v>
      </c>
      <c r="X15" s="108" t="str">
        <f>INDEX('배치점수 계산기'!$AH$11:$AH$800,MATCH('  숭실.국민.인하  '!$C15,'배치점수 계산기'!$U$11:$U$800,0))</f>
        <v>백분위</v>
      </c>
      <c r="Y15" s="113">
        <f>INDEX('배치점수 계산기'!$AB$11:$AB$800,MATCH('  숭실.국민.인하  '!$C15,'배치점수 계산기'!$U$11:$U$800,0))</f>
        <v>0.375</v>
      </c>
      <c r="Z15" s="73">
        <f>INDEX('배치점수 계산기'!$AC$11:$AC$800,MATCH('  숭실.국민.인하  '!$C15,'배치점수 계산기'!$U$11:$U$800,0))</f>
        <v>0.25</v>
      </c>
      <c r="AA15" s="63">
        <f>INDEX('배치점수 계산기'!$AD$11:$AD$800,MATCH('  숭실.국민.인하  '!$C15,'배치점수 계산기'!$U$11:$U$800,0))</f>
        <v>0.375</v>
      </c>
      <c r="AE15" s="7">
        <v>8</v>
      </c>
    </row>
    <row r="16" spans="2:31" x14ac:dyDescent="0.3">
      <c r="C16" s="7" t="s">
        <v>1580</v>
      </c>
      <c r="D16" s="41" t="s">
        <v>1578</v>
      </c>
      <c r="E16" s="41">
        <v>55</v>
      </c>
      <c r="F16" s="113" t="s">
        <v>833</v>
      </c>
      <c r="G16" s="41" t="s">
        <v>841</v>
      </c>
      <c r="H16" s="41" t="s">
        <v>840</v>
      </c>
      <c r="I16" s="41" t="s">
        <v>275</v>
      </c>
      <c r="J16" s="41" t="str">
        <f t="shared" si="0"/>
        <v>X</v>
      </c>
      <c r="K16" s="113">
        <f>IFERROR(INDEX(환산공식!CI$16:CI$301,MATCH($E16,환산공식!$A$16:$A$301,0)),"")</f>
        <v>200</v>
      </c>
      <c r="L16" s="41" t="str">
        <f>IFERROR(CONCATENATE(ROUND(INDEX(환산공식!CJ$16:CJ$301,MATCH(E16,환산공식!$A$16:$A$301,0)),1),"%"),"")</f>
        <v>100%</v>
      </c>
      <c r="M16" s="41">
        <f>IFERROR(INDEX(환산공식!CK$16:CK$301,MATCH(E16,환산공식!$A$16:$A$301,0)),"")</f>
        <v>0</v>
      </c>
      <c r="N16" s="113" t="str">
        <f t="shared" si="1"/>
        <v>1% 이하</v>
      </c>
      <c r="O16" s="119">
        <f>IFERROR(ROUND(INDEX(환산공식!$EF$16:$EF$301,MATCH(E16,환산공식!$A$16:$A$301,0)),3),"")</f>
        <v>0</v>
      </c>
      <c r="P16" s="119">
        <f>IFERROR(ROUND(INDEX('배치점수 계산기'!M$11:M$1000,MATCH($C16,'배치점수 계산기'!$U$11:$U$1000,0)),2),"")</f>
        <v>846.9</v>
      </c>
      <c r="Q16" s="41">
        <f>IFERROR(ROUND(INDEX('배치점수 계산기'!N$11:N$1000,MATCH($C16,'배치점수 계산기'!$U$11:$U$1000,0)),2),"")</f>
        <v>843</v>
      </c>
      <c r="R16" s="41">
        <f>IFERROR(ROUND(INDEX('배치점수 계산기'!O$11:O$1000,MATCH($C16,'배치점수 계산기'!$U$11:$U$1000,0)),2),"")</f>
        <v>834.7</v>
      </c>
      <c r="S16" s="41">
        <f>IFERROR(ROUND(INDEX('배치점수 계산기'!P$11:P$1000,MATCH($C16,'배치점수 계산기'!$U$11:$U$1000,0)),2),"")</f>
        <v>828.7</v>
      </c>
      <c r="T16" s="41">
        <f>IFERROR(ROUND(INDEX('배치점수 계산기'!Q$11:Q$1000,MATCH($C16,'배치점수 계산기'!$U$11:$U$1000,0)),2),"")</f>
        <v>813.6</v>
      </c>
      <c r="U16" s="41">
        <f>IFERROR(INDEX(환산공식!$DC$16:$DC$301,MATCH(E16,환산공식!$A$16:$A$301,0)),"")</f>
        <v>0</v>
      </c>
      <c r="V16" s="113">
        <f t="shared" si="2"/>
        <v>6</v>
      </c>
      <c r="W16" s="110" t="str">
        <f>INDEX('배치점수 계산기'!$AG$11:$AG$800,MATCH('  숭실.국민.인하  '!$C16,'배치점수 계산기'!$U$11:$U$800,0))</f>
        <v>백분위</v>
      </c>
      <c r="X16" s="108" t="str">
        <f>INDEX('배치점수 계산기'!$AH$11:$AH$800,MATCH('  숭실.국민.인하  '!$C16,'배치점수 계산기'!$U$11:$U$800,0))</f>
        <v>백분위</v>
      </c>
      <c r="Y16" s="113">
        <f>INDEX('배치점수 계산기'!$AB$11:$AB$800,MATCH('  숭실.국민.인하  '!$C16,'배치점수 계산기'!$U$11:$U$800,0))</f>
        <v>0.375</v>
      </c>
      <c r="Z16" s="73">
        <f>INDEX('배치점수 계산기'!$AC$11:$AC$800,MATCH('  숭실.국민.인하  '!$C16,'배치점수 계산기'!$U$11:$U$800,0))</f>
        <v>0.25</v>
      </c>
      <c r="AA16" s="63">
        <f>INDEX('배치점수 계산기'!$AD$11:$AD$800,MATCH('  숭실.국민.인하  '!$C16,'배치점수 계산기'!$U$11:$U$800,0))</f>
        <v>0.375</v>
      </c>
      <c r="AE16" s="7">
        <v>9</v>
      </c>
    </row>
    <row r="17" spans="3:31" x14ac:dyDescent="0.3">
      <c r="C17" s="7" t="s">
        <v>1581</v>
      </c>
      <c r="D17" s="41" t="s">
        <v>1535</v>
      </c>
      <c r="E17" s="41">
        <v>117</v>
      </c>
      <c r="F17" s="113" t="s">
        <v>833</v>
      </c>
      <c r="G17" s="41" t="s">
        <v>843</v>
      </c>
      <c r="H17" s="41" t="s">
        <v>835</v>
      </c>
      <c r="I17" s="41" t="s">
        <v>274</v>
      </c>
      <c r="J17" s="41" t="str">
        <f t="shared" si="0"/>
        <v>X</v>
      </c>
      <c r="K17" s="113">
        <f>IFERROR(INDEX(환산공식!CI$16:CI$301,MATCH($E17,환산공식!$A$16:$A$301,0)),"")</f>
        <v>200</v>
      </c>
      <c r="L17" s="41" t="str">
        <f>IFERROR(CONCATENATE(ROUND(INDEX(환산공식!CJ$16:CJ$301,MATCH(E17,환산공식!$A$16:$A$301,0)),1),"%"),"")</f>
        <v>100%</v>
      </c>
      <c r="M17" s="41">
        <f>IFERROR(INDEX(환산공식!CK$16:CK$301,MATCH(E17,환산공식!$A$16:$A$301,0)),"")</f>
        <v>50</v>
      </c>
      <c r="N17" s="113" t="str">
        <f t="shared" si="1"/>
        <v>1% 이하</v>
      </c>
      <c r="O17" s="119">
        <f>IFERROR(ROUND(INDEX(환산공식!$EF$16:$EF$301,MATCH(E17,환산공식!$A$16:$A$301,0)),3),"")</f>
        <v>0</v>
      </c>
      <c r="P17" s="119">
        <f>IFERROR(ROUND(INDEX('배치점수 계산기'!M$11:M$1000,MATCH($C17,'배치점수 계산기'!$U$11:$U$1000,0)),2),"")</f>
        <v>878.39</v>
      </c>
      <c r="Q17" s="41">
        <f>IFERROR(ROUND(INDEX('배치점수 계산기'!N$11:N$1000,MATCH($C17,'배치점수 계산기'!$U$11:$U$1000,0)),2),"")</f>
        <v>875.31</v>
      </c>
      <c r="R17" s="41">
        <f>IFERROR(ROUND(INDEX('배치점수 계산기'!O$11:O$1000,MATCH($C17,'배치점수 계산기'!$U$11:$U$1000,0)),2),"")</f>
        <v>873.22</v>
      </c>
      <c r="S17" s="41">
        <f>IFERROR(ROUND(INDEX('배치점수 계산기'!P$11:P$1000,MATCH($C17,'배치점수 계산기'!$U$11:$U$1000,0)),2),"")</f>
        <v>869.19</v>
      </c>
      <c r="T17" s="41">
        <f>IFERROR(ROUND(INDEX('배치점수 계산기'!Q$11:Q$1000,MATCH($C17,'배치점수 계산기'!$U$11:$U$1000,0)),2),"")</f>
        <v>865.44</v>
      </c>
      <c r="U17" s="41">
        <f>IFERROR(INDEX(환산공식!$DC$16:$DC$301,MATCH(E17,환산공식!$A$16:$A$301,0)),"")</f>
        <v>0</v>
      </c>
      <c r="V17" s="113">
        <f t="shared" si="2"/>
        <v>6</v>
      </c>
      <c r="W17" s="110" t="str">
        <f>INDEX('배치점수 계산기'!$AG$11:$AG$800,MATCH('  숭실.국민.인하  '!$C17,'배치점수 계산기'!$U$11:$U$800,0))</f>
        <v>표점/만점</v>
      </c>
      <c r="X17" s="108" t="str">
        <f>INDEX('배치점수 계산기'!$AH$11:$AH$800,MATCH('  숭실.국민.인하  '!$C17,'배치점수 계산기'!$U$11:$U$800,0))</f>
        <v>변표/만점</v>
      </c>
      <c r="Y17" s="113">
        <f>INDEX('배치점수 계산기'!$AB$11:$AB$800,MATCH('  숭실.국민.인하  '!$C17,'배치점수 계산기'!$U$11:$U$800,0))</f>
        <v>0.26112178296153338</v>
      </c>
      <c r="Z17" s="73">
        <f>INDEX('배치점수 계산기'!$AC$11:$AC$800,MATCH('  숭실.국민.인하  '!$C17,'배치점수 계산기'!$U$11:$U$800,0))</f>
        <v>0.39701169042110684</v>
      </c>
      <c r="AA17" s="63">
        <f>INDEX('배치점수 계산기'!$AD$11:$AD$800,MATCH('  숭실.국민.인하  '!$C17,'배치점수 계산기'!$U$11:$U$800,0))</f>
        <v>0.34186652661735972</v>
      </c>
      <c r="AE17" s="7">
        <v>10</v>
      </c>
    </row>
    <row r="18" spans="3:31" x14ac:dyDescent="0.3">
      <c r="C18" s="7" t="s">
        <v>1582</v>
      </c>
      <c r="D18" s="41" t="s">
        <v>1535</v>
      </c>
      <c r="E18" s="41">
        <v>117</v>
      </c>
      <c r="F18" s="113" t="s">
        <v>833</v>
      </c>
      <c r="G18" s="41" t="s">
        <v>843</v>
      </c>
      <c r="H18" s="41" t="s">
        <v>836</v>
      </c>
      <c r="I18" s="41" t="s">
        <v>274</v>
      </c>
      <c r="J18" s="41" t="str">
        <f t="shared" si="0"/>
        <v>X</v>
      </c>
      <c r="K18" s="113">
        <f>IFERROR(INDEX(환산공식!CI$16:CI$301,MATCH($E18,환산공식!$A$16:$A$301,0)),"")</f>
        <v>200</v>
      </c>
      <c r="L18" s="41" t="str">
        <f>IFERROR(CONCATENATE(ROUND(INDEX(환산공식!CJ$16:CJ$301,MATCH(E18,환산공식!$A$16:$A$301,0)),1),"%"),"")</f>
        <v>100%</v>
      </c>
      <c r="M18" s="41">
        <f>IFERROR(INDEX(환산공식!CK$16:CK$301,MATCH(E18,환산공식!$A$16:$A$301,0)),"")</f>
        <v>50</v>
      </c>
      <c r="N18" s="113" t="str">
        <f t="shared" si="1"/>
        <v>1% 이하</v>
      </c>
      <c r="O18" s="119">
        <f>IFERROR(ROUND(INDEX(환산공식!$EF$16:$EF$301,MATCH(E18,환산공식!$A$16:$A$301,0)),3),"")</f>
        <v>0</v>
      </c>
      <c r="P18" s="119">
        <f>IFERROR(ROUND(INDEX('배치점수 계산기'!M$11:M$1000,MATCH($C18,'배치점수 계산기'!$U$11:$U$1000,0)),2),"")</f>
        <v>868.99</v>
      </c>
      <c r="Q18" s="41">
        <f>IFERROR(ROUND(INDEX('배치점수 계산기'!N$11:N$1000,MATCH($C18,'배치점수 계산기'!$U$11:$U$1000,0)),2),"")</f>
        <v>865.24</v>
      </c>
      <c r="R18" s="41">
        <f>IFERROR(ROUND(INDEX('배치점수 계산기'!O$11:O$1000,MATCH($C18,'배치점수 계산기'!$U$11:$U$1000,0)),2),"")</f>
        <v>862.18</v>
      </c>
      <c r="S18" s="41">
        <f>IFERROR(ROUND(INDEX('배치점수 계산기'!P$11:P$1000,MATCH($C18,'배치점수 계산기'!$U$11:$U$1000,0)),2),"")</f>
        <v>859.02</v>
      </c>
      <c r="T18" s="41">
        <f>IFERROR(ROUND(INDEX('배치점수 계산기'!Q$11:Q$1000,MATCH($C18,'배치점수 계산기'!$U$11:$U$1000,0)),2),"")</f>
        <v>856.16</v>
      </c>
      <c r="U18" s="41">
        <f>IFERROR(INDEX(환산공식!$DC$16:$DC$301,MATCH(E18,환산공식!$A$16:$A$301,0)),"")</f>
        <v>0</v>
      </c>
      <c r="V18" s="113">
        <f t="shared" si="2"/>
        <v>6</v>
      </c>
      <c r="W18" s="110" t="str">
        <f>INDEX('배치점수 계산기'!$AG$11:$AG$800,MATCH('  숭실.국민.인하  '!$C18,'배치점수 계산기'!$U$11:$U$800,0))</f>
        <v>표점/만점</v>
      </c>
      <c r="X18" s="108" t="str">
        <f>INDEX('배치점수 계산기'!$AH$11:$AH$800,MATCH('  숭실.국민.인하  '!$C18,'배치점수 계산기'!$U$11:$U$800,0))</f>
        <v>변표/만점</v>
      </c>
      <c r="Y18" s="113">
        <f>INDEX('배치점수 계산기'!$AB$11:$AB$800,MATCH('  숭실.국민.인하  '!$C18,'배치점수 계산기'!$U$11:$U$800,0))</f>
        <v>0.26112178296153338</v>
      </c>
      <c r="Z18" s="73">
        <f>INDEX('배치점수 계산기'!$AC$11:$AC$800,MATCH('  숭실.국민.인하  '!$C18,'배치점수 계산기'!$U$11:$U$800,0))</f>
        <v>0.39701169042110684</v>
      </c>
      <c r="AA18" s="63">
        <f>INDEX('배치점수 계산기'!$AD$11:$AD$800,MATCH('  숭실.국민.인하  '!$C18,'배치점수 계산기'!$U$11:$U$800,0))</f>
        <v>0.34186652661735972</v>
      </c>
      <c r="AE18" s="7">
        <v>11</v>
      </c>
    </row>
    <row r="19" spans="3:31" x14ac:dyDescent="0.3">
      <c r="C19" s="7" t="s">
        <v>1583</v>
      </c>
      <c r="D19" s="41" t="s">
        <v>1535</v>
      </c>
      <c r="E19" s="41">
        <v>117</v>
      </c>
      <c r="F19" s="113" t="s">
        <v>833</v>
      </c>
      <c r="G19" s="41" t="s">
        <v>843</v>
      </c>
      <c r="H19" s="41" t="s">
        <v>837</v>
      </c>
      <c r="I19" s="41" t="s">
        <v>274</v>
      </c>
      <c r="J19" s="41" t="str">
        <f t="shared" si="0"/>
        <v>X</v>
      </c>
      <c r="K19" s="113">
        <f>IFERROR(INDEX(환산공식!CI$16:CI$301,MATCH($E19,환산공식!$A$16:$A$301,0)),"")</f>
        <v>200</v>
      </c>
      <c r="L19" s="41" t="str">
        <f>IFERROR(CONCATENATE(ROUND(INDEX(환산공식!CJ$16:CJ$301,MATCH(E19,환산공식!$A$16:$A$301,0)),1),"%"),"")</f>
        <v>100%</v>
      </c>
      <c r="M19" s="41">
        <f>IFERROR(INDEX(환산공식!CK$16:CK$301,MATCH(E19,환산공식!$A$16:$A$301,0)),"")</f>
        <v>50</v>
      </c>
      <c r="N19" s="113" t="str">
        <f t="shared" si="1"/>
        <v>1% 이하</v>
      </c>
      <c r="O19" s="119">
        <f>IFERROR(ROUND(INDEX(환산공식!$EF$16:$EF$301,MATCH(E19,환산공식!$A$16:$A$301,0)),3),"")</f>
        <v>0</v>
      </c>
      <c r="P19" s="119">
        <f>IFERROR(ROUND(INDEX('배치점수 계산기'!M$11:M$1000,MATCH($C19,'배치점수 계산기'!$U$11:$U$1000,0)),2),"")</f>
        <v>860.16</v>
      </c>
      <c r="Q19" s="41">
        <f>IFERROR(ROUND(INDEX('배치점수 계산기'!N$11:N$1000,MATCH($C19,'배치점수 계산기'!$U$11:$U$1000,0)),2),"")</f>
        <v>857.26</v>
      </c>
      <c r="R19" s="41">
        <f>IFERROR(ROUND(INDEX('배치점수 계산기'!O$11:O$1000,MATCH($C19,'배치점수 계산기'!$U$11:$U$1000,0)),2),"")</f>
        <v>854.42</v>
      </c>
      <c r="S19" s="41">
        <f>IFERROR(ROUND(INDEX('배치점수 계산기'!P$11:P$1000,MATCH($C19,'배치점수 계산기'!$U$11:$U$1000,0)),2),"")</f>
        <v>850.67</v>
      </c>
      <c r="T19" s="41">
        <f>IFERROR(ROUND(INDEX('배치점수 계산기'!Q$11:Q$1000,MATCH($C19,'배치점수 계산기'!$U$11:$U$1000,0)),2),"")</f>
        <v>845.23</v>
      </c>
      <c r="U19" s="41">
        <f>IFERROR(INDEX(환산공식!$DC$16:$DC$301,MATCH(E19,환산공식!$A$16:$A$301,0)),"")</f>
        <v>0</v>
      </c>
      <c r="V19" s="113">
        <f t="shared" si="2"/>
        <v>6</v>
      </c>
      <c r="W19" s="110" t="str">
        <f>INDEX('배치점수 계산기'!$AG$11:$AG$800,MATCH('  숭실.국민.인하  '!$C19,'배치점수 계산기'!$U$11:$U$800,0))</f>
        <v>표점/만점</v>
      </c>
      <c r="X19" s="108" t="str">
        <f>INDEX('배치점수 계산기'!$AH$11:$AH$800,MATCH('  숭실.국민.인하  '!$C19,'배치점수 계산기'!$U$11:$U$800,0))</f>
        <v>변표/만점</v>
      </c>
      <c r="Y19" s="113">
        <f>INDEX('배치점수 계산기'!$AB$11:$AB$800,MATCH('  숭실.국민.인하  '!$C19,'배치점수 계산기'!$U$11:$U$800,0))</f>
        <v>0.26112178296153338</v>
      </c>
      <c r="Z19" s="73">
        <f>INDEX('배치점수 계산기'!$AC$11:$AC$800,MATCH('  숭실.국민.인하  '!$C19,'배치점수 계산기'!$U$11:$U$800,0))</f>
        <v>0.39701169042110684</v>
      </c>
      <c r="AA19" s="63">
        <f>INDEX('배치점수 계산기'!$AD$11:$AD$800,MATCH('  숭실.국민.인하  '!$C19,'배치점수 계산기'!$U$11:$U$800,0))</f>
        <v>0.34186652661735972</v>
      </c>
      <c r="AE19" s="7">
        <v>12</v>
      </c>
    </row>
    <row r="20" spans="3:31" x14ac:dyDescent="0.3">
      <c r="O20" s="119"/>
      <c r="P20" s="119"/>
      <c r="W20" s="110"/>
      <c r="Y20" s="113"/>
      <c r="Z20" s="73"/>
      <c r="AA20" s="63"/>
    </row>
    <row r="21" spans="3:31" x14ac:dyDescent="0.3">
      <c r="O21" s="119"/>
      <c r="P21" s="119"/>
      <c r="W21" s="110"/>
      <c r="Y21" s="113"/>
      <c r="Z21" s="73"/>
      <c r="AA21" s="63"/>
    </row>
    <row r="22" spans="3:31" x14ac:dyDescent="0.3">
      <c r="O22" s="119"/>
      <c r="P22" s="119"/>
      <c r="W22" s="110"/>
      <c r="Y22" s="113"/>
      <c r="Z22" s="73"/>
      <c r="AA22" s="63"/>
    </row>
    <row r="23" spans="3:31" x14ac:dyDescent="0.3">
      <c r="O23" s="119"/>
      <c r="P23" s="119"/>
      <c r="W23" s="110"/>
      <c r="Y23" s="113"/>
      <c r="Z23" s="73"/>
      <c r="AA23" s="63"/>
    </row>
    <row r="24" spans="3:31" x14ac:dyDescent="0.3">
      <c r="O24" s="119"/>
      <c r="P24" s="119"/>
      <c r="W24" s="110"/>
      <c r="Y24" s="113"/>
      <c r="Z24" s="73"/>
      <c r="AA24" s="63"/>
    </row>
    <row r="25" spans="3:31" x14ac:dyDescent="0.3">
      <c r="O25" s="119"/>
      <c r="P25" s="119"/>
      <c r="W25" s="110"/>
      <c r="Y25" s="113"/>
      <c r="Z25" s="73"/>
      <c r="AA25" s="63"/>
    </row>
    <row r="26" spans="3:31" x14ac:dyDescent="0.3">
      <c r="O26" s="119"/>
      <c r="P26" s="119"/>
      <c r="W26" s="110"/>
      <c r="Y26" s="113"/>
      <c r="Z26" s="73"/>
      <c r="AA26" s="63"/>
    </row>
    <row r="27" spans="3:31" x14ac:dyDescent="0.3">
      <c r="O27" s="119"/>
      <c r="P27" s="119"/>
      <c r="W27" s="110"/>
      <c r="Y27" s="113"/>
      <c r="Z27" s="73"/>
      <c r="AA27" s="63"/>
    </row>
    <row r="28" spans="3:31" x14ac:dyDescent="0.3">
      <c r="O28" s="119"/>
      <c r="P28" s="119"/>
      <c r="W28" s="110"/>
      <c r="Y28" s="113"/>
      <c r="Z28" s="73"/>
      <c r="AA28" s="63"/>
    </row>
    <row r="29" spans="3:31" x14ac:dyDescent="0.3">
      <c r="O29" s="119"/>
      <c r="P29" s="119"/>
      <c r="W29" s="110"/>
      <c r="Y29" s="113"/>
      <c r="Z29" s="73"/>
      <c r="AA29" s="63"/>
    </row>
    <row r="30" spans="3:31" x14ac:dyDescent="0.3">
      <c r="O30" s="119"/>
      <c r="P30" s="119"/>
      <c r="W30" s="110"/>
      <c r="Y30" s="113"/>
      <c r="Z30" s="73"/>
      <c r="AA30" s="63"/>
    </row>
    <row r="31" spans="3:31" x14ac:dyDescent="0.3">
      <c r="O31" s="119"/>
      <c r="P31" s="119"/>
      <c r="W31" s="110"/>
      <c r="Y31" s="113"/>
      <c r="Z31" s="73"/>
      <c r="AA31" s="63"/>
    </row>
    <row r="32" spans="3:31" x14ac:dyDescent="0.3">
      <c r="O32" s="119"/>
      <c r="P32" s="119"/>
      <c r="W32" s="110"/>
      <c r="Y32" s="113"/>
      <c r="Z32" s="73"/>
      <c r="AA32" s="63"/>
    </row>
    <row r="33" spans="15:27" x14ac:dyDescent="0.3">
      <c r="O33" s="119"/>
      <c r="P33" s="119"/>
      <c r="W33" s="110"/>
      <c r="Y33" s="113"/>
      <c r="Z33" s="73"/>
      <c r="AA33" s="63"/>
    </row>
    <row r="34" spans="15:27" x14ac:dyDescent="0.3">
      <c r="O34" s="119"/>
      <c r="P34" s="119"/>
      <c r="W34" s="110"/>
      <c r="Y34" s="113"/>
      <c r="Z34" s="73"/>
      <c r="AA34" s="63"/>
    </row>
    <row r="35" spans="15:27" x14ac:dyDescent="0.3">
      <c r="O35" s="119"/>
      <c r="P35" s="119"/>
      <c r="W35" s="110"/>
      <c r="Y35" s="113"/>
      <c r="Z35" s="73"/>
      <c r="AA35" s="63"/>
    </row>
    <row r="36" spans="15:27" x14ac:dyDescent="0.3">
      <c r="O36" s="119"/>
      <c r="P36" s="119"/>
      <c r="W36" s="110"/>
      <c r="Y36" s="113"/>
      <c r="Z36" s="73"/>
      <c r="AA36" s="63"/>
    </row>
    <row r="37" spans="15:27" x14ac:dyDescent="0.3">
      <c r="O37" s="119"/>
      <c r="P37" s="119"/>
      <c r="W37" s="110"/>
      <c r="Y37" s="113"/>
      <c r="Z37" s="73"/>
      <c r="AA37" s="63"/>
    </row>
    <row r="38" spans="15:27" x14ac:dyDescent="0.3">
      <c r="O38" s="119"/>
      <c r="P38" s="119"/>
      <c r="W38" s="110"/>
      <c r="Y38" s="113"/>
      <c r="Z38" s="73"/>
      <c r="AA38" s="63"/>
    </row>
    <row r="39" spans="15:27" x14ac:dyDescent="0.3">
      <c r="O39" s="119"/>
      <c r="P39" s="119"/>
      <c r="W39" s="110"/>
      <c r="Y39" s="113"/>
      <c r="Z39" s="73"/>
      <c r="AA39" s="63"/>
    </row>
    <row r="40" spans="15:27" x14ac:dyDescent="0.3">
      <c r="O40" s="119"/>
      <c r="P40" s="119"/>
      <c r="W40" s="110"/>
      <c r="Y40" s="113"/>
      <c r="Z40" s="73"/>
      <c r="AA40" s="63"/>
    </row>
    <row r="41" spans="15:27" x14ac:dyDescent="0.3">
      <c r="O41" s="119"/>
      <c r="P41" s="119"/>
      <c r="W41" s="110"/>
      <c r="Y41" s="113"/>
      <c r="Z41" s="73"/>
      <c r="AA41" s="63"/>
    </row>
    <row r="42" spans="15:27" x14ac:dyDescent="0.3">
      <c r="O42" s="119"/>
      <c r="P42" s="119"/>
      <c r="W42" s="110"/>
      <c r="Y42" s="113"/>
      <c r="Z42" s="73"/>
      <c r="AA42" s="63"/>
    </row>
    <row r="43" spans="15:27" x14ac:dyDescent="0.3">
      <c r="O43" s="119"/>
      <c r="P43" s="119"/>
      <c r="W43" s="110"/>
      <c r="Y43" s="113"/>
      <c r="Z43" s="73"/>
      <c r="AA43" s="63"/>
    </row>
    <row r="44" spans="15:27" x14ac:dyDescent="0.3">
      <c r="O44" s="119"/>
      <c r="P44" s="119"/>
      <c r="W44" s="110"/>
      <c r="Y44" s="113"/>
      <c r="Z44" s="73"/>
      <c r="AA44" s="63"/>
    </row>
    <row r="45" spans="15:27" x14ac:dyDescent="0.3">
      <c r="O45" s="119"/>
      <c r="P45" s="119"/>
      <c r="W45" s="110"/>
      <c r="Y45" s="113"/>
      <c r="Z45" s="73"/>
      <c r="AA45" s="63"/>
    </row>
    <row r="46" spans="15:27" x14ac:dyDescent="0.3">
      <c r="O46" s="119"/>
      <c r="P46" s="119"/>
      <c r="W46" s="110"/>
      <c r="Y46" s="113"/>
      <c r="Z46" s="73"/>
      <c r="AA46" s="63"/>
    </row>
    <row r="47" spans="15:27" x14ac:dyDescent="0.3">
      <c r="O47" s="119"/>
      <c r="P47" s="119"/>
      <c r="W47" s="110"/>
      <c r="Y47" s="113"/>
      <c r="Z47" s="73"/>
      <c r="AA47" s="63"/>
    </row>
    <row r="48" spans="15:27" x14ac:dyDescent="0.3">
      <c r="O48" s="119"/>
      <c r="P48" s="119"/>
      <c r="W48" s="110"/>
      <c r="Y48" s="113"/>
      <c r="Z48" s="73"/>
      <c r="AA48" s="63"/>
    </row>
    <row r="49" spans="15:27" x14ac:dyDescent="0.3">
      <c r="O49" s="119"/>
      <c r="P49" s="119"/>
      <c r="W49" s="110"/>
      <c r="Y49" s="113"/>
      <c r="Z49" s="73"/>
      <c r="AA49" s="63"/>
    </row>
    <row r="50" spans="15:27" x14ac:dyDescent="0.3">
      <c r="O50" s="119"/>
      <c r="P50" s="119"/>
      <c r="W50" s="110"/>
      <c r="Y50" s="113"/>
      <c r="Z50" s="73"/>
      <c r="AA50" s="63"/>
    </row>
    <row r="51" spans="15:27" x14ac:dyDescent="0.3">
      <c r="O51" s="119"/>
      <c r="P51" s="119"/>
      <c r="W51" s="110"/>
      <c r="Y51" s="113"/>
      <c r="Z51" s="73"/>
      <c r="AA51" s="63"/>
    </row>
    <row r="52" spans="15:27" x14ac:dyDescent="0.3">
      <c r="O52" s="119"/>
      <c r="P52" s="119"/>
      <c r="W52" s="110"/>
      <c r="Y52" s="113"/>
      <c r="Z52" s="73"/>
      <c r="AA52" s="63"/>
    </row>
    <row r="53" spans="15:27" x14ac:dyDescent="0.3">
      <c r="O53" s="119"/>
      <c r="P53" s="119"/>
      <c r="W53" s="110"/>
      <c r="Y53" s="113"/>
      <c r="Z53" s="73"/>
      <c r="AA53" s="63"/>
    </row>
    <row r="54" spans="15:27" x14ac:dyDescent="0.3">
      <c r="O54" s="119"/>
      <c r="P54" s="119"/>
      <c r="W54" s="110"/>
      <c r="Y54" s="113"/>
      <c r="Z54" s="73"/>
      <c r="AA54" s="63"/>
    </row>
    <row r="55" spans="15:27" x14ac:dyDescent="0.3">
      <c r="O55" s="119"/>
      <c r="P55" s="119"/>
      <c r="W55" s="110"/>
      <c r="Y55" s="113"/>
      <c r="Z55" s="73"/>
      <c r="AA55" s="63"/>
    </row>
    <row r="56" spans="15:27" x14ac:dyDescent="0.3">
      <c r="O56" s="119"/>
      <c r="P56" s="119"/>
      <c r="W56" s="110"/>
      <c r="Y56" s="113"/>
      <c r="Z56" s="73"/>
      <c r="AA56" s="63"/>
    </row>
    <row r="57" spans="15:27" x14ac:dyDescent="0.3">
      <c r="O57" s="119"/>
      <c r="P57" s="119"/>
      <c r="W57" s="110"/>
      <c r="Y57" s="113"/>
      <c r="Z57" s="73"/>
      <c r="AA57" s="63"/>
    </row>
    <row r="58" spans="15:27" x14ac:dyDescent="0.3">
      <c r="O58" s="119"/>
      <c r="P58" s="119"/>
      <c r="W58" s="110"/>
      <c r="Y58" s="113"/>
      <c r="Z58" s="73"/>
      <c r="AA58" s="63"/>
    </row>
    <row r="59" spans="15:27" x14ac:dyDescent="0.3">
      <c r="O59" s="119"/>
      <c r="P59" s="119"/>
      <c r="W59" s="110"/>
      <c r="Y59" s="113"/>
      <c r="Z59" s="73"/>
      <c r="AA59" s="63"/>
    </row>
    <row r="60" spans="15:27" x14ac:dyDescent="0.3">
      <c r="O60" s="119"/>
      <c r="P60" s="119"/>
      <c r="W60" s="110"/>
      <c r="Y60" s="113"/>
      <c r="Z60" s="73"/>
      <c r="AA60" s="63"/>
    </row>
    <row r="61" spans="15:27" x14ac:dyDescent="0.3">
      <c r="O61" s="119"/>
      <c r="P61" s="119"/>
      <c r="W61" s="110"/>
      <c r="Y61" s="113"/>
      <c r="Z61" s="73"/>
      <c r="AA61" s="63"/>
    </row>
    <row r="62" spans="15:27" x14ac:dyDescent="0.3">
      <c r="O62" s="119"/>
      <c r="P62" s="119"/>
      <c r="W62" s="110"/>
      <c r="Y62" s="113"/>
      <c r="Z62" s="73"/>
      <c r="AA62" s="63"/>
    </row>
    <row r="63" spans="15:27" x14ac:dyDescent="0.3">
      <c r="O63" s="119"/>
      <c r="P63" s="119"/>
      <c r="W63" s="110"/>
      <c r="Y63" s="113"/>
      <c r="Z63" s="73"/>
      <c r="AA63" s="63"/>
    </row>
    <row r="64" spans="15:27" x14ac:dyDescent="0.3">
      <c r="O64" s="119"/>
      <c r="P64" s="119"/>
      <c r="W64" s="110"/>
      <c r="Y64" s="113"/>
      <c r="Z64" s="73"/>
      <c r="AA64" s="63"/>
    </row>
    <row r="65" spans="15:27" x14ac:dyDescent="0.3">
      <c r="O65" s="119"/>
      <c r="P65" s="119"/>
      <c r="W65" s="110"/>
      <c r="Y65" s="113"/>
      <c r="Z65" s="73"/>
      <c r="AA65" s="63"/>
    </row>
    <row r="66" spans="15:27" x14ac:dyDescent="0.3">
      <c r="O66" s="119"/>
      <c r="P66" s="119"/>
      <c r="W66" s="110"/>
      <c r="Y66" s="113"/>
      <c r="Z66" s="73"/>
      <c r="AA66" s="63"/>
    </row>
    <row r="67" spans="15:27" x14ac:dyDescent="0.3">
      <c r="O67" s="119"/>
      <c r="P67" s="119"/>
      <c r="W67" s="110"/>
      <c r="Y67" s="113"/>
      <c r="Z67" s="73"/>
      <c r="AA67" s="63"/>
    </row>
    <row r="68" spans="15:27" x14ac:dyDescent="0.3">
      <c r="O68" s="119"/>
      <c r="P68" s="119"/>
      <c r="W68" s="110"/>
      <c r="Y68" s="113"/>
      <c r="Z68" s="73"/>
      <c r="AA68" s="63"/>
    </row>
    <row r="69" spans="15:27" x14ac:dyDescent="0.3">
      <c r="O69" s="119"/>
      <c r="P69" s="119"/>
      <c r="W69" s="110"/>
      <c r="Y69" s="113"/>
      <c r="Z69" s="73"/>
      <c r="AA69" s="63"/>
    </row>
    <row r="70" spans="15:27" x14ac:dyDescent="0.3">
      <c r="O70" s="119"/>
      <c r="P70" s="119"/>
      <c r="W70" s="110"/>
      <c r="Y70" s="113"/>
      <c r="Z70" s="73"/>
      <c r="AA70" s="63"/>
    </row>
    <row r="71" spans="15:27" x14ac:dyDescent="0.3">
      <c r="O71" s="119"/>
      <c r="P71" s="119"/>
      <c r="W71" s="110"/>
      <c r="Y71" s="113"/>
      <c r="Z71" s="73"/>
      <c r="AA71" s="63"/>
    </row>
    <row r="72" spans="15:27" x14ac:dyDescent="0.3">
      <c r="O72" s="119"/>
      <c r="P72" s="119"/>
      <c r="W72" s="110"/>
      <c r="Y72" s="113"/>
      <c r="Z72" s="73"/>
      <c r="AA72" s="63"/>
    </row>
    <row r="73" spans="15:27" x14ac:dyDescent="0.3">
      <c r="O73" s="119"/>
      <c r="P73" s="119"/>
      <c r="W73" s="110"/>
      <c r="Y73" s="113"/>
      <c r="Z73" s="73"/>
      <c r="AA73" s="63"/>
    </row>
    <row r="74" spans="15:27" x14ac:dyDescent="0.3">
      <c r="O74" s="119"/>
      <c r="P74" s="119"/>
      <c r="W74" s="110"/>
      <c r="Y74" s="113"/>
      <c r="Z74" s="73"/>
      <c r="AA74" s="63"/>
    </row>
    <row r="75" spans="15:27" x14ac:dyDescent="0.3">
      <c r="O75" s="119"/>
      <c r="P75" s="119"/>
      <c r="W75" s="110"/>
      <c r="Y75" s="113"/>
      <c r="Z75" s="73"/>
      <c r="AA75" s="63"/>
    </row>
    <row r="76" spans="15:27" x14ac:dyDescent="0.3">
      <c r="O76" s="119"/>
      <c r="P76" s="119"/>
      <c r="W76" s="110"/>
      <c r="Y76" s="113"/>
      <c r="Z76" s="73"/>
      <c r="AA76" s="63"/>
    </row>
    <row r="77" spans="15:27" x14ac:dyDescent="0.3">
      <c r="O77" s="119"/>
      <c r="P77" s="119"/>
      <c r="W77" s="110"/>
      <c r="Y77" s="113"/>
      <c r="Z77" s="73"/>
      <c r="AA77" s="63"/>
    </row>
    <row r="78" spans="15:27" x14ac:dyDescent="0.3">
      <c r="O78" s="119"/>
      <c r="P78" s="119"/>
      <c r="W78" s="110"/>
      <c r="Y78" s="113"/>
      <c r="Z78" s="73"/>
      <c r="AA78" s="63"/>
    </row>
    <row r="79" spans="15:27" x14ac:dyDescent="0.3">
      <c r="O79" s="119"/>
      <c r="P79" s="119"/>
      <c r="W79" s="110"/>
      <c r="Y79" s="113"/>
      <c r="Z79" s="73"/>
      <c r="AA79" s="63"/>
    </row>
    <row r="80" spans="15:27" x14ac:dyDescent="0.3">
      <c r="O80" s="119"/>
      <c r="P80" s="119"/>
      <c r="W80" s="110"/>
      <c r="Y80" s="113"/>
      <c r="Z80" s="73"/>
      <c r="AA80" s="63"/>
    </row>
    <row r="81" spans="15:27" x14ac:dyDescent="0.3">
      <c r="O81" s="119"/>
      <c r="P81" s="119"/>
      <c r="W81" s="110"/>
      <c r="Y81" s="113"/>
      <c r="Z81" s="73"/>
      <c r="AA81" s="63"/>
    </row>
    <row r="82" spans="15:27" x14ac:dyDescent="0.3">
      <c r="O82" s="119"/>
      <c r="P82" s="119"/>
      <c r="W82" s="110"/>
      <c r="Y82" s="113"/>
      <c r="Z82" s="73"/>
      <c r="AA82" s="63"/>
    </row>
    <row r="83" spans="15:27" x14ac:dyDescent="0.3">
      <c r="O83" s="119"/>
      <c r="P83" s="119"/>
      <c r="W83" s="110"/>
      <c r="Y83" s="113"/>
      <c r="Z83" s="73"/>
      <c r="AA83" s="63"/>
    </row>
    <row r="84" spans="15:27" x14ac:dyDescent="0.3">
      <c r="O84" s="119"/>
      <c r="P84" s="119"/>
      <c r="W84" s="110"/>
      <c r="Y84" s="113"/>
      <c r="Z84" s="73"/>
      <c r="AA84" s="63"/>
    </row>
    <row r="85" spans="15:27" x14ac:dyDescent="0.3">
      <c r="O85" s="119"/>
      <c r="P85" s="119"/>
      <c r="W85" s="110"/>
      <c r="Y85" s="113"/>
      <c r="Z85" s="73"/>
      <c r="AA85" s="63"/>
    </row>
    <row r="86" spans="15:27" x14ac:dyDescent="0.3">
      <c r="O86" s="119"/>
      <c r="P86" s="119"/>
      <c r="W86" s="110"/>
      <c r="Y86" s="113"/>
      <c r="Z86" s="73"/>
      <c r="AA86" s="63"/>
    </row>
    <row r="87" spans="15:27" x14ac:dyDescent="0.3">
      <c r="O87" s="119"/>
      <c r="P87" s="119"/>
      <c r="W87" s="110"/>
      <c r="Y87" s="113"/>
      <c r="Z87" s="73"/>
      <c r="AA87" s="63"/>
    </row>
    <row r="88" spans="15:27" x14ac:dyDescent="0.3">
      <c r="O88" s="119"/>
      <c r="P88" s="119"/>
      <c r="W88" s="110"/>
      <c r="Y88" s="113"/>
      <c r="Z88" s="73"/>
      <c r="AA88" s="63"/>
    </row>
    <row r="89" spans="15:27" x14ac:dyDescent="0.3">
      <c r="O89" s="119"/>
      <c r="P89" s="119"/>
      <c r="W89" s="110"/>
      <c r="Y89" s="113"/>
      <c r="Z89" s="73"/>
      <c r="AA89" s="63"/>
    </row>
    <row r="90" spans="15:27" x14ac:dyDescent="0.3">
      <c r="O90" s="119"/>
      <c r="P90" s="119"/>
      <c r="W90" s="110"/>
      <c r="Y90" s="113"/>
      <c r="Z90" s="73"/>
      <c r="AA90" s="63"/>
    </row>
    <row r="91" spans="15:27" x14ac:dyDescent="0.3">
      <c r="O91" s="119"/>
      <c r="P91" s="119"/>
      <c r="W91" s="110"/>
      <c r="Y91" s="113"/>
      <c r="Z91" s="73"/>
      <c r="AA91" s="63"/>
    </row>
    <row r="92" spans="15:27" x14ac:dyDescent="0.3">
      <c r="O92" s="119"/>
      <c r="P92" s="119"/>
      <c r="W92" s="110"/>
      <c r="Y92" s="113"/>
      <c r="Z92" s="73"/>
      <c r="AA92" s="63"/>
    </row>
    <row r="93" spans="15:27" x14ac:dyDescent="0.3">
      <c r="O93" s="119"/>
      <c r="P93" s="119"/>
      <c r="W93" s="110"/>
      <c r="Y93" s="113"/>
      <c r="Z93" s="73"/>
      <c r="AA93" s="63"/>
    </row>
    <row r="94" spans="15:27" x14ac:dyDescent="0.3">
      <c r="O94" s="119"/>
      <c r="P94" s="119"/>
      <c r="W94" s="110"/>
      <c r="Y94" s="113"/>
      <c r="Z94" s="73"/>
      <c r="AA94" s="63"/>
    </row>
    <row r="95" spans="15:27" x14ac:dyDescent="0.3">
      <c r="O95" s="119"/>
      <c r="P95" s="119"/>
      <c r="W95" s="110"/>
      <c r="Y95" s="113"/>
      <c r="Z95" s="73"/>
      <c r="AA95" s="63"/>
    </row>
    <row r="96" spans="15:27" x14ac:dyDescent="0.3">
      <c r="O96" s="119"/>
      <c r="P96" s="119"/>
      <c r="W96" s="110"/>
      <c r="Y96" s="113"/>
      <c r="Z96" s="73"/>
      <c r="AA96" s="63"/>
    </row>
    <row r="97" spans="15:27" x14ac:dyDescent="0.3">
      <c r="O97" s="119"/>
      <c r="P97" s="119"/>
      <c r="W97" s="110"/>
      <c r="Y97" s="113"/>
      <c r="Z97" s="73"/>
      <c r="AA97" s="63"/>
    </row>
    <row r="98" spans="15:27" x14ac:dyDescent="0.3">
      <c r="O98" s="119"/>
      <c r="P98" s="119"/>
      <c r="W98" s="110"/>
      <c r="Y98" s="113"/>
      <c r="Z98" s="73"/>
      <c r="AA98" s="63"/>
    </row>
    <row r="99" spans="15:27" x14ac:dyDescent="0.3">
      <c r="O99" s="119"/>
      <c r="P99" s="119"/>
      <c r="W99" s="110"/>
      <c r="Y99" s="113"/>
      <c r="Z99" s="73"/>
      <c r="AA99" s="63"/>
    </row>
    <row r="100" spans="15:27" x14ac:dyDescent="0.3">
      <c r="O100" s="119"/>
      <c r="P100" s="119"/>
      <c r="W100" s="110"/>
      <c r="Y100" s="113"/>
      <c r="Z100" s="73"/>
      <c r="AA100" s="63"/>
    </row>
    <row r="101" spans="15:27" x14ac:dyDescent="0.3">
      <c r="O101" s="119"/>
      <c r="P101" s="119"/>
      <c r="W101" s="110"/>
      <c r="Y101" s="113"/>
      <c r="Z101" s="73"/>
      <c r="AA101" s="63"/>
    </row>
    <row r="102" spans="15:27" x14ac:dyDescent="0.3">
      <c r="O102" s="119"/>
      <c r="P102" s="119"/>
      <c r="W102" s="110"/>
      <c r="Y102" s="113"/>
      <c r="Z102" s="73"/>
      <c r="AA102" s="63"/>
    </row>
    <row r="103" spans="15:27" x14ac:dyDescent="0.3">
      <c r="O103" s="119"/>
      <c r="P103" s="119"/>
      <c r="W103" s="110"/>
      <c r="Y103" s="113"/>
      <c r="Z103" s="73"/>
      <c r="AA103" s="63"/>
    </row>
    <row r="104" spans="15:27" x14ac:dyDescent="0.3">
      <c r="O104" s="119"/>
      <c r="P104" s="119"/>
      <c r="W104" s="110"/>
      <c r="Y104" s="113"/>
      <c r="Z104" s="73"/>
      <c r="AA104" s="63"/>
    </row>
    <row r="105" spans="15:27" x14ac:dyDescent="0.3">
      <c r="O105" s="119"/>
      <c r="P105" s="119"/>
      <c r="W105" s="110"/>
      <c r="Y105" s="113"/>
      <c r="Z105" s="73"/>
      <c r="AA105" s="63"/>
    </row>
    <row r="106" spans="15:27" x14ac:dyDescent="0.3">
      <c r="O106" s="119"/>
      <c r="P106" s="119"/>
      <c r="W106" s="110"/>
      <c r="Y106" s="113"/>
      <c r="Z106" s="73"/>
      <c r="AA106" s="63"/>
    </row>
    <row r="107" spans="15:27" x14ac:dyDescent="0.3">
      <c r="O107" s="119"/>
      <c r="P107" s="119"/>
      <c r="W107" s="110"/>
      <c r="Y107" s="113"/>
      <c r="Z107" s="73"/>
      <c r="AA107" s="63"/>
    </row>
    <row r="108" spans="15:27" x14ac:dyDescent="0.3">
      <c r="O108" s="119"/>
      <c r="P108" s="119"/>
      <c r="W108" s="110"/>
      <c r="Y108" s="113"/>
      <c r="Z108" s="73"/>
      <c r="AA108" s="63"/>
    </row>
    <row r="109" spans="15:27" x14ac:dyDescent="0.3">
      <c r="O109" s="119"/>
      <c r="P109" s="119"/>
      <c r="W109" s="110"/>
      <c r="Y109" s="113"/>
      <c r="Z109" s="73"/>
      <c r="AA109" s="63"/>
    </row>
    <row r="110" spans="15:27" x14ac:dyDescent="0.3">
      <c r="O110" s="119"/>
      <c r="P110" s="119"/>
      <c r="W110" s="110"/>
      <c r="Y110" s="113"/>
      <c r="Z110" s="73"/>
      <c r="AA110" s="63"/>
    </row>
    <row r="111" spans="15:27" x14ac:dyDescent="0.3">
      <c r="O111" s="119"/>
      <c r="P111" s="119"/>
      <c r="W111" s="110"/>
      <c r="Y111" s="113"/>
      <c r="Z111" s="73"/>
      <c r="AA111" s="63"/>
    </row>
    <row r="112" spans="15:27" x14ac:dyDescent="0.3">
      <c r="O112" s="119"/>
      <c r="P112" s="119"/>
      <c r="W112" s="110"/>
      <c r="Y112" s="113"/>
      <c r="Z112" s="73"/>
      <c r="AA112" s="63"/>
    </row>
    <row r="113" spans="15:27" x14ac:dyDescent="0.3">
      <c r="O113" s="119"/>
      <c r="P113" s="119"/>
      <c r="W113" s="110"/>
      <c r="Y113" s="113"/>
      <c r="Z113" s="73"/>
      <c r="AA113" s="63"/>
    </row>
    <row r="114" spans="15:27" x14ac:dyDescent="0.3">
      <c r="O114" s="119"/>
      <c r="P114" s="119"/>
      <c r="W114" s="110"/>
      <c r="Y114" s="113"/>
      <c r="Z114" s="73"/>
      <c r="AA114" s="63"/>
    </row>
    <row r="115" spans="15:27" x14ac:dyDescent="0.3">
      <c r="O115" s="119"/>
      <c r="P115" s="119"/>
      <c r="W115" s="110"/>
      <c r="Y115" s="113"/>
      <c r="Z115" s="73"/>
      <c r="AA115" s="63"/>
    </row>
    <row r="116" spans="15:27" x14ac:dyDescent="0.3">
      <c r="O116" s="119"/>
      <c r="P116" s="119"/>
      <c r="W116" s="110"/>
      <c r="Y116" s="113"/>
      <c r="Z116" s="73"/>
      <c r="AA116" s="63"/>
    </row>
    <row r="117" spans="15:27" x14ac:dyDescent="0.3">
      <c r="O117" s="119"/>
      <c r="P117" s="119"/>
      <c r="W117" s="110"/>
      <c r="Y117" s="113"/>
      <c r="Z117" s="73"/>
      <c r="AA117" s="63"/>
    </row>
    <row r="118" spans="15:27" x14ac:dyDescent="0.3">
      <c r="O118" s="119"/>
      <c r="P118" s="119"/>
      <c r="W118" s="110"/>
      <c r="Y118" s="113"/>
      <c r="Z118" s="73"/>
      <c r="AA118" s="63"/>
    </row>
    <row r="119" spans="15:27" x14ac:dyDescent="0.3">
      <c r="O119" s="119"/>
      <c r="P119" s="119"/>
      <c r="W119" s="110"/>
      <c r="Y119" s="113"/>
      <c r="Z119" s="73"/>
      <c r="AA119" s="63"/>
    </row>
    <row r="120" spans="15:27" x14ac:dyDescent="0.3">
      <c r="O120" s="119"/>
      <c r="P120" s="119"/>
      <c r="W120" s="110"/>
      <c r="Y120" s="113"/>
      <c r="Z120" s="73"/>
      <c r="AA120" s="63"/>
    </row>
    <row r="121" spans="15:27" x14ac:dyDescent="0.3">
      <c r="O121" s="119"/>
      <c r="P121" s="119"/>
      <c r="W121" s="110"/>
      <c r="Y121" s="113"/>
      <c r="Z121" s="73"/>
      <c r="AA121" s="63"/>
    </row>
    <row r="122" spans="15:27" x14ac:dyDescent="0.3">
      <c r="O122" s="119"/>
      <c r="P122" s="119"/>
      <c r="W122" s="110"/>
      <c r="Y122" s="113"/>
      <c r="Z122" s="73"/>
      <c r="AA122" s="63"/>
    </row>
    <row r="123" spans="15:27" x14ac:dyDescent="0.3">
      <c r="O123" s="119"/>
      <c r="P123" s="119"/>
      <c r="W123" s="110"/>
      <c r="Y123" s="113"/>
      <c r="Z123" s="73"/>
      <c r="AA123" s="63"/>
    </row>
    <row r="124" spans="15:27" x14ac:dyDescent="0.3">
      <c r="O124" s="119"/>
      <c r="P124" s="119"/>
      <c r="W124" s="110"/>
      <c r="Y124" s="113"/>
      <c r="Z124" s="73"/>
      <c r="AA124" s="63"/>
    </row>
    <row r="125" spans="15:27" x14ac:dyDescent="0.3">
      <c r="O125" s="119"/>
      <c r="P125" s="119"/>
      <c r="W125" s="110"/>
      <c r="Y125" s="113"/>
      <c r="Z125" s="73"/>
      <c r="AA125" s="63"/>
    </row>
    <row r="126" spans="15:27" x14ac:dyDescent="0.3">
      <c r="O126" s="119"/>
      <c r="P126" s="119"/>
      <c r="W126" s="110"/>
      <c r="Y126" s="113"/>
      <c r="Z126" s="73"/>
      <c r="AA126" s="63"/>
    </row>
    <row r="127" spans="15:27" x14ac:dyDescent="0.3">
      <c r="O127" s="119"/>
      <c r="P127" s="119"/>
      <c r="W127" s="110"/>
      <c r="Y127" s="113"/>
      <c r="Z127" s="73"/>
      <c r="AA127" s="63"/>
    </row>
    <row r="128" spans="15:27" x14ac:dyDescent="0.3">
      <c r="O128" s="119"/>
      <c r="P128" s="119"/>
      <c r="W128" s="110"/>
      <c r="Y128" s="113"/>
      <c r="Z128" s="73"/>
      <c r="AA128" s="63"/>
    </row>
    <row r="129" spans="15:27" x14ac:dyDescent="0.3">
      <c r="O129" s="119"/>
      <c r="P129" s="119"/>
      <c r="W129" s="110"/>
      <c r="Y129" s="113"/>
      <c r="Z129" s="73"/>
      <c r="AA129" s="63"/>
    </row>
    <row r="130" spans="15:27" x14ac:dyDescent="0.3">
      <c r="O130" s="119"/>
      <c r="P130" s="119"/>
      <c r="W130" s="110"/>
      <c r="Y130" s="113"/>
      <c r="Z130" s="73"/>
      <c r="AA130" s="63"/>
    </row>
    <row r="131" spans="15:27" x14ac:dyDescent="0.3">
      <c r="O131" s="119"/>
      <c r="P131" s="119"/>
      <c r="W131" s="110"/>
      <c r="Y131" s="113"/>
      <c r="Z131" s="73"/>
      <c r="AA131" s="63"/>
    </row>
    <row r="132" spans="15:27" x14ac:dyDescent="0.3">
      <c r="O132" s="119"/>
      <c r="P132" s="119"/>
      <c r="W132" s="110"/>
      <c r="Y132" s="113"/>
      <c r="Z132" s="73"/>
      <c r="AA132" s="63"/>
    </row>
    <row r="133" spans="15:27" x14ac:dyDescent="0.3">
      <c r="O133" s="119"/>
      <c r="P133" s="119"/>
      <c r="W133" s="110"/>
      <c r="Y133" s="113"/>
      <c r="Z133" s="73"/>
      <c r="AA133" s="63"/>
    </row>
    <row r="134" spans="15:27" x14ac:dyDescent="0.3">
      <c r="O134" s="119"/>
      <c r="P134" s="119"/>
      <c r="W134" s="110"/>
      <c r="Y134" s="113"/>
      <c r="Z134" s="73"/>
      <c r="AA134" s="63"/>
    </row>
    <row r="135" spans="15:27" x14ac:dyDescent="0.3">
      <c r="O135" s="119"/>
      <c r="P135" s="119"/>
      <c r="W135" s="110"/>
      <c r="Y135" s="113"/>
      <c r="Z135" s="73"/>
      <c r="AA135" s="63"/>
    </row>
    <row r="136" spans="15:27" x14ac:dyDescent="0.3">
      <c r="O136" s="119"/>
      <c r="P136" s="119"/>
      <c r="W136" s="110"/>
      <c r="Y136" s="113"/>
      <c r="Z136" s="73"/>
      <c r="AA136" s="63"/>
    </row>
    <row r="137" spans="15:27" x14ac:dyDescent="0.3">
      <c r="O137" s="119"/>
      <c r="P137" s="119"/>
      <c r="W137" s="110"/>
      <c r="Y137" s="113"/>
      <c r="Z137" s="73"/>
      <c r="AA137" s="63"/>
    </row>
    <row r="138" spans="15:27" x14ac:dyDescent="0.3">
      <c r="O138" s="119"/>
      <c r="P138" s="119"/>
      <c r="W138" s="110"/>
      <c r="Y138" s="113"/>
      <c r="Z138" s="73"/>
      <c r="AA138" s="63"/>
    </row>
    <row r="139" spans="15:27" x14ac:dyDescent="0.3">
      <c r="O139" s="119"/>
      <c r="P139" s="119"/>
      <c r="W139" s="110"/>
      <c r="Y139" s="113"/>
      <c r="Z139" s="73"/>
      <c r="AA139" s="63"/>
    </row>
    <row r="140" spans="15:27" x14ac:dyDescent="0.3">
      <c r="O140" s="119"/>
      <c r="P140" s="119"/>
      <c r="W140" s="110"/>
      <c r="Y140" s="113"/>
      <c r="Z140" s="73"/>
      <c r="AA140" s="63"/>
    </row>
    <row r="141" spans="15:27" x14ac:dyDescent="0.3">
      <c r="O141" s="119"/>
      <c r="P141" s="119"/>
      <c r="W141" s="110"/>
      <c r="Y141" s="113"/>
      <c r="Z141" s="73"/>
      <c r="AA141" s="63"/>
    </row>
    <row r="142" spans="15:27" x14ac:dyDescent="0.3">
      <c r="O142" s="119"/>
      <c r="P142" s="119"/>
      <c r="W142" s="110"/>
      <c r="Y142" s="113"/>
      <c r="Z142" s="73"/>
      <c r="AA142" s="63"/>
    </row>
    <row r="143" spans="15:27" x14ac:dyDescent="0.3">
      <c r="O143" s="119"/>
      <c r="P143" s="119"/>
      <c r="W143" s="110"/>
      <c r="Y143" s="113"/>
      <c r="Z143" s="73"/>
      <c r="AA143" s="63"/>
    </row>
    <row r="144" spans="15:27" x14ac:dyDescent="0.3">
      <c r="O144" s="119"/>
      <c r="P144" s="119"/>
      <c r="W144" s="110"/>
      <c r="Y144" s="113"/>
      <c r="Z144" s="73"/>
      <c r="AA144" s="63"/>
    </row>
    <row r="145" spans="15:27" x14ac:dyDescent="0.3">
      <c r="O145" s="119"/>
      <c r="P145" s="119"/>
      <c r="W145" s="110"/>
      <c r="Y145" s="113"/>
      <c r="Z145" s="73"/>
      <c r="AA145" s="63"/>
    </row>
    <row r="146" spans="15:27" x14ac:dyDescent="0.3">
      <c r="O146" s="119"/>
      <c r="P146" s="119"/>
      <c r="W146" s="110"/>
      <c r="Y146" s="113"/>
      <c r="Z146" s="73"/>
      <c r="AA146" s="63"/>
    </row>
    <row r="147" spans="15:27" x14ac:dyDescent="0.3">
      <c r="O147" s="119"/>
      <c r="P147" s="119"/>
      <c r="W147" s="110"/>
      <c r="Y147" s="113"/>
      <c r="Z147" s="73"/>
      <c r="AA147" s="63"/>
    </row>
    <row r="148" spans="15:27" x14ac:dyDescent="0.3">
      <c r="O148" s="119"/>
      <c r="P148" s="119"/>
      <c r="W148" s="110"/>
      <c r="Y148" s="113"/>
      <c r="Z148" s="73"/>
      <c r="AA148" s="63"/>
    </row>
    <row r="149" spans="15:27" x14ac:dyDescent="0.3">
      <c r="O149" s="119"/>
      <c r="P149" s="119"/>
      <c r="W149" s="110"/>
      <c r="Y149" s="113"/>
      <c r="Z149" s="73"/>
      <c r="AA149" s="63"/>
    </row>
    <row r="150" spans="15:27" x14ac:dyDescent="0.3">
      <c r="O150" s="119"/>
      <c r="P150" s="119"/>
      <c r="W150" s="110"/>
      <c r="Y150" s="113"/>
      <c r="Z150" s="73"/>
      <c r="AA150" s="63"/>
    </row>
    <row r="151" spans="15:27" x14ac:dyDescent="0.3">
      <c r="O151" s="119"/>
      <c r="P151" s="119"/>
      <c r="W151" s="110"/>
      <c r="Y151" s="113"/>
      <c r="Z151" s="73"/>
      <c r="AA151" s="63"/>
    </row>
    <row r="152" spans="15:27" x14ac:dyDescent="0.3">
      <c r="O152" s="119"/>
      <c r="P152" s="119"/>
      <c r="W152" s="110"/>
      <c r="Y152" s="113"/>
      <c r="Z152" s="73"/>
      <c r="AA152" s="63"/>
    </row>
    <row r="153" spans="15:27" x14ac:dyDescent="0.3">
      <c r="O153" s="119"/>
      <c r="P153" s="119"/>
      <c r="W153" s="110"/>
      <c r="Y153" s="113"/>
      <c r="Z153" s="73"/>
      <c r="AA153" s="63"/>
    </row>
    <row r="154" spans="15:27" x14ac:dyDescent="0.3">
      <c r="O154" s="119"/>
      <c r="P154" s="119"/>
      <c r="W154" s="110"/>
      <c r="Y154" s="113"/>
      <c r="Z154" s="73"/>
      <c r="AA154" s="63"/>
    </row>
    <row r="155" spans="15:27" x14ac:dyDescent="0.3">
      <c r="O155" s="119"/>
      <c r="P155" s="119"/>
      <c r="W155" s="110"/>
      <c r="Y155" s="113"/>
      <c r="Z155" s="73"/>
      <c r="AA155" s="63"/>
    </row>
    <row r="156" spans="15:27" x14ac:dyDescent="0.3">
      <c r="O156" s="119"/>
      <c r="P156" s="119"/>
      <c r="W156" s="110"/>
      <c r="Y156" s="113"/>
      <c r="Z156" s="73"/>
      <c r="AA156" s="63"/>
    </row>
    <row r="157" spans="15:27" x14ac:dyDescent="0.3">
      <c r="O157" s="119"/>
      <c r="P157" s="119"/>
      <c r="W157" s="110"/>
      <c r="Y157" s="113"/>
      <c r="Z157" s="73"/>
      <c r="AA157" s="63"/>
    </row>
    <row r="158" spans="15:27" x14ac:dyDescent="0.3">
      <c r="O158" s="119"/>
      <c r="P158" s="119"/>
      <c r="W158" s="110"/>
      <c r="Y158" s="113"/>
      <c r="Z158" s="73"/>
      <c r="AA158" s="63"/>
    </row>
    <row r="159" spans="15:27" x14ac:dyDescent="0.3">
      <c r="O159" s="119"/>
      <c r="P159" s="119"/>
      <c r="W159" s="110"/>
      <c r="Y159" s="113"/>
      <c r="Z159" s="73"/>
      <c r="AA159" s="63"/>
    </row>
    <row r="160" spans="15:27" x14ac:dyDescent="0.3">
      <c r="O160" s="119"/>
      <c r="P160" s="119"/>
      <c r="W160" s="110"/>
      <c r="Y160" s="113"/>
      <c r="Z160" s="73"/>
      <c r="AA160" s="63"/>
    </row>
    <row r="161" spans="15:27" x14ac:dyDescent="0.3">
      <c r="O161" s="119"/>
      <c r="P161" s="119"/>
      <c r="W161" s="110"/>
      <c r="Y161" s="113"/>
      <c r="Z161" s="73"/>
      <c r="AA161" s="63"/>
    </row>
    <row r="162" spans="15:27" x14ac:dyDescent="0.3">
      <c r="O162" s="119"/>
      <c r="P162" s="119"/>
      <c r="W162" s="110"/>
      <c r="Y162" s="113"/>
      <c r="Z162" s="73"/>
      <c r="AA162" s="63"/>
    </row>
    <row r="163" spans="15:27" x14ac:dyDescent="0.3">
      <c r="O163" s="119"/>
      <c r="P163" s="119"/>
      <c r="W163" s="110"/>
      <c r="Y163" s="113"/>
      <c r="Z163" s="73"/>
      <c r="AA163" s="63"/>
    </row>
    <row r="164" spans="15:27" x14ac:dyDescent="0.3">
      <c r="O164" s="119"/>
      <c r="P164" s="119"/>
      <c r="W164" s="110"/>
      <c r="Y164" s="113"/>
      <c r="Z164" s="73"/>
      <c r="AA164" s="63"/>
    </row>
    <row r="165" spans="15:27" x14ac:dyDescent="0.3">
      <c r="O165" s="119"/>
      <c r="P165" s="119"/>
      <c r="W165" s="110"/>
      <c r="Y165" s="113"/>
      <c r="Z165" s="73"/>
      <c r="AA165" s="63"/>
    </row>
    <row r="166" spans="15:27" x14ac:dyDescent="0.3">
      <c r="O166" s="119"/>
      <c r="P166" s="119"/>
      <c r="W166" s="110"/>
      <c r="Y166" s="113"/>
      <c r="Z166" s="73"/>
      <c r="AA166" s="63"/>
    </row>
    <row r="167" spans="15:27" x14ac:dyDescent="0.3">
      <c r="O167" s="119"/>
      <c r="P167" s="119"/>
      <c r="W167" s="110"/>
      <c r="Y167" s="113"/>
      <c r="Z167" s="73"/>
      <c r="AA167" s="63"/>
    </row>
    <row r="168" spans="15:27" x14ac:dyDescent="0.3">
      <c r="O168" s="119"/>
      <c r="P168" s="119"/>
      <c r="W168" s="110"/>
      <c r="Y168" s="113"/>
      <c r="Z168" s="73"/>
      <c r="AA168" s="63"/>
    </row>
    <row r="169" spans="15:27" x14ac:dyDescent="0.3">
      <c r="O169" s="119"/>
      <c r="P169" s="119"/>
      <c r="W169" s="110"/>
      <c r="Y169" s="113"/>
      <c r="Z169" s="73"/>
      <c r="AA169" s="63"/>
    </row>
    <row r="170" spans="15:27" x14ac:dyDescent="0.3">
      <c r="O170" s="119"/>
      <c r="P170" s="119"/>
      <c r="W170" s="110"/>
      <c r="Y170" s="113"/>
      <c r="Z170" s="73"/>
      <c r="AA170" s="63"/>
    </row>
    <row r="171" spans="15:27" x14ac:dyDescent="0.3">
      <c r="O171" s="119"/>
      <c r="P171" s="119"/>
      <c r="W171" s="110"/>
      <c r="Y171" s="113"/>
      <c r="Z171" s="73"/>
      <c r="AA171" s="63"/>
    </row>
    <row r="172" spans="15:27" x14ac:dyDescent="0.3">
      <c r="O172" s="119"/>
      <c r="P172" s="119"/>
      <c r="W172" s="110"/>
      <c r="Y172" s="113"/>
      <c r="Z172" s="73"/>
      <c r="AA172" s="63"/>
    </row>
    <row r="173" spans="15:27" x14ac:dyDescent="0.3">
      <c r="O173" s="119"/>
      <c r="P173" s="119"/>
      <c r="W173" s="110"/>
      <c r="Y173" s="113"/>
      <c r="Z173" s="73"/>
      <c r="AA173" s="63"/>
    </row>
    <row r="174" spans="15:27" x14ac:dyDescent="0.3">
      <c r="O174" s="119"/>
      <c r="P174" s="119"/>
      <c r="W174" s="110"/>
      <c r="Y174" s="113"/>
      <c r="Z174" s="73"/>
      <c r="AA174" s="63"/>
    </row>
    <row r="175" spans="15:27" x14ac:dyDescent="0.3">
      <c r="O175" s="119"/>
      <c r="P175" s="119"/>
      <c r="W175" s="110"/>
      <c r="Y175" s="113"/>
      <c r="Z175" s="73"/>
      <c r="AA175" s="63"/>
    </row>
    <row r="176" spans="15:27" x14ac:dyDescent="0.3">
      <c r="O176" s="119"/>
      <c r="P176" s="119"/>
      <c r="W176" s="110"/>
      <c r="Y176" s="113"/>
      <c r="Z176" s="73"/>
      <c r="AA176" s="63"/>
    </row>
    <row r="177" spans="15:27" x14ac:dyDescent="0.3">
      <c r="O177" s="119"/>
      <c r="P177" s="119"/>
      <c r="W177" s="110"/>
      <c r="Y177" s="113"/>
      <c r="Z177" s="73"/>
      <c r="AA177" s="63"/>
    </row>
    <row r="178" spans="15:27" x14ac:dyDescent="0.3">
      <c r="O178" s="119"/>
      <c r="P178" s="119"/>
      <c r="W178" s="110"/>
      <c r="Y178" s="113"/>
      <c r="Z178" s="73"/>
      <c r="AA178" s="63"/>
    </row>
    <row r="179" spans="15:27" x14ac:dyDescent="0.3">
      <c r="O179" s="119"/>
      <c r="P179" s="119"/>
      <c r="W179" s="110"/>
      <c r="Y179" s="113"/>
      <c r="Z179" s="73"/>
      <c r="AA179" s="63"/>
    </row>
    <row r="180" spans="15:27" x14ac:dyDescent="0.3">
      <c r="O180" s="119"/>
      <c r="P180" s="119"/>
      <c r="W180" s="110"/>
      <c r="Y180" s="113"/>
      <c r="Z180" s="73"/>
      <c r="AA180" s="63"/>
    </row>
    <row r="181" spans="15:27" x14ac:dyDescent="0.3">
      <c r="O181" s="119"/>
      <c r="P181" s="119"/>
      <c r="W181" s="110"/>
      <c r="Y181" s="113"/>
      <c r="Z181" s="73"/>
      <c r="AA181" s="63"/>
    </row>
    <row r="182" spans="15:27" x14ac:dyDescent="0.3">
      <c r="O182" s="119"/>
      <c r="P182" s="119"/>
      <c r="W182" s="110"/>
      <c r="Y182" s="113"/>
      <c r="Z182" s="73"/>
      <c r="AA182" s="63"/>
    </row>
    <row r="183" spans="15:27" x14ac:dyDescent="0.3">
      <c r="O183" s="119"/>
      <c r="P183" s="119"/>
      <c r="W183" s="110"/>
      <c r="Y183" s="113"/>
      <c r="Z183" s="73"/>
      <c r="AA183" s="63"/>
    </row>
    <row r="184" spans="15:27" x14ac:dyDescent="0.3">
      <c r="O184" s="119"/>
      <c r="P184" s="119"/>
      <c r="W184" s="110"/>
      <c r="Y184" s="113"/>
      <c r="Z184" s="73"/>
      <c r="AA184" s="63"/>
    </row>
    <row r="185" spans="15:27" x14ac:dyDescent="0.3">
      <c r="O185" s="119"/>
      <c r="P185" s="119"/>
      <c r="W185" s="110"/>
      <c r="Y185" s="113"/>
      <c r="Z185" s="73"/>
      <c r="AA185" s="63"/>
    </row>
    <row r="186" spans="15:27" x14ac:dyDescent="0.3">
      <c r="O186" s="119"/>
      <c r="P186" s="119"/>
      <c r="W186" s="110"/>
      <c r="Y186" s="113"/>
      <c r="Z186" s="73"/>
      <c r="AA186" s="63"/>
    </row>
    <row r="187" spans="15:27" x14ac:dyDescent="0.3">
      <c r="O187" s="119"/>
      <c r="P187" s="119"/>
      <c r="W187" s="110"/>
      <c r="Y187" s="113"/>
      <c r="Z187" s="73"/>
      <c r="AA187" s="63"/>
    </row>
    <row r="188" spans="15:27" x14ac:dyDescent="0.3">
      <c r="O188" s="119"/>
      <c r="P188" s="119"/>
      <c r="W188" s="110"/>
      <c r="Y188" s="113"/>
      <c r="Z188" s="73"/>
      <c r="AA188" s="63"/>
    </row>
    <row r="189" spans="15:27" x14ac:dyDescent="0.3">
      <c r="O189" s="119"/>
      <c r="P189" s="119"/>
      <c r="W189" s="110"/>
      <c r="Y189" s="113"/>
      <c r="Z189" s="73"/>
      <c r="AA189" s="63"/>
    </row>
    <row r="190" spans="15:27" x14ac:dyDescent="0.3">
      <c r="O190" s="119"/>
      <c r="P190" s="119"/>
      <c r="W190" s="110"/>
      <c r="Y190" s="113"/>
      <c r="Z190" s="73"/>
      <c r="AA190" s="63"/>
    </row>
    <row r="191" spans="15:27" x14ac:dyDescent="0.3">
      <c r="O191" s="119"/>
      <c r="P191" s="119"/>
      <c r="W191" s="110"/>
      <c r="Y191" s="113"/>
      <c r="Z191" s="73"/>
      <c r="AA191" s="63"/>
    </row>
    <row r="192" spans="15:27" x14ac:dyDescent="0.3">
      <c r="O192" s="119"/>
      <c r="P192" s="119"/>
      <c r="W192" s="110"/>
      <c r="Y192" s="113"/>
      <c r="Z192" s="73"/>
      <c r="AA192" s="63"/>
    </row>
    <row r="193" spans="15:27" x14ac:dyDescent="0.3">
      <c r="O193" s="119"/>
      <c r="P193" s="119"/>
      <c r="W193" s="110"/>
      <c r="Y193" s="113"/>
      <c r="Z193" s="73"/>
      <c r="AA193" s="63"/>
    </row>
    <row r="194" spans="15:27" x14ac:dyDescent="0.3">
      <c r="O194" s="119"/>
      <c r="P194" s="119"/>
      <c r="W194" s="110"/>
      <c r="Y194" s="113"/>
      <c r="Z194" s="73"/>
      <c r="AA194" s="63"/>
    </row>
    <row r="195" spans="15:27" x14ac:dyDescent="0.3">
      <c r="O195" s="119"/>
      <c r="P195" s="119"/>
      <c r="W195" s="110"/>
      <c r="Y195" s="113"/>
      <c r="Z195" s="73"/>
      <c r="AA195" s="63"/>
    </row>
    <row r="196" spans="15:27" x14ac:dyDescent="0.3">
      <c r="O196" s="119"/>
      <c r="P196" s="119"/>
      <c r="W196" s="110"/>
      <c r="Y196" s="113"/>
      <c r="Z196" s="73"/>
      <c r="AA196" s="63"/>
    </row>
    <row r="197" spans="15:27" x14ac:dyDescent="0.3">
      <c r="O197" s="119"/>
      <c r="P197" s="119"/>
      <c r="W197" s="110"/>
      <c r="Y197" s="113"/>
      <c r="Z197" s="73"/>
      <c r="AA197" s="63"/>
    </row>
    <row r="198" spans="15:27" x14ac:dyDescent="0.3">
      <c r="O198" s="119"/>
      <c r="P198" s="119"/>
      <c r="W198" s="110"/>
      <c r="Y198" s="113"/>
      <c r="Z198" s="73"/>
      <c r="AA198" s="63"/>
    </row>
    <row r="199" spans="15:27" x14ac:dyDescent="0.3">
      <c r="O199" s="119"/>
      <c r="P199" s="119"/>
      <c r="W199" s="110"/>
      <c r="Y199" s="113"/>
      <c r="Z199" s="73"/>
      <c r="AA199" s="63"/>
    </row>
    <row r="200" spans="15:27" x14ac:dyDescent="0.3">
      <c r="O200" s="119"/>
      <c r="P200" s="119"/>
      <c r="W200" s="110"/>
      <c r="Y200" s="113"/>
      <c r="Z200" s="73"/>
      <c r="AA200" s="63"/>
    </row>
    <row r="201" spans="15:27" x14ac:dyDescent="0.3">
      <c r="O201" s="119"/>
      <c r="P201" s="119"/>
      <c r="W201" s="110"/>
      <c r="Y201" s="113"/>
      <c r="Z201" s="73"/>
      <c r="AA201" s="63"/>
    </row>
    <row r="202" spans="15:27" x14ac:dyDescent="0.3">
      <c r="O202" s="119"/>
      <c r="P202" s="119"/>
      <c r="W202" s="110"/>
      <c r="Y202" s="113"/>
      <c r="Z202" s="73"/>
      <c r="AA202" s="63"/>
    </row>
    <row r="203" spans="15:27" x14ac:dyDescent="0.3">
      <c r="O203" s="119"/>
      <c r="P203" s="119"/>
      <c r="W203" s="110"/>
      <c r="Y203" s="113"/>
      <c r="Z203" s="73"/>
      <c r="AA203" s="63"/>
    </row>
    <row r="204" spans="15:27" x14ac:dyDescent="0.3">
      <c r="O204" s="119"/>
      <c r="P204" s="119"/>
      <c r="W204" s="110"/>
      <c r="Y204" s="113"/>
      <c r="Z204" s="73"/>
      <c r="AA204" s="63"/>
    </row>
    <row r="205" spans="15:27" x14ac:dyDescent="0.3">
      <c r="O205" s="119"/>
      <c r="P205" s="119"/>
      <c r="W205" s="110"/>
      <c r="Y205" s="113"/>
      <c r="Z205" s="73"/>
      <c r="AA205" s="63"/>
    </row>
    <row r="206" spans="15:27" x14ac:dyDescent="0.3">
      <c r="O206" s="119"/>
      <c r="P206" s="119"/>
      <c r="W206" s="110"/>
      <c r="Y206" s="113"/>
      <c r="Z206" s="73"/>
      <c r="AA206" s="63"/>
    </row>
    <row r="207" spans="15:27" x14ac:dyDescent="0.3">
      <c r="O207" s="119"/>
      <c r="P207" s="119"/>
      <c r="W207" s="110"/>
      <c r="Y207" s="113"/>
      <c r="Z207" s="73"/>
      <c r="AA207" s="63"/>
    </row>
    <row r="208" spans="15:27" x14ac:dyDescent="0.3">
      <c r="O208" s="119"/>
      <c r="P208" s="119"/>
      <c r="W208" s="110"/>
      <c r="Y208" s="113"/>
      <c r="Z208" s="73"/>
      <c r="AA208" s="63"/>
    </row>
    <row r="209" spans="15:27" x14ac:dyDescent="0.3">
      <c r="O209" s="119"/>
      <c r="P209" s="119"/>
      <c r="W209" s="110"/>
      <c r="Y209" s="113"/>
      <c r="Z209" s="73"/>
      <c r="AA209" s="63"/>
    </row>
    <row r="210" spans="15:27" x14ac:dyDescent="0.3">
      <c r="O210" s="119"/>
      <c r="P210" s="119"/>
      <c r="W210" s="110"/>
      <c r="Y210" s="113"/>
      <c r="Z210" s="73"/>
      <c r="AA210" s="63"/>
    </row>
    <row r="211" spans="15:27" x14ac:dyDescent="0.3">
      <c r="O211" s="119"/>
      <c r="P211" s="119"/>
      <c r="W211" s="110"/>
      <c r="Y211" s="113"/>
      <c r="Z211" s="73"/>
      <c r="AA211" s="63"/>
    </row>
    <row r="212" spans="15:27" x14ac:dyDescent="0.3">
      <c r="O212" s="119"/>
      <c r="P212" s="119"/>
      <c r="W212" s="110"/>
      <c r="Y212" s="113"/>
      <c r="Z212" s="73"/>
      <c r="AA212" s="63"/>
    </row>
    <row r="213" spans="15:27" x14ac:dyDescent="0.3">
      <c r="O213" s="119"/>
      <c r="P213" s="119"/>
      <c r="W213" s="110"/>
      <c r="Y213" s="113"/>
      <c r="Z213" s="73"/>
      <c r="AA213" s="63"/>
    </row>
    <row r="214" spans="15:27" x14ac:dyDescent="0.3">
      <c r="O214" s="119"/>
      <c r="P214" s="119"/>
      <c r="W214" s="110"/>
      <c r="Y214" s="113"/>
      <c r="Z214" s="73"/>
      <c r="AA214" s="63"/>
    </row>
    <row r="215" spans="15:27" x14ac:dyDescent="0.3">
      <c r="O215" s="119"/>
      <c r="P215" s="119"/>
      <c r="W215" s="110"/>
      <c r="Y215" s="113"/>
      <c r="Z215" s="73"/>
      <c r="AA215" s="63"/>
    </row>
    <row r="216" spans="15:27" x14ac:dyDescent="0.3">
      <c r="O216" s="119"/>
      <c r="P216" s="119"/>
      <c r="W216" s="110"/>
      <c r="Y216" s="113"/>
      <c r="Z216" s="73"/>
      <c r="AA216" s="63"/>
    </row>
    <row r="217" spans="15:27" x14ac:dyDescent="0.3">
      <c r="O217" s="119"/>
      <c r="P217" s="119"/>
      <c r="W217" s="110"/>
      <c r="Y217" s="113"/>
      <c r="Z217" s="73"/>
      <c r="AA217" s="63"/>
    </row>
    <row r="218" spans="15:27" x14ac:dyDescent="0.3">
      <c r="O218" s="119"/>
      <c r="P218" s="119"/>
      <c r="W218" s="110"/>
      <c r="Y218" s="113"/>
      <c r="Z218" s="73"/>
      <c r="AA218" s="63"/>
    </row>
    <row r="219" spans="15:27" x14ac:dyDescent="0.3">
      <c r="O219" s="119"/>
      <c r="P219" s="119"/>
      <c r="W219" s="110"/>
      <c r="Y219" s="113"/>
      <c r="Z219" s="73"/>
      <c r="AA219" s="63"/>
    </row>
    <row r="220" spans="15:27" x14ac:dyDescent="0.3">
      <c r="O220" s="119"/>
      <c r="P220" s="119"/>
      <c r="W220" s="110"/>
      <c r="Y220" s="113"/>
      <c r="Z220" s="73"/>
      <c r="AA220" s="63"/>
    </row>
    <row r="221" spans="15:27" x14ac:dyDescent="0.3">
      <c r="O221" s="119"/>
      <c r="P221" s="119"/>
      <c r="W221" s="110"/>
      <c r="Y221" s="113"/>
      <c r="Z221" s="73"/>
      <c r="AA221" s="63"/>
    </row>
    <row r="222" spans="15:27" x14ac:dyDescent="0.3">
      <c r="O222" s="119"/>
      <c r="P222" s="119"/>
      <c r="W222" s="110"/>
      <c r="Y222" s="113"/>
      <c r="Z222" s="73"/>
      <c r="AA222" s="63"/>
    </row>
    <row r="223" spans="15:27" x14ac:dyDescent="0.3">
      <c r="O223" s="119"/>
      <c r="P223" s="119"/>
      <c r="W223" s="110"/>
      <c r="Y223" s="113"/>
      <c r="Z223" s="73"/>
      <c r="AA223" s="63"/>
    </row>
    <row r="224" spans="15:27" x14ac:dyDescent="0.3">
      <c r="O224" s="119"/>
      <c r="P224" s="119"/>
      <c r="W224" s="110"/>
      <c r="Y224" s="113"/>
      <c r="Z224" s="73"/>
      <c r="AA224" s="63"/>
    </row>
    <row r="225" spans="15:27" x14ac:dyDescent="0.3">
      <c r="O225" s="119"/>
      <c r="P225" s="119"/>
      <c r="W225" s="110"/>
      <c r="Y225" s="113"/>
      <c r="Z225" s="73"/>
      <c r="AA225" s="63"/>
    </row>
    <row r="226" spans="15:27" x14ac:dyDescent="0.3">
      <c r="O226" s="119"/>
      <c r="P226" s="119"/>
      <c r="W226" s="110"/>
      <c r="Y226" s="113"/>
      <c r="Z226" s="73"/>
      <c r="AA226" s="63"/>
    </row>
    <row r="227" spans="15:27" x14ac:dyDescent="0.3">
      <c r="O227" s="119"/>
      <c r="P227" s="119"/>
      <c r="W227" s="110"/>
      <c r="Y227" s="113"/>
      <c r="Z227" s="73"/>
      <c r="AA227" s="63"/>
    </row>
    <row r="228" spans="15:27" x14ac:dyDescent="0.3">
      <c r="O228" s="119"/>
      <c r="P228" s="119"/>
      <c r="W228" s="110"/>
      <c r="Y228" s="113"/>
      <c r="Z228" s="73"/>
      <c r="AA228" s="63"/>
    </row>
    <row r="229" spans="15:27" x14ac:dyDescent="0.3">
      <c r="O229" s="119"/>
      <c r="P229" s="119"/>
      <c r="W229" s="110"/>
      <c r="Y229" s="113"/>
      <c r="Z229" s="73"/>
      <c r="AA229" s="63"/>
    </row>
    <row r="230" spans="15:27" x14ac:dyDescent="0.3">
      <c r="O230" s="119"/>
      <c r="P230" s="119"/>
      <c r="W230" s="110"/>
      <c r="Y230" s="113"/>
      <c r="Z230" s="73"/>
      <c r="AA230" s="63"/>
    </row>
    <row r="231" spans="15:27" x14ac:dyDescent="0.3">
      <c r="O231" s="119"/>
      <c r="P231" s="119"/>
      <c r="W231" s="110"/>
      <c r="Y231" s="113"/>
      <c r="Z231" s="73"/>
      <c r="AA231" s="63"/>
    </row>
    <row r="232" spans="15:27" x14ac:dyDescent="0.3">
      <c r="O232" s="119"/>
      <c r="P232" s="119"/>
      <c r="W232" s="110"/>
      <c r="Y232" s="113"/>
      <c r="Z232" s="73"/>
      <c r="AA232" s="63"/>
    </row>
    <row r="233" spans="15:27" x14ac:dyDescent="0.3">
      <c r="O233" s="119"/>
      <c r="P233" s="119"/>
      <c r="W233" s="110"/>
      <c r="Y233" s="113"/>
      <c r="Z233" s="73"/>
      <c r="AA233" s="63"/>
    </row>
    <row r="234" spans="15:27" x14ac:dyDescent="0.3">
      <c r="O234" s="119"/>
      <c r="P234" s="119"/>
      <c r="W234" s="110"/>
      <c r="Y234" s="113"/>
      <c r="Z234" s="73"/>
      <c r="AA234" s="63"/>
    </row>
    <row r="235" spans="15:27" x14ac:dyDescent="0.3">
      <c r="O235" s="119"/>
      <c r="P235" s="119"/>
      <c r="W235" s="110"/>
      <c r="Y235" s="113"/>
      <c r="Z235" s="73"/>
      <c r="AA235" s="63"/>
    </row>
    <row r="236" spans="15:27" x14ac:dyDescent="0.3">
      <c r="O236" s="119"/>
      <c r="P236" s="119"/>
      <c r="W236" s="110"/>
      <c r="Y236" s="113"/>
      <c r="Z236" s="73"/>
      <c r="AA236" s="63"/>
    </row>
    <row r="237" spans="15:27" x14ac:dyDescent="0.3">
      <c r="O237" s="119"/>
      <c r="P237" s="119"/>
      <c r="W237" s="110"/>
      <c r="Y237" s="113"/>
      <c r="Z237" s="73"/>
      <c r="AA237" s="63"/>
    </row>
    <row r="238" spans="15:27" x14ac:dyDescent="0.3">
      <c r="O238" s="119"/>
      <c r="P238" s="119"/>
      <c r="W238" s="110"/>
      <c r="Y238" s="113"/>
      <c r="Z238" s="73"/>
      <c r="AA238" s="63"/>
    </row>
    <row r="239" spans="15:27" x14ac:dyDescent="0.3">
      <c r="O239" s="119"/>
      <c r="P239" s="119"/>
      <c r="W239" s="110"/>
      <c r="Y239" s="113"/>
      <c r="Z239" s="73"/>
      <c r="AA239" s="63"/>
    </row>
    <row r="240" spans="15:27" x14ac:dyDescent="0.3">
      <c r="O240" s="119"/>
      <c r="P240" s="119"/>
      <c r="W240" s="110"/>
      <c r="Y240" s="113"/>
      <c r="Z240" s="73"/>
      <c r="AA240" s="63"/>
    </row>
    <row r="241" spans="15:27" x14ac:dyDescent="0.3">
      <c r="O241" s="119"/>
      <c r="P241" s="119"/>
      <c r="W241" s="110"/>
      <c r="Y241" s="113"/>
      <c r="Z241" s="73"/>
      <c r="AA241" s="63"/>
    </row>
    <row r="242" spans="15:27" x14ac:dyDescent="0.3">
      <c r="O242" s="119"/>
      <c r="P242" s="119"/>
      <c r="W242" s="110"/>
      <c r="Y242" s="113"/>
      <c r="Z242" s="73"/>
      <c r="AA242" s="63"/>
    </row>
    <row r="243" spans="15:27" x14ac:dyDescent="0.3">
      <c r="O243" s="119"/>
      <c r="P243" s="119"/>
      <c r="W243" s="110"/>
      <c r="Y243" s="113"/>
      <c r="Z243" s="73"/>
      <c r="AA243" s="63"/>
    </row>
    <row r="244" spans="15:27" x14ac:dyDescent="0.3">
      <c r="O244" s="119"/>
      <c r="P244" s="119"/>
      <c r="W244" s="110"/>
      <c r="Y244" s="113"/>
      <c r="Z244" s="73"/>
      <c r="AA244" s="63"/>
    </row>
    <row r="245" spans="15:27" x14ac:dyDescent="0.3">
      <c r="O245" s="119"/>
      <c r="P245" s="119"/>
      <c r="W245" s="110"/>
      <c r="Y245" s="113"/>
      <c r="Z245" s="73"/>
      <c r="AA245" s="63"/>
    </row>
    <row r="246" spans="15:27" x14ac:dyDescent="0.3">
      <c r="O246" s="119"/>
      <c r="P246" s="119"/>
      <c r="W246" s="110"/>
      <c r="Y246" s="113"/>
      <c r="Z246" s="73"/>
      <c r="AA246" s="63"/>
    </row>
    <row r="247" spans="15:27" x14ac:dyDescent="0.3">
      <c r="O247" s="119"/>
      <c r="P247" s="119"/>
      <c r="W247" s="110"/>
      <c r="Y247" s="113"/>
      <c r="Z247" s="73"/>
      <c r="AA247" s="63"/>
    </row>
    <row r="248" spans="15:27" x14ac:dyDescent="0.3">
      <c r="O248" s="119"/>
      <c r="P248" s="119"/>
      <c r="W248" s="110"/>
      <c r="Y248" s="113"/>
      <c r="Z248" s="73"/>
      <c r="AA248" s="63"/>
    </row>
    <row r="249" spans="15:27" x14ac:dyDescent="0.3">
      <c r="O249" s="119"/>
      <c r="P249" s="119"/>
      <c r="W249" s="110"/>
      <c r="Y249" s="113"/>
      <c r="Z249" s="73"/>
      <c r="AA249" s="63"/>
    </row>
    <row r="250" spans="15:27" x14ac:dyDescent="0.3">
      <c r="O250" s="119"/>
      <c r="P250" s="119"/>
      <c r="W250" s="110"/>
      <c r="Y250" s="113"/>
      <c r="Z250" s="73"/>
      <c r="AA250" s="63"/>
    </row>
    <row r="251" spans="15:27" x14ac:dyDescent="0.3">
      <c r="O251" s="119"/>
      <c r="P251" s="119"/>
      <c r="W251" s="110"/>
      <c r="Y251" s="113"/>
      <c r="Z251" s="73"/>
      <c r="AA251" s="63"/>
    </row>
    <row r="252" spans="15:27" x14ac:dyDescent="0.3">
      <c r="O252" s="119"/>
      <c r="P252" s="119"/>
      <c r="W252" s="110"/>
      <c r="Y252" s="113"/>
      <c r="Z252" s="73"/>
      <c r="AA252" s="63"/>
    </row>
    <row r="253" spans="15:27" x14ac:dyDescent="0.3">
      <c r="O253" s="119"/>
      <c r="P253" s="119"/>
      <c r="W253" s="110"/>
      <c r="Y253" s="113"/>
      <c r="Z253" s="73"/>
      <c r="AA253" s="63"/>
    </row>
    <row r="254" spans="15:27" x14ac:dyDescent="0.3">
      <c r="O254" s="119"/>
      <c r="P254" s="119"/>
      <c r="W254" s="110"/>
      <c r="Y254" s="113"/>
      <c r="Z254" s="73"/>
      <c r="AA254" s="63"/>
    </row>
    <row r="255" spans="15:27" x14ac:dyDescent="0.3">
      <c r="O255" s="119"/>
      <c r="P255" s="119"/>
      <c r="W255" s="110"/>
      <c r="Y255" s="113"/>
      <c r="Z255" s="73"/>
      <c r="AA255" s="63"/>
    </row>
    <row r="256" spans="15:27" x14ac:dyDescent="0.3">
      <c r="O256" s="119"/>
      <c r="P256" s="119"/>
      <c r="W256" s="110"/>
      <c r="Y256" s="113"/>
      <c r="Z256" s="73"/>
      <c r="AA256" s="63"/>
    </row>
    <row r="257" spans="15:27" x14ac:dyDescent="0.3">
      <c r="O257" s="119"/>
      <c r="P257" s="119"/>
      <c r="W257" s="110"/>
      <c r="Y257" s="113"/>
      <c r="Z257" s="73"/>
      <c r="AA257" s="63"/>
    </row>
    <row r="258" spans="15:27" x14ac:dyDescent="0.3">
      <c r="O258" s="119"/>
      <c r="P258" s="119"/>
      <c r="W258" s="110"/>
      <c r="Y258" s="113"/>
      <c r="Z258" s="73"/>
      <c r="AA258" s="63"/>
    </row>
    <row r="259" spans="15:27" x14ac:dyDescent="0.3">
      <c r="O259" s="119"/>
      <c r="P259" s="119"/>
      <c r="W259" s="110"/>
      <c r="Y259" s="113"/>
      <c r="Z259" s="73"/>
      <c r="AA259" s="63"/>
    </row>
    <row r="260" spans="15:27" x14ac:dyDescent="0.3">
      <c r="O260" s="119"/>
      <c r="P260" s="119"/>
      <c r="W260" s="110"/>
      <c r="Y260" s="113"/>
      <c r="Z260" s="73"/>
      <c r="AA260" s="63"/>
    </row>
    <row r="261" spans="15:27" x14ac:dyDescent="0.3">
      <c r="O261" s="119"/>
      <c r="P261" s="119"/>
      <c r="W261" s="110"/>
      <c r="Y261" s="113"/>
      <c r="Z261" s="73"/>
      <c r="AA261" s="63"/>
    </row>
    <row r="262" spans="15:27" x14ac:dyDescent="0.3">
      <c r="O262" s="119"/>
      <c r="P262" s="119"/>
      <c r="W262" s="110"/>
      <c r="Y262" s="113"/>
      <c r="Z262" s="73"/>
      <c r="AA262" s="63"/>
    </row>
    <row r="263" spans="15:27" x14ac:dyDescent="0.3">
      <c r="O263" s="119"/>
      <c r="P263" s="119"/>
      <c r="W263" s="110"/>
      <c r="Y263" s="113"/>
      <c r="Z263" s="73"/>
      <c r="AA263" s="63"/>
    </row>
    <row r="264" spans="15:27" x14ac:dyDescent="0.3">
      <c r="O264" s="119"/>
      <c r="P264" s="119"/>
      <c r="W264" s="110"/>
      <c r="Y264" s="113"/>
      <c r="Z264" s="73"/>
      <c r="AA264" s="63"/>
    </row>
    <row r="265" spans="15:27" x14ac:dyDescent="0.3">
      <c r="O265" s="119"/>
      <c r="P265" s="119"/>
      <c r="W265" s="110"/>
      <c r="Y265" s="113"/>
      <c r="Z265" s="73"/>
      <c r="AA265" s="63"/>
    </row>
    <row r="266" spans="15:27" x14ac:dyDescent="0.3">
      <c r="O266" s="119"/>
      <c r="P266" s="119"/>
      <c r="W266" s="110"/>
      <c r="Y266" s="113"/>
      <c r="Z266" s="73"/>
      <c r="AA266" s="63"/>
    </row>
    <row r="267" spans="15:27" x14ac:dyDescent="0.3">
      <c r="O267" s="119"/>
      <c r="P267" s="119"/>
      <c r="W267" s="110"/>
      <c r="Y267" s="113"/>
      <c r="Z267" s="73"/>
      <c r="AA267" s="63"/>
    </row>
    <row r="268" spans="15:27" x14ac:dyDescent="0.3">
      <c r="O268" s="119"/>
      <c r="P268" s="119"/>
      <c r="W268" s="110"/>
      <c r="Y268" s="113"/>
      <c r="Z268" s="73"/>
      <c r="AA268" s="63"/>
    </row>
    <row r="269" spans="15:27" x14ac:dyDescent="0.3">
      <c r="O269" s="119"/>
      <c r="P269" s="119"/>
      <c r="W269" s="110"/>
      <c r="Y269" s="113"/>
      <c r="Z269" s="73"/>
      <c r="AA269" s="63"/>
    </row>
    <row r="270" spans="15:27" x14ac:dyDescent="0.3">
      <c r="O270" s="119"/>
      <c r="P270" s="119"/>
      <c r="W270" s="110"/>
      <c r="Y270" s="113"/>
      <c r="Z270" s="73"/>
      <c r="AA270" s="63"/>
    </row>
    <row r="271" spans="15:27" x14ac:dyDescent="0.3">
      <c r="O271" s="119"/>
      <c r="P271" s="119"/>
      <c r="W271" s="110"/>
      <c r="Y271" s="113"/>
      <c r="Z271" s="73"/>
      <c r="AA271" s="63"/>
    </row>
    <row r="272" spans="15:27" x14ac:dyDescent="0.3">
      <c r="O272" s="119"/>
      <c r="P272" s="119"/>
      <c r="W272" s="110"/>
      <c r="Y272" s="113"/>
      <c r="Z272" s="73"/>
      <c r="AA272" s="63"/>
    </row>
    <row r="273" spans="15:27" x14ac:dyDescent="0.3">
      <c r="O273" s="119"/>
      <c r="P273" s="119"/>
      <c r="W273" s="110"/>
      <c r="Y273" s="113"/>
      <c r="Z273" s="73"/>
      <c r="AA273" s="63"/>
    </row>
    <row r="274" spans="15:27" x14ac:dyDescent="0.3">
      <c r="O274" s="119"/>
      <c r="P274" s="119"/>
      <c r="W274" s="110"/>
      <c r="Y274" s="113"/>
      <c r="Z274" s="73"/>
      <c r="AA274" s="63"/>
    </row>
    <row r="275" spans="15:27" x14ac:dyDescent="0.3">
      <c r="O275" s="119"/>
      <c r="P275" s="119"/>
      <c r="W275" s="110"/>
      <c r="Y275" s="113"/>
      <c r="Z275" s="73"/>
      <c r="AA275" s="63"/>
    </row>
    <row r="276" spans="15:27" x14ac:dyDescent="0.3">
      <c r="O276" s="119"/>
      <c r="P276" s="119"/>
      <c r="W276" s="110"/>
      <c r="Y276" s="113"/>
      <c r="Z276" s="73"/>
      <c r="AA276" s="63"/>
    </row>
    <row r="277" spans="15:27" x14ac:dyDescent="0.3">
      <c r="O277" s="119"/>
      <c r="P277" s="119"/>
      <c r="W277" s="110"/>
      <c r="Y277" s="113"/>
      <c r="Z277" s="73"/>
      <c r="AA277" s="63"/>
    </row>
    <row r="278" spans="15:27" x14ac:dyDescent="0.3">
      <c r="O278" s="119"/>
      <c r="P278" s="119"/>
      <c r="W278" s="110"/>
      <c r="Y278" s="113"/>
      <c r="Z278" s="73"/>
      <c r="AA278" s="63"/>
    </row>
    <row r="279" spans="15:27" x14ac:dyDescent="0.3">
      <c r="O279" s="119"/>
      <c r="P279" s="119"/>
      <c r="W279" s="110"/>
      <c r="Y279" s="113"/>
      <c r="Z279" s="73"/>
      <c r="AA279" s="63"/>
    </row>
    <row r="280" spans="15:27" x14ac:dyDescent="0.3">
      <c r="O280" s="119"/>
      <c r="P280" s="119"/>
      <c r="W280" s="110"/>
      <c r="Y280" s="113"/>
      <c r="Z280" s="73"/>
      <c r="AA280" s="63"/>
    </row>
    <row r="281" spans="15:27" x14ac:dyDescent="0.3">
      <c r="O281" s="119"/>
      <c r="P281" s="119"/>
      <c r="W281" s="110"/>
      <c r="Y281" s="113"/>
      <c r="Z281" s="73"/>
      <c r="AA281" s="63"/>
    </row>
    <row r="282" spans="15:27" x14ac:dyDescent="0.3">
      <c r="O282" s="119"/>
      <c r="P282" s="119"/>
      <c r="W282" s="110"/>
      <c r="Y282" s="113"/>
      <c r="Z282" s="73"/>
      <c r="AA282" s="63"/>
    </row>
    <row r="283" spans="15:27" x14ac:dyDescent="0.3">
      <c r="O283" s="119"/>
      <c r="P283" s="119"/>
      <c r="W283" s="110"/>
      <c r="Y283" s="113"/>
      <c r="Z283" s="73"/>
      <c r="AA283" s="63"/>
    </row>
    <row r="284" spans="15:27" x14ac:dyDescent="0.3">
      <c r="O284" s="119"/>
      <c r="P284" s="119"/>
      <c r="W284" s="110"/>
      <c r="Y284" s="113"/>
      <c r="Z284" s="73"/>
      <c r="AA284" s="63"/>
    </row>
    <row r="285" spans="15:27" x14ac:dyDescent="0.3">
      <c r="O285" s="119"/>
      <c r="P285" s="119"/>
      <c r="W285" s="110"/>
      <c r="Y285" s="113"/>
      <c r="Z285" s="73"/>
      <c r="AA285" s="63"/>
    </row>
    <row r="286" spans="15:27" x14ac:dyDescent="0.3">
      <c r="O286" s="119"/>
      <c r="P286" s="119"/>
      <c r="W286" s="110"/>
      <c r="Y286" s="113"/>
      <c r="Z286" s="73"/>
      <c r="AA286" s="63"/>
    </row>
    <row r="287" spans="15:27" x14ac:dyDescent="0.3">
      <c r="O287" s="119"/>
      <c r="P287" s="119"/>
      <c r="W287" s="110"/>
      <c r="Y287" s="113"/>
      <c r="Z287" s="73"/>
      <c r="AA287" s="63"/>
    </row>
    <row r="288" spans="15:27" x14ac:dyDescent="0.3">
      <c r="O288" s="119"/>
      <c r="P288" s="119"/>
      <c r="W288" s="110"/>
      <c r="Y288" s="113"/>
      <c r="Z288" s="73"/>
      <c r="AA288" s="63"/>
    </row>
    <row r="289" spans="15:27" x14ac:dyDescent="0.3">
      <c r="O289" s="119"/>
      <c r="P289" s="119"/>
      <c r="W289" s="110"/>
      <c r="Y289" s="113"/>
      <c r="Z289" s="73"/>
      <c r="AA289" s="63"/>
    </row>
    <row r="290" spans="15:27" x14ac:dyDescent="0.3">
      <c r="O290" s="119"/>
      <c r="P290" s="119"/>
      <c r="W290" s="110"/>
      <c r="Y290" s="113"/>
      <c r="Z290" s="73"/>
      <c r="AA290" s="63"/>
    </row>
    <row r="291" spans="15:27" x14ac:dyDescent="0.3">
      <c r="O291" s="119"/>
      <c r="P291" s="119"/>
      <c r="W291" s="110"/>
      <c r="Y291" s="113"/>
      <c r="Z291" s="73"/>
      <c r="AA291" s="63"/>
    </row>
    <row r="292" spans="15:27" x14ac:dyDescent="0.3">
      <c r="O292" s="119"/>
      <c r="P292" s="119"/>
      <c r="W292" s="110"/>
      <c r="Y292" s="113"/>
      <c r="Z292" s="73"/>
      <c r="AA292" s="63"/>
    </row>
    <row r="293" spans="15:27" x14ac:dyDescent="0.3">
      <c r="O293" s="119"/>
      <c r="P293" s="119"/>
      <c r="W293" s="110"/>
      <c r="Y293" s="113"/>
      <c r="Z293" s="73"/>
      <c r="AA293" s="63"/>
    </row>
    <row r="294" spans="15:27" x14ac:dyDescent="0.3">
      <c r="O294" s="119"/>
      <c r="P294" s="119"/>
      <c r="W294" s="110"/>
      <c r="Y294" s="113"/>
      <c r="Z294" s="73"/>
      <c r="AA294" s="63"/>
    </row>
    <row r="295" spans="15:27" x14ac:dyDescent="0.3">
      <c r="O295" s="119"/>
      <c r="P295" s="119"/>
      <c r="W295" s="110"/>
      <c r="Y295" s="113"/>
      <c r="Z295" s="73"/>
      <c r="AA295" s="63"/>
    </row>
    <row r="296" spans="15:27" x14ac:dyDescent="0.3">
      <c r="O296" s="119"/>
      <c r="P296" s="119"/>
      <c r="W296" s="110"/>
      <c r="Y296" s="113"/>
      <c r="Z296" s="73"/>
      <c r="AA296" s="63"/>
    </row>
    <row r="297" spans="15:27" x14ac:dyDescent="0.3">
      <c r="O297" s="119"/>
      <c r="P297" s="119"/>
      <c r="W297" s="110"/>
      <c r="Y297" s="113"/>
      <c r="Z297" s="73"/>
      <c r="AA297" s="63"/>
    </row>
    <row r="298" spans="15:27" x14ac:dyDescent="0.3">
      <c r="O298" s="119"/>
      <c r="P298" s="119"/>
      <c r="W298" s="110"/>
      <c r="Y298" s="113"/>
      <c r="Z298" s="73"/>
      <c r="AA298" s="63"/>
    </row>
    <row r="299" spans="15:27" x14ac:dyDescent="0.3">
      <c r="O299" s="119"/>
      <c r="P299" s="119"/>
      <c r="W299" s="110"/>
      <c r="Y299" s="113"/>
      <c r="Z299" s="73"/>
      <c r="AA299" s="63"/>
    </row>
    <row r="300" spans="15:27" x14ac:dyDescent="0.3">
      <c r="O300" s="119"/>
      <c r="P300" s="119"/>
      <c r="W300" s="110"/>
      <c r="Y300" s="113"/>
      <c r="Z300" s="73"/>
      <c r="AA300" s="63"/>
    </row>
    <row r="301" spans="15:27" x14ac:dyDescent="0.3">
      <c r="O301" s="119"/>
      <c r="P301" s="119"/>
      <c r="W301" s="110"/>
      <c r="Y301" s="113"/>
      <c r="Z301" s="73"/>
      <c r="AA301" s="63"/>
    </row>
    <row r="302" spans="15:27" x14ac:dyDescent="0.3">
      <c r="O302" s="119"/>
      <c r="P302" s="119"/>
      <c r="W302" s="110"/>
      <c r="Y302" s="113"/>
      <c r="Z302" s="73"/>
      <c r="AA302" s="63"/>
    </row>
    <row r="303" spans="15:27" x14ac:dyDescent="0.3">
      <c r="O303" s="119"/>
      <c r="P303" s="119"/>
      <c r="W303" s="110"/>
      <c r="Y303" s="113"/>
      <c r="Z303" s="73"/>
      <c r="AA303" s="63"/>
    </row>
    <row r="304" spans="15:27" x14ac:dyDescent="0.3">
      <c r="O304" s="119"/>
      <c r="P304" s="119"/>
      <c r="W304" s="110"/>
      <c r="Y304" s="113"/>
      <c r="Z304" s="73"/>
      <c r="AA304" s="63"/>
    </row>
    <row r="305" spans="15:27" x14ac:dyDescent="0.3">
      <c r="O305" s="119"/>
      <c r="P305" s="119"/>
      <c r="W305" s="110"/>
      <c r="Y305" s="113"/>
      <c r="Z305" s="73"/>
      <c r="AA305" s="63"/>
    </row>
    <row r="306" spans="15:27" x14ac:dyDescent="0.3">
      <c r="O306" s="119"/>
      <c r="P306" s="119"/>
      <c r="W306" s="110"/>
      <c r="Y306" s="113"/>
      <c r="Z306" s="73"/>
      <c r="AA306" s="63"/>
    </row>
    <row r="307" spans="15:27" x14ac:dyDescent="0.3">
      <c r="O307" s="119"/>
      <c r="P307" s="119"/>
      <c r="W307" s="110"/>
      <c r="Y307" s="113"/>
      <c r="Z307" s="73"/>
      <c r="AA307" s="63"/>
    </row>
    <row r="308" spans="15:27" x14ac:dyDescent="0.3">
      <c r="O308" s="119"/>
      <c r="P308" s="119"/>
      <c r="W308" s="110"/>
      <c r="Y308" s="113"/>
      <c r="Z308" s="73"/>
      <c r="AA308" s="63"/>
    </row>
    <row r="309" spans="15:27" x14ac:dyDescent="0.3">
      <c r="O309" s="119"/>
      <c r="P309" s="119"/>
      <c r="W309" s="110"/>
      <c r="Y309" s="113"/>
      <c r="Z309" s="73"/>
      <c r="AA309" s="63"/>
    </row>
    <row r="310" spans="15:27" x14ac:dyDescent="0.3">
      <c r="O310" s="119"/>
      <c r="P310" s="119"/>
      <c r="W310" s="110"/>
      <c r="Y310" s="113"/>
      <c r="Z310" s="73"/>
      <c r="AA310" s="63"/>
    </row>
    <row r="311" spans="15:27" x14ac:dyDescent="0.3">
      <c r="O311" s="119"/>
      <c r="P311" s="119"/>
      <c r="W311" s="110"/>
      <c r="Y311" s="113"/>
      <c r="Z311" s="73"/>
      <c r="AA311" s="63"/>
    </row>
    <row r="312" spans="15:27" x14ac:dyDescent="0.3">
      <c r="O312" s="119"/>
      <c r="P312" s="119"/>
      <c r="W312" s="110"/>
      <c r="Y312" s="113"/>
      <c r="Z312" s="73"/>
      <c r="AA312" s="63"/>
    </row>
    <row r="313" spans="15:27" x14ac:dyDescent="0.3">
      <c r="O313" s="119"/>
      <c r="P313" s="119"/>
      <c r="W313" s="110"/>
      <c r="Y313" s="113"/>
      <c r="Z313" s="73"/>
      <c r="AA313" s="63"/>
    </row>
    <row r="314" spans="15:27" x14ac:dyDescent="0.3">
      <c r="O314" s="119"/>
      <c r="P314" s="119"/>
      <c r="W314" s="110"/>
      <c r="Y314" s="113"/>
      <c r="Z314" s="73"/>
      <c r="AA314" s="63"/>
    </row>
    <row r="315" spans="15:27" x14ac:dyDescent="0.3">
      <c r="O315" s="119"/>
      <c r="P315" s="119"/>
      <c r="W315" s="110"/>
      <c r="Y315" s="113"/>
      <c r="Z315" s="73"/>
      <c r="AA315" s="63"/>
    </row>
    <row r="316" spans="15:27" x14ac:dyDescent="0.3">
      <c r="O316" s="119"/>
      <c r="P316" s="119"/>
      <c r="W316" s="110"/>
      <c r="Y316" s="113"/>
      <c r="Z316" s="73"/>
      <c r="AA316" s="63"/>
    </row>
    <row r="317" spans="15:27" x14ac:dyDescent="0.3">
      <c r="O317" s="119"/>
      <c r="P317" s="119"/>
      <c r="W317" s="110"/>
      <c r="Y317" s="113"/>
      <c r="Z317" s="73"/>
      <c r="AA317" s="63"/>
    </row>
    <row r="318" spans="15:27" x14ac:dyDescent="0.3">
      <c r="O318" s="119"/>
      <c r="P318" s="119"/>
      <c r="W318" s="110"/>
      <c r="Y318" s="113"/>
      <c r="Z318" s="73"/>
      <c r="AA318" s="63"/>
    </row>
    <row r="319" spans="15:27" x14ac:dyDescent="0.3">
      <c r="O319" s="119"/>
      <c r="P319" s="119"/>
      <c r="W319" s="110"/>
      <c r="Y319" s="113"/>
      <c r="Z319" s="73"/>
      <c r="AA319" s="63"/>
    </row>
    <row r="320" spans="15:27" x14ac:dyDescent="0.3">
      <c r="O320" s="119"/>
      <c r="P320" s="119"/>
      <c r="W320" s="110"/>
      <c r="Y320" s="113"/>
      <c r="Z320" s="73"/>
      <c r="AA320" s="63"/>
    </row>
    <row r="321" spans="15:27" x14ac:dyDescent="0.3">
      <c r="O321" s="119"/>
      <c r="P321" s="119"/>
      <c r="W321" s="110"/>
      <c r="Y321" s="113"/>
      <c r="Z321" s="73"/>
      <c r="AA321" s="63"/>
    </row>
    <row r="322" spans="15:27" x14ac:dyDescent="0.3">
      <c r="O322" s="119"/>
      <c r="P322" s="119"/>
      <c r="W322" s="110"/>
      <c r="Y322" s="113"/>
      <c r="Z322" s="73"/>
      <c r="AA322" s="63"/>
    </row>
    <row r="323" spans="15:27" x14ac:dyDescent="0.3">
      <c r="O323" s="119"/>
      <c r="P323" s="119"/>
      <c r="W323" s="110"/>
      <c r="Y323" s="113"/>
      <c r="Z323" s="73"/>
      <c r="AA323" s="63"/>
    </row>
    <row r="324" spans="15:27" x14ac:dyDescent="0.3">
      <c r="O324" s="119"/>
      <c r="P324" s="119"/>
      <c r="W324" s="110"/>
      <c r="Y324" s="113"/>
      <c r="Z324" s="73"/>
      <c r="AA324" s="63"/>
    </row>
    <row r="325" spans="15:27" x14ac:dyDescent="0.3">
      <c r="O325" s="119"/>
      <c r="P325" s="119"/>
      <c r="W325" s="110"/>
      <c r="Y325" s="113"/>
      <c r="Z325" s="73"/>
      <c r="AA325" s="63"/>
    </row>
    <row r="326" spans="15:27" x14ac:dyDescent="0.3">
      <c r="O326" s="119"/>
      <c r="P326" s="119"/>
      <c r="W326" s="110"/>
      <c r="Y326" s="113"/>
      <c r="Z326" s="73"/>
      <c r="AA326" s="63"/>
    </row>
    <row r="327" spans="15:27" x14ac:dyDescent="0.3">
      <c r="O327" s="119"/>
      <c r="P327" s="119"/>
      <c r="W327" s="110"/>
      <c r="Y327" s="113"/>
      <c r="Z327" s="73"/>
      <c r="AA327" s="63"/>
    </row>
    <row r="328" spans="15:27" x14ac:dyDescent="0.3">
      <c r="O328" s="119"/>
      <c r="P328" s="119"/>
      <c r="W328" s="110"/>
      <c r="Y328" s="113"/>
      <c r="Z328" s="73"/>
      <c r="AA328" s="63"/>
    </row>
    <row r="329" spans="15:27" x14ac:dyDescent="0.3">
      <c r="O329" s="119"/>
      <c r="P329" s="119"/>
      <c r="W329" s="110"/>
      <c r="Y329" s="113"/>
      <c r="Z329" s="73"/>
      <c r="AA329" s="63"/>
    </row>
    <row r="330" spans="15:27" x14ac:dyDescent="0.3">
      <c r="O330" s="119"/>
      <c r="P330" s="119"/>
      <c r="W330" s="110"/>
      <c r="Y330" s="113"/>
      <c r="Z330" s="73"/>
      <c r="AA330" s="63"/>
    </row>
    <row r="331" spans="15:27" x14ac:dyDescent="0.3">
      <c r="O331" s="119"/>
      <c r="P331" s="119"/>
      <c r="W331" s="110"/>
      <c r="Y331" s="113"/>
      <c r="Z331" s="73"/>
      <c r="AA331" s="63"/>
    </row>
    <row r="332" spans="15:27" x14ac:dyDescent="0.3">
      <c r="O332" s="119"/>
      <c r="P332" s="119"/>
      <c r="W332" s="110"/>
      <c r="Y332" s="113"/>
      <c r="Z332" s="73"/>
      <c r="AA332" s="63"/>
    </row>
    <row r="333" spans="15:27" x14ac:dyDescent="0.3">
      <c r="O333" s="119"/>
      <c r="P333" s="119"/>
      <c r="W333" s="110"/>
      <c r="Y333" s="113"/>
      <c r="Z333" s="73"/>
      <c r="AA333" s="63"/>
    </row>
    <row r="334" spans="15:27" x14ac:dyDescent="0.3">
      <c r="O334" s="119"/>
      <c r="P334" s="119"/>
      <c r="W334" s="110"/>
      <c r="Y334" s="113"/>
      <c r="Z334" s="73"/>
      <c r="AA334" s="63"/>
    </row>
    <row r="335" spans="15:27" x14ac:dyDescent="0.3">
      <c r="O335" s="119"/>
      <c r="P335" s="119"/>
      <c r="W335" s="110"/>
      <c r="Y335" s="113"/>
      <c r="Z335" s="73"/>
      <c r="AA335" s="63"/>
    </row>
    <row r="336" spans="15:27" x14ac:dyDescent="0.3">
      <c r="O336" s="119"/>
      <c r="P336" s="119"/>
      <c r="W336" s="110"/>
      <c r="Y336" s="113"/>
      <c r="Z336" s="73"/>
      <c r="AA336" s="63"/>
    </row>
    <row r="337" spans="15:27" x14ac:dyDescent="0.3">
      <c r="O337" s="119"/>
      <c r="P337" s="119"/>
      <c r="W337" s="110"/>
      <c r="Y337" s="113"/>
      <c r="Z337" s="73"/>
      <c r="AA337" s="63"/>
    </row>
    <row r="338" spans="15:27" x14ac:dyDescent="0.3">
      <c r="O338" s="119"/>
      <c r="P338" s="119"/>
      <c r="W338" s="110"/>
      <c r="Y338" s="113"/>
      <c r="Z338" s="73"/>
      <c r="AA338" s="63"/>
    </row>
    <row r="339" spans="15:27" x14ac:dyDescent="0.3">
      <c r="O339" s="119"/>
      <c r="P339" s="119"/>
      <c r="W339" s="110"/>
      <c r="Y339" s="113"/>
      <c r="Z339" s="73"/>
      <c r="AA339" s="63"/>
    </row>
    <row r="340" spans="15:27" x14ac:dyDescent="0.3">
      <c r="O340" s="119"/>
      <c r="P340" s="119"/>
      <c r="W340" s="110"/>
      <c r="Y340" s="113"/>
      <c r="Z340" s="73"/>
      <c r="AA340" s="63"/>
    </row>
    <row r="341" spans="15:27" x14ac:dyDescent="0.3">
      <c r="O341" s="119"/>
      <c r="P341" s="119"/>
      <c r="W341" s="110"/>
      <c r="Y341" s="113"/>
      <c r="Z341" s="73"/>
      <c r="AA341" s="63"/>
    </row>
    <row r="342" spans="15:27" x14ac:dyDescent="0.3">
      <c r="O342" s="119"/>
      <c r="P342" s="119"/>
      <c r="W342" s="110"/>
      <c r="Y342" s="113"/>
      <c r="Z342" s="73"/>
      <c r="AA342" s="63"/>
    </row>
    <row r="343" spans="15:27" x14ac:dyDescent="0.3">
      <c r="O343" s="119"/>
      <c r="P343" s="119"/>
      <c r="W343" s="110"/>
      <c r="Y343" s="113"/>
      <c r="Z343" s="73"/>
      <c r="AA343" s="63"/>
    </row>
    <row r="344" spans="15:27" x14ac:dyDescent="0.3">
      <c r="O344" s="119"/>
      <c r="P344" s="119"/>
      <c r="W344" s="110"/>
      <c r="Y344" s="113"/>
      <c r="Z344" s="73"/>
      <c r="AA344" s="63"/>
    </row>
    <row r="345" spans="15:27" x14ac:dyDescent="0.3">
      <c r="O345" s="119"/>
      <c r="P345" s="119"/>
      <c r="W345" s="110"/>
      <c r="Y345" s="113"/>
      <c r="Z345" s="73"/>
      <c r="AA345" s="63"/>
    </row>
    <row r="346" spans="15:27" x14ac:dyDescent="0.3">
      <c r="O346" s="119"/>
      <c r="P346" s="119"/>
      <c r="W346" s="110"/>
      <c r="Y346" s="113"/>
      <c r="Z346" s="73"/>
      <c r="AA346" s="63"/>
    </row>
    <row r="347" spans="15:27" x14ac:dyDescent="0.3">
      <c r="O347" s="119"/>
      <c r="P347" s="119"/>
      <c r="W347" s="110"/>
      <c r="Y347" s="113"/>
      <c r="Z347" s="73"/>
      <c r="AA347" s="63"/>
    </row>
    <row r="348" spans="15:27" x14ac:dyDescent="0.3">
      <c r="O348" s="119"/>
      <c r="P348" s="119"/>
      <c r="W348" s="110"/>
      <c r="Y348" s="113"/>
      <c r="Z348" s="73"/>
      <c r="AA348" s="63"/>
    </row>
    <row r="349" spans="15:27" x14ac:dyDescent="0.3">
      <c r="O349" s="119"/>
      <c r="P349" s="119"/>
      <c r="W349" s="110"/>
      <c r="Y349" s="113"/>
      <c r="Z349" s="73"/>
      <c r="AA349" s="63"/>
    </row>
    <row r="350" spans="15:27" x14ac:dyDescent="0.3">
      <c r="O350" s="119"/>
      <c r="P350" s="119"/>
      <c r="W350" s="110"/>
      <c r="Y350" s="113"/>
      <c r="Z350" s="73"/>
      <c r="AA350" s="63"/>
    </row>
    <row r="351" spans="15:27" x14ac:dyDescent="0.3">
      <c r="O351" s="119"/>
      <c r="P351" s="119"/>
      <c r="W351" s="110"/>
      <c r="Y351" s="113"/>
      <c r="Z351" s="73"/>
      <c r="AA351" s="63"/>
    </row>
    <row r="352" spans="15:27" x14ac:dyDescent="0.3">
      <c r="O352" s="119"/>
      <c r="P352" s="119"/>
      <c r="W352" s="110"/>
      <c r="Y352" s="113"/>
      <c r="Z352" s="73"/>
      <c r="AA352" s="63"/>
    </row>
    <row r="353" spans="15:27" x14ac:dyDescent="0.3">
      <c r="O353" s="119"/>
      <c r="P353" s="119"/>
      <c r="W353" s="110"/>
      <c r="Y353" s="113"/>
      <c r="Z353" s="73"/>
      <c r="AA353" s="63"/>
    </row>
    <row r="354" spans="15:27" x14ac:dyDescent="0.3">
      <c r="O354" s="119"/>
      <c r="P354" s="119"/>
      <c r="W354" s="110"/>
      <c r="Y354" s="113"/>
      <c r="Z354" s="73"/>
      <c r="AA354" s="63"/>
    </row>
    <row r="355" spans="15:27" x14ac:dyDescent="0.3">
      <c r="O355" s="119"/>
      <c r="P355" s="119"/>
      <c r="W355" s="110"/>
      <c r="Y355" s="113"/>
      <c r="Z355" s="73"/>
      <c r="AA355" s="63"/>
    </row>
    <row r="356" spans="15:27" x14ac:dyDescent="0.3">
      <c r="O356" s="119"/>
      <c r="P356" s="119"/>
      <c r="W356" s="110"/>
      <c r="Y356" s="113"/>
      <c r="Z356" s="73"/>
      <c r="AA356" s="63"/>
    </row>
    <row r="357" spans="15:27" x14ac:dyDescent="0.3">
      <c r="O357" s="119"/>
      <c r="P357" s="119"/>
      <c r="W357" s="110"/>
      <c r="Y357" s="113"/>
      <c r="Z357" s="73"/>
      <c r="AA357" s="63"/>
    </row>
    <row r="358" spans="15:27" x14ac:dyDescent="0.3">
      <c r="O358" s="119"/>
      <c r="P358" s="119"/>
      <c r="W358" s="110"/>
      <c r="Y358" s="113"/>
      <c r="Z358" s="73"/>
      <c r="AA358" s="63"/>
    </row>
    <row r="359" spans="15:27" x14ac:dyDescent="0.3">
      <c r="O359" s="119"/>
      <c r="P359" s="119"/>
      <c r="W359" s="110"/>
      <c r="Y359" s="113"/>
      <c r="Z359" s="73"/>
      <c r="AA359" s="63"/>
    </row>
    <row r="360" spans="15:27" x14ac:dyDescent="0.3">
      <c r="O360" s="119"/>
      <c r="P360" s="119"/>
      <c r="W360" s="110"/>
      <c r="Y360" s="113"/>
      <c r="Z360" s="73"/>
      <c r="AA360" s="63"/>
    </row>
    <row r="361" spans="15:27" x14ac:dyDescent="0.3">
      <c r="O361" s="119"/>
      <c r="P361" s="119"/>
      <c r="W361" s="110"/>
      <c r="Y361" s="113"/>
      <c r="Z361" s="73"/>
      <c r="AA361" s="63"/>
    </row>
    <row r="362" spans="15:27" x14ac:dyDescent="0.3">
      <c r="O362" s="119"/>
      <c r="P362" s="119"/>
      <c r="W362" s="110"/>
      <c r="Y362" s="113"/>
      <c r="Z362" s="73"/>
      <c r="AA362" s="63"/>
    </row>
    <row r="363" spans="15:27" x14ac:dyDescent="0.3">
      <c r="O363" s="119"/>
      <c r="P363" s="119"/>
      <c r="W363" s="110"/>
      <c r="Y363" s="113"/>
      <c r="Z363" s="73"/>
      <c r="AA363" s="63"/>
    </row>
    <row r="364" spans="15:27" x14ac:dyDescent="0.3">
      <c r="O364" s="119"/>
      <c r="P364" s="119"/>
      <c r="W364" s="110"/>
      <c r="Y364" s="113"/>
      <c r="Z364" s="73"/>
      <c r="AA364" s="63"/>
    </row>
    <row r="365" spans="15:27" x14ac:dyDescent="0.3">
      <c r="O365" s="119"/>
      <c r="P365" s="119"/>
      <c r="W365" s="110"/>
      <c r="Y365" s="113"/>
      <c r="Z365" s="73"/>
      <c r="AA365" s="63"/>
    </row>
    <row r="366" spans="15:27" x14ac:dyDescent="0.3">
      <c r="O366" s="119"/>
      <c r="P366" s="119"/>
      <c r="W366" s="110"/>
      <c r="Y366" s="113"/>
      <c r="Z366" s="73"/>
      <c r="AA366" s="63"/>
    </row>
    <row r="367" spans="15:27" x14ac:dyDescent="0.3">
      <c r="O367" s="119"/>
      <c r="P367" s="119"/>
      <c r="W367" s="110"/>
      <c r="Y367" s="113"/>
      <c r="Z367" s="73"/>
      <c r="AA367" s="63"/>
    </row>
    <row r="368" spans="15:27" x14ac:dyDescent="0.3">
      <c r="O368" s="119"/>
      <c r="P368" s="119"/>
      <c r="W368" s="110"/>
      <c r="Y368" s="113"/>
      <c r="Z368" s="73"/>
      <c r="AA368" s="63"/>
    </row>
    <row r="369" spans="15:27" x14ac:dyDescent="0.3">
      <c r="O369" s="119"/>
      <c r="P369" s="119"/>
      <c r="W369" s="110"/>
      <c r="Y369" s="113"/>
      <c r="Z369" s="73"/>
      <c r="AA369" s="63"/>
    </row>
    <row r="370" spans="15:27" x14ac:dyDescent="0.3">
      <c r="O370" s="119"/>
      <c r="P370" s="119"/>
      <c r="W370" s="110"/>
      <c r="Y370" s="113"/>
      <c r="Z370" s="73"/>
      <c r="AA370" s="63"/>
    </row>
    <row r="371" spans="15:27" x14ac:dyDescent="0.3">
      <c r="O371" s="119"/>
      <c r="P371" s="119"/>
      <c r="W371" s="110"/>
      <c r="Y371" s="113"/>
      <c r="Z371" s="73"/>
      <c r="AA371" s="63"/>
    </row>
    <row r="372" spans="15:27" x14ac:dyDescent="0.3">
      <c r="O372" s="119"/>
      <c r="P372" s="119"/>
      <c r="W372" s="110"/>
      <c r="Y372" s="113"/>
      <c r="Z372" s="73"/>
      <c r="AA372" s="63"/>
    </row>
    <row r="373" spans="15:27" x14ac:dyDescent="0.3">
      <c r="O373" s="119"/>
      <c r="P373" s="119"/>
      <c r="W373" s="110"/>
      <c r="Y373" s="113"/>
      <c r="Z373" s="73"/>
      <c r="AA373" s="63"/>
    </row>
    <row r="374" spans="15:27" x14ac:dyDescent="0.3">
      <c r="O374" s="119"/>
      <c r="P374" s="119"/>
      <c r="W374" s="110"/>
      <c r="Y374" s="113"/>
      <c r="Z374" s="73"/>
      <c r="AA374" s="63"/>
    </row>
    <row r="375" spans="15:27" x14ac:dyDescent="0.3">
      <c r="O375" s="119"/>
      <c r="P375" s="119"/>
      <c r="W375" s="110"/>
      <c r="Y375" s="113"/>
      <c r="Z375" s="73"/>
      <c r="AA375" s="63"/>
    </row>
    <row r="376" spans="15:27" x14ac:dyDescent="0.3">
      <c r="O376" s="119"/>
      <c r="P376" s="119"/>
      <c r="W376" s="110"/>
      <c r="Y376" s="113"/>
      <c r="Z376" s="73"/>
      <c r="AA376" s="63"/>
    </row>
    <row r="377" spans="15:27" x14ac:dyDescent="0.3">
      <c r="O377" s="119"/>
      <c r="P377" s="119"/>
      <c r="W377" s="110"/>
      <c r="Y377" s="113"/>
      <c r="Z377" s="73"/>
      <c r="AA377" s="63"/>
    </row>
    <row r="378" spans="15:27" x14ac:dyDescent="0.3">
      <c r="O378" s="119"/>
      <c r="P378" s="119"/>
      <c r="W378" s="110"/>
      <c r="Y378" s="113"/>
      <c r="Z378" s="73"/>
      <c r="AA378" s="63"/>
    </row>
    <row r="379" spans="15:27" x14ac:dyDescent="0.3">
      <c r="O379" s="119"/>
      <c r="P379" s="119"/>
      <c r="W379" s="110"/>
    </row>
    <row r="380" spans="15:27" x14ac:dyDescent="0.3">
      <c r="O380" s="119"/>
      <c r="P380" s="119"/>
      <c r="W380" s="110"/>
    </row>
    <row r="381" spans="15:27" x14ac:dyDescent="0.3">
      <c r="O381" s="119"/>
      <c r="P381" s="119"/>
      <c r="W381" s="110"/>
    </row>
    <row r="382" spans="15:27" x14ac:dyDescent="0.3">
      <c r="O382" s="119"/>
      <c r="P382" s="119"/>
      <c r="W382" s="110"/>
    </row>
    <row r="383" spans="15:27" x14ac:dyDescent="0.3">
      <c r="O383" s="119"/>
      <c r="P383" s="119"/>
      <c r="W383" s="110"/>
    </row>
    <row r="384" spans="15:27" x14ac:dyDescent="0.3">
      <c r="O384" s="119"/>
      <c r="P384" s="119"/>
      <c r="W384" s="110"/>
    </row>
    <row r="385" spans="15:23" x14ac:dyDescent="0.3">
      <c r="O385" s="119"/>
      <c r="P385" s="119"/>
      <c r="W385" s="110"/>
    </row>
    <row r="386" spans="15:23" x14ac:dyDescent="0.3">
      <c r="O386" s="119"/>
      <c r="P386" s="119"/>
      <c r="W386" s="110"/>
    </row>
    <row r="387" spans="15:23" x14ac:dyDescent="0.3">
      <c r="O387" s="119"/>
      <c r="P387" s="119"/>
      <c r="W387" s="110"/>
    </row>
    <row r="388" spans="15:23" x14ac:dyDescent="0.3">
      <c r="O388" s="119"/>
      <c r="P388" s="119"/>
      <c r="W388" s="110"/>
    </row>
    <row r="389" spans="15:23" x14ac:dyDescent="0.3">
      <c r="O389" s="119"/>
      <c r="P389" s="119"/>
      <c r="W389" s="110"/>
    </row>
    <row r="390" spans="15:23" x14ac:dyDescent="0.3">
      <c r="O390" s="119"/>
      <c r="P390" s="119"/>
      <c r="W390" s="110"/>
    </row>
    <row r="391" spans="15:23" x14ac:dyDescent="0.3">
      <c r="O391" s="119"/>
      <c r="P391" s="119"/>
      <c r="W391" s="110"/>
    </row>
    <row r="392" spans="15:23" x14ac:dyDescent="0.3">
      <c r="O392" s="119"/>
      <c r="P392" s="119"/>
      <c r="W392" s="110"/>
    </row>
    <row r="393" spans="15:23" x14ac:dyDescent="0.3">
      <c r="O393" s="119"/>
      <c r="P393" s="119"/>
      <c r="W393" s="110"/>
    </row>
    <row r="394" spans="15:23" x14ac:dyDescent="0.3">
      <c r="O394" s="119"/>
      <c r="P394" s="119"/>
      <c r="W394" s="110"/>
    </row>
    <row r="395" spans="15:23" x14ac:dyDescent="0.3">
      <c r="O395" s="119"/>
      <c r="P395" s="119"/>
      <c r="W395" s="110"/>
    </row>
    <row r="396" spans="15:23" x14ac:dyDescent="0.3">
      <c r="O396" s="119"/>
      <c r="P396" s="119"/>
      <c r="W396" s="110"/>
    </row>
    <row r="397" spans="15:23" x14ac:dyDescent="0.3">
      <c r="O397" s="119"/>
      <c r="P397" s="119"/>
      <c r="W397" s="110"/>
    </row>
    <row r="398" spans="15:23" x14ac:dyDescent="0.3">
      <c r="O398" s="119"/>
      <c r="P398" s="119"/>
      <c r="W398" s="110"/>
    </row>
    <row r="399" spans="15:23" x14ac:dyDescent="0.3">
      <c r="O399" s="119"/>
      <c r="P399" s="119"/>
      <c r="W399" s="110"/>
    </row>
    <row r="400" spans="15:23" x14ac:dyDescent="0.3">
      <c r="O400" s="119"/>
      <c r="P400" s="119"/>
      <c r="W400" s="110"/>
    </row>
    <row r="401" spans="15:16" x14ac:dyDescent="0.3">
      <c r="O401" s="119"/>
      <c r="P401" s="119"/>
    </row>
    <row r="402" spans="15:16" x14ac:dyDescent="0.3">
      <c r="O402" s="119"/>
      <c r="P402" s="119"/>
    </row>
    <row r="403" spans="15:16" x14ac:dyDescent="0.3">
      <c r="O403" s="119"/>
      <c r="P403" s="119"/>
    </row>
    <row r="404" spans="15:16" x14ac:dyDescent="0.3">
      <c r="O404" s="119"/>
      <c r="P404" s="119"/>
    </row>
    <row r="405" spans="15:16" x14ac:dyDescent="0.3">
      <c r="O405" s="119"/>
      <c r="P405" s="119"/>
    </row>
    <row r="406" spans="15:16" x14ac:dyDescent="0.3">
      <c r="O406" s="119"/>
      <c r="P406" s="119"/>
    </row>
    <row r="407" spans="15:16" x14ac:dyDescent="0.3">
      <c r="O407" s="119"/>
      <c r="P407" s="119"/>
    </row>
    <row r="408" spans="15:16" x14ac:dyDescent="0.3">
      <c r="O408" s="119"/>
      <c r="P408" s="119"/>
    </row>
    <row r="409" spans="15:16" x14ac:dyDescent="0.3">
      <c r="O409" s="119"/>
      <c r="P409" s="119"/>
    </row>
    <row r="410" spans="15:16" x14ac:dyDescent="0.3">
      <c r="O410" s="119"/>
      <c r="P410" s="119"/>
    </row>
    <row r="411" spans="15:16" x14ac:dyDescent="0.3">
      <c r="O411" s="119"/>
      <c r="P411" s="119"/>
    </row>
    <row r="412" spans="15:16" x14ac:dyDescent="0.3">
      <c r="O412" s="119"/>
      <c r="P412" s="119"/>
    </row>
    <row r="413" spans="15:16" x14ac:dyDescent="0.3">
      <c r="O413" s="119"/>
      <c r="P413" s="119"/>
    </row>
    <row r="414" spans="15:16" x14ac:dyDescent="0.3">
      <c r="O414" s="119"/>
      <c r="P414" s="119"/>
    </row>
    <row r="415" spans="15:16" x14ac:dyDescent="0.3">
      <c r="O415" s="119"/>
      <c r="P415" s="119"/>
    </row>
    <row r="416" spans="15:16" x14ac:dyDescent="0.3">
      <c r="O416" s="119"/>
      <c r="P416" s="119"/>
    </row>
    <row r="417" spans="15:16" x14ac:dyDescent="0.3">
      <c r="O417" s="119"/>
      <c r="P417" s="119"/>
    </row>
    <row r="418" spans="15:16" x14ac:dyDescent="0.3">
      <c r="O418" s="119"/>
      <c r="P418" s="119"/>
    </row>
    <row r="419" spans="15:16" x14ac:dyDescent="0.3">
      <c r="O419" s="119"/>
      <c r="P419" s="119"/>
    </row>
    <row r="420" spans="15:16" x14ac:dyDescent="0.3">
      <c r="O420" s="119"/>
      <c r="P420" s="119"/>
    </row>
    <row r="421" spans="15:16" x14ac:dyDescent="0.3">
      <c r="O421" s="119"/>
      <c r="P421" s="119"/>
    </row>
  </sheetData>
  <sheetProtection algorithmName="SHA-512" hashValue="PmvQ6qIe9Z8COE7e/qHVeXTUzsd42WOfO9th3BLkmTNrJ2WzcdeOCNGZpgvWyO9YK8qqEWy+fl8YohtpOiZhpw==" saltValue="dXnYj3mNP7MedzHVxRRWmw==" spinCount="100000" sheet="1"/>
  <autoFilter ref="C7:I7" xr:uid="{453775BE-08E1-4AA7-A1E5-0114F589C266}"/>
  <mergeCells count="6">
    <mergeCell ref="Y6:AA6"/>
    <mergeCell ref="G1:O3"/>
    <mergeCell ref="P5:T5"/>
    <mergeCell ref="K6:M6"/>
    <mergeCell ref="N6:O6"/>
    <mergeCell ref="W6:X6"/>
  </mergeCells>
  <phoneticPr fontId="2" type="noConversion"/>
  <conditionalFormatting sqref="F318:O500 J8:O317">
    <cfRule type="expression" priority="9" stopIfTrue="1">
      <formula>$U8=""</formula>
    </cfRule>
    <cfRule type="expression" dxfId="23" priority="10">
      <formula>AND($U8=0)</formula>
    </cfRule>
    <cfRule type="expression" dxfId="22" priority="11">
      <formula>$V8=6</formula>
    </cfRule>
    <cfRule type="expression" dxfId="21" priority="12">
      <formula>$V8=5</formula>
    </cfRule>
    <cfRule type="expression" dxfId="20" priority="13">
      <formula>$V8=4</formula>
    </cfRule>
    <cfRule type="expression" dxfId="19" priority="14">
      <formula>$V8=3</formula>
    </cfRule>
    <cfRule type="expression" dxfId="18" priority="15">
      <formula>$V8=2</formula>
    </cfRule>
    <cfRule type="expression" dxfId="17" priority="16">
      <formula>$V8=1</formula>
    </cfRule>
  </conditionalFormatting>
  <conditionalFormatting sqref="F8:I317">
    <cfRule type="expression" priority="1" stopIfTrue="1">
      <formula>$U8=""</formula>
    </cfRule>
    <cfRule type="expression" dxfId="16" priority="2">
      <formula>AND($U8=0)</formula>
    </cfRule>
    <cfRule type="expression" dxfId="15" priority="3">
      <formula>$V8=6</formula>
    </cfRule>
    <cfRule type="expression" dxfId="14" priority="4">
      <formula>$V8=5</formula>
    </cfRule>
    <cfRule type="expression" dxfId="13" priority="5">
      <formula>$V8=4</formula>
    </cfRule>
    <cfRule type="expression" dxfId="12" priority="6">
      <formula>$V8=3</formula>
    </cfRule>
    <cfRule type="expression" dxfId="11" priority="7">
      <formula>$V8=2</formula>
    </cfRule>
    <cfRule type="expression" dxfId="10" priority="8">
      <formula>$V8=1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8E17-CF19-45F1-9D95-12ED4ACD46EB}">
  <dimension ref="A1:RL625"/>
  <sheetViews>
    <sheetView workbookViewId="0">
      <pane xSplit="5" ySplit="10" topLeftCell="F174" activePane="bottomRight" state="frozen"/>
      <selection pane="topRight" activeCell="F1" sqref="F1"/>
      <selection pane="bottomLeft" activeCell="A11" sqref="A11"/>
      <selection pane="bottomRight" activeCell="B1" sqref="B1"/>
    </sheetView>
  </sheetViews>
  <sheetFormatPr defaultRowHeight="16.5" x14ac:dyDescent="0.3"/>
  <cols>
    <col min="1" max="1" width="7.5" style="7" customWidth="1"/>
    <col min="2" max="2" width="9.125" style="7" customWidth="1"/>
    <col min="3" max="3" width="5.5" style="7" customWidth="1"/>
    <col min="4" max="4" width="9" style="7"/>
    <col min="5" max="5" width="11.125" style="7" customWidth="1"/>
    <col min="6" max="6" width="5.5" style="7" customWidth="1"/>
    <col min="7" max="7" width="8" style="41" customWidth="1"/>
    <col min="8" max="8" width="8.75" style="41" customWidth="1"/>
    <col min="9" max="9" width="12.25" style="41" customWidth="1"/>
    <col min="10" max="10" width="12.625" style="41" customWidth="1"/>
    <col min="11" max="11" width="7.75" style="7" customWidth="1"/>
    <col min="12" max="12" width="12.75" style="7" customWidth="1"/>
    <col min="13" max="17" width="10.375" style="7" customWidth="1"/>
    <col min="18" max="18" width="8.125" style="7" customWidth="1"/>
    <col min="19" max="20" width="6.875" style="7" customWidth="1"/>
    <col min="21" max="21" width="8.625" style="7" customWidth="1"/>
    <col min="22" max="22" width="11.875" style="7" customWidth="1"/>
    <col min="23" max="23" width="10.75" style="7" customWidth="1"/>
    <col min="24" max="33" width="5.5" style="7" customWidth="1"/>
    <col min="34" max="34" width="7.25" style="7" customWidth="1"/>
    <col min="35" max="35" width="7.875" style="7" customWidth="1"/>
    <col min="36" max="36" width="13.5" style="121" customWidth="1"/>
    <col min="37" max="37" width="12.25" style="7" customWidth="1"/>
    <col min="38" max="38" width="10.125" style="7" customWidth="1"/>
    <col min="39" max="39" width="8.25" style="7" customWidth="1"/>
    <col min="40" max="40" width="12.25" style="7" customWidth="1"/>
    <col min="41" max="60" width="9" style="7"/>
    <col min="61" max="62" width="9.625" style="7" customWidth="1"/>
    <col min="63" max="63" width="9" style="7"/>
    <col min="64" max="64" width="10" style="7" customWidth="1"/>
    <col min="65" max="140" width="9" style="7"/>
    <col min="141" max="141" width="11.5" style="7" customWidth="1"/>
    <col min="142" max="150" width="9" style="7"/>
    <col min="151" max="152" width="14" style="7" customWidth="1"/>
    <col min="153" max="165" width="11.625" style="7" customWidth="1"/>
    <col min="166" max="171" width="9" style="7"/>
    <col min="172" max="172" width="16.375" style="7" customWidth="1"/>
    <col min="173" max="173" width="18.375" style="7" customWidth="1"/>
    <col min="174" max="176" width="9" style="7"/>
    <col min="177" max="200" width="9.875" style="7" customWidth="1"/>
    <col min="201" max="428" width="9" style="7"/>
    <col min="429" max="431" width="9" style="7" customWidth="1"/>
    <col min="432" max="16384" width="9" style="7"/>
  </cols>
  <sheetData>
    <row r="1" spans="1:480" x14ac:dyDescent="0.3">
      <c r="G1" s="7"/>
      <c r="S1" s="168" t="s">
        <v>877</v>
      </c>
      <c r="T1" s="168" t="s">
        <v>867</v>
      </c>
      <c r="AJ1" s="7"/>
    </row>
    <row r="2" spans="1:480" ht="17.25" thickBot="1" x14ac:dyDescent="0.35">
      <c r="E2" s="107"/>
      <c r="G2" s="7"/>
      <c r="S2" s="169" t="s">
        <v>683</v>
      </c>
      <c r="T2" s="168" t="s">
        <v>678</v>
      </c>
      <c r="U2" s="170" t="e">
        <f>IF(U3=#REF!,"전부 입력됨",_xlfn.CONCAT('배치점수 계산기'!U4-#REF!,"개 부족"))</f>
        <v>#REF!</v>
      </c>
      <c r="V2" s="50" t="s">
        <v>868</v>
      </c>
      <c r="AJ2" s="7"/>
    </row>
    <row r="3" spans="1:480" x14ac:dyDescent="0.3">
      <c r="A3" s="171" t="s">
        <v>484</v>
      </c>
      <c r="B3" s="172"/>
      <c r="C3" s="172"/>
      <c r="D3" s="173"/>
      <c r="E3" s="174"/>
      <c r="G3" s="7"/>
      <c r="S3" s="175">
        <f>COUNTIF(X11:X1000,2)</f>
        <v>0</v>
      </c>
      <c r="T3" s="175">
        <f ca="1">(COUNTA(OFFSET(M11,,,U3,COUNT(M11:Q11)))-COUNT(OFFSET(M11,,,U3,COUNT(M11:Q11))))/COUNT(M11:Q11)</f>
        <v>0</v>
      </c>
      <c r="U3" s="129">
        <f>U4+U5+U6+U7</f>
        <v>614</v>
      </c>
      <c r="AJ3" s="7"/>
    </row>
    <row r="4" spans="1:480" ht="17.25" thickBot="1" x14ac:dyDescent="0.35">
      <c r="A4" s="79"/>
      <c r="B4" s="176"/>
      <c r="C4" s="176"/>
      <c r="D4" s="177"/>
      <c r="E4" s="178">
        <v>1</v>
      </c>
      <c r="G4" s="7"/>
      <c r="T4" s="7" t="s">
        <v>468</v>
      </c>
      <c r="U4" s="7">
        <f>COUNTIF(B11:C1000,"가")</f>
        <v>310</v>
      </c>
      <c r="AJ4" s="167"/>
    </row>
    <row r="5" spans="1:480" ht="17.25" thickBot="1" x14ac:dyDescent="0.35">
      <c r="D5" s="179" t="str">
        <f>IF(E4=1,"표준점수 기준",IF(E4=9,"원점수 기준"))</f>
        <v>표준점수 기준</v>
      </c>
      <c r="E5" s="180"/>
      <c r="T5" s="7" t="s">
        <v>469</v>
      </c>
      <c r="U5" s="7">
        <f>COUNTIF(B11:C1000,"나")</f>
        <v>254</v>
      </c>
    </row>
    <row r="6" spans="1:480" x14ac:dyDescent="0.3">
      <c r="M6" s="181" t="s">
        <v>878</v>
      </c>
      <c r="T6" s="7" t="s">
        <v>470</v>
      </c>
      <c r="U6" s="7">
        <f>COUNTIF(B11:C1000,"다")</f>
        <v>38</v>
      </c>
      <c r="AO6" s="51"/>
      <c r="BL6" s="51"/>
      <c r="DL6" s="167"/>
      <c r="EQ6" s="51"/>
      <c r="GQ6" s="167"/>
      <c r="HV6" s="51"/>
      <c r="JV6" s="167"/>
      <c r="LA6" s="51"/>
      <c r="NA6" s="167"/>
      <c r="OF6" s="51"/>
      <c r="QF6" s="167"/>
    </row>
    <row r="7" spans="1:480" ht="17.25" thickBot="1" x14ac:dyDescent="0.35">
      <c r="A7" s="181" t="s">
        <v>869</v>
      </c>
      <c r="T7" s="7" t="s">
        <v>471</v>
      </c>
      <c r="U7" s="7">
        <f>COUNTIF(B11:C1000,"가나다")</f>
        <v>12</v>
      </c>
      <c r="BV7" s="51"/>
      <c r="BW7" s="51"/>
      <c r="CE7" s="134"/>
      <c r="CN7" s="134"/>
      <c r="CU7" s="130"/>
      <c r="CV7" s="182"/>
      <c r="CW7" s="182"/>
      <c r="CX7" s="183"/>
      <c r="CY7" s="51"/>
      <c r="DO7" s="51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N7" s="184"/>
      <c r="EO7" s="184"/>
      <c r="FA7" s="51"/>
      <c r="FB7" s="51"/>
      <c r="FS7" s="134"/>
      <c r="FZ7" s="130"/>
      <c r="GA7" s="182"/>
      <c r="GB7" s="182"/>
      <c r="GC7" s="183"/>
      <c r="GD7" s="51"/>
      <c r="GT7" s="51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S7" s="184"/>
      <c r="HT7" s="184"/>
      <c r="IF7" s="51"/>
      <c r="IG7" s="51"/>
      <c r="IX7" s="134"/>
      <c r="JE7" s="130"/>
      <c r="JF7" s="182"/>
      <c r="JG7" s="182"/>
      <c r="JH7" s="183"/>
      <c r="JI7" s="51"/>
      <c r="JY7" s="51"/>
      <c r="KH7" s="127"/>
      <c r="KI7" s="127"/>
      <c r="KJ7" s="127"/>
      <c r="KK7" s="127"/>
      <c r="KL7" s="127"/>
      <c r="KM7" s="127"/>
      <c r="KN7" s="127"/>
      <c r="KO7" s="127"/>
      <c r="KP7" s="127"/>
      <c r="KQ7" s="127"/>
      <c r="KR7" s="127"/>
      <c r="KS7" s="127"/>
      <c r="KT7" s="127"/>
      <c r="KX7" s="184"/>
      <c r="KY7" s="184"/>
      <c r="LK7" s="51"/>
      <c r="LL7" s="51"/>
      <c r="MC7" s="134"/>
      <c r="MJ7" s="130"/>
      <c r="MK7" s="182"/>
      <c r="ML7" s="182"/>
      <c r="MM7" s="183"/>
      <c r="MN7" s="51"/>
      <c r="ND7" s="51"/>
      <c r="NM7" s="127"/>
      <c r="NN7" s="127"/>
      <c r="NO7" s="127"/>
      <c r="NP7" s="127"/>
      <c r="NQ7" s="127"/>
      <c r="NR7" s="127"/>
      <c r="NS7" s="127"/>
      <c r="NT7" s="127"/>
      <c r="NU7" s="127"/>
      <c r="NV7" s="127"/>
      <c r="NW7" s="127"/>
      <c r="NX7" s="127"/>
      <c r="NY7" s="127"/>
      <c r="OC7" s="184"/>
      <c r="OD7" s="184"/>
      <c r="OP7" s="51"/>
      <c r="OQ7" s="51"/>
      <c r="PH7" s="134"/>
      <c r="PO7" s="130"/>
      <c r="PP7" s="182"/>
      <c r="PQ7" s="182"/>
      <c r="PR7" s="183"/>
      <c r="PS7" s="51"/>
      <c r="QI7" s="51"/>
      <c r="QR7" s="127"/>
      <c r="QS7" s="127"/>
      <c r="QT7" s="127"/>
      <c r="QU7" s="127"/>
      <c r="QV7" s="127"/>
      <c r="QW7" s="127"/>
      <c r="QX7" s="127"/>
      <c r="QY7" s="127"/>
      <c r="QZ7" s="127"/>
      <c r="RA7" s="127"/>
      <c r="RB7" s="127"/>
      <c r="RC7" s="127"/>
      <c r="RD7" s="127"/>
      <c r="RH7" s="184"/>
      <c r="RI7" s="184"/>
      <c r="RL7" s="7" t="s">
        <v>663</v>
      </c>
    </row>
    <row r="8" spans="1:480" ht="17.25" thickBot="1" x14ac:dyDescent="0.35">
      <c r="G8" s="185"/>
      <c r="M8" s="186" t="str">
        <f>IF(E4=1,"표준점수 기준 산출점수",IF(E4=9,"원점수 기준 산출점수"))</f>
        <v>표준점수 기준 산출점수</v>
      </c>
      <c r="N8" s="187"/>
      <c r="O8" s="187"/>
      <c r="P8" s="187"/>
      <c r="Q8" s="188"/>
      <c r="AN8" s="46"/>
      <c r="AO8" s="43"/>
      <c r="AP8" s="43"/>
      <c r="AQ8" s="43"/>
      <c r="AR8" s="43"/>
      <c r="AS8" s="43"/>
      <c r="BL8" s="51"/>
      <c r="BM8" s="189"/>
      <c r="BN8" s="189"/>
      <c r="BO8" s="189"/>
      <c r="CN8" s="122"/>
      <c r="CQ8" s="146"/>
      <c r="CU8" s="144"/>
      <c r="CV8" s="126"/>
      <c r="CW8" s="126"/>
      <c r="CX8" s="190"/>
      <c r="CY8" s="122"/>
      <c r="DI8" s="191"/>
      <c r="DJ8" s="134"/>
      <c r="DL8" s="134"/>
      <c r="DM8" s="120"/>
      <c r="DN8" s="192"/>
      <c r="DO8" s="122"/>
      <c r="DS8" s="122"/>
      <c r="EC8" s="193"/>
      <c r="EM8" s="50"/>
      <c r="EQ8" s="51"/>
      <c r="ER8" s="189"/>
      <c r="ES8" s="189"/>
      <c r="ET8" s="189"/>
      <c r="FS8" s="122"/>
      <c r="FV8" s="146"/>
      <c r="FZ8" s="144"/>
      <c r="GA8" s="126"/>
      <c r="GB8" s="126"/>
      <c r="GC8" s="190"/>
      <c r="GD8" s="122"/>
      <c r="GN8" s="191"/>
      <c r="GO8" s="134"/>
      <c r="GQ8" s="134"/>
      <c r="GR8" s="120"/>
      <c r="GS8" s="192"/>
      <c r="GT8" s="122"/>
      <c r="GX8" s="122"/>
      <c r="HH8" s="193"/>
      <c r="HR8" s="50"/>
      <c r="HV8" s="51"/>
      <c r="HW8" s="189"/>
      <c r="HX8" s="189"/>
      <c r="HY8" s="189"/>
      <c r="IX8" s="122"/>
      <c r="JA8" s="146"/>
      <c r="JE8" s="144"/>
      <c r="JF8" s="126"/>
      <c r="JG8" s="126"/>
      <c r="JH8" s="190"/>
      <c r="JI8" s="122"/>
      <c r="JS8" s="191"/>
      <c r="JT8" s="134"/>
      <c r="JV8" s="134"/>
      <c r="JW8" s="120"/>
      <c r="JX8" s="192"/>
      <c r="JY8" s="122"/>
      <c r="KC8" s="122"/>
      <c r="KM8" s="193"/>
      <c r="KW8" s="50"/>
      <c r="LA8" s="51"/>
      <c r="LB8" s="189"/>
      <c r="LC8" s="189"/>
      <c r="LD8" s="189"/>
      <c r="MC8" s="122"/>
      <c r="MF8" s="146"/>
      <c r="MJ8" s="144"/>
      <c r="MK8" s="126"/>
      <c r="ML8" s="126"/>
      <c r="MM8" s="190"/>
      <c r="MN8" s="122"/>
      <c r="MX8" s="191"/>
      <c r="MY8" s="134"/>
      <c r="NA8" s="134"/>
      <c r="NB8" s="120"/>
      <c r="NC8" s="192"/>
      <c r="ND8" s="122"/>
      <c r="NH8" s="122"/>
      <c r="NR8" s="193"/>
      <c r="OB8" s="50"/>
      <c r="OF8" s="51"/>
      <c r="OG8" s="189"/>
      <c r="OH8" s="189"/>
      <c r="OI8" s="189"/>
      <c r="PH8" s="122"/>
      <c r="PK8" s="146"/>
      <c r="PO8" s="144"/>
      <c r="PP8" s="126"/>
      <c r="PQ8" s="126"/>
      <c r="PR8" s="190"/>
      <c r="PS8" s="122"/>
      <c r="QC8" s="191"/>
      <c r="QD8" s="134"/>
      <c r="QF8" s="134"/>
      <c r="QG8" s="120"/>
      <c r="QH8" s="192"/>
      <c r="QI8" s="122"/>
      <c r="QM8" s="122"/>
      <c r="QW8" s="193"/>
      <c r="RG8" s="50"/>
    </row>
    <row r="9" spans="1:480" x14ac:dyDescent="0.3">
      <c r="A9" s="123" t="s">
        <v>682</v>
      </c>
      <c r="W9" s="134" t="s">
        <v>240</v>
      </c>
      <c r="X9" s="134"/>
      <c r="Y9" s="134" t="s">
        <v>890</v>
      </c>
      <c r="Z9" s="134"/>
      <c r="AA9" s="134"/>
      <c r="AB9" s="134" t="s">
        <v>891</v>
      </c>
      <c r="AC9" s="134"/>
      <c r="AD9" s="134"/>
      <c r="AE9" s="134"/>
      <c r="AF9" s="134"/>
      <c r="AG9" s="134"/>
      <c r="AH9" s="134"/>
      <c r="AI9" s="134"/>
      <c r="AJ9" s="194"/>
      <c r="AM9" s="139"/>
      <c r="AN9" s="139"/>
      <c r="AO9" s="39"/>
      <c r="AP9" s="39"/>
      <c r="AQ9" s="39"/>
      <c r="AR9" s="39"/>
      <c r="AS9" s="39"/>
      <c r="AT9" s="39"/>
      <c r="AU9" s="39"/>
      <c r="AV9" s="39"/>
      <c r="AW9" s="39"/>
      <c r="AX9" s="39"/>
      <c r="AZ9" s="39"/>
      <c r="BA9" s="39"/>
      <c r="BB9" s="39"/>
      <c r="BC9" s="39"/>
      <c r="BK9" s="39"/>
      <c r="BL9" s="39"/>
      <c r="BN9" s="56"/>
      <c r="BO9" s="39"/>
      <c r="BP9" s="39"/>
      <c r="BQ9" s="39"/>
      <c r="BR9" s="39"/>
      <c r="BS9" s="39"/>
      <c r="BT9" s="39"/>
      <c r="BU9" s="39"/>
      <c r="CC9" s="134"/>
      <c r="CM9" s="134"/>
      <c r="CN9" s="122"/>
      <c r="CQ9" s="46"/>
      <c r="CR9" s="42"/>
      <c r="CS9" s="42"/>
      <c r="CT9" s="134"/>
      <c r="CU9" s="195"/>
      <c r="CV9" s="134"/>
      <c r="CW9" s="134"/>
      <c r="CX9" s="134"/>
      <c r="CY9" s="46"/>
      <c r="CZ9" s="134"/>
      <c r="DA9" s="134"/>
      <c r="DE9" s="50"/>
      <c r="DH9" s="134"/>
      <c r="DN9" s="196"/>
      <c r="DU9" s="197"/>
      <c r="DV9" s="197"/>
      <c r="DW9" s="141"/>
      <c r="DX9" s="122"/>
      <c r="DY9" s="122"/>
      <c r="DZ9" s="122"/>
      <c r="EA9" s="122"/>
      <c r="EB9" s="122"/>
      <c r="ED9" s="122"/>
      <c r="EE9" s="122"/>
      <c r="EF9" s="122"/>
      <c r="EG9" s="198"/>
      <c r="EH9" s="198"/>
      <c r="EI9" s="122"/>
      <c r="EJ9" s="122"/>
      <c r="EK9" s="122"/>
      <c r="EL9" s="122"/>
      <c r="EM9" s="199"/>
      <c r="EP9" s="39"/>
      <c r="EQ9" s="39"/>
      <c r="ES9" s="56"/>
      <c r="ET9" s="39"/>
      <c r="EU9" s="39"/>
      <c r="EV9" s="39"/>
      <c r="EW9" s="39"/>
      <c r="EX9" s="39"/>
      <c r="EY9" s="39"/>
      <c r="EZ9" s="39"/>
      <c r="FH9" s="134"/>
      <c r="FR9" s="134"/>
      <c r="FS9" s="122"/>
      <c r="FV9" s="46"/>
      <c r="FW9" s="42"/>
      <c r="FX9" s="42"/>
      <c r="FY9" s="134"/>
      <c r="FZ9" s="195"/>
      <c r="GA9" s="134"/>
      <c r="GB9" s="134"/>
      <c r="GC9" s="134"/>
      <c r="GD9" s="46"/>
      <c r="GE9" s="134"/>
      <c r="GF9" s="134"/>
      <c r="GJ9" s="50"/>
      <c r="GM9" s="134"/>
      <c r="GS9" s="196"/>
      <c r="HC9" s="122"/>
      <c r="HD9" s="122"/>
      <c r="HE9" s="122"/>
      <c r="HF9" s="122"/>
      <c r="HG9" s="122"/>
      <c r="HI9" s="122"/>
      <c r="HJ9" s="122"/>
      <c r="HK9" s="122"/>
      <c r="HL9" s="198"/>
      <c r="HM9" s="198"/>
      <c r="HN9" s="122"/>
      <c r="HO9" s="122"/>
      <c r="HP9" s="122"/>
      <c r="HQ9" s="122"/>
      <c r="HR9" s="199"/>
      <c r="HU9" s="39"/>
      <c r="HV9" s="39"/>
      <c r="HX9" s="56"/>
      <c r="HY9" s="39"/>
      <c r="HZ9" s="39"/>
      <c r="IA9" s="39"/>
      <c r="IB9" s="39"/>
      <c r="IC9" s="39"/>
      <c r="ID9" s="39"/>
      <c r="IE9" s="39"/>
      <c r="IM9" s="134"/>
      <c r="IW9" s="134"/>
      <c r="IX9" s="122"/>
      <c r="JA9" s="46"/>
      <c r="JB9" s="42"/>
      <c r="JC9" s="42"/>
      <c r="JD9" s="134"/>
      <c r="JE9" s="195"/>
      <c r="JF9" s="134"/>
      <c r="JG9" s="134"/>
      <c r="JH9" s="134"/>
      <c r="JI9" s="46"/>
      <c r="JJ9" s="134"/>
      <c r="JK9" s="134"/>
      <c r="JO9" s="50"/>
      <c r="JR9" s="134"/>
      <c r="JX9" s="196"/>
      <c r="KH9" s="122"/>
      <c r="KI9" s="122"/>
      <c r="KJ9" s="122"/>
      <c r="KK9" s="122"/>
      <c r="KL9" s="122"/>
      <c r="KN9" s="122"/>
      <c r="KO9" s="122"/>
      <c r="KP9" s="122"/>
      <c r="KQ9" s="198"/>
      <c r="KR9" s="198"/>
      <c r="KS9" s="122"/>
      <c r="KT9" s="122"/>
      <c r="KU9" s="122"/>
      <c r="KV9" s="122"/>
      <c r="KW9" s="199"/>
      <c r="KZ9" s="39"/>
      <c r="LA9" s="39"/>
      <c r="LC9" s="56"/>
      <c r="LD9" s="39"/>
      <c r="LE9" s="39"/>
      <c r="LF9" s="39"/>
      <c r="LG9" s="39"/>
      <c r="LH9" s="39"/>
      <c r="LI9" s="39"/>
      <c r="LJ9" s="39"/>
      <c r="LR9" s="134"/>
      <c r="MB9" s="134"/>
      <c r="MC9" s="122"/>
      <c r="MF9" s="46"/>
      <c r="MG9" s="42"/>
      <c r="MH9" s="42"/>
      <c r="MI9" s="134"/>
      <c r="MJ9" s="195"/>
      <c r="MK9" s="134"/>
      <c r="ML9" s="134"/>
      <c r="MM9" s="134"/>
      <c r="MN9" s="46"/>
      <c r="MO9" s="134"/>
      <c r="MP9" s="134"/>
      <c r="MT9" s="50"/>
      <c r="MW9" s="134"/>
      <c r="NC9" s="196"/>
      <c r="NM9" s="122"/>
      <c r="NN9" s="122"/>
      <c r="NO9" s="122"/>
      <c r="NP9" s="122"/>
      <c r="NQ9" s="122"/>
      <c r="NS9" s="122"/>
      <c r="NT9" s="122"/>
      <c r="NU9" s="122"/>
      <c r="NV9" s="198"/>
      <c r="NW9" s="198"/>
      <c r="NX9" s="122"/>
      <c r="NY9" s="122"/>
      <c r="NZ9" s="122"/>
      <c r="OA9" s="122"/>
      <c r="OB9" s="199"/>
      <c r="OE9" s="39"/>
      <c r="OF9" s="39"/>
      <c r="OH9" s="56"/>
      <c r="OI9" s="39"/>
      <c r="OJ9" s="39"/>
      <c r="OK9" s="39"/>
      <c r="OL9" s="39"/>
      <c r="OM9" s="39"/>
      <c r="ON9" s="39"/>
      <c r="OO9" s="39"/>
      <c r="OW9" s="134"/>
      <c r="PG9" s="134"/>
      <c r="PH9" s="122"/>
      <c r="PK9" s="46"/>
      <c r="PL9" s="42"/>
      <c r="PM9" s="42"/>
      <c r="PN9" s="134"/>
      <c r="PO9" s="195"/>
      <c r="PP9" s="134"/>
      <c r="PQ9" s="134"/>
      <c r="PR9" s="134"/>
      <c r="PS9" s="46"/>
      <c r="PT9" s="134"/>
      <c r="PU9" s="134"/>
      <c r="PY9" s="50"/>
      <c r="QB9" s="134"/>
      <c r="QH9" s="196"/>
      <c r="QR9" s="122"/>
      <c r="QS9" s="122"/>
      <c r="QT9" s="122"/>
      <c r="QU9" s="122"/>
      <c r="QV9" s="122"/>
      <c r="QX9" s="122"/>
      <c r="QY9" s="122"/>
      <c r="QZ9" s="122"/>
      <c r="RA9" s="198"/>
      <c r="RB9" s="198"/>
      <c r="RC9" s="122"/>
      <c r="RD9" s="122"/>
      <c r="RE9" s="122"/>
      <c r="RF9" s="122"/>
      <c r="RG9" s="199"/>
    </row>
    <row r="10" spans="1:480" x14ac:dyDescent="0.3">
      <c r="A10" s="150" t="s">
        <v>680</v>
      </c>
      <c r="B10" s="43" t="s">
        <v>283</v>
      </c>
      <c r="C10" s="43" t="s">
        <v>97</v>
      </c>
      <c r="D10" s="43" t="s">
        <v>88</v>
      </c>
      <c r="E10" s="43" t="s">
        <v>89</v>
      </c>
      <c r="F10" s="43" t="s">
        <v>90</v>
      </c>
      <c r="G10" s="41" t="s">
        <v>96</v>
      </c>
      <c r="H10" s="41" t="s">
        <v>461</v>
      </c>
      <c r="I10" s="41" t="s">
        <v>463</v>
      </c>
      <c r="J10" s="200" t="s">
        <v>462</v>
      </c>
      <c r="K10" s="7" t="s">
        <v>98</v>
      </c>
      <c r="L10" s="7" t="s">
        <v>284</v>
      </c>
      <c r="M10" s="46" t="s">
        <v>99</v>
      </c>
      <c r="N10" s="42" t="s">
        <v>100</v>
      </c>
      <c r="O10" s="42" t="s">
        <v>101</v>
      </c>
      <c r="P10" s="42" t="s">
        <v>102</v>
      </c>
      <c r="Q10" s="42" t="s">
        <v>236</v>
      </c>
      <c r="R10" s="7" t="s">
        <v>250</v>
      </c>
      <c r="T10" s="42" t="s">
        <v>467</v>
      </c>
      <c r="U10" s="42" t="s">
        <v>466</v>
      </c>
      <c r="V10" s="122" t="s">
        <v>238</v>
      </c>
      <c r="W10" s="201" t="s">
        <v>239</v>
      </c>
      <c r="X10" s="201" t="s">
        <v>683</v>
      </c>
      <c r="Y10" s="201"/>
      <c r="Z10" s="201"/>
      <c r="AA10" s="201"/>
      <c r="AB10" s="201" t="s">
        <v>882</v>
      </c>
      <c r="AC10" s="201" t="s">
        <v>883</v>
      </c>
      <c r="AD10" s="201" t="s">
        <v>884</v>
      </c>
      <c r="AE10" s="201"/>
      <c r="AF10" s="201"/>
      <c r="AG10" s="201" t="s">
        <v>892</v>
      </c>
      <c r="AH10" s="201" t="s">
        <v>884</v>
      </c>
      <c r="AI10" s="201"/>
      <c r="AK10" s="139"/>
      <c r="AL10" s="139"/>
      <c r="AM10" s="139"/>
      <c r="AN10" s="46"/>
      <c r="BE10" s="39"/>
      <c r="BF10" s="39"/>
      <c r="BG10" s="39"/>
      <c r="BH10" s="39"/>
      <c r="BI10" s="39"/>
      <c r="BJ10" s="39"/>
      <c r="BK10" s="202"/>
      <c r="BL10" s="202"/>
      <c r="BM10" s="202"/>
      <c r="BN10" s="202"/>
      <c r="BO10" s="203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DI10" s="192"/>
      <c r="DJ10" s="192"/>
      <c r="DK10" s="192"/>
      <c r="DL10" s="196"/>
      <c r="DM10" s="196"/>
      <c r="DN10" s="196"/>
      <c r="EK10" s="201"/>
      <c r="EL10" s="204"/>
      <c r="EM10" s="199"/>
      <c r="EN10" s="43"/>
      <c r="EO10" s="43"/>
      <c r="EP10" s="202"/>
      <c r="EQ10" s="202"/>
      <c r="ER10" s="202"/>
      <c r="ES10" s="202"/>
      <c r="ET10" s="203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GN10" s="192"/>
      <c r="GO10" s="192"/>
      <c r="GP10" s="192"/>
      <c r="GQ10" s="196"/>
      <c r="GR10" s="196"/>
      <c r="GS10" s="196"/>
      <c r="HP10" s="201"/>
      <c r="HQ10" s="204"/>
      <c r="HR10" s="199"/>
      <c r="HS10" s="43"/>
      <c r="HT10" s="43"/>
      <c r="HU10" s="202"/>
      <c r="HV10" s="202"/>
      <c r="HW10" s="202"/>
      <c r="HX10" s="202"/>
      <c r="HY10" s="203"/>
      <c r="HZ10" s="202"/>
      <c r="IA10" s="202"/>
      <c r="IB10" s="202"/>
      <c r="IC10" s="202"/>
      <c r="ID10" s="202"/>
      <c r="IE10" s="202"/>
      <c r="IF10" s="202"/>
      <c r="IG10" s="202"/>
      <c r="IH10" s="202"/>
      <c r="II10" s="202"/>
      <c r="IJ10" s="202"/>
      <c r="IK10" s="202"/>
      <c r="IL10" s="202"/>
      <c r="IM10" s="202"/>
      <c r="JS10" s="192"/>
      <c r="JT10" s="192"/>
      <c r="JU10" s="192"/>
      <c r="JV10" s="196"/>
      <c r="JW10" s="196"/>
      <c r="JX10" s="196"/>
      <c r="KU10" s="201"/>
      <c r="KV10" s="204"/>
      <c r="KW10" s="199"/>
      <c r="KX10" s="43"/>
      <c r="KY10" s="43"/>
      <c r="KZ10" s="202"/>
      <c r="LA10" s="202"/>
      <c r="LB10" s="202"/>
      <c r="LC10" s="202"/>
      <c r="LD10" s="203"/>
      <c r="LE10" s="202"/>
      <c r="LF10" s="202"/>
      <c r="LG10" s="202"/>
      <c r="LH10" s="202"/>
      <c r="LI10" s="202"/>
      <c r="LJ10" s="202"/>
      <c r="LK10" s="202"/>
      <c r="LL10" s="202"/>
      <c r="LM10" s="202"/>
      <c r="LN10" s="202"/>
      <c r="LO10" s="202"/>
      <c r="LP10" s="202"/>
      <c r="LQ10" s="202"/>
      <c r="LR10" s="202"/>
      <c r="MX10" s="192"/>
      <c r="MY10" s="192"/>
      <c r="MZ10" s="192"/>
      <c r="NA10" s="196"/>
      <c r="NB10" s="196"/>
      <c r="NC10" s="196"/>
      <c r="NZ10" s="201"/>
      <c r="OA10" s="204"/>
      <c r="OB10" s="199"/>
      <c r="OC10" s="43"/>
      <c r="OD10" s="43"/>
      <c r="OE10" s="202"/>
      <c r="OF10" s="202"/>
      <c r="OG10" s="202"/>
      <c r="OH10" s="202"/>
      <c r="OI10" s="203"/>
      <c r="OJ10" s="202"/>
      <c r="OK10" s="202"/>
      <c r="OL10" s="202"/>
      <c r="OM10" s="202"/>
      <c r="ON10" s="202"/>
      <c r="OO10" s="202"/>
      <c r="OP10" s="202"/>
      <c r="OQ10" s="202"/>
      <c r="OR10" s="202"/>
      <c r="OS10" s="202"/>
      <c r="OT10" s="202"/>
      <c r="OU10" s="202"/>
      <c r="OV10" s="202"/>
      <c r="OW10" s="202"/>
      <c r="QC10" s="192"/>
      <c r="QD10" s="192"/>
      <c r="QE10" s="192"/>
      <c r="QF10" s="196"/>
      <c r="QG10" s="196"/>
      <c r="QH10" s="196"/>
      <c r="RE10" s="201"/>
      <c r="RF10" s="204"/>
      <c r="RG10" s="199"/>
      <c r="RH10" s="43"/>
      <c r="RI10" s="43"/>
    </row>
    <row r="11" spans="1:480" s="205" customFormat="1" x14ac:dyDescent="0.3">
      <c r="A11" s="205">
        <v>16</v>
      </c>
      <c r="B11" s="205">
        <v>1</v>
      </c>
      <c r="C11" s="205" t="s">
        <v>346</v>
      </c>
      <c r="D11" s="205" t="s">
        <v>681</v>
      </c>
      <c r="E11" s="205" t="s">
        <v>278</v>
      </c>
      <c r="F11" s="205" t="s">
        <v>274</v>
      </c>
      <c r="G11" s="206" t="str">
        <f>IFERROR(IF(BJ11=0,"X","O"),"")</f>
        <v>X</v>
      </c>
      <c r="H11" s="206">
        <f>INDEX(환산공식!CI$16:CI$301,MATCH('배치점수 계산기'!$W11,환산공식!$A$16:$A$301,0))</f>
        <v>0</v>
      </c>
      <c r="I11" s="206" t="e">
        <f>CONCATENATE(ROUND(INDEX(환산공식!CJ$16:CJ$301,MATCH('배치점수 계산기'!$W11,환산공식!$A$16:$A$301,0)),1),"%")</f>
        <v>#DIV/0!</v>
      </c>
      <c r="J11" s="206">
        <f>INDEX(환산공식!CK$16:CK$301,MATCH('배치점수 계산기'!$W11,환산공식!$A$16:$A$301,0))</f>
        <v>0</v>
      </c>
      <c r="K11" s="205">
        <f>INDEX(환산공식!$EF$16:$EF$301,MATCH('배치점수 계산기'!W11,환산공식!$A$16:$A$301,0))</f>
        <v>0</v>
      </c>
      <c r="L11" s="206" t="str">
        <f t="shared" ref="L11:L74" si="0">IF(K11&gt;M11,"90% 이상",IF(K11&gt;N11,CONCATENATE(ROUND(((K11-N11)/(M11-N11))*20+70,0),"%"),IF(K11&gt;O11,CONCATENATE(ROUND(((K11-O11)/(N11-O11))*30+40,0),"%"),IF(K11&gt;P11,CONCATENATE(ROUND(((K11-P11)/(O11-P11))*30+10,0),"%"),IF(K11&gt;Q11,CONCATENATE(ROUND(((K11-Q11)/(P11-Q11))*9+1,0),"%"),"1% 이하")))))</f>
        <v>1% 이하</v>
      </c>
      <c r="M11" s="205">
        <v>423.08</v>
      </c>
      <c r="N11" s="205">
        <v>419.36</v>
      </c>
      <c r="O11" s="205">
        <v>417.61999999999995</v>
      </c>
      <c r="P11" s="205">
        <v>409.82</v>
      </c>
      <c r="Q11" s="205">
        <v>404.65999999999997</v>
      </c>
      <c r="R11" s="205">
        <f t="shared" ref="R11:R74" si="1">IF(K11&gt;M11,1,IF(K11&gt;N11,2,IF(K11&gt;O11,3,IF(K11&gt;P11,4,IF(K11&gt;=Q11,5,IF(K11&lt;Q11,6))))))</f>
        <v>6</v>
      </c>
      <c r="T11" s="205">
        <f>COUNTIF($C$11:C11,C11)</f>
        <v>1</v>
      </c>
      <c r="U11" s="205" t="str">
        <f>CONCATENATE(C11,T11)</f>
        <v>나1</v>
      </c>
      <c r="V11" s="205" t="str">
        <f>INDEX(환산공식!$C$16:$C$301,MATCH('배치점수 계산기'!W11,환산공식!$A$16:$A$301,0))</f>
        <v>서울대 자연</v>
      </c>
      <c r="W11" s="205">
        <f>A11</f>
        <v>16</v>
      </c>
      <c r="X11" s="205">
        <f>IF(OR(D11=0,D11=""),"",IF(LEFT(D11,1)=LEFT(V11,1),1,2))</f>
        <v>1</v>
      </c>
      <c r="Y11" s="205">
        <f>IFERROR(INDEX(환산공식!Q$16:Q$200,MATCH($A11,환산공식!$A$16:$A$200,0)),"")</f>
        <v>1</v>
      </c>
      <c r="Z11" s="205">
        <f>IFERROR(INDEX(환산공식!R$16:R$200,MATCH($A11,환산공식!$A$16:$A$200,0)),"")</f>
        <v>1.2</v>
      </c>
      <c r="AA11" s="205">
        <f>IFERROR(INDEX(환산공식!U$16:U$200,MATCH($A11,환산공식!$A$16:$A$200,0)),"")</f>
        <v>0.8</v>
      </c>
      <c r="AB11" s="205">
        <f>Y11/($Y11+$Z11+$AA11)</f>
        <v>0.33333333333333331</v>
      </c>
      <c r="AC11" s="205">
        <f t="shared" ref="AC11:AD11" si="2">Z11/($Y11+$Z11+$AA11)</f>
        <v>0.39999999999999997</v>
      </c>
      <c r="AD11" s="205">
        <f t="shared" si="2"/>
        <v>0.26666666666666666</v>
      </c>
      <c r="AE11" s="205">
        <f>INDEX(환산공식!$AF$16:$AF$301,MATCH('배치점수 계산기'!W11,환산공식!$A$16:$A$301,0))</f>
        <v>1</v>
      </c>
      <c r="AF11" s="205">
        <f>INDEX(환산공식!$AP$16:$AP$301,MATCH('배치점수 계산기'!W11,환산공식!$A$16:$A$301,0))</f>
        <v>1</v>
      </c>
      <c r="AG11" s="205" t="str">
        <f>IF(AE11=1,"표점",IF(AE11=12,"표점/만점",IF(AE11=2,"백분위")))</f>
        <v>표점</v>
      </c>
      <c r="AH11" s="205" t="str">
        <f>IF(AF11=1,"표점",IF(AF11=12,"표점/만점",IF(AF11=2,"백분위",IF(AF11=4,"변표",IF(AF11=42,"변표/만점")))))</f>
        <v>표점</v>
      </c>
      <c r="AJ11" s="207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EM11" s="209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8"/>
      <c r="FG11" s="208"/>
      <c r="FH11" s="208"/>
      <c r="HR11" s="209"/>
      <c r="HY11" s="208"/>
      <c r="HZ11" s="208"/>
      <c r="IA11" s="208"/>
      <c r="IB11" s="208"/>
      <c r="IC11" s="208"/>
      <c r="ID11" s="208"/>
      <c r="IE11" s="208"/>
      <c r="IF11" s="208"/>
      <c r="IG11" s="208"/>
      <c r="IH11" s="208"/>
      <c r="II11" s="208"/>
      <c r="IJ11" s="208"/>
      <c r="IK11" s="208"/>
      <c r="IL11" s="208"/>
      <c r="IM11" s="208"/>
      <c r="KW11" s="209"/>
      <c r="LD11" s="208"/>
      <c r="LE11" s="208"/>
      <c r="LF11" s="208"/>
      <c r="LG11" s="208"/>
      <c r="LH11" s="208"/>
      <c r="LI11" s="208"/>
      <c r="LJ11" s="208"/>
      <c r="LK11" s="208"/>
      <c r="LL11" s="208"/>
      <c r="LM11" s="208"/>
      <c r="LN11" s="208"/>
      <c r="LO11" s="208"/>
      <c r="LP11" s="208"/>
      <c r="LQ11" s="208"/>
      <c r="LR11" s="208"/>
      <c r="OB11" s="209"/>
      <c r="OI11" s="208"/>
      <c r="OJ11" s="208"/>
      <c r="OK11" s="208"/>
      <c r="OL11" s="208"/>
      <c r="OM11" s="208"/>
      <c r="ON11" s="208"/>
      <c r="OO11" s="208"/>
      <c r="OP11" s="208"/>
      <c r="OQ11" s="208"/>
      <c r="OR11" s="208"/>
      <c r="OS11" s="208"/>
      <c r="OT11" s="208"/>
      <c r="OU11" s="208"/>
      <c r="OV11" s="208"/>
      <c r="OW11" s="208"/>
      <c r="RG11" s="209"/>
    </row>
    <row r="12" spans="1:480" x14ac:dyDescent="0.3">
      <c r="A12" s="7">
        <v>16</v>
      </c>
      <c r="B12" s="7">
        <v>2</v>
      </c>
      <c r="C12" s="7" t="s">
        <v>346</v>
      </c>
      <c r="D12" s="7" t="s">
        <v>681</v>
      </c>
      <c r="E12" s="7" t="s">
        <v>279</v>
      </c>
      <c r="F12" s="7" t="s">
        <v>274</v>
      </c>
      <c r="G12" s="41" t="str">
        <f t="shared" ref="G12:G75" si="3">IFERROR(IF(BJ12=0,"X","O"),"")</f>
        <v>X</v>
      </c>
      <c r="H12" s="41">
        <f>INDEX(환산공식!CI$16:CI$301,MATCH('배치점수 계산기'!$W12,환산공식!$A$16:$A$301,0))</f>
        <v>0</v>
      </c>
      <c r="I12" s="41" t="e">
        <f>CONCATENATE(ROUND(INDEX(환산공식!CJ$16:CJ$301,MATCH('배치점수 계산기'!$W12,환산공식!$A$16:$A$301,0)),1),"%")</f>
        <v>#DIV/0!</v>
      </c>
      <c r="J12" s="41">
        <f>INDEX(환산공식!CK$16:CK$301,MATCH('배치점수 계산기'!$W12,환산공식!$A$16:$A$301,0))</f>
        <v>0</v>
      </c>
      <c r="K12" s="7">
        <f>INDEX(환산공식!$EF$16:$EF$301,MATCH('배치점수 계산기'!W12,환산공식!$A$16:$A$301,0))</f>
        <v>0</v>
      </c>
      <c r="L12" s="41" t="str">
        <f t="shared" si="0"/>
        <v>1% 이하</v>
      </c>
      <c r="M12" s="7">
        <v>416.12</v>
      </c>
      <c r="N12" s="7">
        <v>413.88000000000005</v>
      </c>
      <c r="O12" s="7">
        <v>409.82</v>
      </c>
      <c r="P12" s="7">
        <v>407.64000000000004</v>
      </c>
      <c r="Q12" s="7">
        <v>402.09999999999997</v>
      </c>
      <c r="R12" s="7">
        <f t="shared" si="1"/>
        <v>6</v>
      </c>
      <c r="T12" s="7">
        <f>COUNTIF($C$11:C12,C12)</f>
        <v>2</v>
      </c>
      <c r="U12" s="7" t="str">
        <f t="shared" ref="U12:U75" si="4">CONCATENATE(C12,T12)</f>
        <v>나2</v>
      </c>
      <c r="V12" s="7" t="str">
        <f>INDEX(환산공식!$C$16:$C$301,MATCH('배치점수 계산기'!W12,환산공식!$A$16:$A$301,0))</f>
        <v>서울대 자연</v>
      </c>
      <c r="W12" s="7">
        <f t="shared" ref="W12:W75" si="5">A12</f>
        <v>16</v>
      </c>
      <c r="X12" s="7">
        <f t="shared" ref="X12:X75" si="6">IF(OR(D12=0,D12=""),"",IF(LEFT(D12,1)=LEFT(V12,1),1,2))</f>
        <v>1</v>
      </c>
      <c r="Y12" s="7">
        <f>IFERROR(INDEX(환산공식!Q$16:Q$200,MATCH($A12,환산공식!$A$16:$A$200,0)),"")</f>
        <v>1</v>
      </c>
      <c r="Z12" s="7">
        <f>IFERROR(INDEX(환산공식!R$16:R$200,MATCH($A12,환산공식!$A$16:$A$200,0)),"")</f>
        <v>1.2</v>
      </c>
      <c r="AA12" s="7">
        <f>IFERROR(INDEX(환산공식!U$16:U$200,MATCH($A12,환산공식!$A$16:$A$200,0)),"")</f>
        <v>0.8</v>
      </c>
      <c r="AB12" s="7">
        <f t="shared" ref="AB12:AB75" si="7">Y12/($Y12+$Z12+$AA12)</f>
        <v>0.33333333333333331</v>
      </c>
      <c r="AC12" s="7">
        <f t="shared" ref="AC12:AC75" si="8">Z12/($Y12+$Z12+$AA12)</f>
        <v>0.39999999999999997</v>
      </c>
      <c r="AD12" s="7">
        <f t="shared" ref="AD12:AD75" si="9">AA12/($Y12+$Z12+$AA12)</f>
        <v>0.26666666666666666</v>
      </c>
      <c r="AE12" s="7">
        <f>INDEX(환산공식!$AF$16:$AF$301,MATCH('배치점수 계산기'!W12,환산공식!$A$16:$A$301,0))</f>
        <v>1</v>
      </c>
      <c r="AF12" s="7">
        <f>INDEX(환산공식!$AP$16:$AP$301,MATCH('배치점수 계산기'!W12,환산공식!$A$16:$A$301,0))</f>
        <v>1</v>
      </c>
      <c r="AG12" s="7" t="str">
        <f t="shared" ref="AG12:AG75" si="10">IF(AE12=1,"표점",IF(AE12=12,"표점/만점",IF(AE12=2,"백분위")))</f>
        <v>표점</v>
      </c>
      <c r="AH12" s="7" t="str">
        <f t="shared" ref="AH12:AH75" si="11">IF(AF12=1,"표점",IF(AF12=12,"표점/만점",IF(AF12=2,"백분위",IF(AF12=4,"변표",IF(AF12=42,"변표/만점")))))</f>
        <v>표점</v>
      </c>
      <c r="BO12" s="210"/>
      <c r="BP12" s="210"/>
      <c r="BQ12" s="210"/>
      <c r="BR12" s="210"/>
      <c r="BS12" s="210"/>
      <c r="BT12" s="210"/>
      <c r="BU12" s="210"/>
      <c r="BV12" s="210"/>
      <c r="BW12" s="210"/>
      <c r="BX12" s="210"/>
      <c r="BY12" s="210"/>
      <c r="BZ12" s="210"/>
      <c r="CA12" s="210"/>
      <c r="CB12" s="210"/>
      <c r="CC12" s="210"/>
      <c r="EM12" s="120"/>
      <c r="ET12" s="210"/>
      <c r="EU12" s="210"/>
      <c r="EV12" s="210"/>
      <c r="EW12" s="210"/>
      <c r="EX12" s="210"/>
      <c r="EY12" s="210"/>
      <c r="EZ12" s="210"/>
      <c r="FA12" s="210"/>
      <c r="FB12" s="210"/>
      <c r="FC12" s="210"/>
      <c r="FD12" s="210"/>
      <c r="FE12" s="210"/>
      <c r="FF12" s="210"/>
      <c r="FG12" s="210"/>
      <c r="FH12" s="210"/>
      <c r="HR12" s="120"/>
      <c r="HY12" s="210"/>
      <c r="HZ12" s="210"/>
      <c r="IA12" s="210"/>
      <c r="IB12" s="210"/>
      <c r="IC12" s="210"/>
      <c r="ID12" s="210"/>
      <c r="IE12" s="210"/>
      <c r="IF12" s="210"/>
      <c r="IG12" s="210"/>
      <c r="IH12" s="210"/>
      <c r="II12" s="210"/>
      <c r="IJ12" s="210"/>
      <c r="IK12" s="210"/>
      <c r="IL12" s="210"/>
      <c r="IM12" s="210"/>
      <c r="KW12" s="120"/>
      <c r="LD12" s="210"/>
      <c r="LE12" s="210"/>
      <c r="LF12" s="210"/>
      <c r="LG12" s="210"/>
      <c r="LH12" s="210"/>
      <c r="LI12" s="210"/>
      <c r="LJ12" s="210"/>
      <c r="LK12" s="210"/>
      <c r="LL12" s="210"/>
      <c r="LM12" s="210"/>
      <c r="LN12" s="210"/>
      <c r="LO12" s="210"/>
      <c r="LP12" s="210"/>
      <c r="LQ12" s="210"/>
      <c r="LR12" s="210"/>
      <c r="OB12" s="120"/>
      <c r="OI12" s="210"/>
      <c r="OJ12" s="210"/>
      <c r="OK12" s="210"/>
      <c r="OL12" s="210"/>
      <c r="OM12" s="210"/>
      <c r="ON12" s="210"/>
      <c r="OO12" s="210"/>
      <c r="OP12" s="210"/>
      <c r="OQ12" s="210"/>
      <c r="OR12" s="210"/>
      <c r="OS12" s="210"/>
      <c r="OT12" s="210"/>
      <c r="OU12" s="210"/>
      <c r="OV12" s="210"/>
      <c r="OW12" s="210"/>
      <c r="RG12" s="120"/>
    </row>
    <row r="13" spans="1:480" x14ac:dyDescent="0.3">
      <c r="A13" s="7">
        <v>16</v>
      </c>
      <c r="B13" s="7">
        <v>3</v>
      </c>
      <c r="C13" s="7" t="s">
        <v>346</v>
      </c>
      <c r="D13" s="7" t="s">
        <v>681</v>
      </c>
      <c r="E13" s="7" t="s">
        <v>723</v>
      </c>
      <c r="F13" s="7" t="s">
        <v>274</v>
      </c>
      <c r="G13" s="41" t="str">
        <f t="shared" si="3"/>
        <v>X</v>
      </c>
      <c r="H13" s="41">
        <f>INDEX(환산공식!CI$16:CI$301,MATCH('배치점수 계산기'!$W13,환산공식!$A$16:$A$301,0))</f>
        <v>0</v>
      </c>
      <c r="I13" s="41" t="e">
        <f>CONCATENATE(ROUND(INDEX(환산공식!CJ$16:CJ$301,MATCH('배치점수 계산기'!$W13,환산공식!$A$16:$A$301,0)),1),"%")</f>
        <v>#DIV/0!</v>
      </c>
      <c r="J13" s="41">
        <f>INDEX(환산공식!CK$16:CK$301,MATCH('배치점수 계산기'!$W13,환산공식!$A$16:$A$301,0))</f>
        <v>0</v>
      </c>
      <c r="K13" s="7">
        <f>INDEX(환산공식!$EF$16:$EF$301,MATCH('배치점수 계산기'!W13,환산공식!$A$16:$A$301,0))</f>
        <v>0</v>
      </c>
      <c r="L13" s="41" t="str">
        <f t="shared" si="0"/>
        <v>1% 이하</v>
      </c>
      <c r="M13" s="7">
        <v>412.82</v>
      </c>
      <c r="N13" s="7">
        <v>411.76052747252749</v>
      </c>
      <c r="O13" s="7">
        <v>409.46053045186648</v>
      </c>
      <c r="P13" s="7">
        <v>405.25946428571427</v>
      </c>
      <c r="Q13" s="7">
        <v>399.43953733970335</v>
      </c>
      <c r="R13" s="7">
        <f t="shared" si="1"/>
        <v>6</v>
      </c>
      <c r="T13" s="7">
        <f>COUNTIF($C$11:C13,C13)</f>
        <v>3</v>
      </c>
      <c r="U13" s="7" t="str">
        <f t="shared" si="4"/>
        <v>나3</v>
      </c>
      <c r="V13" s="7" t="str">
        <f>INDEX(환산공식!$C$16:$C$301,MATCH('배치점수 계산기'!W13,환산공식!$A$16:$A$301,0))</f>
        <v>서울대 자연</v>
      </c>
      <c r="W13" s="7">
        <f t="shared" si="5"/>
        <v>16</v>
      </c>
      <c r="X13" s="7">
        <f t="shared" si="6"/>
        <v>1</v>
      </c>
      <c r="Y13" s="7">
        <f>IFERROR(INDEX(환산공식!Q$16:Q$200,MATCH($A13,환산공식!$A$16:$A$200,0)),"")</f>
        <v>1</v>
      </c>
      <c r="Z13" s="7">
        <f>IFERROR(INDEX(환산공식!R$16:R$200,MATCH($A13,환산공식!$A$16:$A$200,0)),"")</f>
        <v>1.2</v>
      </c>
      <c r="AA13" s="7">
        <f>IFERROR(INDEX(환산공식!U$16:U$200,MATCH($A13,환산공식!$A$16:$A$200,0)),"")</f>
        <v>0.8</v>
      </c>
      <c r="AB13" s="7">
        <f t="shared" si="7"/>
        <v>0.33333333333333331</v>
      </c>
      <c r="AC13" s="7">
        <f t="shared" si="8"/>
        <v>0.39999999999999997</v>
      </c>
      <c r="AD13" s="7">
        <f t="shared" si="9"/>
        <v>0.26666666666666666</v>
      </c>
      <c r="AE13" s="7">
        <f>INDEX(환산공식!$AF$16:$AF$301,MATCH('배치점수 계산기'!W13,환산공식!$A$16:$A$301,0))</f>
        <v>1</v>
      </c>
      <c r="AF13" s="7">
        <f>INDEX(환산공식!$AP$16:$AP$301,MATCH('배치점수 계산기'!W13,환산공식!$A$16:$A$301,0))</f>
        <v>1</v>
      </c>
      <c r="AG13" s="7" t="str">
        <f t="shared" si="10"/>
        <v>표점</v>
      </c>
      <c r="AH13" s="7" t="str">
        <f t="shared" si="11"/>
        <v>표점</v>
      </c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EM13" s="120"/>
      <c r="ET13" s="210"/>
      <c r="EU13" s="210"/>
      <c r="EV13" s="210"/>
      <c r="EW13" s="210"/>
      <c r="EX13" s="210"/>
      <c r="EY13" s="210"/>
      <c r="EZ13" s="210"/>
      <c r="FA13" s="210"/>
      <c r="FB13" s="210"/>
      <c r="FC13" s="210"/>
      <c r="FD13" s="210"/>
      <c r="FE13" s="210"/>
      <c r="FF13" s="210"/>
      <c r="FG13" s="210"/>
      <c r="FH13" s="210"/>
      <c r="HR13" s="120"/>
      <c r="HY13" s="210"/>
      <c r="HZ13" s="210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0"/>
      <c r="IL13" s="210"/>
      <c r="IM13" s="210"/>
      <c r="KW13" s="120"/>
      <c r="LD13" s="210"/>
      <c r="LE13" s="210"/>
      <c r="LF13" s="210"/>
      <c r="LG13" s="210"/>
      <c r="LH13" s="210"/>
      <c r="LI13" s="210"/>
      <c r="LJ13" s="210"/>
      <c r="LK13" s="210"/>
      <c r="LL13" s="210"/>
      <c r="LM13" s="210"/>
      <c r="LN13" s="210"/>
      <c r="LO13" s="210"/>
      <c r="LP13" s="210"/>
      <c r="LQ13" s="210"/>
      <c r="LR13" s="210"/>
      <c r="OB13" s="120"/>
      <c r="OI13" s="210"/>
      <c r="OJ13" s="210"/>
      <c r="OK13" s="210"/>
      <c r="OL13" s="210"/>
      <c r="OM13" s="210"/>
      <c r="ON13" s="210"/>
      <c r="OO13" s="210"/>
      <c r="OP13" s="210"/>
      <c r="OQ13" s="210"/>
      <c r="OR13" s="210"/>
      <c r="OS13" s="210"/>
      <c r="OT13" s="210"/>
      <c r="OU13" s="210"/>
      <c r="OV13" s="210"/>
      <c r="OW13" s="210"/>
      <c r="RG13" s="120"/>
    </row>
    <row r="14" spans="1:480" x14ac:dyDescent="0.3">
      <c r="A14" s="7">
        <v>16</v>
      </c>
      <c r="B14" s="7">
        <v>4</v>
      </c>
      <c r="C14" s="7" t="s">
        <v>346</v>
      </c>
      <c r="D14" s="7" t="s">
        <v>681</v>
      </c>
      <c r="E14" s="7" t="s">
        <v>280</v>
      </c>
      <c r="F14" s="7" t="s">
        <v>274</v>
      </c>
      <c r="G14" s="41" t="str">
        <f t="shared" si="3"/>
        <v>X</v>
      </c>
      <c r="H14" s="41">
        <f>INDEX(환산공식!CI$16:CI$301,MATCH('배치점수 계산기'!$W14,환산공식!$A$16:$A$301,0))</f>
        <v>0</v>
      </c>
      <c r="I14" s="41" t="e">
        <f>CONCATENATE(ROUND(INDEX(환산공식!CJ$16:CJ$301,MATCH('배치점수 계산기'!$W14,환산공식!$A$16:$A$301,0)),1),"%")</f>
        <v>#DIV/0!</v>
      </c>
      <c r="J14" s="41">
        <f>INDEX(환산공식!CK$16:CK$301,MATCH('배치점수 계산기'!$W14,환산공식!$A$16:$A$301,0))</f>
        <v>0</v>
      </c>
      <c r="K14" s="7">
        <f>INDEX(환산공식!$EF$16:$EF$301,MATCH('배치점수 계산기'!W14,환산공식!$A$16:$A$301,0))</f>
        <v>0</v>
      </c>
      <c r="L14" s="41" t="str">
        <f t="shared" si="0"/>
        <v>1% 이하</v>
      </c>
      <c r="M14" s="7">
        <v>412.82</v>
      </c>
      <c r="N14" s="7">
        <v>410.58</v>
      </c>
      <c r="O14" s="7">
        <v>408.81947885939041</v>
      </c>
      <c r="P14" s="7">
        <v>406.53947095179234</v>
      </c>
      <c r="Q14" s="7">
        <v>399.43953733970335</v>
      </c>
      <c r="R14" s="7">
        <f t="shared" si="1"/>
        <v>6</v>
      </c>
      <c r="T14" s="7">
        <f>COUNTIF($C$11:C14,C14)</f>
        <v>4</v>
      </c>
      <c r="U14" s="7" t="str">
        <f t="shared" si="4"/>
        <v>나4</v>
      </c>
      <c r="V14" s="7" t="str">
        <f>INDEX(환산공식!$C$16:$C$301,MATCH('배치점수 계산기'!W14,환산공식!$A$16:$A$301,0))</f>
        <v>서울대 자연</v>
      </c>
      <c r="W14" s="7">
        <f t="shared" si="5"/>
        <v>16</v>
      </c>
      <c r="X14" s="7">
        <f t="shared" si="6"/>
        <v>1</v>
      </c>
      <c r="Y14" s="7">
        <f>IFERROR(INDEX(환산공식!Q$16:Q$200,MATCH($A14,환산공식!$A$16:$A$200,0)),"")</f>
        <v>1</v>
      </c>
      <c r="Z14" s="7">
        <f>IFERROR(INDEX(환산공식!R$16:R$200,MATCH($A14,환산공식!$A$16:$A$200,0)),"")</f>
        <v>1.2</v>
      </c>
      <c r="AA14" s="7">
        <f>IFERROR(INDEX(환산공식!U$16:U$200,MATCH($A14,환산공식!$A$16:$A$200,0)),"")</f>
        <v>0.8</v>
      </c>
      <c r="AB14" s="7">
        <f t="shared" si="7"/>
        <v>0.33333333333333331</v>
      </c>
      <c r="AC14" s="7">
        <f t="shared" si="8"/>
        <v>0.39999999999999997</v>
      </c>
      <c r="AD14" s="7">
        <f t="shared" si="9"/>
        <v>0.26666666666666666</v>
      </c>
      <c r="AE14" s="7">
        <f>INDEX(환산공식!$AF$16:$AF$301,MATCH('배치점수 계산기'!W14,환산공식!$A$16:$A$301,0))</f>
        <v>1</v>
      </c>
      <c r="AF14" s="7">
        <f>INDEX(환산공식!$AP$16:$AP$301,MATCH('배치점수 계산기'!W14,환산공식!$A$16:$A$301,0))</f>
        <v>1</v>
      </c>
      <c r="AG14" s="7" t="str">
        <f t="shared" si="10"/>
        <v>표점</v>
      </c>
      <c r="AH14" s="7" t="str">
        <f t="shared" si="11"/>
        <v>표점</v>
      </c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EM14" s="120"/>
      <c r="ET14" s="210"/>
      <c r="EU14" s="210"/>
      <c r="EV14" s="210"/>
      <c r="EW14" s="210"/>
      <c r="EX14" s="210"/>
      <c r="EY14" s="210"/>
      <c r="EZ14" s="210"/>
      <c r="FA14" s="210"/>
      <c r="FB14" s="210"/>
      <c r="FC14" s="210"/>
      <c r="FD14" s="210"/>
      <c r="FE14" s="210"/>
      <c r="FF14" s="210"/>
      <c r="FG14" s="210"/>
      <c r="FH14" s="210"/>
      <c r="HR14" s="120"/>
      <c r="HY14" s="210"/>
      <c r="HZ14" s="210"/>
      <c r="IA14" s="210"/>
      <c r="IB14" s="210"/>
      <c r="IC14" s="210"/>
      <c r="ID14" s="210"/>
      <c r="IE14" s="210"/>
      <c r="IF14" s="210"/>
      <c r="IG14" s="210"/>
      <c r="IH14" s="210"/>
      <c r="II14" s="210"/>
      <c r="IJ14" s="210"/>
      <c r="IK14" s="210"/>
      <c r="IL14" s="210"/>
      <c r="IM14" s="210"/>
      <c r="KW14" s="120"/>
      <c r="LD14" s="210"/>
      <c r="LE14" s="210"/>
      <c r="LF14" s="210"/>
      <c r="LG14" s="210"/>
      <c r="LH14" s="210"/>
      <c r="LI14" s="210"/>
      <c r="LJ14" s="210"/>
      <c r="LK14" s="210"/>
      <c r="LL14" s="210"/>
      <c r="LM14" s="210"/>
      <c r="LN14" s="210"/>
      <c r="LO14" s="210"/>
      <c r="LP14" s="210"/>
      <c r="LQ14" s="210"/>
      <c r="LR14" s="210"/>
      <c r="OB14" s="120"/>
      <c r="OI14" s="210"/>
      <c r="OJ14" s="210"/>
      <c r="OK14" s="210"/>
      <c r="OL14" s="210"/>
      <c r="OM14" s="210"/>
      <c r="ON14" s="210"/>
      <c r="OO14" s="210"/>
      <c r="OP14" s="210"/>
      <c r="OQ14" s="210"/>
      <c r="OR14" s="210"/>
      <c r="OS14" s="210"/>
      <c r="OT14" s="210"/>
      <c r="OU14" s="210"/>
      <c r="OV14" s="210"/>
      <c r="OW14" s="210"/>
      <c r="RG14" s="120"/>
    </row>
    <row r="15" spans="1:480" x14ac:dyDescent="0.3">
      <c r="A15" s="7">
        <v>16</v>
      </c>
      <c r="B15" s="7">
        <v>5</v>
      </c>
      <c r="C15" s="7" t="s">
        <v>346</v>
      </c>
      <c r="D15" s="7" t="s">
        <v>681</v>
      </c>
      <c r="E15" s="7" t="s">
        <v>281</v>
      </c>
      <c r="F15" s="7" t="s">
        <v>274</v>
      </c>
      <c r="G15" s="41" t="str">
        <f t="shared" si="3"/>
        <v>X</v>
      </c>
      <c r="H15" s="41">
        <f>INDEX(환산공식!CI$16:CI$301,MATCH('배치점수 계산기'!$W15,환산공식!$A$16:$A$301,0))</f>
        <v>0</v>
      </c>
      <c r="I15" s="41" t="e">
        <f>CONCATENATE(ROUND(INDEX(환산공식!CJ$16:CJ$301,MATCH('배치점수 계산기'!$W15,환산공식!$A$16:$A$301,0)),1),"%")</f>
        <v>#DIV/0!</v>
      </c>
      <c r="J15" s="41">
        <f>INDEX(환산공식!CK$16:CK$301,MATCH('배치점수 계산기'!$W15,환산공식!$A$16:$A$301,0))</f>
        <v>0</v>
      </c>
      <c r="K15" s="7">
        <f>INDEX(환산공식!$EF$16:$EF$301,MATCH('배치점수 계산기'!W15,환산공식!$A$16:$A$301,0))</f>
        <v>0</v>
      </c>
      <c r="L15" s="41" t="str">
        <f t="shared" si="0"/>
        <v>1% 이하</v>
      </c>
      <c r="M15" s="7">
        <v>414.61999999999989</v>
      </c>
      <c r="N15" s="7">
        <v>409.82</v>
      </c>
      <c r="O15" s="7">
        <v>407.64000000000004</v>
      </c>
      <c r="P15" s="7">
        <v>403.08000000000004</v>
      </c>
      <c r="Q15" s="7">
        <v>398.96000000000004</v>
      </c>
      <c r="R15" s="7">
        <f t="shared" si="1"/>
        <v>6</v>
      </c>
      <c r="T15" s="7">
        <f>COUNTIF($C$11:C15,C15)</f>
        <v>5</v>
      </c>
      <c r="U15" s="7" t="str">
        <f t="shared" si="4"/>
        <v>나5</v>
      </c>
      <c r="V15" s="7" t="str">
        <f>INDEX(환산공식!$C$16:$C$301,MATCH('배치점수 계산기'!W15,환산공식!$A$16:$A$301,0))</f>
        <v>서울대 자연</v>
      </c>
      <c r="W15" s="7">
        <f t="shared" si="5"/>
        <v>16</v>
      </c>
      <c r="X15" s="7">
        <f t="shared" si="6"/>
        <v>1</v>
      </c>
      <c r="Y15" s="7">
        <f>IFERROR(INDEX(환산공식!Q$16:Q$200,MATCH($A15,환산공식!$A$16:$A$200,0)),"")</f>
        <v>1</v>
      </c>
      <c r="Z15" s="7">
        <f>IFERROR(INDEX(환산공식!R$16:R$200,MATCH($A15,환산공식!$A$16:$A$200,0)),"")</f>
        <v>1.2</v>
      </c>
      <c r="AA15" s="7">
        <f>IFERROR(INDEX(환산공식!U$16:U$200,MATCH($A15,환산공식!$A$16:$A$200,0)),"")</f>
        <v>0.8</v>
      </c>
      <c r="AB15" s="7">
        <f t="shared" si="7"/>
        <v>0.33333333333333331</v>
      </c>
      <c r="AC15" s="7">
        <f t="shared" si="8"/>
        <v>0.39999999999999997</v>
      </c>
      <c r="AD15" s="7">
        <f t="shared" si="9"/>
        <v>0.26666666666666666</v>
      </c>
      <c r="AE15" s="7">
        <f>INDEX(환산공식!$AF$16:$AF$301,MATCH('배치점수 계산기'!W15,환산공식!$A$16:$A$301,0))</f>
        <v>1</v>
      </c>
      <c r="AF15" s="7">
        <f>INDEX(환산공식!$AP$16:$AP$301,MATCH('배치점수 계산기'!W15,환산공식!$A$16:$A$301,0))</f>
        <v>1</v>
      </c>
      <c r="AG15" s="7" t="str">
        <f t="shared" si="10"/>
        <v>표점</v>
      </c>
      <c r="AH15" s="7" t="str">
        <f t="shared" si="11"/>
        <v>표점</v>
      </c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EM15" s="12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  <c r="FH15" s="210"/>
      <c r="HR15" s="120"/>
      <c r="HY15" s="210"/>
      <c r="HZ15" s="210"/>
      <c r="IA15" s="210"/>
      <c r="IB15" s="210"/>
      <c r="IC15" s="210"/>
      <c r="ID15" s="210"/>
      <c r="IE15" s="210"/>
      <c r="IF15" s="210"/>
      <c r="IG15" s="210"/>
      <c r="IH15" s="210"/>
      <c r="II15" s="210"/>
      <c r="IJ15" s="210"/>
      <c r="IK15" s="210"/>
      <c r="IL15" s="210"/>
      <c r="IM15" s="210"/>
      <c r="KW15" s="120"/>
      <c r="LD15" s="210"/>
      <c r="LE15" s="210"/>
      <c r="LF15" s="210"/>
      <c r="LG15" s="210"/>
      <c r="LH15" s="210"/>
      <c r="LI15" s="210"/>
      <c r="LJ15" s="210"/>
      <c r="LK15" s="210"/>
      <c r="LL15" s="210"/>
      <c r="LM15" s="210"/>
      <c r="LN15" s="210"/>
      <c r="LO15" s="210"/>
      <c r="LP15" s="210"/>
      <c r="LQ15" s="210"/>
      <c r="LR15" s="210"/>
      <c r="OB15" s="120"/>
      <c r="OI15" s="210"/>
      <c r="OJ15" s="210"/>
      <c r="OK15" s="210"/>
      <c r="OL15" s="210"/>
      <c r="OM15" s="210"/>
      <c r="ON15" s="210"/>
      <c r="OO15" s="210"/>
      <c r="OP15" s="210"/>
      <c r="OQ15" s="210"/>
      <c r="OR15" s="210"/>
      <c r="OS15" s="210"/>
      <c r="OT15" s="210"/>
      <c r="OU15" s="210"/>
      <c r="OV15" s="210"/>
      <c r="OW15" s="210"/>
      <c r="RG15" s="120"/>
    </row>
    <row r="16" spans="1:480" x14ac:dyDescent="0.3">
      <c r="A16" s="7">
        <v>16</v>
      </c>
      <c r="B16" s="7">
        <v>6</v>
      </c>
      <c r="C16" s="7" t="s">
        <v>346</v>
      </c>
      <c r="D16" s="7" t="s">
        <v>681</v>
      </c>
      <c r="E16" s="7" t="s">
        <v>282</v>
      </c>
      <c r="F16" s="7" t="s">
        <v>274</v>
      </c>
      <c r="G16" s="41" t="str">
        <f t="shared" si="3"/>
        <v>X</v>
      </c>
      <c r="H16" s="41">
        <f>INDEX(환산공식!CI$16:CI$301,MATCH('배치점수 계산기'!$W16,환산공식!$A$16:$A$301,0))</f>
        <v>0</v>
      </c>
      <c r="I16" s="41" t="e">
        <f>CONCATENATE(ROUND(INDEX(환산공식!CJ$16:CJ$301,MATCH('배치점수 계산기'!$W16,환산공식!$A$16:$A$301,0)),1),"%")</f>
        <v>#DIV/0!</v>
      </c>
      <c r="J16" s="41">
        <f>INDEX(환산공식!CK$16:CK$301,MATCH('배치점수 계산기'!$W16,환산공식!$A$16:$A$301,0))</f>
        <v>0</v>
      </c>
      <c r="K16" s="7">
        <f>INDEX(환산공식!$EF$16:$EF$301,MATCH('배치점수 계산기'!W16,환산공식!$A$16:$A$301,0))</f>
        <v>0</v>
      </c>
      <c r="L16" s="41" t="str">
        <f t="shared" si="0"/>
        <v>1% 이하</v>
      </c>
      <c r="M16" s="7">
        <v>409.82</v>
      </c>
      <c r="N16" s="7">
        <v>408.73947381362188</v>
      </c>
      <c r="O16" s="7">
        <v>406.8410580964154</v>
      </c>
      <c r="P16" s="7">
        <v>399.64000000000004</v>
      </c>
      <c r="Q16" s="7">
        <v>397.97952549217575</v>
      </c>
      <c r="R16" s="7">
        <f t="shared" si="1"/>
        <v>6</v>
      </c>
      <c r="T16" s="7">
        <f>COUNTIF($C$11:C16,C16)</f>
        <v>6</v>
      </c>
      <c r="U16" s="7" t="str">
        <f t="shared" si="4"/>
        <v>나6</v>
      </c>
      <c r="V16" s="7" t="str">
        <f>INDEX(환산공식!$C$16:$C$301,MATCH('배치점수 계산기'!W16,환산공식!$A$16:$A$301,0))</f>
        <v>서울대 자연</v>
      </c>
      <c r="W16" s="7">
        <f t="shared" si="5"/>
        <v>16</v>
      </c>
      <c r="X16" s="7">
        <f t="shared" si="6"/>
        <v>1</v>
      </c>
      <c r="Y16" s="7">
        <f>IFERROR(INDEX(환산공식!Q$16:Q$200,MATCH($A16,환산공식!$A$16:$A$200,0)),"")</f>
        <v>1</v>
      </c>
      <c r="Z16" s="7">
        <f>IFERROR(INDEX(환산공식!R$16:R$200,MATCH($A16,환산공식!$A$16:$A$200,0)),"")</f>
        <v>1.2</v>
      </c>
      <c r="AA16" s="7">
        <f>IFERROR(INDEX(환산공식!U$16:U$200,MATCH($A16,환산공식!$A$16:$A$200,0)),"")</f>
        <v>0.8</v>
      </c>
      <c r="AB16" s="7">
        <f t="shared" si="7"/>
        <v>0.33333333333333331</v>
      </c>
      <c r="AC16" s="7">
        <f t="shared" si="8"/>
        <v>0.39999999999999997</v>
      </c>
      <c r="AD16" s="7">
        <f t="shared" si="9"/>
        <v>0.26666666666666666</v>
      </c>
      <c r="AE16" s="7">
        <f>INDEX(환산공식!$AF$16:$AF$301,MATCH('배치점수 계산기'!W16,환산공식!$A$16:$A$301,0))</f>
        <v>1</v>
      </c>
      <c r="AF16" s="7">
        <f>INDEX(환산공식!$AP$16:$AP$301,MATCH('배치점수 계산기'!W16,환산공식!$A$16:$A$301,0))</f>
        <v>1</v>
      </c>
      <c r="AG16" s="7" t="str">
        <f t="shared" si="10"/>
        <v>표점</v>
      </c>
      <c r="AH16" s="7" t="str">
        <f t="shared" si="11"/>
        <v>표점</v>
      </c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EM16" s="120"/>
      <c r="ET16" s="210"/>
      <c r="EU16" s="210"/>
      <c r="EV16" s="210"/>
      <c r="EW16" s="210"/>
      <c r="EX16" s="210"/>
      <c r="EY16" s="210"/>
      <c r="EZ16" s="210"/>
      <c r="FA16" s="210"/>
      <c r="FB16" s="210"/>
      <c r="FC16" s="210"/>
      <c r="FD16" s="210"/>
      <c r="FE16" s="210"/>
      <c r="FF16" s="210"/>
      <c r="FG16" s="210"/>
      <c r="FH16" s="210"/>
      <c r="HR16" s="120"/>
      <c r="HY16" s="210"/>
      <c r="HZ16" s="210"/>
      <c r="IA16" s="210"/>
      <c r="IB16" s="210"/>
      <c r="IC16" s="210"/>
      <c r="ID16" s="210"/>
      <c r="IE16" s="210"/>
      <c r="IF16" s="210"/>
      <c r="IG16" s="210"/>
      <c r="IH16" s="210"/>
      <c r="II16" s="210"/>
      <c r="IJ16" s="210"/>
      <c r="IK16" s="210"/>
      <c r="IL16" s="210"/>
      <c r="IM16" s="210"/>
      <c r="KW16" s="120"/>
      <c r="LD16" s="210"/>
      <c r="LE16" s="210"/>
      <c r="LF16" s="210"/>
      <c r="LG16" s="210"/>
      <c r="LH16" s="210"/>
      <c r="LI16" s="210"/>
      <c r="LJ16" s="210"/>
      <c r="LK16" s="210"/>
      <c r="LL16" s="210"/>
      <c r="LM16" s="210"/>
      <c r="LN16" s="210"/>
      <c r="LO16" s="210"/>
      <c r="LP16" s="210"/>
      <c r="LQ16" s="210"/>
      <c r="LR16" s="210"/>
      <c r="OB16" s="120"/>
      <c r="OI16" s="210"/>
      <c r="OJ16" s="210"/>
      <c r="OK16" s="210"/>
      <c r="OL16" s="210"/>
      <c r="OM16" s="210"/>
      <c r="ON16" s="210"/>
      <c r="OO16" s="210"/>
      <c r="OP16" s="210"/>
      <c r="OQ16" s="210"/>
      <c r="OR16" s="210"/>
      <c r="OS16" s="210"/>
      <c r="OT16" s="210"/>
      <c r="OU16" s="210"/>
      <c r="OV16" s="210"/>
      <c r="OW16" s="210"/>
      <c r="RG16" s="120"/>
    </row>
    <row r="17" spans="1:475" x14ac:dyDescent="0.3">
      <c r="A17" s="7">
        <v>16</v>
      </c>
      <c r="B17" s="7">
        <v>7</v>
      </c>
      <c r="C17" s="7" t="s">
        <v>346</v>
      </c>
      <c r="D17" s="7" t="s">
        <v>681</v>
      </c>
      <c r="E17" s="7" t="s">
        <v>724</v>
      </c>
      <c r="F17" s="7" t="s">
        <v>274</v>
      </c>
      <c r="G17" s="41" t="str">
        <f t="shared" si="3"/>
        <v>X</v>
      </c>
      <c r="H17" s="41">
        <f>INDEX(환산공식!CI$16:CI$301,MATCH('배치점수 계산기'!$W17,환산공식!$A$16:$A$301,0))</f>
        <v>0</v>
      </c>
      <c r="I17" s="41" t="e">
        <f>CONCATENATE(ROUND(INDEX(환산공식!CJ$16:CJ$301,MATCH('배치점수 계산기'!$W17,환산공식!$A$16:$A$301,0)),1),"%")</f>
        <v>#DIV/0!</v>
      </c>
      <c r="J17" s="41">
        <f>INDEX(환산공식!CK$16:CK$301,MATCH('배치점수 계산기'!$W17,환산공식!$A$16:$A$301,0))</f>
        <v>0</v>
      </c>
      <c r="K17" s="7">
        <f>INDEX(환산공식!$EF$16:$EF$301,MATCH('배치점수 계산기'!W17,환산공식!$A$16:$A$301,0))</f>
        <v>0</v>
      </c>
      <c r="L17" s="41" t="str">
        <f t="shared" si="0"/>
        <v>1% 이하</v>
      </c>
      <c r="M17" s="7">
        <v>409.46053045186648</v>
      </c>
      <c r="N17" s="7">
        <v>407.64000000000004</v>
      </c>
      <c r="O17" s="7">
        <v>405.25946428571427</v>
      </c>
      <c r="P17" s="7">
        <v>399.64000000000004</v>
      </c>
      <c r="Q17" s="7">
        <v>396.88</v>
      </c>
      <c r="R17" s="7">
        <f t="shared" si="1"/>
        <v>6</v>
      </c>
      <c r="T17" s="7">
        <f>COUNTIF($C$11:C17,C17)</f>
        <v>7</v>
      </c>
      <c r="U17" s="7" t="str">
        <f t="shared" si="4"/>
        <v>나7</v>
      </c>
      <c r="V17" s="7" t="str">
        <f>INDEX(환산공식!$C$16:$C$301,MATCH('배치점수 계산기'!W17,환산공식!$A$16:$A$301,0))</f>
        <v>서울대 자연</v>
      </c>
      <c r="W17" s="7">
        <f t="shared" si="5"/>
        <v>16</v>
      </c>
      <c r="X17" s="7">
        <f t="shared" si="6"/>
        <v>1</v>
      </c>
      <c r="Y17" s="7">
        <f>IFERROR(INDEX(환산공식!Q$16:Q$200,MATCH($A17,환산공식!$A$16:$A$200,0)),"")</f>
        <v>1</v>
      </c>
      <c r="Z17" s="7">
        <f>IFERROR(INDEX(환산공식!R$16:R$200,MATCH($A17,환산공식!$A$16:$A$200,0)),"")</f>
        <v>1.2</v>
      </c>
      <c r="AA17" s="7">
        <f>IFERROR(INDEX(환산공식!U$16:U$200,MATCH($A17,환산공식!$A$16:$A$200,0)),"")</f>
        <v>0.8</v>
      </c>
      <c r="AB17" s="7">
        <f t="shared" si="7"/>
        <v>0.33333333333333331</v>
      </c>
      <c r="AC17" s="7">
        <f t="shared" si="8"/>
        <v>0.39999999999999997</v>
      </c>
      <c r="AD17" s="7">
        <f t="shared" si="9"/>
        <v>0.26666666666666666</v>
      </c>
      <c r="AE17" s="7">
        <f>INDEX(환산공식!$AF$16:$AF$301,MATCH('배치점수 계산기'!W17,환산공식!$A$16:$A$301,0))</f>
        <v>1</v>
      </c>
      <c r="AF17" s="7">
        <f>INDEX(환산공식!$AP$16:$AP$301,MATCH('배치점수 계산기'!W17,환산공식!$A$16:$A$301,0))</f>
        <v>1</v>
      </c>
      <c r="AG17" s="7" t="str">
        <f t="shared" si="10"/>
        <v>표점</v>
      </c>
      <c r="AH17" s="7" t="str">
        <f t="shared" si="11"/>
        <v>표점</v>
      </c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EM17" s="120"/>
      <c r="ET17" s="210"/>
      <c r="EU17" s="210"/>
      <c r="EV17" s="210"/>
      <c r="EW17" s="210"/>
      <c r="EX17" s="210"/>
      <c r="EY17" s="210"/>
      <c r="EZ17" s="210"/>
      <c r="FA17" s="210"/>
      <c r="FB17" s="210"/>
      <c r="FC17" s="210"/>
      <c r="FD17" s="210"/>
      <c r="FE17" s="210"/>
      <c r="FF17" s="210"/>
      <c r="FG17" s="210"/>
      <c r="FH17" s="210"/>
      <c r="HR17" s="120"/>
      <c r="HY17" s="210"/>
      <c r="HZ17" s="210"/>
      <c r="IA17" s="210"/>
      <c r="IB17" s="210"/>
      <c r="IC17" s="210"/>
      <c r="ID17" s="210"/>
      <c r="IE17" s="210"/>
      <c r="IF17" s="210"/>
      <c r="IG17" s="210"/>
      <c r="IH17" s="210"/>
      <c r="II17" s="210"/>
      <c r="IJ17" s="210"/>
      <c r="IK17" s="210"/>
      <c r="IL17" s="210"/>
      <c r="IM17" s="210"/>
      <c r="KW17" s="120"/>
      <c r="LD17" s="210"/>
      <c r="LE17" s="210"/>
      <c r="LF17" s="210"/>
      <c r="LG17" s="210"/>
      <c r="LH17" s="210"/>
      <c r="LI17" s="210"/>
      <c r="LJ17" s="210"/>
      <c r="LK17" s="210"/>
      <c r="LL17" s="210"/>
      <c r="LM17" s="210"/>
      <c r="LN17" s="210"/>
      <c r="LO17" s="210"/>
      <c r="LP17" s="210"/>
      <c r="LQ17" s="210"/>
      <c r="LR17" s="210"/>
      <c r="OB17" s="120"/>
      <c r="OI17" s="210"/>
      <c r="OJ17" s="210"/>
      <c r="OK17" s="210"/>
      <c r="OL17" s="210"/>
      <c r="OM17" s="210"/>
      <c r="ON17" s="210"/>
      <c r="OO17" s="210"/>
      <c r="OP17" s="210"/>
      <c r="OQ17" s="210"/>
      <c r="OR17" s="210"/>
      <c r="OS17" s="210"/>
      <c r="OT17" s="210"/>
      <c r="OU17" s="210"/>
      <c r="OV17" s="210"/>
      <c r="OW17" s="210"/>
      <c r="RG17" s="120"/>
    </row>
    <row r="18" spans="1:475" x14ac:dyDescent="0.3">
      <c r="A18" s="7">
        <v>16</v>
      </c>
      <c r="B18" s="7">
        <v>8</v>
      </c>
      <c r="C18" s="7" t="s">
        <v>346</v>
      </c>
      <c r="D18" s="7" t="s">
        <v>681</v>
      </c>
      <c r="E18" s="7" t="s">
        <v>725</v>
      </c>
      <c r="F18" s="7" t="s">
        <v>274</v>
      </c>
      <c r="G18" s="41" t="str">
        <f t="shared" si="3"/>
        <v>X</v>
      </c>
      <c r="H18" s="41">
        <f>INDEX(환산공식!CI$16:CI$301,MATCH('배치점수 계산기'!$W18,환산공식!$A$16:$A$301,0))</f>
        <v>0</v>
      </c>
      <c r="I18" s="41" t="e">
        <f>CONCATENATE(ROUND(INDEX(환산공식!CJ$16:CJ$301,MATCH('배치점수 계산기'!$W18,환산공식!$A$16:$A$301,0)),1),"%")</f>
        <v>#DIV/0!</v>
      </c>
      <c r="J18" s="41">
        <f>INDEX(환산공식!CK$16:CK$301,MATCH('배치점수 계산기'!$W18,환산공식!$A$16:$A$301,0))</f>
        <v>0</v>
      </c>
      <c r="K18" s="7">
        <f>INDEX(환산공식!$EF$16:$EF$301,MATCH('배치점수 계산기'!W18,환산공식!$A$16:$A$301,0))</f>
        <v>0</v>
      </c>
      <c r="L18" s="41" t="str">
        <f t="shared" si="0"/>
        <v>1% 이하</v>
      </c>
      <c r="M18" s="7">
        <v>407.31999999999994</v>
      </c>
      <c r="N18" s="7">
        <v>405.71947485756749</v>
      </c>
      <c r="O18" s="7">
        <v>403.53946699875468</v>
      </c>
      <c r="P18" s="7">
        <v>399.64000000000004</v>
      </c>
      <c r="Q18" s="7">
        <v>397.97952549217575</v>
      </c>
      <c r="R18" s="7">
        <f t="shared" si="1"/>
        <v>6</v>
      </c>
      <c r="T18" s="7">
        <f>COUNTIF($C$11:C18,C18)</f>
        <v>8</v>
      </c>
      <c r="U18" s="7" t="str">
        <f t="shared" si="4"/>
        <v>나8</v>
      </c>
      <c r="V18" s="7" t="str">
        <f>INDEX(환산공식!$C$16:$C$301,MATCH('배치점수 계산기'!W18,환산공식!$A$16:$A$301,0))</f>
        <v>서울대 자연</v>
      </c>
      <c r="W18" s="7">
        <f t="shared" si="5"/>
        <v>16</v>
      </c>
      <c r="X18" s="7">
        <f t="shared" si="6"/>
        <v>1</v>
      </c>
      <c r="Y18" s="7">
        <f>IFERROR(INDEX(환산공식!Q$16:Q$200,MATCH($A18,환산공식!$A$16:$A$200,0)),"")</f>
        <v>1</v>
      </c>
      <c r="Z18" s="7">
        <f>IFERROR(INDEX(환산공식!R$16:R$200,MATCH($A18,환산공식!$A$16:$A$200,0)),"")</f>
        <v>1.2</v>
      </c>
      <c r="AA18" s="7">
        <f>IFERROR(INDEX(환산공식!U$16:U$200,MATCH($A18,환산공식!$A$16:$A$200,0)),"")</f>
        <v>0.8</v>
      </c>
      <c r="AB18" s="7">
        <f t="shared" si="7"/>
        <v>0.33333333333333331</v>
      </c>
      <c r="AC18" s="7">
        <f t="shared" si="8"/>
        <v>0.39999999999999997</v>
      </c>
      <c r="AD18" s="7">
        <f t="shared" si="9"/>
        <v>0.26666666666666666</v>
      </c>
      <c r="AE18" s="7">
        <f>INDEX(환산공식!$AF$16:$AF$301,MATCH('배치점수 계산기'!W18,환산공식!$A$16:$A$301,0))</f>
        <v>1</v>
      </c>
      <c r="AF18" s="7">
        <f>INDEX(환산공식!$AP$16:$AP$301,MATCH('배치점수 계산기'!W18,환산공식!$A$16:$A$301,0))</f>
        <v>1</v>
      </c>
      <c r="AG18" s="7" t="str">
        <f t="shared" si="10"/>
        <v>표점</v>
      </c>
      <c r="AH18" s="7" t="str">
        <f t="shared" si="11"/>
        <v>표점</v>
      </c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EM18" s="12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HR18" s="120"/>
      <c r="HY18" s="210"/>
      <c r="HZ18" s="210"/>
      <c r="IA18" s="210"/>
      <c r="IB18" s="210"/>
      <c r="IC18" s="210"/>
      <c r="ID18" s="210"/>
      <c r="IE18" s="210"/>
      <c r="IF18" s="210"/>
      <c r="IG18" s="210"/>
      <c r="IH18" s="210"/>
      <c r="II18" s="210"/>
      <c r="IJ18" s="210"/>
      <c r="IK18" s="210"/>
      <c r="IL18" s="210"/>
      <c r="IM18" s="210"/>
      <c r="KW18" s="120"/>
      <c r="LD18" s="210"/>
      <c r="LE18" s="210"/>
      <c r="LF18" s="210"/>
      <c r="LG18" s="210"/>
      <c r="LH18" s="210"/>
      <c r="LI18" s="210"/>
      <c r="LJ18" s="210"/>
      <c r="LK18" s="210"/>
      <c r="LL18" s="210"/>
      <c r="LM18" s="210"/>
      <c r="LN18" s="210"/>
      <c r="LO18" s="210"/>
      <c r="LP18" s="210"/>
      <c r="LQ18" s="210"/>
      <c r="LR18" s="210"/>
      <c r="OB18" s="120"/>
      <c r="OI18" s="210"/>
      <c r="OJ18" s="210"/>
      <c r="OK18" s="210"/>
      <c r="OL18" s="210"/>
      <c r="OM18" s="210"/>
      <c r="ON18" s="210"/>
      <c r="OO18" s="210"/>
      <c r="OP18" s="210"/>
      <c r="OQ18" s="210"/>
      <c r="OR18" s="210"/>
      <c r="OS18" s="210"/>
      <c r="OT18" s="210"/>
      <c r="OU18" s="210"/>
      <c r="OV18" s="210"/>
      <c r="OW18" s="210"/>
      <c r="RG18" s="120"/>
    </row>
    <row r="19" spans="1:475" x14ac:dyDescent="0.3">
      <c r="A19" s="7">
        <v>16</v>
      </c>
      <c r="B19" s="7">
        <v>9</v>
      </c>
      <c r="C19" s="7" t="s">
        <v>346</v>
      </c>
      <c r="D19" s="7" t="s">
        <v>681</v>
      </c>
      <c r="E19" s="7" t="s">
        <v>726</v>
      </c>
      <c r="F19" s="7" t="s">
        <v>274</v>
      </c>
      <c r="G19" s="41" t="str">
        <f t="shared" si="3"/>
        <v>X</v>
      </c>
      <c r="H19" s="41">
        <f>INDEX(환산공식!CI$16:CI$301,MATCH('배치점수 계산기'!$W19,환산공식!$A$16:$A$301,0))</f>
        <v>0</v>
      </c>
      <c r="I19" s="41" t="e">
        <f>CONCATENATE(ROUND(INDEX(환산공식!CJ$16:CJ$301,MATCH('배치점수 계산기'!$W19,환산공식!$A$16:$A$301,0)),1),"%")</f>
        <v>#DIV/0!</v>
      </c>
      <c r="J19" s="41">
        <f>INDEX(환산공식!CK$16:CK$301,MATCH('배치점수 계산기'!$W19,환산공식!$A$16:$A$301,0))</f>
        <v>0</v>
      </c>
      <c r="K19" s="7">
        <f>INDEX(환산공식!$EF$16:$EF$301,MATCH('배치점수 계산기'!W19,환산공식!$A$16:$A$301,0))</f>
        <v>0</v>
      </c>
      <c r="L19" s="41" t="str">
        <f t="shared" si="0"/>
        <v>1% 이하</v>
      </c>
      <c r="M19" s="7">
        <v>408.81947885939041</v>
      </c>
      <c r="N19" s="7">
        <v>405.71947485756749</v>
      </c>
      <c r="O19" s="7">
        <v>403.53946699875468</v>
      </c>
      <c r="P19" s="7">
        <v>398.26</v>
      </c>
      <c r="Q19" s="7">
        <v>396.07999999999993</v>
      </c>
      <c r="R19" s="7">
        <f t="shared" si="1"/>
        <v>6</v>
      </c>
      <c r="T19" s="7">
        <f>COUNTIF($C$11:C19,C19)</f>
        <v>9</v>
      </c>
      <c r="U19" s="7" t="str">
        <f t="shared" si="4"/>
        <v>나9</v>
      </c>
      <c r="V19" s="7" t="str">
        <f>INDEX(환산공식!$C$16:$C$301,MATCH('배치점수 계산기'!W19,환산공식!$A$16:$A$301,0))</f>
        <v>서울대 자연</v>
      </c>
      <c r="W19" s="7">
        <f t="shared" si="5"/>
        <v>16</v>
      </c>
      <c r="X19" s="7">
        <f t="shared" si="6"/>
        <v>1</v>
      </c>
      <c r="Y19" s="7">
        <f>IFERROR(INDEX(환산공식!Q$16:Q$200,MATCH($A19,환산공식!$A$16:$A$200,0)),"")</f>
        <v>1</v>
      </c>
      <c r="Z19" s="7">
        <f>IFERROR(INDEX(환산공식!R$16:R$200,MATCH($A19,환산공식!$A$16:$A$200,0)),"")</f>
        <v>1.2</v>
      </c>
      <c r="AA19" s="7">
        <f>IFERROR(INDEX(환산공식!U$16:U$200,MATCH($A19,환산공식!$A$16:$A$200,0)),"")</f>
        <v>0.8</v>
      </c>
      <c r="AB19" s="7">
        <f t="shared" si="7"/>
        <v>0.33333333333333331</v>
      </c>
      <c r="AC19" s="7">
        <f t="shared" si="8"/>
        <v>0.39999999999999997</v>
      </c>
      <c r="AD19" s="7">
        <f t="shared" si="9"/>
        <v>0.26666666666666666</v>
      </c>
      <c r="AE19" s="7">
        <f>INDEX(환산공식!$AF$16:$AF$301,MATCH('배치점수 계산기'!W19,환산공식!$A$16:$A$301,0))</f>
        <v>1</v>
      </c>
      <c r="AF19" s="7">
        <f>INDEX(환산공식!$AP$16:$AP$301,MATCH('배치점수 계산기'!W19,환산공식!$A$16:$A$301,0))</f>
        <v>1</v>
      </c>
      <c r="AG19" s="7" t="str">
        <f t="shared" si="10"/>
        <v>표점</v>
      </c>
      <c r="AH19" s="7" t="str">
        <f t="shared" si="11"/>
        <v>표점</v>
      </c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EM19" s="120"/>
      <c r="ET19" s="210"/>
      <c r="EU19" s="210"/>
      <c r="EV19" s="210"/>
      <c r="EW19" s="210"/>
      <c r="EX19" s="210"/>
      <c r="EY19" s="210"/>
      <c r="EZ19" s="210"/>
      <c r="FA19" s="210"/>
      <c r="FB19" s="210"/>
      <c r="FC19" s="210"/>
      <c r="FD19" s="210"/>
      <c r="FE19" s="210"/>
      <c r="FF19" s="210"/>
      <c r="FG19" s="210"/>
      <c r="FH19" s="210"/>
      <c r="HR19" s="120"/>
      <c r="HY19" s="210"/>
      <c r="HZ19" s="210"/>
      <c r="IA19" s="210"/>
      <c r="IB19" s="210"/>
      <c r="IC19" s="210"/>
      <c r="ID19" s="210"/>
      <c r="IE19" s="210"/>
      <c r="IF19" s="210"/>
      <c r="IG19" s="210"/>
      <c r="IH19" s="210"/>
      <c r="II19" s="210"/>
      <c r="IJ19" s="210"/>
      <c r="IK19" s="210"/>
      <c r="IL19" s="210"/>
      <c r="IM19" s="210"/>
      <c r="KW19" s="120"/>
      <c r="LD19" s="210"/>
      <c r="LE19" s="210"/>
      <c r="LF19" s="210"/>
      <c r="LG19" s="210"/>
      <c r="LH19" s="210"/>
      <c r="LI19" s="210"/>
      <c r="LJ19" s="210"/>
      <c r="LK19" s="210"/>
      <c r="LL19" s="210"/>
      <c r="LM19" s="210"/>
      <c r="LN19" s="210"/>
      <c r="LO19" s="210"/>
      <c r="LP19" s="210"/>
      <c r="LQ19" s="210"/>
      <c r="LR19" s="210"/>
      <c r="OB19" s="120"/>
      <c r="OI19" s="210"/>
      <c r="OJ19" s="210"/>
      <c r="OK19" s="210"/>
      <c r="OL19" s="210"/>
      <c r="OM19" s="210"/>
      <c r="ON19" s="210"/>
      <c r="OO19" s="210"/>
      <c r="OP19" s="210"/>
      <c r="OQ19" s="210"/>
      <c r="OR19" s="210"/>
      <c r="OS19" s="210"/>
      <c r="OT19" s="210"/>
      <c r="OU19" s="210"/>
      <c r="OV19" s="210"/>
      <c r="OW19" s="210"/>
      <c r="RG19" s="120"/>
    </row>
    <row r="20" spans="1:475" x14ac:dyDescent="0.3">
      <c r="A20" s="7">
        <v>16</v>
      </c>
      <c r="B20" s="7">
        <v>10</v>
      </c>
      <c r="C20" s="7" t="s">
        <v>346</v>
      </c>
      <c r="D20" s="7" t="s">
        <v>681</v>
      </c>
      <c r="E20" s="7" t="s">
        <v>252</v>
      </c>
      <c r="F20" s="7" t="s">
        <v>274</v>
      </c>
      <c r="G20" s="41" t="str">
        <f t="shared" si="3"/>
        <v>X</v>
      </c>
      <c r="H20" s="41">
        <f>INDEX(환산공식!CI$16:CI$301,MATCH('배치점수 계산기'!$W20,환산공식!$A$16:$A$301,0))</f>
        <v>0</v>
      </c>
      <c r="I20" s="41" t="e">
        <f>CONCATENATE(ROUND(INDEX(환산공식!CJ$16:CJ$301,MATCH('배치점수 계산기'!$W20,환산공식!$A$16:$A$301,0)),1),"%")</f>
        <v>#DIV/0!</v>
      </c>
      <c r="J20" s="41">
        <f>INDEX(환산공식!CK$16:CK$301,MATCH('배치점수 계산기'!$W20,환산공식!$A$16:$A$301,0))</f>
        <v>0</v>
      </c>
      <c r="K20" s="7">
        <f>INDEX(환산공식!$EF$16:$EF$301,MATCH('배치점수 계산기'!W20,환산공식!$A$16:$A$301,0))</f>
        <v>0</v>
      </c>
      <c r="L20" s="41" t="str">
        <f t="shared" si="0"/>
        <v>1% 이하</v>
      </c>
      <c r="M20" s="7">
        <v>405.71947485756749</v>
      </c>
      <c r="N20" s="7">
        <v>404.46000000000004</v>
      </c>
      <c r="O20" s="7">
        <v>399.64000000000004</v>
      </c>
      <c r="P20" s="7">
        <v>396.07999999999993</v>
      </c>
      <c r="Q20" s="7">
        <v>394.23999999999995</v>
      </c>
      <c r="R20" s="7">
        <f t="shared" si="1"/>
        <v>6</v>
      </c>
      <c r="T20" s="7">
        <f>COUNTIF($C$11:C20,C20)</f>
        <v>10</v>
      </c>
      <c r="U20" s="7" t="str">
        <f t="shared" si="4"/>
        <v>나10</v>
      </c>
      <c r="V20" s="7" t="str">
        <f>INDEX(환산공식!$C$16:$C$301,MATCH('배치점수 계산기'!W20,환산공식!$A$16:$A$301,0))</f>
        <v>서울대 자연</v>
      </c>
      <c r="W20" s="7">
        <f t="shared" si="5"/>
        <v>16</v>
      </c>
      <c r="X20" s="7">
        <f t="shared" si="6"/>
        <v>1</v>
      </c>
      <c r="Y20" s="7">
        <f>IFERROR(INDEX(환산공식!Q$16:Q$200,MATCH($A20,환산공식!$A$16:$A$200,0)),"")</f>
        <v>1</v>
      </c>
      <c r="Z20" s="7">
        <f>IFERROR(INDEX(환산공식!R$16:R$200,MATCH($A20,환산공식!$A$16:$A$200,0)),"")</f>
        <v>1.2</v>
      </c>
      <c r="AA20" s="7">
        <f>IFERROR(INDEX(환산공식!U$16:U$200,MATCH($A20,환산공식!$A$16:$A$200,0)),"")</f>
        <v>0.8</v>
      </c>
      <c r="AB20" s="7">
        <f t="shared" si="7"/>
        <v>0.33333333333333331</v>
      </c>
      <c r="AC20" s="7">
        <f t="shared" si="8"/>
        <v>0.39999999999999997</v>
      </c>
      <c r="AD20" s="7">
        <f t="shared" si="9"/>
        <v>0.26666666666666666</v>
      </c>
      <c r="AE20" s="7">
        <f>INDEX(환산공식!$AF$16:$AF$301,MATCH('배치점수 계산기'!W20,환산공식!$A$16:$A$301,0))</f>
        <v>1</v>
      </c>
      <c r="AF20" s="7">
        <f>INDEX(환산공식!$AP$16:$AP$301,MATCH('배치점수 계산기'!W20,환산공식!$A$16:$A$301,0))</f>
        <v>1</v>
      </c>
      <c r="AG20" s="7" t="str">
        <f t="shared" si="10"/>
        <v>표점</v>
      </c>
      <c r="AH20" s="7" t="str">
        <f t="shared" si="11"/>
        <v>표점</v>
      </c>
      <c r="BO20" s="210"/>
      <c r="BP20" s="210"/>
      <c r="BQ20" s="210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EM20" s="120"/>
      <c r="ET20" s="210"/>
      <c r="EU20" s="210"/>
      <c r="EV20" s="210"/>
      <c r="EW20" s="210"/>
      <c r="EX20" s="210"/>
      <c r="EY20" s="210"/>
      <c r="EZ20" s="210"/>
      <c r="FA20" s="210"/>
      <c r="FB20" s="210"/>
      <c r="FC20" s="210"/>
      <c r="FD20" s="210"/>
      <c r="FE20" s="210"/>
      <c r="FF20" s="210"/>
      <c r="FG20" s="210"/>
      <c r="FH20" s="210"/>
      <c r="HR20" s="120"/>
      <c r="HY20" s="210"/>
      <c r="HZ20" s="210"/>
      <c r="IA20" s="210"/>
      <c r="IB20" s="210"/>
      <c r="IC20" s="210"/>
      <c r="ID20" s="210"/>
      <c r="IE20" s="210"/>
      <c r="IF20" s="210"/>
      <c r="IG20" s="210"/>
      <c r="IH20" s="210"/>
      <c r="II20" s="210"/>
      <c r="IJ20" s="210"/>
      <c r="IK20" s="210"/>
      <c r="IL20" s="210"/>
      <c r="IM20" s="210"/>
      <c r="KW20" s="120"/>
      <c r="LD20" s="210"/>
      <c r="LE20" s="210"/>
      <c r="LF20" s="210"/>
      <c r="LG20" s="210"/>
      <c r="LH20" s="210"/>
      <c r="LI20" s="210"/>
      <c r="LJ20" s="210"/>
      <c r="LK20" s="210"/>
      <c r="LL20" s="210"/>
      <c r="LM20" s="210"/>
      <c r="LN20" s="210"/>
      <c r="LO20" s="210"/>
      <c r="LP20" s="210"/>
      <c r="LQ20" s="210"/>
      <c r="LR20" s="210"/>
      <c r="OB20" s="120"/>
      <c r="OI20" s="210"/>
      <c r="OJ20" s="210"/>
      <c r="OK20" s="210"/>
      <c r="OL20" s="210"/>
      <c r="OM20" s="210"/>
      <c r="ON20" s="210"/>
      <c r="OO20" s="210"/>
      <c r="OP20" s="210"/>
      <c r="OQ20" s="210"/>
      <c r="OR20" s="210"/>
      <c r="OS20" s="210"/>
      <c r="OT20" s="210"/>
      <c r="OU20" s="210"/>
      <c r="OV20" s="210"/>
      <c r="OW20" s="210"/>
      <c r="RG20" s="120"/>
    </row>
    <row r="21" spans="1:475" x14ac:dyDescent="0.3">
      <c r="A21" s="7">
        <v>16</v>
      </c>
      <c r="B21" s="7">
        <v>11</v>
      </c>
      <c r="C21" s="7" t="s">
        <v>346</v>
      </c>
      <c r="D21" s="7" t="s">
        <v>681</v>
      </c>
      <c r="E21" s="7" t="s">
        <v>253</v>
      </c>
      <c r="F21" s="7" t="s">
        <v>274</v>
      </c>
      <c r="G21" s="41" t="str">
        <f t="shared" si="3"/>
        <v>X</v>
      </c>
      <c r="H21" s="41">
        <f>INDEX(환산공식!CI$16:CI$301,MATCH('배치점수 계산기'!$W21,환산공식!$A$16:$A$301,0))</f>
        <v>0</v>
      </c>
      <c r="I21" s="41" t="e">
        <f>CONCATENATE(ROUND(INDEX(환산공식!CJ$16:CJ$301,MATCH('배치점수 계산기'!$W21,환산공식!$A$16:$A$301,0)),1),"%")</f>
        <v>#DIV/0!</v>
      </c>
      <c r="J21" s="41">
        <f>INDEX(환산공식!CK$16:CK$301,MATCH('배치점수 계산기'!$W21,환산공식!$A$16:$A$301,0))</f>
        <v>0</v>
      </c>
      <c r="K21" s="7">
        <f>INDEX(환산공식!$EF$16:$EF$301,MATCH('배치점수 계산기'!W21,환산공식!$A$16:$A$301,0))</f>
        <v>0</v>
      </c>
      <c r="L21" s="41" t="str">
        <f t="shared" si="0"/>
        <v>1% 이하</v>
      </c>
      <c r="M21" s="7">
        <v>406.8410580964154</v>
      </c>
      <c r="N21" s="7">
        <v>403.53946699875468</v>
      </c>
      <c r="O21" s="7">
        <v>399.23953710691819</v>
      </c>
      <c r="P21" s="7">
        <v>396.07999999999993</v>
      </c>
      <c r="Q21" s="7">
        <v>394.23999999999995</v>
      </c>
      <c r="R21" s="7">
        <f t="shared" si="1"/>
        <v>6</v>
      </c>
      <c r="T21" s="7">
        <f>COUNTIF($C$11:C21,C21)</f>
        <v>11</v>
      </c>
      <c r="U21" s="7" t="str">
        <f t="shared" si="4"/>
        <v>나11</v>
      </c>
      <c r="V21" s="7" t="str">
        <f>INDEX(환산공식!$C$16:$C$301,MATCH('배치점수 계산기'!W21,환산공식!$A$16:$A$301,0))</f>
        <v>서울대 자연</v>
      </c>
      <c r="W21" s="7">
        <f t="shared" si="5"/>
        <v>16</v>
      </c>
      <c r="X21" s="7">
        <f t="shared" si="6"/>
        <v>1</v>
      </c>
      <c r="Y21" s="7">
        <f>IFERROR(INDEX(환산공식!Q$16:Q$200,MATCH($A21,환산공식!$A$16:$A$200,0)),"")</f>
        <v>1</v>
      </c>
      <c r="Z21" s="7">
        <f>IFERROR(INDEX(환산공식!R$16:R$200,MATCH($A21,환산공식!$A$16:$A$200,0)),"")</f>
        <v>1.2</v>
      </c>
      <c r="AA21" s="7">
        <f>IFERROR(INDEX(환산공식!U$16:U$200,MATCH($A21,환산공식!$A$16:$A$200,0)),"")</f>
        <v>0.8</v>
      </c>
      <c r="AB21" s="7">
        <f t="shared" si="7"/>
        <v>0.33333333333333331</v>
      </c>
      <c r="AC21" s="7">
        <f t="shared" si="8"/>
        <v>0.39999999999999997</v>
      </c>
      <c r="AD21" s="7">
        <f t="shared" si="9"/>
        <v>0.26666666666666666</v>
      </c>
      <c r="AE21" s="7">
        <f>INDEX(환산공식!$AF$16:$AF$301,MATCH('배치점수 계산기'!W21,환산공식!$A$16:$A$301,0))</f>
        <v>1</v>
      </c>
      <c r="AF21" s="7">
        <f>INDEX(환산공식!$AP$16:$AP$301,MATCH('배치점수 계산기'!W21,환산공식!$A$16:$A$301,0))</f>
        <v>1</v>
      </c>
      <c r="AG21" s="7" t="str">
        <f t="shared" si="10"/>
        <v>표점</v>
      </c>
      <c r="AH21" s="7" t="str">
        <f t="shared" si="11"/>
        <v>표점</v>
      </c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EM21" s="120"/>
      <c r="ET21" s="210"/>
      <c r="EU21" s="210"/>
      <c r="EV21" s="210"/>
      <c r="EW21" s="210"/>
      <c r="EX21" s="210"/>
      <c r="EY21" s="210"/>
      <c r="EZ21" s="210"/>
      <c r="FA21" s="210"/>
      <c r="FB21" s="210"/>
      <c r="FC21" s="210"/>
      <c r="FD21" s="210"/>
      <c r="FE21" s="210"/>
      <c r="FF21" s="210"/>
      <c r="FG21" s="210"/>
      <c r="FH21" s="210"/>
      <c r="HR21" s="120"/>
      <c r="HY21" s="210"/>
      <c r="HZ21" s="210"/>
      <c r="IA21" s="210"/>
      <c r="IB21" s="210"/>
      <c r="IC21" s="210"/>
      <c r="ID21" s="210"/>
      <c r="IE21" s="210"/>
      <c r="IF21" s="210"/>
      <c r="IG21" s="210"/>
      <c r="IH21" s="210"/>
      <c r="II21" s="210"/>
      <c r="IJ21" s="210"/>
      <c r="IK21" s="210"/>
      <c r="IL21" s="210"/>
      <c r="IM21" s="210"/>
      <c r="KW21" s="120"/>
      <c r="LD21" s="210"/>
      <c r="LE21" s="210"/>
      <c r="LF21" s="210"/>
      <c r="LG21" s="210"/>
      <c r="LH21" s="210"/>
      <c r="LI21" s="210"/>
      <c r="LJ21" s="210"/>
      <c r="LK21" s="210"/>
      <c r="LL21" s="210"/>
      <c r="LM21" s="210"/>
      <c r="LN21" s="210"/>
      <c r="LO21" s="210"/>
      <c r="LP21" s="210"/>
      <c r="LQ21" s="210"/>
      <c r="LR21" s="210"/>
      <c r="OB21" s="120"/>
      <c r="OI21" s="210"/>
      <c r="OJ21" s="210"/>
      <c r="OK21" s="210"/>
      <c r="OL21" s="210"/>
      <c r="OM21" s="210"/>
      <c r="ON21" s="210"/>
      <c r="OO21" s="210"/>
      <c r="OP21" s="210"/>
      <c r="OQ21" s="210"/>
      <c r="OR21" s="210"/>
      <c r="OS21" s="210"/>
      <c r="OT21" s="210"/>
      <c r="OU21" s="210"/>
      <c r="OV21" s="210"/>
      <c r="OW21" s="210"/>
      <c r="RG21" s="120"/>
    </row>
    <row r="22" spans="1:475" x14ac:dyDescent="0.3">
      <c r="A22" s="7">
        <v>16</v>
      </c>
      <c r="B22" s="7">
        <v>12</v>
      </c>
      <c r="C22" s="7" t="s">
        <v>346</v>
      </c>
      <c r="D22" s="7" t="s">
        <v>681</v>
      </c>
      <c r="E22" s="7" t="s">
        <v>727</v>
      </c>
      <c r="F22" s="7" t="s">
        <v>274</v>
      </c>
      <c r="G22" s="41" t="str">
        <f t="shared" si="3"/>
        <v>X</v>
      </c>
      <c r="H22" s="41">
        <f>INDEX(환산공식!CI$16:CI$301,MATCH('배치점수 계산기'!$W22,환산공식!$A$16:$A$301,0))</f>
        <v>0</v>
      </c>
      <c r="I22" s="41" t="e">
        <f>CONCATENATE(ROUND(INDEX(환산공식!CJ$16:CJ$301,MATCH('배치점수 계산기'!$W22,환산공식!$A$16:$A$301,0)),1),"%")</f>
        <v>#DIV/0!</v>
      </c>
      <c r="J22" s="41">
        <f>INDEX(환산공식!CK$16:CK$301,MATCH('배치점수 계산기'!$W22,환산공식!$A$16:$A$301,0))</f>
        <v>0</v>
      </c>
      <c r="K22" s="7">
        <f>INDEX(환산공식!$EF$16:$EF$301,MATCH('배치점수 계산기'!W22,환산공식!$A$16:$A$301,0))</f>
        <v>0</v>
      </c>
      <c r="L22" s="41" t="str">
        <f t="shared" si="0"/>
        <v>1% 이하</v>
      </c>
      <c r="M22" s="7">
        <v>409.82</v>
      </c>
      <c r="N22" s="7">
        <v>404.65999999999997</v>
      </c>
      <c r="O22" s="7">
        <v>402.09999999999997</v>
      </c>
      <c r="P22" s="7">
        <v>397.55999999999995</v>
      </c>
      <c r="Q22" s="7">
        <v>395.54000000000008</v>
      </c>
      <c r="R22" s="7">
        <f t="shared" si="1"/>
        <v>6</v>
      </c>
      <c r="T22" s="7">
        <f>COUNTIF($C$11:C22,C22)</f>
        <v>12</v>
      </c>
      <c r="U22" s="7" t="str">
        <f t="shared" si="4"/>
        <v>나12</v>
      </c>
      <c r="V22" s="7" t="str">
        <f>INDEX(환산공식!$C$16:$C$301,MATCH('배치점수 계산기'!W22,환산공식!$A$16:$A$301,0))</f>
        <v>서울대 자연</v>
      </c>
      <c r="W22" s="7">
        <f t="shared" si="5"/>
        <v>16</v>
      </c>
      <c r="X22" s="7">
        <f t="shared" si="6"/>
        <v>1</v>
      </c>
      <c r="Y22" s="7">
        <f>IFERROR(INDEX(환산공식!Q$16:Q$200,MATCH($A22,환산공식!$A$16:$A$200,0)),"")</f>
        <v>1</v>
      </c>
      <c r="Z22" s="7">
        <f>IFERROR(INDEX(환산공식!R$16:R$200,MATCH($A22,환산공식!$A$16:$A$200,0)),"")</f>
        <v>1.2</v>
      </c>
      <c r="AA22" s="7">
        <f>IFERROR(INDEX(환산공식!U$16:U$200,MATCH($A22,환산공식!$A$16:$A$200,0)),"")</f>
        <v>0.8</v>
      </c>
      <c r="AB22" s="7">
        <f t="shared" si="7"/>
        <v>0.33333333333333331</v>
      </c>
      <c r="AC22" s="7">
        <f t="shared" si="8"/>
        <v>0.39999999999999997</v>
      </c>
      <c r="AD22" s="7">
        <f t="shared" si="9"/>
        <v>0.26666666666666666</v>
      </c>
      <c r="AE22" s="7">
        <f>INDEX(환산공식!$AF$16:$AF$301,MATCH('배치점수 계산기'!W22,환산공식!$A$16:$A$301,0))</f>
        <v>1</v>
      </c>
      <c r="AF22" s="7">
        <f>INDEX(환산공식!$AP$16:$AP$301,MATCH('배치점수 계산기'!W22,환산공식!$A$16:$A$301,0))</f>
        <v>1</v>
      </c>
      <c r="AG22" s="7" t="str">
        <f t="shared" si="10"/>
        <v>표점</v>
      </c>
      <c r="AH22" s="7" t="str">
        <f t="shared" si="11"/>
        <v>표점</v>
      </c>
      <c r="BO22" s="210"/>
      <c r="BP22" s="210"/>
      <c r="BQ22" s="210"/>
      <c r="BR22" s="210"/>
      <c r="BS22" s="210"/>
      <c r="BT22" s="210"/>
      <c r="BU22" s="210"/>
      <c r="BV22" s="210"/>
      <c r="BW22" s="210"/>
      <c r="BX22" s="210"/>
      <c r="BY22" s="210"/>
      <c r="BZ22" s="210"/>
      <c r="CA22" s="210"/>
      <c r="CB22" s="210"/>
      <c r="CC22" s="210"/>
      <c r="EM22" s="120"/>
      <c r="ET22" s="210"/>
      <c r="EU22" s="210"/>
      <c r="EV22" s="210"/>
      <c r="EW22" s="210"/>
      <c r="EX22" s="210"/>
      <c r="EY22" s="210"/>
      <c r="EZ22" s="210"/>
      <c r="FA22" s="210"/>
      <c r="FB22" s="210"/>
      <c r="FC22" s="210"/>
      <c r="FD22" s="210"/>
      <c r="FE22" s="210"/>
      <c r="FF22" s="210"/>
      <c r="FG22" s="210"/>
      <c r="FH22" s="210"/>
      <c r="HR22" s="120"/>
      <c r="HY22" s="210"/>
      <c r="HZ22" s="210"/>
      <c r="IA22" s="210"/>
      <c r="IB22" s="210"/>
      <c r="IC22" s="210"/>
      <c r="ID22" s="210"/>
      <c r="IE22" s="210"/>
      <c r="IF22" s="210"/>
      <c r="IG22" s="210"/>
      <c r="IH22" s="210"/>
      <c r="II22" s="210"/>
      <c r="IJ22" s="210"/>
      <c r="IK22" s="210"/>
      <c r="IL22" s="210"/>
      <c r="IM22" s="210"/>
      <c r="KW22" s="120"/>
      <c r="LD22" s="210"/>
      <c r="LE22" s="210"/>
      <c r="LF22" s="210"/>
      <c r="LG22" s="210"/>
      <c r="LH22" s="210"/>
      <c r="LI22" s="210"/>
      <c r="LJ22" s="210"/>
      <c r="LK22" s="210"/>
      <c r="LL22" s="210"/>
      <c r="LM22" s="210"/>
      <c r="LN22" s="210"/>
      <c r="LO22" s="210"/>
      <c r="LP22" s="210"/>
      <c r="LQ22" s="210"/>
      <c r="LR22" s="210"/>
      <c r="OB22" s="120"/>
      <c r="OI22" s="210"/>
      <c r="OJ22" s="210"/>
      <c r="OK22" s="210"/>
      <c r="OL22" s="210"/>
      <c r="OM22" s="210"/>
      <c r="ON22" s="210"/>
      <c r="OO22" s="210"/>
      <c r="OP22" s="210"/>
      <c r="OQ22" s="210"/>
      <c r="OR22" s="210"/>
      <c r="OS22" s="210"/>
      <c r="OT22" s="210"/>
      <c r="OU22" s="210"/>
      <c r="OV22" s="210"/>
      <c r="OW22" s="210"/>
      <c r="RG22" s="120"/>
    </row>
    <row r="23" spans="1:475" x14ac:dyDescent="0.3">
      <c r="A23" s="7">
        <v>16</v>
      </c>
      <c r="B23" s="7">
        <v>13</v>
      </c>
      <c r="C23" s="7" t="s">
        <v>346</v>
      </c>
      <c r="D23" s="7" t="s">
        <v>681</v>
      </c>
      <c r="E23" s="7" t="s">
        <v>254</v>
      </c>
      <c r="F23" s="7" t="s">
        <v>274</v>
      </c>
      <c r="G23" s="41" t="str">
        <f t="shared" si="3"/>
        <v>X</v>
      </c>
      <c r="H23" s="41">
        <f>INDEX(환산공식!CI$16:CI$301,MATCH('배치점수 계산기'!$W23,환산공식!$A$16:$A$301,0))</f>
        <v>0</v>
      </c>
      <c r="I23" s="41" t="e">
        <f>CONCATENATE(ROUND(INDEX(환산공식!CJ$16:CJ$301,MATCH('배치점수 계산기'!$W23,환산공식!$A$16:$A$301,0)),1),"%")</f>
        <v>#DIV/0!</v>
      </c>
      <c r="J23" s="41">
        <f>INDEX(환산공식!CK$16:CK$301,MATCH('배치점수 계산기'!$W23,환산공식!$A$16:$A$301,0))</f>
        <v>0</v>
      </c>
      <c r="K23" s="7">
        <f>INDEX(환산공식!$EF$16:$EF$301,MATCH('배치점수 계산기'!W23,환산공식!$A$16:$A$301,0))</f>
        <v>0</v>
      </c>
      <c r="L23" s="41" t="str">
        <f t="shared" si="0"/>
        <v>1% 이하</v>
      </c>
      <c r="M23" s="7">
        <v>404.05999999999995</v>
      </c>
      <c r="N23" s="7">
        <v>403.08000000000004</v>
      </c>
      <c r="O23" s="7">
        <v>398.96000000000004</v>
      </c>
      <c r="P23" s="7">
        <v>395.54000000000008</v>
      </c>
      <c r="Q23" s="7">
        <v>393.55952526799388</v>
      </c>
      <c r="R23" s="7">
        <f t="shared" si="1"/>
        <v>6</v>
      </c>
      <c r="T23" s="7">
        <f>COUNTIF($C$11:C23,C23)</f>
        <v>13</v>
      </c>
      <c r="U23" s="7" t="str">
        <f t="shared" si="4"/>
        <v>나13</v>
      </c>
      <c r="V23" s="7" t="str">
        <f>INDEX(환산공식!$C$16:$C$301,MATCH('배치점수 계산기'!W23,환산공식!$A$16:$A$301,0))</f>
        <v>서울대 자연</v>
      </c>
      <c r="W23" s="7">
        <f t="shared" si="5"/>
        <v>16</v>
      </c>
      <c r="X23" s="7">
        <f t="shared" si="6"/>
        <v>1</v>
      </c>
      <c r="Y23" s="7">
        <f>IFERROR(INDEX(환산공식!Q$16:Q$200,MATCH($A23,환산공식!$A$16:$A$200,0)),"")</f>
        <v>1</v>
      </c>
      <c r="Z23" s="7">
        <f>IFERROR(INDEX(환산공식!R$16:R$200,MATCH($A23,환산공식!$A$16:$A$200,0)),"")</f>
        <v>1.2</v>
      </c>
      <c r="AA23" s="7">
        <f>IFERROR(INDEX(환산공식!U$16:U$200,MATCH($A23,환산공식!$A$16:$A$200,0)),"")</f>
        <v>0.8</v>
      </c>
      <c r="AB23" s="7">
        <f t="shared" si="7"/>
        <v>0.33333333333333331</v>
      </c>
      <c r="AC23" s="7">
        <f t="shared" si="8"/>
        <v>0.39999999999999997</v>
      </c>
      <c r="AD23" s="7">
        <f t="shared" si="9"/>
        <v>0.26666666666666666</v>
      </c>
      <c r="AE23" s="7">
        <f>INDEX(환산공식!$AF$16:$AF$301,MATCH('배치점수 계산기'!W23,환산공식!$A$16:$A$301,0))</f>
        <v>1</v>
      </c>
      <c r="AF23" s="7">
        <f>INDEX(환산공식!$AP$16:$AP$301,MATCH('배치점수 계산기'!W23,환산공식!$A$16:$A$301,0))</f>
        <v>1</v>
      </c>
      <c r="AG23" s="7" t="str">
        <f t="shared" si="10"/>
        <v>표점</v>
      </c>
      <c r="AH23" s="7" t="str">
        <f t="shared" si="11"/>
        <v>표점</v>
      </c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EM23" s="12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HR23" s="120"/>
      <c r="HY23" s="210"/>
      <c r="HZ23" s="210"/>
      <c r="IA23" s="210"/>
      <c r="IB23" s="210"/>
      <c r="IC23" s="210"/>
      <c r="ID23" s="210"/>
      <c r="IE23" s="210"/>
      <c r="IF23" s="210"/>
      <c r="IG23" s="210"/>
      <c r="IH23" s="210"/>
      <c r="II23" s="210"/>
      <c r="IJ23" s="210"/>
      <c r="IK23" s="210"/>
      <c r="IL23" s="210"/>
      <c r="IM23" s="210"/>
      <c r="KW23" s="120"/>
      <c r="LD23" s="210"/>
      <c r="LE23" s="210"/>
      <c r="LF23" s="210"/>
      <c r="LG23" s="210"/>
      <c r="LH23" s="210"/>
      <c r="LI23" s="210"/>
      <c r="LJ23" s="210"/>
      <c r="LK23" s="210"/>
      <c r="LL23" s="210"/>
      <c r="LM23" s="210"/>
      <c r="LN23" s="210"/>
      <c r="LO23" s="210"/>
      <c r="LP23" s="210"/>
      <c r="LQ23" s="210"/>
      <c r="LR23" s="210"/>
      <c r="OB23" s="120"/>
      <c r="OI23" s="210"/>
      <c r="OJ23" s="210"/>
      <c r="OK23" s="210"/>
      <c r="OL23" s="210"/>
      <c r="OM23" s="210"/>
      <c r="ON23" s="210"/>
      <c r="OO23" s="210"/>
      <c r="OP23" s="210"/>
      <c r="OQ23" s="210"/>
      <c r="OR23" s="210"/>
      <c r="OS23" s="210"/>
      <c r="OT23" s="210"/>
      <c r="OU23" s="210"/>
      <c r="OV23" s="210"/>
      <c r="OW23" s="210"/>
      <c r="RG23" s="120"/>
    </row>
    <row r="24" spans="1:475" x14ac:dyDescent="0.3">
      <c r="A24" s="7">
        <v>16</v>
      </c>
      <c r="B24" s="7">
        <v>14</v>
      </c>
      <c r="C24" s="7" t="s">
        <v>346</v>
      </c>
      <c r="D24" s="7" t="s">
        <v>681</v>
      </c>
      <c r="E24" s="7" t="s">
        <v>255</v>
      </c>
      <c r="F24" s="7" t="s">
        <v>274</v>
      </c>
      <c r="G24" s="41" t="str">
        <f t="shared" si="3"/>
        <v>X</v>
      </c>
      <c r="H24" s="41">
        <f>INDEX(환산공식!CI$16:CI$301,MATCH('배치점수 계산기'!$W24,환산공식!$A$16:$A$301,0))</f>
        <v>0</v>
      </c>
      <c r="I24" s="41" t="e">
        <f>CONCATENATE(ROUND(INDEX(환산공식!CJ$16:CJ$301,MATCH('배치점수 계산기'!$W24,환산공식!$A$16:$A$301,0)),1),"%")</f>
        <v>#DIV/0!</v>
      </c>
      <c r="J24" s="41">
        <f>INDEX(환산공식!CK$16:CK$301,MATCH('배치점수 계산기'!$W24,환산공식!$A$16:$A$301,0))</f>
        <v>0</v>
      </c>
      <c r="K24" s="7">
        <f>INDEX(환산공식!$EF$16:$EF$301,MATCH('배치점수 계산기'!W24,환산공식!$A$16:$A$301,0))</f>
        <v>0</v>
      </c>
      <c r="L24" s="41" t="str">
        <f t="shared" si="0"/>
        <v>1% 이하</v>
      </c>
      <c r="M24" s="7">
        <v>405.25946428571427</v>
      </c>
      <c r="N24" s="7">
        <v>403.08000000000004</v>
      </c>
      <c r="O24" s="7">
        <v>398.96000000000004</v>
      </c>
      <c r="P24" s="7">
        <v>397.55999999999995</v>
      </c>
      <c r="Q24" s="7">
        <v>395.38047788510426</v>
      </c>
      <c r="R24" s="7">
        <f t="shared" si="1"/>
        <v>6</v>
      </c>
      <c r="T24" s="7">
        <f>COUNTIF($C$11:C24,C24)</f>
        <v>14</v>
      </c>
      <c r="U24" s="7" t="str">
        <f t="shared" si="4"/>
        <v>나14</v>
      </c>
      <c r="V24" s="7" t="str">
        <f>INDEX(환산공식!$C$16:$C$301,MATCH('배치점수 계산기'!W24,환산공식!$A$16:$A$301,0))</f>
        <v>서울대 자연</v>
      </c>
      <c r="W24" s="7">
        <f t="shared" si="5"/>
        <v>16</v>
      </c>
      <c r="X24" s="7">
        <f t="shared" si="6"/>
        <v>1</v>
      </c>
      <c r="Y24" s="7">
        <f>IFERROR(INDEX(환산공식!Q$16:Q$200,MATCH($A24,환산공식!$A$16:$A$200,0)),"")</f>
        <v>1</v>
      </c>
      <c r="Z24" s="7">
        <f>IFERROR(INDEX(환산공식!R$16:R$200,MATCH($A24,환산공식!$A$16:$A$200,0)),"")</f>
        <v>1.2</v>
      </c>
      <c r="AA24" s="7">
        <f>IFERROR(INDEX(환산공식!U$16:U$200,MATCH($A24,환산공식!$A$16:$A$200,0)),"")</f>
        <v>0.8</v>
      </c>
      <c r="AB24" s="7">
        <f t="shared" si="7"/>
        <v>0.33333333333333331</v>
      </c>
      <c r="AC24" s="7">
        <f t="shared" si="8"/>
        <v>0.39999999999999997</v>
      </c>
      <c r="AD24" s="7">
        <f t="shared" si="9"/>
        <v>0.26666666666666666</v>
      </c>
      <c r="AE24" s="7">
        <f>INDEX(환산공식!$AF$16:$AF$301,MATCH('배치점수 계산기'!W24,환산공식!$A$16:$A$301,0))</f>
        <v>1</v>
      </c>
      <c r="AF24" s="7">
        <f>INDEX(환산공식!$AP$16:$AP$301,MATCH('배치점수 계산기'!W24,환산공식!$A$16:$A$301,0))</f>
        <v>1</v>
      </c>
      <c r="AG24" s="7" t="str">
        <f t="shared" si="10"/>
        <v>표점</v>
      </c>
      <c r="AH24" s="7" t="str">
        <f t="shared" si="11"/>
        <v>표점</v>
      </c>
      <c r="BO24" s="210"/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EM24" s="120"/>
      <c r="ET24" s="210"/>
      <c r="EU24" s="210"/>
      <c r="EV24" s="210"/>
      <c r="EW24" s="210"/>
      <c r="EX24" s="210"/>
      <c r="EY24" s="210"/>
      <c r="EZ24" s="210"/>
      <c r="FA24" s="210"/>
      <c r="FB24" s="210"/>
      <c r="FC24" s="210"/>
      <c r="FD24" s="210"/>
      <c r="FE24" s="210"/>
      <c r="FF24" s="210"/>
      <c r="FG24" s="210"/>
      <c r="FH24" s="210"/>
      <c r="HR24" s="120"/>
      <c r="HY24" s="210"/>
      <c r="HZ24" s="210"/>
      <c r="IA24" s="210"/>
      <c r="IB24" s="210"/>
      <c r="IC24" s="210"/>
      <c r="ID24" s="210"/>
      <c r="IE24" s="210"/>
      <c r="IF24" s="210"/>
      <c r="IG24" s="210"/>
      <c r="IH24" s="210"/>
      <c r="II24" s="210"/>
      <c r="IJ24" s="210"/>
      <c r="IK24" s="210"/>
      <c r="IL24" s="210"/>
      <c r="IM24" s="210"/>
      <c r="KW24" s="120"/>
      <c r="LD24" s="210"/>
      <c r="LE24" s="210"/>
      <c r="LF24" s="210"/>
      <c r="LG24" s="210"/>
      <c r="LH24" s="210"/>
      <c r="LI24" s="210"/>
      <c r="LJ24" s="210"/>
      <c r="LK24" s="210"/>
      <c r="LL24" s="210"/>
      <c r="LM24" s="210"/>
      <c r="LN24" s="210"/>
      <c r="LO24" s="210"/>
      <c r="LP24" s="210"/>
      <c r="LQ24" s="210"/>
      <c r="LR24" s="210"/>
      <c r="OB24" s="120"/>
      <c r="OI24" s="210"/>
      <c r="OJ24" s="210"/>
      <c r="OK24" s="210"/>
      <c r="OL24" s="210"/>
      <c r="OM24" s="210"/>
      <c r="ON24" s="210"/>
      <c r="OO24" s="210"/>
      <c r="OP24" s="210"/>
      <c r="OQ24" s="210"/>
      <c r="OR24" s="210"/>
      <c r="OS24" s="210"/>
      <c r="OT24" s="210"/>
      <c r="OU24" s="210"/>
      <c r="OV24" s="210"/>
      <c r="OW24" s="210"/>
      <c r="RG24" s="120"/>
    </row>
    <row r="25" spans="1:475" x14ac:dyDescent="0.3">
      <c r="A25" s="7">
        <v>16</v>
      </c>
      <c r="B25" s="7">
        <v>15</v>
      </c>
      <c r="C25" s="7" t="s">
        <v>346</v>
      </c>
      <c r="D25" s="7" t="s">
        <v>681</v>
      </c>
      <c r="E25" s="7" t="s">
        <v>728</v>
      </c>
      <c r="F25" s="7" t="s">
        <v>274</v>
      </c>
      <c r="G25" s="41" t="str">
        <f t="shared" si="3"/>
        <v>X</v>
      </c>
      <c r="H25" s="41">
        <f>INDEX(환산공식!CI$16:CI$301,MATCH('배치점수 계산기'!$W25,환산공식!$A$16:$A$301,0))</f>
        <v>0</v>
      </c>
      <c r="I25" s="41" t="e">
        <f>CONCATENATE(ROUND(INDEX(환산공식!CJ$16:CJ$301,MATCH('배치점수 계산기'!$W25,환산공식!$A$16:$A$301,0)),1),"%")</f>
        <v>#DIV/0!</v>
      </c>
      <c r="J25" s="41">
        <f>INDEX(환산공식!CK$16:CK$301,MATCH('배치점수 계산기'!$W25,환산공식!$A$16:$A$301,0))</f>
        <v>0</v>
      </c>
      <c r="K25" s="7">
        <f>INDEX(환산공식!$EF$16:$EF$301,MATCH('배치점수 계산기'!W25,환산공식!$A$16:$A$301,0))</f>
        <v>0</v>
      </c>
      <c r="L25" s="41" t="str">
        <f t="shared" si="0"/>
        <v>1% 이하</v>
      </c>
      <c r="M25" s="7">
        <v>404.91999999999996</v>
      </c>
      <c r="N25" s="7">
        <v>402.09999999999997</v>
      </c>
      <c r="O25" s="7">
        <v>398.96000000000004</v>
      </c>
      <c r="P25" s="7">
        <v>396.07999999999993</v>
      </c>
      <c r="Q25" s="7">
        <v>394.23999999999995</v>
      </c>
      <c r="R25" s="7">
        <f t="shared" si="1"/>
        <v>6</v>
      </c>
      <c r="T25" s="7">
        <f>COUNTIF($C$11:C25,C25)</f>
        <v>15</v>
      </c>
      <c r="U25" s="7" t="str">
        <f t="shared" si="4"/>
        <v>나15</v>
      </c>
      <c r="V25" s="7" t="str">
        <f>INDEX(환산공식!$C$16:$C$301,MATCH('배치점수 계산기'!W25,환산공식!$A$16:$A$301,0))</f>
        <v>서울대 자연</v>
      </c>
      <c r="W25" s="7">
        <f t="shared" si="5"/>
        <v>16</v>
      </c>
      <c r="X25" s="7">
        <f t="shared" si="6"/>
        <v>1</v>
      </c>
      <c r="Y25" s="7">
        <f>IFERROR(INDEX(환산공식!Q$16:Q$200,MATCH($A25,환산공식!$A$16:$A$200,0)),"")</f>
        <v>1</v>
      </c>
      <c r="Z25" s="7">
        <f>IFERROR(INDEX(환산공식!R$16:R$200,MATCH($A25,환산공식!$A$16:$A$200,0)),"")</f>
        <v>1.2</v>
      </c>
      <c r="AA25" s="7">
        <f>IFERROR(INDEX(환산공식!U$16:U$200,MATCH($A25,환산공식!$A$16:$A$200,0)),"")</f>
        <v>0.8</v>
      </c>
      <c r="AB25" s="7">
        <f t="shared" si="7"/>
        <v>0.33333333333333331</v>
      </c>
      <c r="AC25" s="7">
        <f t="shared" si="8"/>
        <v>0.39999999999999997</v>
      </c>
      <c r="AD25" s="7">
        <f t="shared" si="9"/>
        <v>0.26666666666666666</v>
      </c>
      <c r="AE25" s="7">
        <f>INDEX(환산공식!$AF$16:$AF$301,MATCH('배치점수 계산기'!W25,환산공식!$A$16:$A$301,0))</f>
        <v>1</v>
      </c>
      <c r="AF25" s="7">
        <f>INDEX(환산공식!$AP$16:$AP$301,MATCH('배치점수 계산기'!W25,환산공식!$A$16:$A$301,0))</f>
        <v>1</v>
      </c>
      <c r="AG25" s="7" t="str">
        <f t="shared" si="10"/>
        <v>표점</v>
      </c>
      <c r="AH25" s="7" t="str">
        <f t="shared" si="11"/>
        <v>표점</v>
      </c>
      <c r="BO25" s="210"/>
      <c r="BP25" s="210"/>
      <c r="BQ25" s="210"/>
      <c r="BR25" s="210"/>
      <c r="BS25" s="210"/>
      <c r="BT25" s="210"/>
      <c r="BU25" s="210"/>
      <c r="BV25" s="210"/>
      <c r="BW25" s="210"/>
      <c r="BX25" s="210"/>
      <c r="BY25" s="210"/>
      <c r="BZ25" s="210"/>
      <c r="CA25" s="210"/>
      <c r="CB25" s="210"/>
      <c r="CC25" s="210"/>
      <c r="EM25" s="120"/>
      <c r="ET25" s="210"/>
      <c r="EU25" s="210"/>
      <c r="EV25" s="210"/>
      <c r="EW25" s="210"/>
      <c r="EX25" s="210"/>
      <c r="EY25" s="210"/>
      <c r="EZ25" s="210"/>
      <c r="FA25" s="210"/>
      <c r="FB25" s="210"/>
      <c r="FC25" s="210"/>
      <c r="FD25" s="210"/>
      <c r="FE25" s="210"/>
      <c r="FF25" s="210"/>
      <c r="FG25" s="210"/>
      <c r="FH25" s="210"/>
      <c r="HR25" s="120"/>
      <c r="HY25" s="210"/>
      <c r="HZ25" s="210"/>
      <c r="IA25" s="210"/>
      <c r="IB25" s="210"/>
      <c r="IC25" s="210"/>
      <c r="ID25" s="210"/>
      <c r="IE25" s="210"/>
      <c r="IF25" s="210"/>
      <c r="IG25" s="210"/>
      <c r="IH25" s="210"/>
      <c r="II25" s="210"/>
      <c r="IJ25" s="210"/>
      <c r="IK25" s="210"/>
      <c r="IL25" s="210"/>
      <c r="IM25" s="210"/>
      <c r="KW25" s="120"/>
      <c r="LD25" s="210"/>
      <c r="LE25" s="210"/>
      <c r="LF25" s="210"/>
      <c r="LG25" s="210"/>
      <c r="LH25" s="210"/>
      <c r="LI25" s="210"/>
      <c r="LJ25" s="210"/>
      <c r="LK25" s="210"/>
      <c r="LL25" s="210"/>
      <c r="LM25" s="210"/>
      <c r="LN25" s="210"/>
      <c r="LO25" s="210"/>
      <c r="LP25" s="210"/>
      <c r="LQ25" s="210"/>
      <c r="LR25" s="210"/>
      <c r="OB25" s="120"/>
      <c r="OI25" s="210"/>
      <c r="OJ25" s="210"/>
      <c r="OK25" s="210"/>
      <c r="OL25" s="210"/>
      <c r="OM25" s="210"/>
      <c r="ON25" s="210"/>
      <c r="OO25" s="210"/>
      <c r="OP25" s="210"/>
      <c r="OQ25" s="210"/>
      <c r="OR25" s="210"/>
      <c r="OS25" s="210"/>
      <c r="OT25" s="210"/>
      <c r="OU25" s="210"/>
      <c r="OV25" s="210"/>
      <c r="OW25" s="210"/>
      <c r="RG25" s="120"/>
    </row>
    <row r="26" spans="1:475" x14ac:dyDescent="0.3">
      <c r="A26" s="7">
        <v>16</v>
      </c>
      <c r="B26" s="7">
        <v>16</v>
      </c>
      <c r="C26" s="7" t="s">
        <v>346</v>
      </c>
      <c r="D26" s="7" t="s">
        <v>681</v>
      </c>
      <c r="E26" s="7" t="s">
        <v>256</v>
      </c>
      <c r="F26" s="7" t="s">
        <v>274</v>
      </c>
      <c r="G26" s="41" t="str">
        <f t="shared" si="3"/>
        <v>X</v>
      </c>
      <c r="H26" s="41">
        <f>INDEX(환산공식!CI$16:CI$301,MATCH('배치점수 계산기'!$W26,환산공식!$A$16:$A$301,0))</f>
        <v>0</v>
      </c>
      <c r="I26" s="41" t="e">
        <f>CONCATENATE(ROUND(INDEX(환산공식!CJ$16:CJ$301,MATCH('배치점수 계산기'!$W26,환산공식!$A$16:$A$301,0)),1),"%")</f>
        <v>#DIV/0!</v>
      </c>
      <c r="J26" s="41">
        <f>INDEX(환산공식!CK$16:CK$301,MATCH('배치점수 계산기'!$W26,환산공식!$A$16:$A$301,0))</f>
        <v>0</v>
      </c>
      <c r="K26" s="7">
        <f>INDEX(환산공식!$EF$16:$EF$301,MATCH('배치점수 계산기'!W26,환산공식!$A$16:$A$301,0))</f>
        <v>0</v>
      </c>
      <c r="L26" s="41" t="str">
        <f t="shared" si="0"/>
        <v>1% 이하</v>
      </c>
      <c r="M26" s="7">
        <v>404.05999999999995</v>
      </c>
      <c r="N26" s="7">
        <v>402.09999999999997</v>
      </c>
      <c r="O26" s="7">
        <v>398.96000000000004</v>
      </c>
      <c r="P26" s="7">
        <v>395.54000000000008</v>
      </c>
      <c r="Q26" s="7">
        <v>393.55952526799388</v>
      </c>
      <c r="R26" s="7">
        <f t="shared" si="1"/>
        <v>6</v>
      </c>
      <c r="T26" s="7">
        <f>COUNTIF($C$11:C26,C26)</f>
        <v>16</v>
      </c>
      <c r="U26" s="7" t="str">
        <f t="shared" si="4"/>
        <v>나16</v>
      </c>
      <c r="V26" s="7" t="str">
        <f>INDEX(환산공식!$C$16:$C$301,MATCH('배치점수 계산기'!W26,환산공식!$A$16:$A$301,0))</f>
        <v>서울대 자연</v>
      </c>
      <c r="W26" s="7">
        <f t="shared" si="5"/>
        <v>16</v>
      </c>
      <c r="X26" s="7">
        <f t="shared" si="6"/>
        <v>1</v>
      </c>
      <c r="Y26" s="7">
        <f>IFERROR(INDEX(환산공식!Q$16:Q$200,MATCH($A26,환산공식!$A$16:$A$200,0)),"")</f>
        <v>1</v>
      </c>
      <c r="Z26" s="7">
        <f>IFERROR(INDEX(환산공식!R$16:R$200,MATCH($A26,환산공식!$A$16:$A$200,0)),"")</f>
        <v>1.2</v>
      </c>
      <c r="AA26" s="7">
        <f>IFERROR(INDEX(환산공식!U$16:U$200,MATCH($A26,환산공식!$A$16:$A$200,0)),"")</f>
        <v>0.8</v>
      </c>
      <c r="AB26" s="7">
        <f t="shared" si="7"/>
        <v>0.33333333333333331</v>
      </c>
      <c r="AC26" s="7">
        <f t="shared" si="8"/>
        <v>0.39999999999999997</v>
      </c>
      <c r="AD26" s="7">
        <f t="shared" si="9"/>
        <v>0.26666666666666666</v>
      </c>
      <c r="AE26" s="7">
        <f>INDEX(환산공식!$AF$16:$AF$301,MATCH('배치점수 계산기'!W26,환산공식!$A$16:$A$301,0))</f>
        <v>1</v>
      </c>
      <c r="AF26" s="7">
        <f>INDEX(환산공식!$AP$16:$AP$301,MATCH('배치점수 계산기'!W26,환산공식!$A$16:$A$301,0))</f>
        <v>1</v>
      </c>
      <c r="AG26" s="7" t="str">
        <f t="shared" si="10"/>
        <v>표점</v>
      </c>
      <c r="AH26" s="7" t="str">
        <f t="shared" si="11"/>
        <v>표점</v>
      </c>
      <c r="BO26" s="210"/>
      <c r="BP26" s="210"/>
      <c r="BQ26" s="210"/>
      <c r="BR26" s="210"/>
      <c r="BS26" s="210"/>
      <c r="BT26" s="210"/>
      <c r="BU26" s="210"/>
      <c r="BV26" s="210"/>
      <c r="BW26" s="210"/>
      <c r="BX26" s="210"/>
      <c r="BY26" s="210"/>
      <c r="BZ26" s="210"/>
      <c r="CA26" s="210"/>
      <c r="CB26" s="210"/>
      <c r="CC26" s="210"/>
      <c r="EM26" s="120"/>
      <c r="ET26" s="210"/>
      <c r="EU26" s="210"/>
      <c r="EV26" s="210"/>
      <c r="EW26" s="210"/>
      <c r="EX26" s="210"/>
      <c r="EY26" s="210"/>
      <c r="EZ26" s="210"/>
      <c r="FA26" s="210"/>
      <c r="FB26" s="210"/>
      <c r="FC26" s="210"/>
      <c r="FD26" s="210"/>
      <c r="FE26" s="210"/>
      <c r="FF26" s="210"/>
      <c r="FG26" s="210"/>
      <c r="FH26" s="210"/>
      <c r="HR26" s="120"/>
      <c r="HY26" s="210"/>
      <c r="HZ26" s="210"/>
      <c r="IA26" s="210"/>
      <c r="IB26" s="210"/>
      <c r="IC26" s="210"/>
      <c r="ID26" s="210"/>
      <c r="IE26" s="210"/>
      <c r="IF26" s="210"/>
      <c r="IG26" s="210"/>
      <c r="IH26" s="210"/>
      <c r="II26" s="210"/>
      <c r="IJ26" s="210"/>
      <c r="IK26" s="210"/>
      <c r="IL26" s="210"/>
      <c r="IM26" s="210"/>
      <c r="KW26" s="120"/>
      <c r="LD26" s="210"/>
      <c r="LE26" s="210"/>
      <c r="LF26" s="210"/>
      <c r="LG26" s="210"/>
      <c r="LH26" s="210"/>
      <c r="LI26" s="210"/>
      <c r="LJ26" s="210"/>
      <c r="LK26" s="210"/>
      <c r="LL26" s="210"/>
      <c r="LM26" s="210"/>
      <c r="LN26" s="210"/>
      <c r="LO26" s="210"/>
      <c r="LP26" s="210"/>
      <c r="LQ26" s="210"/>
      <c r="LR26" s="210"/>
      <c r="OB26" s="120"/>
      <c r="OI26" s="210"/>
      <c r="OJ26" s="210"/>
      <c r="OK26" s="210"/>
      <c r="OL26" s="210"/>
      <c r="OM26" s="210"/>
      <c r="ON26" s="210"/>
      <c r="OO26" s="210"/>
      <c r="OP26" s="210"/>
      <c r="OQ26" s="210"/>
      <c r="OR26" s="210"/>
      <c r="OS26" s="210"/>
      <c r="OT26" s="210"/>
      <c r="OU26" s="210"/>
      <c r="OV26" s="210"/>
      <c r="OW26" s="210"/>
      <c r="RG26" s="120"/>
    </row>
    <row r="27" spans="1:475" x14ac:dyDescent="0.3">
      <c r="A27" s="7">
        <v>16</v>
      </c>
      <c r="B27" s="7">
        <v>17</v>
      </c>
      <c r="C27" s="7" t="s">
        <v>346</v>
      </c>
      <c r="D27" s="7" t="s">
        <v>681</v>
      </c>
      <c r="E27" s="7" t="s">
        <v>431</v>
      </c>
      <c r="F27" s="7" t="s">
        <v>274</v>
      </c>
      <c r="G27" s="41" t="str">
        <f t="shared" si="3"/>
        <v>X</v>
      </c>
      <c r="H27" s="41">
        <f>INDEX(환산공식!CI$16:CI$301,MATCH('배치점수 계산기'!$W27,환산공식!$A$16:$A$301,0))</f>
        <v>0</v>
      </c>
      <c r="I27" s="41" t="e">
        <f>CONCATENATE(ROUND(INDEX(환산공식!CJ$16:CJ$301,MATCH('배치점수 계산기'!$W27,환산공식!$A$16:$A$301,0)),1),"%")</f>
        <v>#DIV/0!</v>
      </c>
      <c r="J27" s="41">
        <f>INDEX(환산공식!CK$16:CK$301,MATCH('배치점수 계산기'!$W27,환산공식!$A$16:$A$301,0))</f>
        <v>0</v>
      </c>
      <c r="K27" s="7">
        <f>INDEX(환산공식!$EF$16:$EF$301,MATCH('배치점수 계산기'!W27,환산공식!$A$16:$A$301,0))</f>
        <v>0</v>
      </c>
      <c r="L27" s="41" t="str">
        <f t="shared" si="0"/>
        <v>1% 이하</v>
      </c>
      <c r="M27" s="7">
        <v>403.08000000000004</v>
      </c>
      <c r="N27" s="7">
        <v>398.26</v>
      </c>
      <c r="O27" s="7">
        <v>396.07999999999993</v>
      </c>
      <c r="P27" s="7">
        <v>394.23999999999995</v>
      </c>
      <c r="Q27" s="7">
        <v>391.04</v>
      </c>
      <c r="R27" s="7">
        <f t="shared" si="1"/>
        <v>6</v>
      </c>
      <c r="T27" s="7">
        <f>COUNTIF($C$11:C27,C27)</f>
        <v>17</v>
      </c>
      <c r="U27" s="7" t="str">
        <f t="shared" si="4"/>
        <v>나17</v>
      </c>
      <c r="V27" s="7" t="str">
        <f>INDEX(환산공식!$C$16:$C$301,MATCH('배치점수 계산기'!W27,환산공식!$A$16:$A$301,0))</f>
        <v>서울대 자연</v>
      </c>
      <c r="W27" s="7">
        <f t="shared" si="5"/>
        <v>16</v>
      </c>
      <c r="X27" s="7">
        <f t="shared" si="6"/>
        <v>1</v>
      </c>
      <c r="Y27" s="7">
        <f>IFERROR(INDEX(환산공식!Q$16:Q$200,MATCH($A27,환산공식!$A$16:$A$200,0)),"")</f>
        <v>1</v>
      </c>
      <c r="Z27" s="7">
        <f>IFERROR(INDEX(환산공식!R$16:R$200,MATCH($A27,환산공식!$A$16:$A$200,0)),"")</f>
        <v>1.2</v>
      </c>
      <c r="AA27" s="7">
        <f>IFERROR(INDEX(환산공식!U$16:U$200,MATCH($A27,환산공식!$A$16:$A$200,0)),"")</f>
        <v>0.8</v>
      </c>
      <c r="AB27" s="7">
        <f t="shared" si="7"/>
        <v>0.33333333333333331</v>
      </c>
      <c r="AC27" s="7">
        <f t="shared" si="8"/>
        <v>0.39999999999999997</v>
      </c>
      <c r="AD27" s="7">
        <f t="shared" si="9"/>
        <v>0.26666666666666666</v>
      </c>
      <c r="AE27" s="7">
        <f>INDEX(환산공식!$AF$16:$AF$301,MATCH('배치점수 계산기'!W27,환산공식!$A$16:$A$301,0))</f>
        <v>1</v>
      </c>
      <c r="AF27" s="7">
        <f>INDEX(환산공식!$AP$16:$AP$301,MATCH('배치점수 계산기'!W27,환산공식!$A$16:$A$301,0))</f>
        <v>1</v>
      </c>
      <c r="AG27" s="7" t="str">
        <f t="shared" si="10"/>
        <v>표점</v>
      </c>
      <c r="AH27" s="7" t="str">
        <f t="shared" si="11"/>
        <v>표점</v>
      </c>
      <c r="BO27" s="210"/>
      <c r="BP27" s="210"/>
      <c r="BQ27" s="210"/>
      <c r="BR27" s="210"/>
      <c r="BS27" s="210"/>
      <c r="BT27" s="210"/>
      <c r="BU27" s="210"/>
      <c r="BV27" s="210"/>
      <c r="BW27" s="210"/>
      <c r="BX27" s="210"/>
      <c r="BY27" s="210"/>
      <c r="BZ27" s="210"/>
      <c r="CA27" s="210"/>
      <c r="CB27" s="210"/>
      <c r="CC27" s="210"/>
      <c r="EM27" s="120"/>
      <c r="ET27" s="210"/>
      <c r="EU27" s="210"/>
      <c r="EV27" s="210"/>
      <c r="EW27" s="210"/>
      <c r="EX27" s="210"/>
      <c r="EY27" s="210"/>
      <c r="EZ27" s="210"/>
      <c r="FA27" s="210"/>
      <c r="FB27" s="210"/>
      <c r="FC27" s="210"/>
      <c r="FD27" s="210"/>
      <c r="FE27" s="210"/>
      <c r="FF27" s="210"/>
      <c r="FG27" s="210"/>
      <c r="FH27" s="210"/>
      <c r="HR27" s="120"/>
      <c r="HY27" s="210"/>
      <c r="HZ27" s="210"/>
      <c r="IA27" s="210"/>
      <c r="IB27" s="210"/>
      <c r="IC27" s="210"/>
      <c r="ID27" s="210"/>
      <c r="IE27" s="210"/>
      <c r="IF27" s="210"/>
      <c r="IG27" s="210"/>
      <c r="IH27" s="210"/>
      <c r="II27" s="210"/>
      <c r="IJ27" s="210"/>
      <c r="IK27" s="210"/>
      <c r="IL27" s="210"/>
      <c r="IM27" s="210"/>
      <c r="KW27" s="120"/>
      <c r="LD27" s="210"/>
      <c r="LE27" s="210"/>
      <c r="LF27" s="210"/>
      <c r="LG27" s="210"/>
      <c r="LH27" s="210"/>
      <c r="LI27" s="210"/>
      <c r="LJ27" s="210"/>
      <c r="LK27" s="210"/>
      <c r="LL27" s="210"/>
      <c r="LM27" s="210"/>
      <c r="LN27" s="210"/>
      <c r="LO27" s="210"/>
      <c r="LP27" s="210"/>
      <c r="LQ27" s="210"/>
      <c r="LR27" s="210"/>
      <c r="OB27" s="120"/>
      <c r="OI27" s="210"/>
      <c r="OJ27" s="210"/>
      <c r="OK27" s="210"/>
      <c r="OL27" s="210"/>
      <c r="OM27" s="210"/>
      <c r="ON27" s="210"/>
      <c r="OO27" s="210"/>
      <c r="OP27" s="210"/>
      <c r="OQ27" s="210"/>
      <c r="OR27" s="210"/>
      <c r="OS27" s="210"/>
      <c r="OT27" s="210"/>
      <c r="OU27" s="210"/>
      <c r="OV27" s="210"/>
      <c r="OW27" s="210"/>
      <c r="RG27" s="120"/>
    </row>
    <row r="28" spans="1:475" x14ac:dyDescent="0.3">
      <c r="A28" s="7">
        <v>16</v>
      </c>
      <c r="B28" s="7">
        <v>18</v>
      </c>
      <c r="C28" s="7" t="s">
        <v>346</v>
      </c>
      <c r="D28" s="7" t="s">
        <v>681</v>
      </c>
      <c r="E28" s="7" t="s">
        <v>257</v>
      </c>
      <c r="F28" s="7" t="s">
        <v>274</v>
      </c>
      <c r="G28" s="41" t="str">
        <f t="shared" si="3"/>
        <v>X</v>
      </c>
      <c r="H28" s="41">
        <f>INDEX(환산공식!CI$16:CI$301,MATCH('배치점수 계산기'!$W28,환산공식!$A$16:$A$301,0))</f>
        <v>0</v>
      </c>
      <c r="I28" s="41" t="e">
        <f>CONCATENATE(ROUND(INDEX(환산공식!CJ$16:CJ$301,MATCH('배치점수 계산기'!$W28,환산공식!$A$16:$A$301,0)),1),"%")</f>
        <v>#DIV/0!</v>
      </c>
      <c r="J28" s="41">
        <f>INDEX(환산공식!CK$16:CK$301,MATCH('배치점수 계산기'!$W28,환산공식!$A$16:$A$301,0))</f>
        <v>0</v>
      </c>
      <c r="K28" s="7">
        <f>INDEX(환산공식!$EF$16:$EF$301,MATCH('배치점수 계산기'!W28,환산공식!$A$16:$A$301,0))</f>
        <v>0</v>
      </c>
      <c r="L28" s="41" t="str">
        <f t="shared" si="0"/>
        <v>1% 이하</v>
      </c>
      <c r="M28" s="7">
        <v>402.09999999999997</v>
      </c>
      <c r="N28" s="7">
        <v>399.64000000000004</v>
      </c>
      <c r="O28" s="7">
        <v>397.55999999999995</v>
      </c>
      <c r="P28" s="7">
        <v>394.76</v>
      </c>
      <c r="Q28" s="7">
        <v>393.55952526799388</v>
      </c>
      <c r="R28" s="7">
        <f t="shared" si="1"/>
        <v>6</v>
      </c>
      <c r="T28" s="7">
        <f>COUNTIF($C$11:C28,C28)</f>
        <v>18</v>
      </c>
      <c r="U28" s="7" t="str">
        <f t="shared" si="4"/>
        <v>나18</v>
      </c>
      <c r="V28" s="7" t="str">
        <f>INDEX(환산공식!$C$16:$C$301,MATCH('배치점수 계산기'!W28,환산공식!$A$16:$A$301,0))</f>
        <v>서울대 자연</v>
      </c>
      <c r="W28" s="7">
        <f t="shared" si="5"/>
        <v>16</v>
      </c>
      <c r="X28" s="7">
        <f t="shared" si="6"/>
        <v>1</v>
      </c>
      <c r="Y28" s="7">
        <f>IFERROR(INDEX(환산공식!Q$16:Q$200,MATCH($A28,환산공식!$A$16:$A$200,0)),"")</f>
        <v>1</v>
      </c>
      <c r="Z28" s="7">
        <f>IFERROR(INDEX(환산공식!R$16:R$200,MATCH($A28,환산공식!$A$16:$A$200,0)),"")</f>
        <v>1.2</v>
      </c>
      <c r="AA28" s="7">
        <f>IFERROR(INDEX(환산공식!U$16:U$200,MATCH($A28,환산공식!$A$16:$A$200,0)),"")</f>
        <v>0.8</v>
      </c>
      <c r="AB28" s="7">
        <f t="shared" si="7"/>
        <v>0.33333333333333331</v>
      </c>
      <c r="AC28" s="7">
        <f t="shared" si="8"/>
        <v>0.39999999999999997</v>
      </c>
      <c r="AD28" s="7">
        <f t="shared" si="9"/>
        <v>0.26666666666666666</v>
      </c>
      <c r="AE28" s="7">
        <f>INDEX(환산공식!$AF$16:$AF$301,MATCH('배치점수 계산기'!W28,환산공식!$A$16:$A$301,0))</f>
        <v>1</v>
      </c>
      <c r="AF28" s="7">
        <f>INDEX(환산공식!$AP$16:$AP$301,MATCH('배치점수 계산기'!W28,환산공식!$A$16:$A$301,0))</f>
        <v>1</v>
      </c>
      <c r="AG28" s="7" t="str">
        <f t="shared" si="10"/>
        <v>표점</v>
      </c>
      <c r="AH28" s="7" t="str">
        <f t="shared" si="11"/>
        <v>표점</v>
      </c>
      <c r="BO28" s="210"/>
      <c r="BP28" s="210"/>
      <c r="BQ28" s="210"/>
      <c r="BR28" s="210"/>
      <c r="BS28" s="210"/>
      <c r="BT28" s="210"/>
      <c r="BU28" s="210"/>
      <c r="BV28" s="210"/>
      <c r="BW28" s="210"/>
      <c r="BX28" s="210"/>
      <c r="BY28" s="210"/>
      <c r="BZ28" s="210"/>
      <c r="CA28" s="210"/>
      <c r="CB28" s="210"/>
      <c r="CC28" s="210"/>
      <c r="EM28" s="120"/>
      <c r="ET28" s="210"/>
      <c r="EU28" s="210"/>
      <c r="EV28" s="210"/>
      <c r="EW28" s="210"/>
      <c r="EX28" s="210"/>
      <c r="EY28" s="210"/>
      <c r="EZ28" s="210"/>
      <c r="FA28" s="210"/>
      <c r="FB28" s="210"/>
      <c r="FC28" s="210"/>
      <c r="FD28" s="210"/>
      <c r="FE28" s="210"/>
      <c r="FF28" s="210"/>
      <c r="FG28" s="210"/>
      <c r="FH28" s="210"/>
      <c r="HR28" s="120"/>
      <c r="HY28" s="210"/>
      <c r="HZ28" s="210"/>
      <c r="IA28" s="210"/>
      <c r="IB28" s="210"/>
      <c r="IC28" s="210"/>
      <c r="ID28" s="210"/>
      <c r="IE28" s="210"/>
      <c r="IF28" s="210"/>
      <c r="IG28" s="210"/>
      <c r="IH28" s="210"/>
      <c r="II28" s="210"/>
      <c r="IJ28" s="210"/>
      <c r="IK28" s="210"/>
      <c r="IL28" s="210"/>
      <c r="IM28" s="210"/>
      <c r="KW28" s="120"/>
      <c r="LD28" s="210"/>
      <c r="LE28" s="210"/>
      <c r="LF28" s="210"/>
      <c r="LG28" s="210"/>
      <c r="LH28" s="210"/>
      <c r="LI28" s="210"/>
      <c r="LJ28" s="210"/>
      <c r="LK28" s="210"/>
      <c r="LL28" s="210"/>
      <c r="LM28" s="210"/>
      <c r="LN28" s="210"/>
      <c r="LO28" s="210"/>
      <c r="LP28" s="210"/>
      <c r="LQ28" s="210"/>
      <c r="LR28" s="210"/>
      <c r="OB28" s="120"/>
      <c r="OI28" s="210"/>
      <c r="OJ28" s="210"/>
      <c r="OK28" s="210"/>
      <c r="OL28" s="210"/>
      <c r="OM28" s="210"/>
      <c r="ON28" s="210"/>
      <c r="OO28" s="210"/>
      <c r="OP28" s="210"/>
      <c r="OQ28" s="210"/>
      <c r="OR28" s="210"/>
      <c r="OS28" s="210"/>
      <c r="OT28" s="210"/>
      <c r="OU28" s="210"/>
      <c r="OV28" s="210"/>
      <c r="OW28" s="210"/>
      <c r="RG28" s="120"/>
    </row>
    <row r="29" spans="1:475" x14ac:dyDescent="0.3">
      <c r="A29" s="7">
        <v>16</v>
      </c>
      <c r="B29" s="7">
        <v>19</v>
      </c>
      <c r="C29" s="7" t="s">
        <v>346</v>
      </c>
      <c r="D29" s="7" t="s">
        <v>681</v>
      </c>
      <c r="E29" s="7" t="s">
        <v>258</v>
      </c>
      <c r="F29" s="7" t="s">
        <v>274</v>
      </c>
      <c r="G29" s="41" t="str">
        <f t="shared" si="3"/>
        <v>X</v>
      </c>
      <c r="H29" s="41">
        <f>INDEX(환산공식!CI$16:CI$301,MATCH('배치점수 계산기'!$W29,환산공식!$A$16:$A$301,0))</f>
        <v>0</v>
      </c>
      <c r="I29" s="41" t="e">
        <f>CONCATENATE(ROUND(INDEX(환산공식!CJ$16:CJ$301,MATCH('배치점수 계산기'!$W29,환산공식!$A$16:$A$301,0)),1),"%")</f>
        <v>#DIV/0!</v>
      </c>
      <c r="J29" s="41">
        <f>INDEX(환산공식!CK$16:CK$301,MATCH('배치점수 계산기'!$W29,환산공식!$A$16:$A$301,0))</f>
        <v>0</v>
      </c>
      <c r="K29" s="7">
        <f>INDEX(환산공식!$EF$16:$EF$301,MATCH('배치점수 계산기'!W29,환산공식!$A$16:$A$301,0))</f>
        <v>0</v>
      </c>
      <c r="L29" s="41" t="str">
        <f t="shared" si="0"/>
        <v>1% 이하</v>
      </c>
      <c r="M29" s="7">
        <v>403.53946699875468</v>
      </c>
      <c r="N29" s="7">
        <v>398.26</v>
      </c>
      <c r="O29" s="7">
        <v>396.07999999999993</v>
      </c>
      <c r="P29" s="7">
        <v>394.76</v>
      </c>
      <c r="Q29" s="7">
        <v>393.55952526799388</v>
      </c>
      <c r="R29" s="7">
        <f t="shared" si="1"/>
        <v>6</v>
      </c>
      <c r="T29" s="7">
        <f>COUNTIF($C$11:C29,C29)</f>
        <v>19</v>
      </c>
      <c r="U29" s="7" t="str">
        <f t="shared" si="4"/>
        <v>나19</v>
      </c>
      <c r="V29" s="7" t="str">
        <f>INDEX(환산공식!$C$16:$C$301,MATCH('배치점수 계산기'!W29,환산공식!$A$16:$A$301,0))</f>
        <v>서울대 자연</v>
      </c>
      <c r="W29" s="7">
        <f t="shared" si="5"/>
        <v>16</v>
      </c>
      <c r="X29" s="7">
        <f t="shared" si="6"/>
        <v>1</v>
      </c>
      <c r="Y29" s="7">
        <f>IFERROR(INDEX(환산공식!Q$16:Q$200,MATCH($A29,환산공식!$A$16:$A$200,0)),"")</f>
        <v>1</v>
      </c>
      <c r="Z29" s="7">
        <f>IFERROR(INDEX(환산공식!R$16:R$200,MATCH($A29,환산공식!$A$16:$A$200,0)),"")</f>
        <v>1.2</v>
      </c>
      <c r="AA29" s="7">
        <f>IFERROR(INDEX(환산공식!U$16:U$200,MATCH($A29,환산공식!$A$16:$A$200,0)),"")</f>
        <v>0.8</v>
      </c>
      <c r="AB29" s="7">
        <f t="shared" si="7"/>
        <v>0.33333333333333331</v>
      </c>
      <c r="AC29" s="7">
        <f t="shared" si="8"/>
        <v>0.39999999999999997</v>
      </c>
      <c r="AD29" s="7">
        <f t="shared" si="9"/>
        <v>0.26666666666666666</v>
      </c>
      <c r="AE29" s="7">
        <f>INDEX(환산공식!$AF$16:$AF$301,MATCH('배치점수 계산기'!W29,환산공식!$A$16:$A$301,0))</f>
        <v>1</v>
      </c>
      <c r="AF29" s="7">
        <f>INDEX(환산공식!$AP$16:$AP$301,MATCH('배치점수 계산기'!W29,환산공식!$A$16:$A$301,0))</f>
        <v>1</v>
      </c>
      <c r="AG29" s="7" t="str">
        <f t="shared" si="10"/>
        <v>표점</v>
      </c>
      <c r="AH29" s="7" t="str">
        <f t="shared" si="11"/>
        <v>표점</v>
      </c>
      <c r="BO29" s="210"/>
      <c r="BP29" s="210"/>
      <c r="BQ29" s="210"/>
      <c r="BR29" s="210"/>
      <c r="BS29" s="210"/>
      <c r="BT29" s="210"/>
      <c r="BU29" s="210"/>
      <c r="BV29" s="210"/>
      <c r="BW29" s="210"/>
      <c r="BX29" s="210"/>
      <c r="BY29" s="210"/>
      <c r="BZ29" s="210"/>
      <c r="CA29" s="210"/>
      <c r="CB29" s="210"/>
      <c r="CC29" s="210"/>
      <c r="EM29" s="120"/>
      <c r="ET29" s="210"/>
      <c r="EU29" s="210"/>
      <c r="EV29" s="210"/>
      <c r="EW29" s="210"/>
      <c r="EX29" s="210"/>
      <c r="EY29" s="210"/>
      <c r="EZ29" s="210"/>
      <c r="FA29" s="210"/>
      <c r="FB29" s="210"/>
      <c r="FC29" s="210"/>
      <c r="FD29" s="210"/>
      <c r="FE29" s="210"/>
      <c r="FF29" s="210"/>
      <c r="FG29" s="210"/>
      <c r="FH29" s="210"/>
      <c r="HR29" s="120"/>
      <c r="HY29" s="210"/>
      <c r="HZ29" s="210"/>
      <c r="IA29" s="210"/>
      <c r="IB29" s="210"/>
      <c r="IC29" s="210"/>
      <c r="ID29" s="210"/>
      <c r="IE29" s="210"/>
      <c r="IF29" s="210"/>
      <c r="IG29" s="210"/>
      <c r="IH29" s="210"/>
      <c r="II29" s="210"/>
      <c r="IJ29" s="210"/>
      <c r="IK29" s="210"/>
      <c r="IL29" s="210"/>
      <c r="IM29" s="210"/>
      <c r="KW29" s="120"/>
      <c r="LD29" s="210"/>
      <c r="LE29" s="210"/>
      <c r="LF29" s="210"/>
      <c r="LG29" s="210"/>
      <c r="LH29" s="210"/>
      <c r="LI29" s="210"/>
      <c r="LJ29" s="210"/>
      <c r="LK29" s="210"/>
      <c r="LL29" s="210"/>
      <c r="LM29" s="210"/>
      <c r="LN29" s="210"/>
      <c r="LO29" s="210"/>
      <c r="LP29" s="210"/>
      <c r="LQ29" s="210"/>
      <c r="LR29" s="210"/>
      <c r="OB29" s="120"/>
      <c r="OI29" s="210"/>
      <c r="OJ29" s="210"/>
      <c r="OK29" s="210"/>
      <c r="OL29" s="210"/>
      <c r="OM29" s="210"/>
      <c r="ON29" s="210"/>
      <c r="OO29" s="210"/>
      <c r="OP29" s="210"/>
      <c r="OQ29" s="210"/>
      <c r="OR29" s="210"/>
      <c r="OS29" s="210"/>
      <c r="OT29" s="210"/>
      <c r="OU29" s="210"/>
      <c r="OV29" s="210"/>
      <c r="OW29" s="210"/>
      <c r="RG29" s="120"/>
    </row>
    <row r="30" spans="1:475" x14ac:dyDescent="0.3">
      <c r="A30" s="7">
        <v>16</v>
      </c>
      <c r="B30" s="7">
        <v>20</v>
      </c>
      <c r="C30" s="7" t="s">
        <v>346</v>
      </c>
      <c r="D30" s="7" t="s">
        <v>681</v>
      </c>
      <c r="E30" s="7" t="s">
        <v>729</v>
      </c>
      <c r="F30" s="7" t="s">
        <v>274</v>
      </c>
      <c r="G30" s="41" t="str">
        <f t="shared" si="3"/>
        <v>X</v>
      </c>
      <c r="H30" s="41">
        <f>INDEX(환산공식!CI$16:CI$301,MATCH('배치점수 계산기'!$W30,환산공식!$A$16:$A$301,0))</f>
        <v>0</v>
      </c>
      <c r="I30" s="41" t="e">
        <f>CONCATENATE(ROUND(INDEX(환산공식!CJ$16:CJ$301,MATCH('배치점수 계산기'!$W30,환산공식!$A$16:$A$301,0)),1),"%")</f>
        <v>#DIV/0!</v>
      </c>
      <c r="J30" s="41">
        <f>INDEX(환산공식!CK$16:CK$301,MATCH('배치점수 계산기'!$W30,환산공식!$A$16:$A$301,0))</f>
        <v>0</v>
      </c>
      <c r="K30" s="7">
        <f>INDEX(환산공식!$EF$16:$EF$301,MATCH('배치점수 계산기'!W30,환산공식!$A$16:$A$301,0))</f>
        <v>0</v>
      </c>
      <c r="L30" s="41" t="str">
        <f t="shared" si="0"/>
        <v>1% 이하</v>
      </c>
      <c r="M30" s="7">
        <v>402.09999999999997</v>
      </c>
      <c r="N30" s="7">
        <v>397.55999999999995</v>
      </c>
      <c r="O30" s="7">
        <v>396.07999999999993</v>
      </c>
      <c r="P30" s="7">
        <v>393.55952526799388</v>
      </c>
      <c r="Q30" s="7">
        <v>391.04</v>
      </c>
      <c r="R30" s="7">
        <f t="shared" si="1"/>
        <v>6</v>
      </c>
      <c r="T30" s="7">
        <f>COUNTIF($C$11:C30,C30)</f>
        <v>20</v>
      </c>
      <c r="U30" s="7" t="str">
        <f t="shared" si="4"/>
        <v>나20</v>
      </c>
      <c r="V30" s="7" t="str">
        <f>INDEX(환산공식!$C$16:$C$301,MATCH('배치점수 계산기'!W30,환산공식!$A$16:$A$301,0))</f>
        <v>서울대 자연</v>
      </c>
      <c r="W30" s="7">
        <f t="shared" si="5"/>
        <v>16</v>
      </c>
      <c r="X30" s="7">
        <f t="shared" si="6"/>
        <v>1</v>
      </c>
      <c r="Y30" s="7">
        <f>IFERROR(INDEX(환산공식!Q$16:Q$200,MATCH($A30,환산공식!$A$16:$A$200,0)),"")</f>
        <v>1</v>
      </c>
      <c r="Z30" s="7">
        <f>IFERROR(INDEX(환산공식!R$16:R$200,MATCH($A30,환산공식!$A$16:$A$200,0)),"")</f>
        <v>1.2</v>
      </c>
      <c r="AA30" s="7">
        <f>IFERROR(INDEX(환산공식!U$16:U$200,MATCH($A30,환산공식!$A$16:$A$200,0)),"")</f>
        <v>0.8</v>
      </c>
      <c r="AB30" s="7">
        <f t="shared" si="7"/>
        <v>0.33333333333333331</v>
      </c>
      <c r="AC30" s="7">
        <f t="shared" si="8"/>
        <v>0.39999999999999997</v>
      </c>
      <c r="AD30" s="7">
        <f t="shared" si="9"/>
        <v>0.26666666666666666</v>
      </c>
      <c r="AE30" s="7">
        <f>INDEX(환산공식!$AF$16:$AF$301,MATCH('배치점수 계산기'!W30,환산공식!$A$16:$A$301,0))</f>
        <v>1</v>
      </c>
      <c r="AF30" s="7">
        <f>INDEX(환산공식!$AP$16:$AP$301,MATCH('배치점수 계산기'!W30,환산공식!$A$16:$A$301,0))</f>
        <v>1</v>
      </c>
      <c r="AG30" s="7" t="str">
        <f t="shared" si="10"/>
        <v>표점</v>
      </c>
      <c r="AH30" s="7" t="str">
        <f t="shared" si="11"/>
        <v>표점</v>
      </c>
      <c r="BO30" s="210"/>
      <c r="BP30" s="210"/>
      <c r="BQ30" s="210"/>
      <c r="BR30" s="210"/>
      <c r="BS30" s="210"/>
      <c r="BT30" s="210"/>
      <c r="BU30" s="210"/>
      <c r="BV30" s="210"/>
      <c r="BW30" s="210"/>
      <c r="BX30" s="210"/>
      <c r="BY30" s="210"/>
      <c r="BZ30" s="210"/>
      <c r="CA30" s="210"/>
      <c r="CB30" s="210"/>
      <c r="CC30" s="210"/>
      <c r="EM30" s="120"/>
      <c r="ET30" s="210"/>
      <c r="EU30" s="210"/>
      <c r="EV30" s="210"/>
      <c r="EW30" s="210"/>
      <c r="EX30" s="210"/>
      <c r="EY30" s="210"/>
      <c r="EZ30" s="210"/>
      <c r="FA30" s="210"/>
      <c r="FB30" s="210"/>
      <c r="FC30" s="210"/>
      <c r="FD30" s="210"/>
      <c r="FE30" s="210"/>
      <c r="FF30" s="210"/>
      <c r="FG30" s="210"/>
      <c r="FH30" s="210"/>
      <c r="HR30" s="120"/>
      <c r="HY30" s="210"/>
      <c r="HZ30" s="210"/>
      <c r="IA30" s="210"/>
      <c r="IB30" s="210"/>
      <c r="IC30" s="210"/>
      <c r="ID30" s="210"/>
      <c r="IE30" s="210"/>
      <c r="IF30" s="210"/>
      <c r="IG30" s="210"/>
      <c r="IH30" s="210"/>
      <c r="II30" s="210"/>
      <c r="IJ30" s="210"/>
      <c r="IK30" s="210"/>
      <c r="IL30" s="210"/>
      <c r="IM30" s="210"/>
      <c r="KW30" s="120"/>
      <c r="LD30" s="210"/>
      <c r="LE30" s="210"/>
      <c r="LF30" s="210"/>
      <c r="LG30" s="210"/>
      <c r="LH30" s="210"/>
      <c r="LI30" s="210"/>
      <c r="LJ30" s="210"/>
      <c r="LK30" s="210"/>
      <c r="LL30" s="210"/>
      <c r="LM30" s="210"/>
      <c r="LN30" s="210"/>
      <c r="LO30" s="210"/>
      <c r="LP30" s="210"/>
      <c r="LQ30" s="210"/>
      <c r="LR30" s="210"/>
      <c r="OB30" s="120"/>
      <c r="OI30" s="210"/>
      <c r="OJ30" s="210"/>
      <c r="OK30" s="210"/>
      <c r="OL30" s="210"/>
      <c r="OM30" s="210"/>
      <c r="ON30" s="210"/>
      <c r="OO30" s="210"/>
      <c r="OP30" s="210"/>
      <c r="OQ30" s="210"/>
      <c r="OR30" s="210"/>
      <c r="OS30" s="210"/>
      <c r="OT30" s="210"/>
      <c r="OU30" s="210"/>
      <c r="OV30" s="210"/>
      <c r="OW30" s="210"/>
      <c r="RG30" s="120"/>
    </row>
    <row r="31" spans="1:475" x14ac:dyDescent="0.3">
      <c r="A31" s="7">
        <v>16</v>
      </c>
      <c r="B31" s="7">
        <v>21</v>
      </c>
      <c r="C31" s="7" t="s">
        <v>346</v>
      </c>
      <c r="D31" s="7" t="s">
        <v>681</v>
      </c>
      <c r="E31" s="7" t="s">
        <v>259</v>
      </c>
      <c r="F31" s="7" t="s">
        <v>274</v>
      </c>
      <c r="G31" s="41" t="str">
        <f t="shared" si="3"/>
        <v>X</v>
      </c>
      <c r="H31" s="41">
        <f>INDEX(환산공식!CI$16:CI$301,MATCH('배치점수 계산기'!$W31,환산공식!$A$16:$A$301,0))</f>
        <v>0</v>
      </c>
      <c r="I31" s="41" t="e">
        <f>CONCATENATE(ROUND(INDEX(환산공식!CJ$16:CJ$301,MATCH('배치점수 계산기'!$W31,환산공식!$A$16:$A$301,0)),1),"%")</f>
        <v>#DIV/0!</v>
      </c>
      <c r="J31" s="41">
        <f>INDEX(환산공식!CK$16:CK$301,MATCH('배치점수 계산기'!$W31,환산공식!$A$16:$A$301,0))</f>
        <v>0</v>
      </c>
      <c r="K31" s="7">
        <f>INDEX(환산공식!$EF$16:$EF$301,MATCH('배치점수 계산기'!W31,환산공식!$A$16:$A$301,0))</f>
        <v>0</v>
      </c>
      <c r="L31" s="41" t="str">
        <f t="shared" si="0"/>
        <v>1% 이하</v>
      </c>
      <c r="M31" s="7">
        <v>402.09999999999997</v>
      </c>
      <c r="N31" s="7">
        <v>397.97952549217575</v>
      </c>
      <c r="O31" s="7">
        <v>396.07999999999993</v>
      </c>
      <c r="P31" s="7">
        <v>395.54000000000008</v>
      </c>
      <c r="Q31" s="7">
        <v>393.55952526799388</v>
      </c>
      <c r="R31" s="7">
        <f t="shared" si="1"/>
        <v>6</v>
      </c>
      <c r="T31" s="7">
        <f>COUNTIF($C$11:C31,C31)</f>
        <v>21</v>
      </c>
      <c r="U31" s="7" t="str">
        <f t="shared" si="4"/>
        <v>나21</v>
      </c>
      <c r="V31" s="7" t="str">
        <f>INDEX(환산공식!$C$16:$C$301,MATCH('배치점수 계산기'!W31,환산공식!$A$16:$A$301,0))</f>
        <v>서울대 자연</v>
      </c>
      <c r="W31" s="7">
        <f t="shared" si="5"/>
        <v>16</v>
      </c>
      <c r="X31" s="7">
        <f t="shared" si="6"/>
        <v>1</v>
      </c>
      <c r="Y31" s="7">
        <f>IFERROR(INDEX(환산공식!Q$16:Q$200,MATCH($A31,환산공식!$A$16:$A$200,0)),"")</f>
        <v>1</v>
      </c>
      <c r="Z31" s="7">
        <f>IFERROR(INDEX(환산공식!R$16:R$200,MATCH($A31,환산공식!$A$16:$A$200,0)),"")</f>
        <v>1.2</v>
      </c>
      <c r="AA31" s="7">
        <f>IFERROR(INDEX(환산공식!U$16:U$200,MATCH($A31,환산공식!$A$16:$A$200,0)),"")</f>
        <v>0.8</v>
      </c>
      <c r="AB31" s="7">
        <f t="shared" si="7"/>
        <v>0.33333333333333331</v>
      </c>
      <c r="AC31" s="7">
        <f t="shared" si="8"/>
        <v>0.39999999999999997</v>
      </c>
      <c r="AD31" s="7">
        <f t="shared" si="9"/>
        <v>0.26666666666666666</v>
      </c>
      <c r="AE31" s="7">
        <f>INDEX(환산공식!$AF$16:$AF$301,MATCH('배치점수 계산기'!W31,환산공식!$A$16:$A$301,0))</f>
        <v>1</v>
      </c>
      <c r="AF31" s="7">
        <f>INDEX(환산공식!$AP$16:$AP$301,MATCH('배치점수 계산기'!W31,환산공식!$A$16:$A$301,0))</f>
        <v>1</v>
      </c>
      <c r="AG31" s="7" t="str">
        <f t="shared" si="10"/>
        <v>표점</v>
      </c>
      <c r="AH31" s="7" t="str">
        <f t="shared" si="11"/>
        <v>표점</v>
      </c>
      <c r="BO31" s="210"/>
      <c r="BP31" s="210"/>
      <c r="BQ31" s="210"/>
      <c r="BR31" s="210"/>
      <c r="BS31" s="210"/>
      <c r="BT31" s="210"/>
      <c r="BU31" s="210"/>
      <c r="BV31" s="210"/>
      <c r="BW31" s="210"/>
      <c r="BX31" s="210"/>
      <c r="BY31" s="210"/>
      <c r="BZ31" s="210"/>
      <c r="CA31" s="210"/>
      <c r="CB31" s="210"/>
      <c r="CC31" s="210"/>
      <c r="EM31" s="120"/>
      <c r="ET31" s="210"/>
      <c r="EU31" s="210"/>
      <c r="EV31" s="210"/>
      <c r="EW31" s="210"/>
      <c r="EX31" s="210"/>
      <c r="EY31" s="210"/>
      <c r="EZ31" s="210"/>
      <c r="FA31" s="210"/>
      <c r="FB31" s="210"/>
      <c r="FC31" s="210"/>
      <c r="FD31" s="210"/>
      <c r="FE31" s="210"/>
      <c r="FF31" s="210"/>
      <c r="FG31" s="210"/>
      <c r="FH31" s="210"/>
      <c r="HR31" s="120"/>
      <c r="HY31" s="210"/>
      <c r="HZ31" s="210"/>
      <c r="IA31" s="210"/>
      <c r="IB31" s="210"/>
      <c r="IC31" s="210"/>
      <c r="ID31" s="210"/>
      <c r="IE31" s="210"/>
      <c r="IF31" s="210"/>
      <c r="IG31" s="210"/>
      <c r="IH31" s="210"/>
      <c r="II31" s="210"/>
      <c r="IJ31" s="210"/>
      <c r="IK31" s="210"/>
      <c r="IL31" s="210"/>
      <c r="IM31" s="210"/>
      <c r="KW31" s="120"/>
      <c r="LD31" s="210"/>
      <c r="LE31" s="210"/>
      <c r="LF31" s="210"/>
      <c r="LG31" s="210"/>
      <c r="LH31" s="210"/>
      <c r="LI31" s="210"/>
      <c r="LJ31" s="210"/>
      <c r="LK31" s="210"/>
      <c r="LL31" s="210"/>
      <c r="LM31" s="210"/>
      <c r="LN31" s="210"/>
      <c r="LO31" s="210"/>
      <c r="LP31" s="210"/>
      <c r="LQ31" s="210"/>
      <c r="LR31" s="210"/>
      <c r="OB31" s="120"/>
      <c r="OI31" s="210"/>
      <c r="OJ31" s="210"/>
      <c r="OK31" s="210"/>
      <c r="OL31" s="210"/>
      <c r="OM31" s="210"/>
      <c r="ON31" s="210"/>
      <c r="OO31" s="210"/>
      <c r="OP31" s="210"/>
      <c r="OQ31" s="210"/>
      <c r="OR31" s="210"/>
      <c r="OS31" s="210"/>
      <c r="OT31" s="210"/>
      <c r="OU31" s="210"/>
      <c r="OV31" s="210"/>
      <c r="OW31" s="210"/>
      <c r="RG31" s="120"/>
    </row>
    <row r="32" spans="1:475" x14ac:dyDescent="0.3">
      <c r="A32" s="7">
        <v>16</v>
      </c>
      <c r="B32" s="7">
        <v>22</v>
      </c>
      <c r="C32" s="7" t="s">
        <v>346</v>
      </c>
      <c r="D32" s="7" t="s">
        <v>681</v>
      </c>
      <c r="E32" s="7" t="s">
        <v>730</v>
      </c>
      <c r="F32" s="7" t="s">
        <v>274</v>
      </c>
      <c r="G32" s="41" t="str">
        <f t="shared" si="3"/>
        <v>X</v>
      </c>
      <c r="H32" s="41">
        <f>INDEX(환산공식!CI$16:CI$301,MATCH('배치점수 계산기'!$W32,환산공식!$A$16:$A$301,0))</f>
        <v>0</v>
      </c>
      <c r="I32" s="41" t="e">
        <f>CONCATENATE(ROUND(INDEX(환산공식!CJ$16:CJ$301,MATCH('배치점수 계산기'!$W32,환산공식!$A$16:$A$301,0)),1),"%")</f>
        <v>#DIV/0!</v>
      </c>
      <c r="J32" s="41">
        <f>INDEX(환산공식!CK$16:CK$301,MATCH('배치점수 계산기'!$W32,환산공식!$A$16:$A$301,0))</f>
        <v>0</v>
      </c>
      <c r="K32" s="7">
        <f>INDEX(환산공식!$EF$16:$EF$301,MATCH('배치점수 계산기'!W32,환산공식!$A$16:$A$301,0))</f>
        <v>0</v>
      </c>
      <c r="L32" s="41" t="str">
        <f t="shared" si="0"/>
        <v>1% 이하</v>
      </c>
      <c r="M32" s="7">
        <v>402.09999999999997</v>
      </c>
      <c r="N32" s="7">
        <v>397.55999999999995</v>
      </c>
      <c r="O32" s="7">
        <v>395.05999999999995</v>
      </c>
      <c r="P32" s="7">
        <v>392.78000000000003</v>
      </c>
      <c r="Q32" s="7">
        <v>391.04</v>
      </c>
      <c r="R32" s="7">
        <f t="shared" si="1"/>
        <v>6</v>
      </c>
      <c r="T32" s="7">
        <f>COUNTIF($C$11:C32,C32)</f>
        <v>22</v>
      </c>
      <c r="U32" s="7" t="str">
        <f t="shared" si="4"/>
        <v>나22</v>
      </c>
      <c r="V32" s="7" t="str">
        <f>INDEX(환산공식!$C$16:$C$301,MATCH('배치점수 계산기'!W32,환산공식!$A$16:$A$301,0))</f>
        <v>서울대 자연</v>
      </c>
      <c r="W32" s="7">
        <f t="shared" si="5"/>
        <v>16</v>
      </c>
      <c r="X32" s="7">
        <f t="shared" si="6"/>
        <v>1</v>
      </c>
      <c r="Y32" s="7">
        <f>IFERROR(INDEX(환산공식!Q$16:Q$200,MATCH($A32,환산공식!$A$16:$A$200,0)),"")</f>
        <v>1</v>
      </c>
      <c r="Z32" s="7">
        <f>IFERROR(INDEX(환산공식!R$16:R$200,MATCH($A32,환산공식!$A$16:$A$200,0)),"")</f>
        <v>1.2</v>
      </c>
      <c r="AA32" s="7">
        <f>IFERROR(INDEX(환산공식!U$16:U$200,MATCH($A32,환산공식!$A$16:$A$200,0)),"")</f>
        <v>0.8</v>
      </c>
      <c r="AB32" s="7">
        <f t="shared" si="7"/>
        <v>0.33333333333333331</v>
      </c>
      <c r="AC32" s="7">
        <f t="shared" si="8"/>
        <v>0.39999999999999997</v>
      </c>
      <c r="AD32" s="7">
        <f t="shared" si="9"/>
        <v>0.26666666666666666</v>
      </c>
      <c r="AE32" s="7">
        <f>INDEX(환산공식!$AF$16:$AF$301,MATCH('배치점수 계산기'!W32,환산공식!$A$16:$A$301,0))</f>
        <v>1</v>
      </c>
      <c r="AF32" s="7">
        <f>INDEX(환산공식!$AP$16:$AP$301,MATCH('배치점수 계산기'!W32,환산공식!$A$16:$A$301,0))</f>
        <v>1</v>
      </c>
      <c r="AG32" s="7" t="str">
        <f t="shared" si="10"/>
        <v>표점</v>
      </c>
      <c r="AH32" s="7" t="str">
        <f t="shared" si="11"/>
        <v>표점</v>
      </c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EM32" s="120"/>
      <c r="ET32" s="210"/>
      <c r="EU32" s="210"/>
      <c r="EV32" s="210"/>
      <c r="EW32" s="210"/>
      <c r="EX32" s="210"/>
      <c r="EY32" s="210"/>
      <c r="EZ32" s="210"/>
      <c r="FA32" s="210"/>
      <c r="FB32" s="210"/>
      <c r="FC32" s="210"/>
      <c r="FD32" s="210"/>
      <c r="FE32" s="210"/>
      <c r="FF32" s="210"/>
      <c r="FG32" s="210"/>
      <c r="FH32" s="210"/>
      <c r="HR32" s="120"/>
      <c r="HY32" s="210"/>
      <c r="HZ32" s="210"/>
      <c r="IA32" s="210"/>
      <c r="IB32" s="210"/>
      <c r="IC32" s="210"/>
      <c r="ID32" s="210"/>
      <c r="IE32" s="210"/>
      <c r="IF32" s="210"/>
      <c r="IG32" s="210"/>
      <c r="IH32" s="210"/>
      <c r="II32" s="210"/>
      <c r="IJ32" s="210"/>
      <c r="IK32" s="210"/>
      <c r="IL32" s="210"/>
      <c r="IM32" s="210"/>
      <c r="KW32" s="120"/>
      <c r="LD32" s="210"/>
      <c r="LE32" s="210"/>
      <c r="LF32" s="210"/>
      <c r="LG32" s="210"/>
      <c r="LH32" s="210"/>
      <c r="LI32" s="210"/>
      <c r="LJ32" s="210"/>
      <c r="LK32" s="210"/>
      <c r="LL32" s="210"/>
      <c r="LM32" s="210"/>
      <c r="LN32" s="210"/>
      <c r="LO32" s="210"/>
      <c r="LP32" s="210"/>
      <c r="LQ32" s="210"/>
      <c r="LR32" s="210"/>
      <c r="OB32" s="120"/>
      <c r="OI32" s="210"/>
      <c r="OJ32" s="210"/>
      <c r="OK32" s="210"/>
      <c r="OL32" s="210"/>
      <c r="OM32" s="210"/>
      <c r="ON32" s="210"/>
      <c r="OO32" s="210"/>
      <c r="OP32" s="210"/>
      <c r="OQ32" s="210"/>
      <c r="OR32" s="210"/>
      <c r="OS32" s="210"/>
      <c r="OT32" s="210"/>
      <c r="OU32" s="210"/>
      <c r="OV32" s="210"/>
      <c r="OW32" s="210"/>
      <c r="RG32" s="120"/>
    </row>
    <row r="33" spans="1:475" x14ac:dyDescent="0.3">
      <c r="A33" s="7">
        <v>16</v>
      </c>
      <c r="B33" s="7">
        <v>23</v>
      </c>
      <c r="C33" s="7" t="s">
        <v>346</v>
      </c>
      <c r="D33" s="7" t="s">
        <v>681</v>
      </c>
      <c r="E33" s="7" t="s">
        <v>731</v>
      </c>
      <c r="F33" s="7" t="s">
        <v>274</v>
      </c>
      <c r="G33" s="41" t="str">
        <f t="shared" si="3"/>
        <v>X</v>
      </c>
      <c r="H33" s="41">
        <f>INDEX(환산공식!CI$16:CI$301,MATCH('배치점수 계산기'!$W33,환산공식!$A$16:$A$301,0))</f>
        <v>0</v>
      </c>
      <c r="I33" s="41" t="e">
        <f>CONCATENATE(ROUND(INDEX(환산공식!CJ$16:CJ$301,MATCH('배치점수 계산기'!$W33,환산공식!$A$16:$A$301,0)),1),"%")</f>
        <v>#DIV/0!</v>
      </c>
      <c r="J33" s="41">
        <f>INDEX(환산공식!CK$16:CK$301,MATCH('배치점수 계산기'!$W33,환산공식!$A$16:$A$301,0))</f>
        <v>0</v>
      </c>
      <c r="K33" s="7">
        <f>INDEX(환산공식!$EF$16:$EF$301,MATCH('배치점수 계산기'!W33,환산공식!$A$16:$A$301,0))</f>
        <v>0</v>
      </c>
      <c r="L33" s="41" t="str">
        <f t="shared" si="0"/>
        <v>1% 이하</v>
      </c>
      <c r="M33" s="7">
        <v>399.64000000000004</v>
      </c>
      <c r="N33" s="7">
        <v>396.5595288753799</v>
      </c>
      <c r="O33" s="7">
        <v>394.86000000000007</v>
      </c>
      <c r="P33" s="7">
        <v>392.62046583056053</v>
      </c>
      <c r="Q33" s="7">
        <v>391.04</v>
      </c>
      <c r="R33" s="7">
        <f t="shared" si="1"/>
        <v>6</v>
      </c>
      <c r="T33" s="7">
        <f>COUNTIF($C$11:C33,C33)</f>
        <v>23</v>
      </c>
      <c r="U33" s="7" t="str">
        <f t="shared" si="4"/>
        <v>나23</v>
      </c>
      <c r="V33" s="7" t="str">
        <f>INDEX(환산공식!$C$16:$C$301,MATCH('배치점수 계산기'!W33,환산공식!$A$16:$A$301,0))</f>
        <v>서울대 자연</v>
      </c>
      <c r="W33" s="7">
        <f t="shared" si="5"/>
        <v>16</v>
      </c>
      <c r="X33" s="7">
        <f t="shared" si="6"/>
        <v>1</v>
      </c>
      <c r="Y33" s="7">
        <f>IFERROR(INDEX(환산공식!Q$16:Q$200,MATCH($A33,환산공식!$A$16:$A$200,0)),"")</f>
        <v>1</v>
      </c>
      <c r="Z33" s="7">
        <f>IFERROR(INDEX(환산공식!R$16:R$200,MATCH($A33,환산공식!$A$16:$A$200,0)),"")</f>
        <v>1.2</v>
      </c>
      <c r="AA33" s="7">
        <f>IFERROR(INDEX(환산공식!U$16:U$200,MATCH($A33,환산공식!$A$16:$A$200,0)),"")</f>
        <v>0.8</v>
      </c>
      <c r="AB33" s="7">
        <f t="shared" si="7"/>
        <v>0.33333333333333331</v>
      </c>
      <c r="AC33" s="7">
        <f t="shared" si="8"/>
        <v>0.39999999999999997</v>
      </c>
      <c r="AD33" s="7">
        <f t="shared" si="9"/>
        <v>0.26666666666666666</v>
      </c>
      <c r="AE33" s="7">
        <f>INDEX(환산공식!$AF$16:$AF$301,MATCH('배치점수 계산기'!W33,환산공식!$A$16:$A$301,0))</f>
        <v>1</v>
      </c>
      <c r="AF33" s="7">
        <f>INDEX(환산공식!$AP$16:$AP$301,MATCH('배치점수 계산기'!W33,환산공식!$A$16:$A$301,0))</f>
        <v>1</v>
      </c>
      <c r="AG33" s="7" t="str">
        <f t="shared" si="10"/>
        <v>표점</v>
      </c>
      <c r="AH33" s="7" t="str">
        <f t="shared" si="11"/>
        <v>표점</v>
      </c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210"/>
      <c r="BZ33" s="210"/>
      <c r="CA33" s="210"/>
      <c r="CB33" s="210"/>
      <c r="CC33" s="210"/>
      <c r="EM33" s="120"/>
      <c r="ET33" s="210"/>
      <c r="EU33" s="210"/>
      <c r="EV33" s="210"/>
      <c r="EW33" s="210"/>
      <c r="EX33" s="210"/>
      <c r="EY33" s="210"/>
      <c r="EZ33" s="210"/>
      <c r="FA33" s="210"/>
      <c r="FB33" s="210"/>
      <c r="FC33" s="210"/>
      <c r="FD33" s="210"/>
      <c r="FE33" s="210"/>
      <c r="FF33" s="210"/>
      <c r="FG33" s="210"/>
      <c r="FH33" s="210"/>
      <c r="HR33" s="120"/>
      <c r="HY33" s="210"/>
      <c r="HZ33" s="210"/>
      <c r="IA33" s="210"/>
      <c r="IB33" s="210"/>
      <c r="IC33" s="210"/>
      <c r="ID33" s="210"/>
      <c r="IE33" s="210"/>
      <c r="IF33" s="210"/>
      <c r="IG33" s="210"/>
      <c r="IH33" s="210"/>
      <c r="II33" s="210"/>
      <c r="IJ33" s="210"/>
      <c r="IK33" s="210"/>
      <c r="IL33" s="210"/>
      <c r="IM33" s="210"/>
      <c r="KW33" s="120"/>
      <c r="LD33" s="210"/>
      <c r="LE33" s="210"/>
      <c r="LF33" s="210"/>
      <c r="LG33" s="210"/>
      <c r="LH33" s="210"/>
      <c r="LI33" s="210"/>
      <c r="LJ33" s="210"/>
      <c r="LK33" s="210"/>
      <c r="LL33" s="210"/>
      <c r="LM33" s="210"/>
      <c r="LN33" s="210"/>
      <c r="LO33" s="210"/>
      <c r="LP33" s="210"/>
      <c r="LQ33" s="210"/>
      <c r="LR33" s="210"/>
      <c r="OB33" s="120"/>
      <c r="OI33" s="210"/>
      <c r="OJ33" s="210"/>
      <c r="OK33" s="210"/>
      <c r="OL33" s="210"/>
      <c r="OM33" s="210"/>
      <c r="ON33" s="210"/>
      <c r="OO33" s="210"/>
      <c r="OP33" s="210"/>
      <c r="OQ33" s="210"/>
      <c r="OR33" s="210"/>
      <c r="OS33" s="210"/>
      <c r="OT33" s="210"/>
      <c r="OU33" s="210"/>
      <c r="OV33" s="210"/>
      <c r="OW33" s="210"/>
      <c r="RG33" s="120"/>
    </row>
    <row r="34" spans="1:475" x14ac:dyDescent="0.3">
      <c r="A34" s="7">
        <v>16</v>
      </c>
      <c r="B34" s="7">
        <v>24</v>
      </c>
      <c r="C34" s="7" t="s">
        <v>346</v>
      </c>
      <c r="D34" s="7" t="s">
        <v>681</v>
      </c>
      <c r="E34" s="7" t="s">
        <v>732</v>
      </c>
      <c r="F34" s="7" t="s">
        <v>274</v>
      </c>
      <c r="G34" s="41" t="str">
        <f t="shared" si="3"/>
        <v>X</v>
      </c>
      <c r="H34" s="41">
        <f>INDEX(환산공식!CI$16:CI$301,MATCH('배치점수 계산기'!$W34,환산공식!$A$16:$A$301,0))</f>
        <v>0</v>
      </c>
      <c r="I34" s="41" t="e">
        <f>CONCATENATE(ROUND(INDEX(환산공식!CJ$16:CJ$301,MATCH('배치점수 계산기'!$W34,환산공식!$A$16:$A$301,0)),1),"%")</f>
        <v>#DIV/0!</v>
      </c>
      <c r="J34" s="41">
        <f>INDEX(환산공식!CK$16:CK$301,MATCH('배치점수 계산기'!$W34,환산공식!$A$16:$A$301,0))</f>
        <v>0</v>
      </c>
      <c r="K34" s="7">
        <f>INDEX(환산공식!$EF$16:$EF$301,MATCH('배치점수 계산기'!W34,환산공식!$A$16:$A$301,0))</f>
        <v>0</v>
      </c>
      <c r="L34" s="41" t="str">
        <f t="shared" si="0"/>
        <v>1% 이하</v>
      </c>
      <c r="M34" s="7">
        <v>404.05999999999995</v>
      </c>
      <c r="N34" s="7">
        <v>396.88</v>
      </c>
      <c r="O34" s="7">
        <v>395.54000000000008</v>
      </c>
      <c r="P34" s="7">
        <v>393.55952526799388</v>
      </c>
      <c r="Q34" s="7">
        <v>392.52046594982085</v>
      </c>
      <c r="R34" s="7">
        <f t="shared" si="1"/>
        <v>6</v>
      </c>
      <c r="T34" s="7">
        <f>COUNTIF($C$11:C34,C34)</f>
        <v>24</v>
      </c>
      <c r="U34" s="7" t="str">
        <f t="shared" si="4"/>
        <v>나24</v>
      </c>
      <c r="V34" s="7" t="str">
        <f>INDEX(환산공식!$C$16:$C$301,MATCH('배치점수 계산기'!W34,환산공식!$A$16:$A$301,0))</f>
        <v>서울대 자연</v>
      </c>
      <c r="W34" s="7">
        <f t="shared" si="5"/>
        <v>16</v>
      </c>
      <c r="X34" s="7">
        <f t="shared" si="6"/>
        <v>1</v>
      </c>
      <c r="Y34" s="7">
        <f>IFERROR(INDEX(환산공식!Q$16:Q$200,MATCH($A34,환산공식!$A$16:$A$200,0)),"")</f>
        <v>1</v>
      </c>
      <c r="Z34" s="7">
        <f>IFERROR(INDEX(환산공식!R$16:R$200,MATCH($A34,환산공식!$A$16:$A$200,0)),"")</f>
        <v>1.2</v>
      </c>
      <c r="AA34" s="7">
        <f>IFERROR(INDEX(환산공식!U$16:U$200,MATCH($A34,환산공식!$A$16:$A$200,0)),"")</f>
        <v>0.8</v>
      </c>
      <c r="AB34" s="7">
        <f t="shared" si="7"/>
        <v>0.33333333333333331</v>
      </c>
      <c r="AC34" s="7">
        <f t="shared" si="8"/>
        <v>0.39999999999999997</v>
      </c>
      <c r="AD34" s="7">
        <f t="shared" si="9"/>
        <v>0.26666666666666666</v>
      </c>
      <c r="AE34" s="7">
        <f>INDEX(환산공식!$AF$16:$AF$301,MATCH('배치점수 계산기'!W34,환산공식!$A$16:$A$301,0))</f>
        <v>1</v>
      </c>
      <c r="AF34" s="7">
        <f>INDEX(환산공식!$AP$16:$AP$301,MATCH('배치점수 계산기'!W34,환산공식!$A$16:$A$301,0))</f>
        <v>1</v>
      </c>
      <c r="AG34" s="7" t="str">
        <f t="shared" si="10"/>
        <v>표점</v>
      </c>
      <c r="AH34" s="7" t="str">
        <f t="shared" si="11"/>
        <v>표점</v>
      </c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EM34" s="120"/>
      <c r="ET34" s="210"/>
      <c r="EU34" s="210"/>
      <c r="EV34" s="210"/>
      <c r="EW34" s="210"/>
      <c r="EX34" s="210"/>
      <c r="EY34" s="210"/>
      <c r="EZ34" s="210"/>
      <c r="FA34" s="210"/>
      <c r="FB34" s="210"/>
      <c r="FC34" s="210"/>
      <c r="FD34" s="210"/>
      <c r="FE34" s="210"/>
      <c r="FF34" s="210"/>
      <c r="FG34" s="210"/>
      <c r="FH34" s="210"/>
      <c r="HR34" s="120"/>
      <c r="HY34" s="210"/>
      <c r="HZ34" s="210"/>
      <c r="IA34" s="210"/>
      <c r="IB34" s="210"/>
      <c r="IC34" s="210"/>
      <c r="ID34" s="210"/>
      <c r="IE34" s="210"/>
      <c r="IF34" s="210"/>
      <c r="IG34" s="210"/>
      <c r="IH34" s="210"/>
      <c r="II34" s="210"/>
      <c r="IJ34" s="210"/>
      <c r="IK34" s="210"/>
      <c r="IL34" s="210"/>
      <c r="IM34" s="210"/>
      <c r="KW34" s="120"/>
      <c r="LD34" s="210"/>
      <c r="LE34" s="210"/>
      <c r="LF34" s="210"/>
      <c r="LG34" s="210"/>
      <c r="LH34" s="210"/>
      <c r="LI34" s="210"/>
      <c r="LJ34" s="210"/>
      <c r="LK34" s="210"/>
      <c r="LL34" s="210"/>
      <c r="LM34" s="210"/>
      <c r="LN34" s="210"/>
      <c r="LO34" s="210"/>
      <c r="LP34" s="210"/>
      <c r="LQ34" s="210"/>
      <c r="LR34" s="210"/>
      <c r="OB34" s="120"/>
      <c r="OI34" s="210"/>
      <c r="OJ34" s="210"/>
      <c r="OK34" s="210"/>
      <c r="OL34" s="210"/>
      <c r="OM34" s="210"/>
      <c r="ON34" s="210"/>
      <c r="OO34" s="210"/>
      <c r="OP34" s="210"/>
      <c r="OQ34" s="210"/>
      <c r="OR34" s="210"/>
      <c r="OS34" s="210"/>
      <c r="OT34" s="210"/>
      <c r="OU34" s="210"/>
      <c r="OV34" s="210"/>
      <c r="OW34" s="210"/>
      <c r="RG34" s="120"/>
    </row>
    <row r="35" spans="1:475" x14ac:dyDescent="0.3">
      <c r="A35" s="7">
        <v>16</v>
      </c>
      <c r="B35" s="7">
        <v>25</v>
      </c>
      <c r="C35" s="7" t="s">
        <v>346</v>
      </c>
      <c r="D35" s="7" t="s">
        <v>681</v>
      </c>
      <c r="E35" s="7" t="s">
        <v>733</v>
      </c>
      <c r="F35" s="7" t="s">
        <v>274</v>
      </c>
      <c r="G35" s="41" t="str">
        <f t="shared" si="3"/>
        <v>X</v>
      </c>
      <c r="H35" s="41">
        <f>INDEX(환산공식!CI$16:CI$301,MATCH('배치점수 계산기'!$W35,환산공식!$A$16:$A$301,0))</f>
        <v>0</v>
      </c>
      <c r="I35" s="41" t="e">
        <f>CONCATENATE(ROUND(INDEX(환산공식!CJ$16:CJ$301,MATCH('배치점수 계산기'!$W35,환산공식!$A$16:$A$301,0)),1),"%")</f>
        <v>#DIV/0!</v>
      </c>
      <c r="J35" s="41">
        <f>INDEX(환산공식!CK$16:CK$301,MATCH('배치점수 계산기'!$W35,환산공식!$A$16:$A$301,0))</f>
        <v>0</v>
      </c>
      <c r="K35" s="7">
        <f>INDEX(환산공식!$EF$16:$EF$301,MATCH('배치점수 계산기'!W35,환산공식!$A$16:$A$301,0))</f>
        <v>0</v>
      </c>
      <c r="L35" s="41" t="str">
        <f t="shared" si="0"/>
        <v>1% 이하</v>
      </c>
      <c r="M35" s="7">
        <v>398.26</v>
      </c>
      <c r="N35" s="7">
        <v>395.54000000000008</v>
      </c>
      <c r="O35" s="7">
        <v>394.34</v>
      </c>
      <c r="P35" s="7">
        <v>392.62046583056053</v>
      </c>
      <c r="Q35" s="7">
        <v>390.6595475578406</v>
      </c>
      <c r="R35" s="7">
        <f t="shared" si="1"/>
        <v>6</v>
      </c>
      <c r="T35" s="7">
        <f>COUNTIF($C$11:C35,C35)</f>
        <v>25</v>
      </c>
      <c r="U35" s="7" t="str">
        <f t="shared" si="4"/>
        <v>나25</v>
      </c>
      <c r="V35" s="7" t="str">
        <f>INDEX(환산공식!$C$16:$C$301,MATCH('배치점수 계산기'!W35,환산공식!$A$16:$A$301,0))</f>
        <v>서울대 자연</v>
      </c>
      <c r="W35" s="7">
        <f t="shared" si="5"/>
        <v>16</v>
      </c>
      <c r="X35" s="7">
        <f t="shared" si="6"/>
        <v>1</v>
      </c>
      <c r="Y35" s="7">
        <f>IFERROR(INDEX(환산공식!Q$16:Q$200,MATCH($A35,환산공식!$A$16:$A$200,0)),"")</f>
        <v>1</v>
      </c>
      <c r="Z35" s="7">
        <f>IFERROR(INDEX(환산공식!R$16:R$200,MATCH($A35,환산공식!$A$16:$A$200,0)),"")</f>
        <v>1.2</v>
      </c>
      <c r="AA35" s="7">
        <f>IFERROR(INDEX(환산공식!U$16:U$200,MATCH($A35,환산공식!$A$16:$A$200,0)),"")</f>
        <v>0.8</v>
      </c>
      <c r="AB35" s="7">
        <f t="shared" si="7"/>
        <v>0.33333333333333331</v>
      </c>
      <c r="AC35" s="7">
        <f t="shared" si="8"/>
        <v>0.39999999999999997</v>
      </c>
      <c r="AD35" s="7">
        <f t="shared" si="9"/>
        <v>0.26666666666666666</v>
      </c>
      <c r="AE35" s="7">
        <f>INDEX(환산공식!$AF$16:$AF$301,MATCH('배치점수 계산기'!W35,환산공식!$A$16:$A$301,0))</f>
        <v>1</v>
      </c>
      <c r="AF35" s="7">
        <f>INDEX(환산공식!$AP$16:$AP$301,MATCH('배치점수 계산기'!W35,환산공식!$A$16:$A$301,0))</f>
        <v>1</v>
      </c>
      <c r="AG35" s="7" t="str">
        <f t="shared" si="10"/>
        <v>표점</v>
      </c>
      <c r="AH35" s="7" t="str">
        <f t="shared" si="11"/>
        <v>표점</v>
      </c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EM35" s="120"/>
      <c r="ET35" s="210"/>
      <c r="EU35" s="210"/>
      <c r="EV35" s="210"/>
      <c r="EW35" s="210"/>
      <c r="EX35" s="210"/>
      <c r="EY35" s="210"/>
      <c r="EZ35" s="210"/>
      <c r="FA35" s="210"/>
      <c r="FB35" s="210"/>
      <c r="FC35" s="210"/>
      <c r="FD35" s="210"/>
      <c r="FE35" s="210"/>
      <c r="FF35" s="210"/>
      <c r="FG35" s="210"/>
      <c r="FH35" s="210"/>
      <c r="HR35" s="120"/>
      <c r="HY35" s="210"/>
      <c r="HZ35" s="210"/>
      <c r="IA35" s="210"/>
      <c r="IB35" s="210"/>
      <c r="IC35" s="210"/>
      <c r="ID35" s="210"/>
      <c r="IE35" s="210"/>
      <c r="IF35" s="210"/>
      <c r="IG35" s="210"/>
      <c r="IH35" s="210"/>
      <c r="II35" s="210"/>
      <c r="IJ35" s="210"/>
      <c r="IK35" s="210"/>
      <c r="IL35" s="210"/>
      <c r="IM35" s="210"/>
      <c r="KW35" s="120"/>
      <c r="LD35" s="210"/>
      <c r="LE35" s="210"/>
      <c r="LF35" s="210"/>
      <c r="LG35" s="210"/>
      <c r="LH35" s="210"/>
      <c r="LI35" s="210"/>
      <c r="LJ35" s="210"/>
      <c r="LK35" s="210"/>
      <c r="LL35" s="210"/>
      <c r="LM35" s="210"/>
      <c r="LN35" s="210"/>
      <c r="LO35" s="210"/>
      <c r="LP35" s="210"/>
      <c r="LQ35" s="210"/>
      <c r="LR35" s="210"/>
      <c r="OB35" s="120"/>
      <c r="OI35" s="210"/>
      <c r="OJ35" s="210"/>
      <c r="OK35" s="210"/>
      <c r="OL35" s="210"/>
      <c r="OM35" s="210"/>
      <c r="ON35" s="210"/>
      <c r="OO35" s="210"/>
      <c r="OP35" s="210"/>
      <c r="OQ35" s="210"/>
      <c r="OR35" s="210"/>
      <c r="OS35" s="210"/>
      <c r="OT35" s="210"/>
      <c r="OU35" s="210"/>
      <c r="OV35" s="210"/>
      <c r="OW35" s="210"/>
      <c r="RG35" s="120"/>
    </row>
    <row r="36" spans="1:475" x14ac:dyDescent="0.3">
      <c r="A36" s="7">
        <v>16</v>
      </c>
      <c r="B36" s="7">
        <v>26</v>
      </c>
      <c r="C36" s="7" t="s">
        <v>346</v>
      </c>
      <c r="D36" s="7" t="s">
        <v>681</v>
      </c>
      <c r="E36" s="7" t="s">
        <v>734</v>
      </c>
      <c r="F36" s="7" t="s">
        <v>274</v>
      </c>
      <c r="G36" s="41" t="str">
        <f t="shared" si="3"/>
        <v>X</v>
      </c>
      <c r="H36" s="41">
        <f>INDEX(환산공식!CI$16:CI$301,MATCH('배치점수 계산기'!$W36,환산공식!$A$16:$A$301,0))</f>
        <v>0</v>
      </c>
      <c r="I36" s="41" t="e">
        <f>CONCATENATE(ROUND(INDEX(환산공식!CJ$16:CJ$301,MATCH('배치점수 계산기'!$W36,환산공식!$A$16:$A$301,0)),1),"%")</f>
        <v>#DIV/0!</v>
      </c>
      <c r="J36" s="41">
        <f>INDEX(환산공식!CK$16:CK$301,MATCH('배치점수 계산기'!$W36,환산공식!$A$16:$A$301,0))</f>
        <v>0</v>
      </c>
      <c r="K36" s="7">
        <f>INDEX(환산공식!$EF$16:$EF$301,MATCH('배치점수 계산기'!W36,환산공식!$A$16:$A$301,0))</f>
        <v>0</v>
      </c>
      <c r="L36" s="41" t="str">
        <f t="shared" si="0"/>
        <v>1% 이하</v>
      </c>
      <c r="M36" s="7">
        <v>398.26</v>
      </c>
      <c r="N36" s="7">
        <v>396.07999999999993</v>
      </c>
      <c r="O36" s="7">
        <v>394.23999999999995</v>
      </c>
      <c r="P36" s="7">
        <v>393.21953512132825</v>
      </c>
      <c r="Q36" s="7">
        <v>391.70046177526933</v>
      </c>
      <c r="R36" s="7">
        <f t="shared" si="1"/>
        <v>6</v>
      </c>
      <c r="T36" s="7">
        <f>COUNTIF($C$11:C36,C36)</f>
        <v>26</v>
      </c>
      <c r="U36" s="7" t="str">
        <f t="shared" si="4"/>
        <v>나26</v>
      </c>
      <c r="V36" s="7" t="str">
        <f>INDEX(환산공식!$C$16:$C$301,MATCH('배치점수 계산기'!W36,환산공식!$A$16:$A$301,0))</f>
        <v>서울대 자연</v>
      </c>
      <c r="W36" s="7">
        <f t="shared" si="5"/>
        <v>16</v>
      </c>
      <c r="X36" s="7">
        <f t="shared" si="6"/>
        <v>1</v>
      </c>
      <c r="Y36" s="7">
        <f>IFERROR(INDEX(환산공식!Q$16:Q$200,MATCH($A36,환산공식!$A$16:$A$200,0)),"")</f>
        <v>1</v>
      </c>
      <c r="Z36" s="7">
        <f>IFERROR(INDEX(환산공식!R$16:R$200,MATCH($A36,환산공식!$A$16:$A$200,0)),"")</f>
        <v>1.2</v>
      </c>
      <c r="AA36" s="7">
        <f>IFERROR(INDEX(환산공식!U$16:U$200,MATCH($A36,환산공식!$A$16:$A$200,0)),"")</f>
        <v>0.8</v>
      </c>
      <c r="AB36" s="7">
        <f t="shared" si="7"/>
        <v>0.33333333333333331</v>
      </c>
      <c r="AC36" s="7">
        <f t="shared" si="8"/>
        <v>0.39999999999999997</v>
      </c>
      <c r="AD36" s="7">
        <f t="shared" si="9"/>
        <v>0.26666666666666666</v>
      </c>
      <c r="AE36" s="7">
        <f>INDEX(환산공식!$AF$16:$AF$301,MATCH('배치점수 계산기'!W36,환산공식!$A$16:$A$301,0))</f>
        <v>1</v>
      </c>
      <c r="AF36" s="7">
        <f>INDEX(환산공식!$AP$16:$AP$301,MATCH('배치점수 계산기'!W36,환산공식!$A$16:$A$301,0))</f>
        <v>1</v>
      </c>
      <c r="AG36" s="7" t="str">
        <f t="shared" si="10"/>
        <v>표점</v>
      </c>
      <c r="AH36" s="7" t="str">
        <f t="shared" si="11"/>
        <v>표점</v>
      </c>
      <c r="BO36" s="210"/>
      <c r="BP36" s="210"/>
      <c r="BQ36" s="210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EM36" s="120"/>
      <c r="ET36" s="210"/>
      <c r="EU36" s="210"/>
      <c r="EV36" s="210"/>
      <c r="EW36" s="210"/>
      <c r="EX36" s="210"/>
      <c r="EY36" s="210"/>
      <c r="EZ36" s="210"/>
      <c r="FA36" s="210"/>
      <c r="FB36" s="210"/>
      <c r="FC36" s="210"/>
      <c r="FD36" s="210"/>
      <c r="FE36" s="210"/>
      <c r="FF36" s="210"/>
      <c r="FG36" s="210"/>
      <c r="FH36" s="210"/>
      <c r="HR36" s="120"/>
      <c r="HY36" s="210"/>
      <c r="HZ36" s="210"/>
      <c r="IA36" s="210"/>
      <c r="IB36" s="210"/>
      <c r="IC36" s="210"/>
      <c r="ID36" s="210"/>
      <c r="IE36" s="210"/>
      <c r="IF36" s="210"/>
      <c r="IG36" s="210"/>
      <c r="IH36" s="210"/>
      <c r="II36" s="210"/>
      <c r="IJ36" s="210"/>
      <c r="IK36" s="210"/>
      <c r="IL36" s="210"/>
      <c r="IM36" s="210"/>
      <c r="KW36" s="120"/>
      <c r="LD36" s="210"/>
      <c r="LE36" s="210"/>
      <c r="LF36" s="210"/>
      <c r="LG36" s="210"/>
      <c r="LH36" s="210"/>
      <c r="LI36" s="210"/>
      <c r="LJ36" s="210"/>
      <c r="LK36" s="210"/>
      <c r="LL36" s="210"/>
      <c r="LM36" s="210"/>
      <c r="LN36" s="210"/>
      <c r="LO36" s="210"/>
      <c r="LP36" s="210"/>
      <c r="LQ36" s="210"/>
      <c r="LR36" s="210"/>
      <c r="OB36" s="120"/>
      <c r="OI36" s="210"/>
      <c r="OJ36" s="210"/>
      <c r="OK36" s="210"/>
      <c r="OL36" s="210"/>
      <c r="OM36" s="210"/>
      <c r="ON36" s="210"/>
      <c r="OO36" s="210"/>
      <c r="OP36" s="210"/>
      <c r="OQ36" s="210"/>
      <c r="OR36" s="210"/>
      <c r="OS36" s="210"/>
      <c r="OT36" s="210"/>
      <c r="OU36" s="210"/>
      <c r="OV36" s="210"/>
      <c r="OW36" s="210"/>
      <c r="RG36" s="120"/>
    </row>
    <row r="37" spans="1:475" x14ac:dyDescent="0.3">
      <c r="A37" s="7">
        <v>16</v>
      </c>
      <c r="B37" s="7">
        <v>27</v>
      </c>
      <c r="C37" s="7" t="s">
        <v>346</v>
      </c>
      <c r="D37" s="7" t="s">
        <v>681</v>
      </c>
      <c r="E37" s="7" t="s">
        <v>735</v>
      </c>
      <c r="F37" s="7" t="s">
        <v>274</v>
      </c>
      <c r="G37" s="41" t="str">
        <f t="shared" si="3"/>
        <v>X</v>
      </c>
      <c r="H37" s="41">
        <f>INDEX(환산공식!CI$16:CI$301,MATCH('배치점수 계산기'!$W37,환산공식!$A$16:$A$301,0))</f>
        <v>0</v>
      </c>
      <c r="I37" s="41" t="e">
        <f>CONCATENATE(ROUND(INDEX(환산공식!CJ$16:CJ$301,MATCH('배치점수 계산기'!$W37,환산공식!$A$16:$A$301,0)),1),"%")</f>
        <v>#DIV/0!</v>
      </c>
      <c r="J37" s="41">
        <f>INDEX(환산공식!CK$16:CK$301,MATCH('배치점수 계산기'!$W37,환산공식!$A$16:$A$301,0))</f>
        <v>0</v>
      </c>
      <c r="K37" s="7">
        <f>INDEX(환산공식!$EF$16:$EF$301,MATCH('배치점수 계산기'!W37,환산공식!$A$16:$A$301,0))</f>
        <v>0</v>
      </c>
      <c r="L37" s="41" t="str">
        <f t="shared" si="0"/>
        <v>1% 이하</v>
      </c>
      <c r="M37" s="7">
        <v>398.96000000000004</v>
      </c>
      <c r="N37" s="7">
        <v>395.54000000000008</v>
      </c>
      <c r="O37" s="7">
        <v>394.34</v>
      </c>
      <c r="P37" s="7">
        <v>393.21953512132825</v>
      </c>
      <c r="Q37" s="7">
        <v>390.6595475578406</v>
      </c>
      <c r="R37" s="7">
        <f t="shared" si="1"/>
        <v>6</v>
      </c>
      <c r="T37" s="7">
        <f>COUNTIF($C$11:C37,C37)</f>
        <v>27</v>
      </c>
      <c r="U37" s="7" t="str">
        <f t="shared" si="4"/>
        <v>나27</v>
      </c>
      <c r="V37" s="7" t="str">
        <f>INDEX(환산공식!$C$16:$C$301,MATCH('배치점수 계산기'!W37,환산공식!$A$16:$A$301,0))</f>
        <v>서울대 자연</v>
      </c>
      <c r="W37" s="7">
        <f t="shared" si="5"/>
        <v>16</v>
      </c>
      <c r="X37" s="7">
        <f t="shared" si="6"/>
        <v>1</v>
      </c>
      <c r="Y37" s="7">
        <f>IFERROR(INDEX(환산공식!Q$16:Q$200,MATCH($A37,환산공식!$A$16:$A$200,0)),"")</f>
        <v>1</v>
      </c>
      <c r="Z37" s="7">
        <f>IFERROR(INDEX(환산공식!R$16:R$200,MATCH($A37,환산공식!$A$16:$A$200,0)),"")</f>
        <v>1.2</v>
      </c>
      <c r="AA37" s="7">
        <f>IFERROR(INDEX(환산공식!U$16:U$200,MATCH($A37,환산공식!$A$16:$A$200,0)),"")</f>
        <v>0.8</v>
      </c>
      <c r="AB37" s="7">
        <f t="shared" si="7"/>
        <v>0.33333333333333331</v>
      </c>
      <c r="AC37" s="7">
        <f t="shared" si="8"/>
        <v>0.39999999999999997</v>
      </c>
      <c r="AD37" s="7">
        <f t="shared" si="9"/>
        <v>0.26666666666666666</v>
      </c>
      <c r="AE37" s="7">
        <f>INDEX(환산공식!$AF$16:$AF$301,MATCH('배치점수 계산기'!W37,환산공식!$A$16:$A$301,0))</f>
        <v>1</v>
      </c>
      <c r="AF37" s="7">
        <f>INDEX(환산공식!$AP$16:$AP$301,MATCH('배치점수 계산기'!W37,환산공식!$A$16:$A$301,0))</f>
        <v>1</v>
      </c>
      <c r="AG37" s="7" t="str">
        <f t="shared" si="10"/>
        <v>표점</v>
      </c>
      <c r="AH37" s="7" t="str">
        <f t="shared" si="11"/>
        <v>표점</v>
      </c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  <c r="CA37" s="210"/>
      <c r="CB37" s="210"/>
      <c r="CC37" s="210"/>
      <c r="EM37" s="120"/>
      <c r="ET37" s="210"/>
      <c r="EU37" s="210"/>
      <c r="EV37" s="210"/>
      <c r="EW37" s="210"/>
      <c r="EX37" s="210"/>
      <c r="EY37" s="210"/>
      <c r="EZ37" s="210"/>
      <c r="FA37" s="210"/>
      <c r="FB37" s="210"/>
      <c r="FC37" s="210"/>
      <c r="FD37" s="210"/>
      <c r="FE37" s="210"/>
      <c r="FF37" s="210"/>
      <c r="FG37" s="210"/>
      <c r="FH37" s="210"/>
      <c r="HR37" s="120"/>
      <c r="HY37" s="210"/>
      <c r="HZ37" s="210"/>
      <c r="IA37" s="210"/>
      <c r="IB37" s="210"/>
      <c r="IC37" s="210"/>
      <c r="ID37" s="210"/>
      <c r="IE37" s="210"/>
      <c r="IF37" s="210"/>
      <c r="IG37" s="210"/>
      <c r="IH37" s="210"/>
      <c r="II37" s="210"/>
      <c r="IJ37" s="210"/>
      <c r="IK37" s="210"/>
      <c r="IL37" s="210"/>
      <c r="IM37" s="210"/>
      <c r="KW37" s="120"/>
      <c r="LD37" s="210"/>
      <c r="LE37" s="210"/>
      <c r="LF37" s="210"/>
      <c r="LG37" s="210"/>
      <c r="LH37" s="210"/>
      <c r="LI37" s="210"/>
      <c r="LJ37" s="210"/>
      <c r="LK37" s="210"/>
      <c r="LL37" s="210"/>
      <c r="LM37" s="210"/>
      <c r="LN37" s="210"/>
      <c r="LO37" s="210"/>
      <c r="LP37" s="210"/>
      <c r="LQ37" s="210"/>
      <c r="LR37" s="210"/>
      <c r="OB37" s="120"/>
      <c r="OI37" s="210"/>
      <c r="OJ37" s="210"/>
      <c r="OK37" s="210"/>
      <c r="OL37" s="210"/>
      <c r="OM37" s="210"/>
      <c r="ON37" s="210"/>
      <c r="OO37" s="210"/>
      <c r="OP37" s="210"/>
      <c r="OQ37" s="210"/>
      <c r="OR37" s="210"/>
      <c r="OS37" s="210"/>
      <c r="OT37" s="210"/>
      <c r="OU37" s="210"/>
      <c r="OV37" s="210"/>
      <c r="OW37" s="210"/>
      <c r="RG37" s="120"/>
    </row>
    <row r="38" spans="1:475" x14ac:dyDescent="0.3">
      <c r="A38" s="7">
        <v>16</v>
      </c>
      <c r="B38" s="7">
        <v>28</v>
      </c>
      <c r="C38" s="7" t="s">
        <v>346</v>
      </c>
      <c r="D38" s="7" t="s">
        <v>681</v>
      </c>
      <c r="E38" s="7" t="s">
        <v>736</v>
      </c>
      <c r="F38" s="7" t="s">
        <v>274</v>
      </c>
      <c r="G38" s="41" t="str">
        <f t="shared" si="3"/>
        <v>X</v>
      </c>
      <c r="H38" s="41">
        <f>INDEX(환산공식!CI$16:CI$301,MATCH('배치점수 계산기'!$W38,환산공식!$A$16:$A$301,0))</f>
        <v>0</v>
      </c>
      <c r="I38" s="41" t="e">
        <f>CONCATENATE(ROUND(INDEX(환산공식!CJ$16:CJ$301,MATCH('배치점수 계산기'!$W38,환산공식!$A$16:$A$301,0)),1),"%")</f>
        <v>#DIV/0!</v>
      </c>
      <c r="J38" s="41">
        <f>INDEX(환산공식!CK$16:CK$301,MATCH('배치점수 계산기'!$W38,환산공식!$A$16:$A$301,0))</f>
        <v>0</v>
      </c>
      <c r="K38" s="7">
        <f>INDEX(환산공식!$EF$16:$EF$301,MATCH('배치점수 계산기'!W38,환산공식!$A$16:$A$301,0))</f>
        <v>0</v>
      </c>
      <c r="L38" s="41" t="str">
        <f t="shared" si="0"/>
        <v>1% 이하</v>
      </c>
      <c r="M38" s="7">
        <v>398.96000000000004</v>
      </c>
      <c r="N38" s="7">
        <v>395.54000000000008</v>
      </c>
      <c r="O38" s="7">
        <v>394.34</v>
      </c>
      <c r="P38" s="7">
        <v>393.21953512132825</v>
      </c>
      <c r="Q38" s="7">
        <v>390.6595475578406</v>
      </c>
      <c r="R38" s="7">
        <f t="shared" si="1"/>
        <v>6</v>
      </c>
      <c r="T38" s="7">
        <f>COUNTIF($C$11:C38,C38)</f>
        <v>28</v>
      </c>
      <c r="U38" s="7" t="str">
        <f t="shared" si="4"/>
        <v>나28</v>
      </c>
      <c r="V38" s="7" t="str">
        <f>INDEX(환산공식!$C$16:$C$301,MATCH('배치점수 계산기'!W38,환산공식!$A$16:$A$301,0))</f>
        <v>서울대 자연</v>
      </c>
      <c r="W38" s="7">
        <f t="shared" si="5"/>
        <v>16</v>
      </c>
      <c r="X38" s="7">
        <f t="shared" si="6"/>
        <v>1</v>
      </c>
      <c r="Y38" s="7">
        <f>IFERROR(INDEX(환산공식!Q$16:Q$200,MATCH($A38,환산공식!$A$16:$A$200,0)),"")</f>
        <v>1</v>
      </c>
      <c r="Z38" s="7">
        <f>IFERROR(INDEX(환산공식!R$16:R$200,MATCH($A38,환산공식!$A$16:$A$200,0)),"")</f>
        <v>1.2</v>
      </c>
      <c r="AA38" s="7">
        <f>IFERROR(INDEX(환산공식!U$16:U$200,MATCH($A38,환산공식!$A$16:$A$200,0)),"")</f>
        <v>0.8</v>
      </c>
      <c r="AB38" s="7">
        <f t="shared" si="7"/>
        <v>0.33333333333333331</v>
      </c>
      <c r="AC38" s="7">
        <f t="shared" si="8"/>
        <v>0.39999999999999997</v>
      </c>
      <c r="AD38" s="7">
        <f t="shared" si="9"/>
        <v>0.26666666666666666</v>
      </c>
      <c r="AE38" s="7">
        <f>INDEX(환산공식!$AF$16:$AF$301,MATCH('배치점수 계산기'!W38,환산공식!$A$16:$A$301,0))</f>
        <v>1</v>
      </c>
      <c r="AF38" s="7">
        <f>INDEX(환산공식!$AP$16:$AP$301,MATCH('배치점수 계산기'!W38,환산공식!$A$16:$A$301,0))</f>
        <v>1</v>
      </c>
      <c r="AG38" s="7" t="str">
        <f t="shared" si="10"/>
        <v>표점</v>
      </c>
      <c r="AH38" s="7" t="str">
        <f t="shared" si="11"/>
        <v>표점</v>
      </c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EM38" s="120"/>
      <c r="ET38" s="210"/>
      <c r="EU38" s="210"/>
      <c r="EV38" s="210"/>
      <c r="EW38" s="210"/>
      <c r="EX38" s="210"/>
      <c r="EY38" s="210"/>
      <c r="EZ38" s="210"/>
      <c r="FA38" s="210"/>
      <c r="FB38" s="210"/>
      <c r="FC38" s="210"/>
      <c r="FD38" s="210"/>
      <c r="FE38" s="210"/>
      <c r="FF38" s="210"/>
      <c r="FG38" s="210"/>
      <c r="FH38" s="210"/>
      <c r="HR38" s="120"/>
      <c r="HY38" s="210"/>
      <c r="HZ38" s="210"/>
      <c r="IA38" s="210"/>
      <c r="IB38" s="210"/>
      <c r="IC38" s="210"/>
      <c r="ID38" s="210"/>
      <c r="IE38" s="210"/>
      <c r="IF38" s="210"/>
      <c r="IG38" s="210"/>
      <c r="IH38" s="210"/>
      <c r="II38" s="210"/>
      <c r="IJ38" s="210"/>
      <c r="IK38" s="210"/>
      <c r="IL38" s="210"/>
      <c r="IM38" s="210"/>
      <c r="KW38" s="120"/>
      <c r="LD38" s="210"/>
      <c r="LE38" s="210"/>
      <c r="LF38" s="210"/>
      <c r="LG38" s="210"/>
      <c r="LH38" s="210"/>
      <c r="LI38" s="210"/>
      <c r="LJ38" s="210"/>
      <c r="LK38" s="210"/>
      <c r="LL38" s="210"/>
      <c r="LM38" s="210"/>
      <c r="LN38" s="210"/>
      <c r="LO38" s="210"/>
      <c r="LP38" s="210"/>
      <c r="LQ38" s="210"/>
      <c r="LR38" s="210"/>
      <c r="OB38" s="120"/>
      <c r="OI38" s="210"/>
      <c r="OJ38" s="210"/>
      <c r="OK38" s="210"/>
      <c r="OL38" s="210"/>
      <c r="OM38" s="210"/>
      <c r="ON38" s="210"/>
      <c r="OO38" s="210"/>
      <c r="OP38" s="210"/>
      <c r="OQ38" s="210"/>
      <c r="OR38" s="210"/>
      <c r="OS38" s="210"/>
      <c r="OT38" s="210"/>
      <c r="OU38" s="210"/>
      <c r="OV38" s="210"/>
      <c r="OW38" s="210"/>
      <c r="RG38" s="120"/>
    </row>
    <row r="39" spans="1:475" x14ac:dyDescent="0.3">
      <c r="A39" s="7">
        <v>16</v>
      </c>
      <c r="B39" s="7">
        <v>29</v>
      </c>
      <c r="C39" s="7" t="s">
        <v>346</v>
      </c>
      <c r="D39" s="7" t="s">
        <v>681</v>
      </c>
      <c r="E39" s="7" t="s">
        <v>737</v>
      </c>
      <c r="F39" s="7" t="s">
        <v>274</v>
      </c>
      <c r="G39" s="41" t="str">
        <f t="shared" si="3"/>
        <v>X</v>
      </c>
      <c r="H39" s="41">
        <f>INDEX(환산공식!CI$16:CI$301,MATCH('배치점수 계산기'!$W39,환산공식!$A$16:$A$301,0))</f>
        <v>0</v>
      </c>
      <c r="I39" s="41" t="e">
        <f>CONCATENATE(ROUND(INDEX(환산공식!CJ$16:CJ$301,MATCH('배치점수 계산기'!$W39,환산공식!$A$16:$A$301,0)),1),"%")</f>
        <v>#DIV/0!</v>
      </c>
      <c r="J39" s="41">
        <f>INDEX(환산공식!CK$16:CK$301,MATCH('배치점수 계산기'!$W39,환산공식!$A$16:$A$301,0))</f>
        <v>0</v>
      </c>
      <c r="K39" s="7">
        <f>INDEX(환산공식!$EF$16:$EF$301,MATCH('배치점수 계산기'!W39,환산공식!$A$16:$A$301,0))</f>
        <v>0</v>
      </c>
      <c r="L39" s="41" t="str">
        <f t="shared" si="0"/>
        <v>1% 이하</v>
      </c>
      <c r="M39" s="7">
        <v>397.7399999999999</v>
      </c>
      <c r="N39" s="7">
        <v>395.38047788510426</v>
      </c>
      <c r="O39" s="7">
        <v>394.15999999999997</v>
      </c>
      <c r="P39" s="7">
        <v>393.21953512132825</v>
      </c>
      <c r="Q39" s="7">
        <v>390.6595475578406</v>
      </c>
      <c r="R39" s="7">
        <f t="shared" si="1"/>
        <v>6</v>
      </c>
      <c r="T39" s="7">
        <f>COUNTIF($C$11:C39,C39)</f>
        <v>29</v>
      </c>
      <c r="U39" s="7" t="str">
        <f t="shared" si="4"/>
        <v>나29</v>
      </c>
      <c r="V39" s="7" t="str">
        <f>INDEX(환산공식!$C$16:$C$301,MATCH('배치점수 계산기'!W39,환산공식!$A$16:$A$301,0))</f>
        <v>서울대 자연</v>
      </c>
      <c r="W39" s="7">
        <f t="shared" si="5"/>
        <v>16</v>
      </c>
      <c r="X39" s="7">
        <f t="shared" si="6"/>
        <v>1</v>
      </c>
      <c r="Y39" s="7">
        <f>IFERROR(INDEX(환산공식!Q$16:Q$200,MATCH($A39,환산공식!$A$16:$A$200,0)),"")</f>
        <v>1</v>
      </c>
      <c r="Z39" s="7">
        <f>IFERROR(INDEX(환산공식!R$16:R$200,MATCH($A39,환산공식!$A$16:$A$200,0)),"")</f>
        <v>1.2</v>
      </c>
      <c r="AA39" s="7">
        <f>IFERROR(INDEX(환산공식!U$16:U$200,MATCH($A39,환산공식!$A$16:$A$200,0)),"")</f>
        <v>0.8</v>
      </c>
      <c r="AB39" s="7">
        <f t="shared" si="7"/>
        <v>0.33333333333333331</v>
      </c>
      <c r="AC39" s="7">
        <f t="shared" si="8"/>
        <v>0.39999999999999997</v>
      </c>
      <c r="AD39" s="7">
        <f t="shared" si="9"/>
        <v>0.26666666666666666</v>
      </c>
      <c r="AE39" s="7">
        <f>INDEX(환산공식!$AF$16:$AF$301,MATCH('배치점수 계산기'!W39,환산공식!$A$16:$A$301,0))</f>
        <v>1</v>
      </c>
      <c r="AF39" s="7">
        <f>INDEX(환산공식!$AP$16:$AP$301,MATCH('배치점수 계산기'!W39,환산공식!$A$16:$A$301,0))</f>
        <v>1</v>
      </c>
      <c r="AG39" s="7" t="str">
        <f t="shared" si="10"/>
        <v>표점</v>
      </c>
      <c r="AH39" s="7" t="str">
        <f t="shared" si="11"/>
        <v>표점</v>
      </c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  <c r="CA39" s="210"/>
      <c r="CB39" s="210"/>
      <c r="CC39" s="210"/>
      <c r="EM39" s="120"/>
      <c r="ET39" s="210"/>
      <c r="EU39" s="210"/>
      <c r="EV39" s="210"/>
      <c r="EW39" s="210"/>
      <c r="EX39" s="210"/>
      <c r="EY39" s="210"/>
      <c r="EZ39" s="210"/>
      <c r="FA39" s="210"/>
      <c r="FB39" s="210"/>
      <c r="FC39" s="210"/>
      <c r="FD39" s="210"/>
      <c r="FE39" s="210"/>
      <c r="FF39" s="210"/>
      <c r="FG39" s="210"/>
      <c r="FH39" s="210"/>
      <c r="HR39" s="120"/>
      <c r="HY39" s="210"/>
      <c r="HZ39" s="210"/>
      <c r="IA39" s="210"/>
      <c r="IB39" s="210"/>
      <c r="IC39" s="210"/>
      <c r="ID39" s="210"/>
      <c r="IE39" s="210"/>
      <c r="IF39" s="210"/>
      <c r="IG39" s="210"/>
      <c r="IH39" s="210"/>
      <c r="II39" s="210"/>
      <c r="IJ39" s="210"/>
      <c r="IK39" s="210"/>
      <c r="IL39" s="210"/>
      <c r="IM39" s="210"/>
      <c r="KW39" s="120"/>
      <c r="LD39" s="210"/>
      <c r="LE39" s="210"/>
      <c r="LF39" s="210"/>
      <c r="LG39" s="210"/>
      <c r="LH39" s="210"/>
      <c r="LI39" s="210"/>
      <c r="LJ39" s="210"/>
      <c r="LK39" s="210"/>
      <c r="LL39" s="210"/>
      <c r="LM39" s="210"/>
      <c r="LN39" s="210"/>
      <c r="LO39" s="210"/>
      <c r="LP39" s="210"/>
      <c r="LQ39" s="210"/>
      <c r="LR39" s="210"/>
      <c r="OB39" s="120"/>
      <c r="OI39" s="210"/>
      <c r="OJ39" s="210"/>
      <c r="OK39" s="210"/>
      <c r="OL39" s="210"/>
      <c r="OM39" s="210"/>
      <c r="ON39" s="210"/>
      <c r="OO39" s="210"/>
      <c r="OP39" s="210"/>
      <c r="OQ39" s="210"/>
      <c r="OR39" s="210"/>
      <c r="OS39" s="210"/>
      <c r="OT39" s="210"/>
      <c r="OU39" s="210"/>
      <c r="OV39" s="210"/>
      <c r="OW39" s="210"/>
      <c r="RG39" s="120"/>
    </row>
    <row r="40" spans="1:475" x14ac:dyDescent="0.3">
      <c r="A40" s="7">
        <v>16</v>
      </c>
      <c r="B40" s="7">
        <v>30</v>
      </c>
      <c r="C40" s="7" t="s">
        <v>346</v>
      </c>
      <c r="D40" s="7" t="s">
        <v>681</v>
      </c>
      <c r="E40" s="7" t="s">
        <v>738</v>
      </c>
      <c r="F40" s="7" t="s">
        <v>274</v>
      </c>
      <c r="G40" s="41" t="str">
        <f t="shared" si="3"/>
        <v>X</v>
      </c>
      <c r="H40" s="41">
        <f>INDEX(환산공식!CI$16:CI$301,MATCH('배치점수 계산기'!$W40,환산공식!$A$16:$A$301,0))</f>
        <v>0</v>
      </c>
      <c r="I40" s="41" t="e">
        <f>CONCATENATE(ROUND(INDEX(환산공식!CJ$16:CJ$301,MATCH('배치점수 계산기'!$W40,환산공식!$A$16:$A$301,0)),1),"%")</f>
        <v>#DIV/0!</v>
      </c>
      <c r="J40" s="41">
        <f>INDEX(환산공식!CK$16:CK$301,MATCH('배치점수 계산기'!$W40,환산공식!$A$16:$A$301,0))</f>
        <v>0</v>
      </c>
      <c r="K40" s="7">
        <f>INDEX(환산공식!$EF$16:$EF$301,MATCH('배치점수 계산기'!W40,환산공식!$A$16:$A$301,0))</f>
        <v>0</v>
      </c>
      <c r="L40" s="41" t="str">
        <f t="shared" si="0"/>
        <v>1% 이하</v>
      </c>
      <c r="M40" s="7">
        <v>397.7399999999999</v>
      </c>
      <c r="N40" s="7">
        <v>395.38047788510426</v>
      </c>
      <c r="O40" s="7">
        <v>394.15999999999997</v>
      </c>
      <c r="P40" s="7">
        <v>393.01953488372101</v>
      </c>
      <c r="Q40" s="7">
        <v>390.6595475578406</v>
      </c>
      <c r="R40" s="7">
        <f t="shared" si="1"/>
        <v>6</v>
      </c>
      <c r="T40" s="7">
        <f>COUNTIF($C$11:C40,C40)</f>
        <v>30</v>
      </c>
      <c r="U40" s="7" t="str">
        <f t="shared" si="4"/>
        <v>나30</v>
      </c>
      <c r="V40" s="7" t="str">
        <f>INDEX(환산공식!$C$16:$C$301,MATCH('배치점수 계산기'!W40,환산공식!$A$16:$A$301,0))</f>
        <v>서울대 자연</v>
      </c>
      <c r="W40" s="7">
        <f t="shared" si="5"/>
        <v>16</v>
      </c>
      <c r="X40" s="7">
        <f t="shared" si="6"/>
        <v>1</v>
      </c>
      <c r="Y40" s="7">
        <f>IFERROR(INDEX(환산공식!Q$16:Q$200,MATCH($A40,환산공식!$A$16:$A$200,0)),"")</f>
        <v>1</v>
      </c>
      <c r="Z40" s="7">
        <f>IFERROR(INDEX(환산공식!R$16:R$200,MATCH($A40,환산공식!$A$16:$A$200,0)),"")</f>
        <v>1.2</v>
      </c>
      <c r="AA40" s="7">
        <f>IFERROR(INDEX(환산공식!U$16:U$200,MATCH($A40,환산공식!$A$16:$A$200,0)),"")</f>
        <v>0.8</v>
      </c>
      <c r="AB40" s="7">
        <f t="shared" si="7"/>
        <v>0.33333333333333331</v>
      </c>
      <c r="AC40" s="7">
        <f t="shared" si="8"/>
        <v>0.39999999999999997</v>
      </c>
      <c r="AD40" s="7">
        <f t="shared" si="9"/>
        <v>0.26666666666666666</v>
      </c>
      <c r="AE40" s="7">
        <f>INDEX(환산공식!$AF$16:$AF$301,MATCH('배치점수 계산기'!W40,환산공식!$A$16:$A$301,0))</f>
        <v>1</v>
      </c>
      <c r="AF40" s="7">
        <f>INDEX(환산공식!$AP$16:$AP$301,MATCH('배치점수 계산기'!W40,환산공식!$A$16:$A$301,0))</f>
        <v>1</v>
      </c>
      <c r="AG40" s="7" t="str">
        <f t="shared" si="10"/>
        <v>표점</v>
      </c>
      <c r="AH40" s="7" t="str">
        <f t="shared" si="11"/>
        <v>표점</v>
      </c>
      <c r="BO40" s="210"/>
      <c r="BP40" s="210"/>
      <c r="BQ40" s="210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EM40" s="120"/>
      <c r="ET40" s="210"/>
      <c r="EU40" s="210"/>
      <c r="EV40" s="210"/>
      <c r="EW40" s="210"/>
      <c r="EX40" s="210"/>
      <c r="EY40" s="210"/>
      <c r="EZ40" s="210"/>
      <c r="FA40" s="210"/>
      <c r="FB40" s="210"/>
      <c r="FC40" s="210"/>
      <c r="FD40" s="210"/>
      <c r="FE40" s="210"/>
      <c r="FF40" s="210"/>
      <c r="FG40" s="210"/>
      <c r="FH40" s="210"/>
      <c r="HR40" s="120"/>
      <c r="HY40" s="210"/>
      <c r="HZ40" s="210"/>
      <c r="IA40" s="210"/>
      <c r="IB40" s="210"/>
      <c r="IC40" s="210"/>
      <c r="ID40" s="210"/>
      <c r="IE40" s="210"/>
      <c r="IF40" s="210"/>
      <c r="IG40" s="210"/>
      <c r="IH40" s="210"/>
      <c r="II40" s="210"/>
      <c r="IJ40" s="210"/>
      <c r="IK40" s="210"/>
      <c r="IL40" s="210"/>
      <c r="IM40" s="210"/>
      <c r="KW40" s="120"/>
      <c r="LD40" s="210"/>
      <c r="LE40" s="210"/>
      <c r="LF40" s="210"/>
      <c r="LG40" s="210"/>
      <c r="LH40" s="210"/>
      <c r="LI40" s="210"/>
      <c r="LJ40" s="210"/>
      <c r="LK40" s="210"/>
      <c r="LL40" s="210"/>
      <c r="LM40" s="210"/>
      <c r="LN40" s="210"/>
      <c r="LO40" s="210"/>
      <c r="LP40" s="210"/>
      <c r="LQ40" s="210"/>
      <c r="LR40" s="210"/>
      <c r="OB40" s="120"/>
      <c r="OI40" s="210"/>
      <c r="OJ40" s="210"/>
      <c r="OK40" s="210"/>
      <c r="OL40" s="210"/>
      <c r="OM40" s="210"/>
      <c r="ON40" s="210"/>
      <c r="OO40" s="210"/>
      <c r="OP40" s="210"/>
      <c r="OQ40" s="210"/>
      <c r="OR40" s="210"/>
      <c r="OS40" s="210"/>
      <c r="OT40" s="210"/>
      <c r="OU40" s="210"/>
      <c r="OV40" s="210"/>
      <c r="OW40" s="210"/>
      <c r="RG40" s="120"/>
    </row>
    <row r="41" spans="1:475" x14ac:dyDescent="0.3">
      <c r="A41" s="7">
        <v>16</v>
      </c>
      <c r="B41" s="7">
        <v>31</v>
      </c>
      <c r="C41" s="7" t="s">
        <v>346</v>
      </c>
      <c r="D41" s="7" t="s">
        <v>681</v>
      </c>
      <c r="E41" s="7" t="s">
        <v>739</v>
      </c>
      <c r="F41" s="7" t="s">
        <v>274</v>
      </c>
      <c r="G41" s="41" t="str">
        <f t="shared" si="3"/>
        <v>X</v>
      </c>
      <c r="H41" s="41">
        <f>INDEX(환산공식!CI$16:CI$301,MATCH('배치점수 계산기'!$W41,환산공식!$A$16:$A$301,0))</f>
        <v>0</v>
      </c>
      <c r="I41" s="41" t="e">
        <f>CONCATENATE(ROUND(INDEX(환산공식!CJ$16:CJ$301,MATCH('배치점수 계산기'!$W41,환산공식!$A$16:$A$301,0)),1),"%")</f>
        <v>#DIV/0!</v>
      </c>
      <c r="J41" s="41">
        <f>INDEX(환산공식!CK$16:CK$301,MATCH('배치점수 계산기'!$W41,환산공식!$A$16:$A$301,0))</f>
        <v>0</v>
      </c>
      <c r="K41" s="7">
        <f>INDEX(환산공식!$EF$16:$EF$301,MATCH('배치점수 계산기'!W41,환산공식!$A$16:$A$301,0))</f>
        <v>0</v>
      </c>
      <c r="L41" s="41" t="str">
        <f t="shared" si="0"/>
        <v>1% 이하</v>
      </c>
      <c r="M41" s="7">
        <v>398.96000000000004</v>
      </c>
      <c r="N41" s="7">
        <v>395.38047788510426</v>
      </c>
      <c r="O41" s="7">
        <v>394.34</v>
      </c>
      <c r="P41" s="7">
        <v>393.01953488372101</v>
      </c>
      <c r="Q41" s="7">
        <v>391.04</v>
      </c>
      <c r="R41" s="7">
        <f t="shared" si="1"/>
        <v>6</v>
      </c>
      <c r="T41" s="7">
        <f>COUNTIF($C$11:C41,C41)</f>
        <v>31</v>
      </c>
      <c r="U41" s="7" t="str">
        <f t="shared" si="4"/>
        <v>나31</v>
      </c>
      <c r="V41" s="7" t="str">
        <f>INDEX(환산공식!$C$16:$C$301,MATCH('배치점수 계산기'!W41,환산공식!$A$16:$A$301,0))</f>
        <v>서울대 자연</v>
      </c>
      <c r="W41" s="7">
        <f t="shared" si="5"/>
        <v>16</v>
      </c>
      <c r="X41" s="7">
        <f t="shared" si="6"/>
        <v>1</v>
      </c>
      <c r="Y41" s="7">
        <f>IFERROR(INDEX(환산공식!Q$16:Q$200,MATCH($A41,환산공식!$A$16:$A$200,0)),"")</f>
        <v>1</v>
      </c>
      <c r="Z41" s="7">
        <f>IFERROR(INDEX(환산공식!R$16:R$200,MATCH($A41,환산공식!$A$16:$A$200,0)),"")</f>
        <v>1.2</v>
      </c>
      <c r="AA41" s="7">
        <f>IFERROR(INDEX(환산공식!U$16:U$200,MATCH($A41,환산공식!$A$16:$A$200,0)),"")</f>
        <v>0.8</v>
      </c>
      <c r="AB41" s="7">
        <f t="shared" si="7"/>
        <v>0.33333333333333331</v>
      </c>
      <c r="AC41" s="7">
        <f t="shared" si="8"/>
        <v>0.39999999999999997</v>
      </c>
      <c r="AD41" s="7">
        <f t="shared" si="9"/>
        <v>0.26666666666666666</v>
      </c>
      <c r="AE41" s="7">
        <f>INDEX(환산공식!$AF$16:$AF$301,MATCH('배치점수 계산기'!W41,환산공식!$A$16:$A$301,0))</f>
        <v>1</v>
      </c>
      <c r="AF41" s="7">
        <f>INDEX(환산공식!$AP$16:$AP$301,MATCH('배치점수 계산기'!W41,환산공식!$A$16:$A$301,0))</f>
        <v>1</v>
      </c>
      <c r="AG41" s="7" t="str">
        <f t="shared" si="10"/>
        <v>표점</v>
      </c>
      <c r="AH41" s="7" t="str">
        <f t="shared" si="11"/>
        <v>표점</v>
      </c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EM41" s="120"/>
      <c r="ET41" s="210"/>
      <c r="EU41" s="210"/>
      <c r="EV41" s="210"/>
      <c r="EW41" s="210"/>
      <c r="EX41" s="210"/>
      <c r="EY41" s="210"/>
      <c r="EZ41" s="210"/>
      <c r="FA41" s="210"/>
      <c r="FB41" s="210"/>
      <c r="FC41" s="210"/>
      <c r="FD41" s="210"/>
      <c r="FE41" s="210"/>
      <c r="FF41" s="210"/>
      <c r="FG41" s="210"/>
      <c r="FH41" s="210"/>
      <c r="HR41" s="120"/>
      <c r="HY41" s="210"/>
      <c r="HZ41" s="210"/>
      <c r="IA41" s="210"/>
      <c r="IB41" s="210"/>
      <c r="IC41" s="210"/>
      <c r="ID41" s="210"/>
      <c r="IE41" s="210"/>
      <c r="IF41" s="210"/>
      <c r="IG41" s="210"/>
      <c r="IH41" s="210"/>
      <c r="II41" s="210"/>
      <c r="IJ41" s="210"/>
      <c r="IK41" s="210"/>
      <c r="IL41" s="210"/>
      <c r="IM41" s="210"/>
      <c r="KW41" s="120"/>
      <c r="LD41" s="210"/>
      <c r="LE41" s="210"/>
      <c r="LF41" s="210"/>
      <c r="LG41" s="210"/>
      <c r="LH41" s="210"/>
      <c r="LI41" s="210"/>
      <c r="LJ41" s="210"/>
      <c r="LK41" s="210"/>
      <c r="LL41" s="210"/>
      <c r="LM41" s="210"/>
      <c r="LN41" s="210"/>
      <c r="LO41" s="210"/>
      <c r="LP41" s="210"/>
      <c r="LQ41" s="210"/>
      <c r="LR41" s="210"/>
      <c r="OB41" s="120"/>
      <c r="OI41" s="210"/>
      <c r="OJ41" s="210"/>
      <c r="OK41" s="210"/>
      <c r="OL41" s="210"/>
      <c r="OM41" s="210"/>
      <c r="ON41" s="210"/>
      <c r="OO41" s="210"/>
      <c r="OP41" s="210"/>
      <c r="OQ41" s="210"/>
      <c r="OR41" s="210"/>
      <c r="OS41" s="210"/>
      <c r="OT41" s="210"/>
      <c r="OU41" s="210"/>
      <c r="OV41" s="210"/>
      <c r="OW41" s="210"/>
      <c r="RG41" s="120"/>
    </row>
    <row r="42" spans="1:475" x14ac:dyDescent="0.3">
      <c r="A42" s="7">
        <v>16</v>
      </c>
      <c r="B42" s="7">
        <v>32</v>
      </c>
      <c r="C42" s="7" t="s">
        <v>346</v>
      </c>
      <c r="D42" s="7" t="s">
        <v>681</v>
      </c>
      <c r="E42" s="7" t="s">
        <v>260</v>
      </c>
      <c r="F42" s="7" t="s">
        <v>274</v>
      </c>
      <c r="G42" s="41" t="str">
        <f t="shared" si="3"/>
        <v>X</v>
      </c>
      <c r="H42" s="41">
        <f>INDEX(환산공식!CI$16:CI$301,MATCH('배치점수 계산기'!$W42,환산공식!$A$16:$A$301,0))</f>
        <v>0</v>
      </c>
      <c r="I42" s="41" t="e">
        <f>CONCATENATE(ROUND(INDEX(환산공식!CJ$16:CJ$301,MATCH('배치점수 계산기'!$W42,환산공식!$A$16:$A$301,0)),1),"%")</f>
        <v>#DIV/0!</v>
      </c>
      <c r="J42" s="41">
        <f>INDEX(환산공식!CK$16:CK$301,MATCH('배치점수 계산기'!$W42,환산공식!$A$16:$A$301,0))</f>
        <v>0</v>
      </c>
      <c r="K42" s="7">
        <f>INDEX(환산공식!$EF$16:$EF$301,MATCH('배치점수 계산기'!W42,환산공식!$A$16:$A$301,0))</f>
        <v>0</v>
      </c>
      <c r="L42" s="41" t="str">
        <f t="shared" si="0"/>
        <v>1% 이하</v>
      </c>
      <c r="M42" s="7">
        <v>396.88</v>
      </c>
      <c r="N42" s="7">
        <v>395.38047788510426</v>
      </c>
      <c r="O42" s="7">
        <v>394.76</v>
      </c>
      <c r="P42" s="7">
        <v>394.15999999999997</v>
      </c>
      <c r="Q42" s="7">
        <v>393.01953488372101</v>
      </c>
      <c r="R42" s="7">
        <f t="shared" si="1"/>
        <v>6</v>
      </c>
      <c r="T42" s="7">
        <f>COUNTIF($C$11:C42,C42)</f>
        <v>32</v>
      </c>
      <c r="U42" s="7" t="str">
        <f t="shared" si="4"/>
        <v>나32</v>
      </c>
      <c r="V42" s="7" t="str">
        <f>INDEX(환산공식!$C$16:$C$301,MATCH('배치점수 계산기'!W42,환산공식!$A$16:$A$301,0))</f>
        <v>서울대 자연</v>
      </c>
      <c r="W42" s="7">
        <f t="shared" si="5"/>
        <v>16</v>
      </c>
      <c r="X42" s="7">
        <f t="shared" si="6"/>
        <v>1</v>
      </c>
      <c r="Y42" s="7">
        <f>IFERROR(INDEX(환산공식!Q$16:Q$200,MATCH($A42,환산공식!$A$16:$A$200,0)),"")</f>
        <v>1</v>
      </c>
      <c r="Z42" s="7">
        <f>IFERROR(INDEX(환산공식!R$16:R$200,MATCH($A42,환산공식!$A$16:$A$200,0)),"")</f>
        <v>1.2</v>
      </c>
      <c r="AA42" s="7">
        <f>IFERROR(INDEX(환산공식!U$16:U$200,MATCH($A42,환산공식!$A$16:$A$200,0)),"")</f>
        <v>0.8</v>
      </c>
      <c r="AB42" s="7">
        <f t="shared" si="7"/>
        <v>0.33333333333333331</v>
      </c>
      <c r="AC42" s="7">
        <f t="shared" si="8"/>
        <v>0.39999999999999997</v>
      </c>
      <c r="AD42" s="7">
        <f t="shared" si="9"/>
        <v>0.26666666666666666</v>
      </c>
      <c r="AE42" s="7">
        <f>INDEX(환산공식!$AF$16:$AF$301,MATCH('배치점수 계산기'!W42,환산공식!$A$16:$A$301,0))</f>
        <v>1</v>
      </c>
      <c r="AF42" s="7">
        <f>INDEX(환산공식!$AP$16:$AP$301,MATCH('배치점수 계산기'!W42,환산공식!$A$16:$A$301,0))</f>
        <v>1</v>
      </c>
      <c r="AG42" s="7" t="str">
        <f t="shared" si="10"/>
        <v>표점</v>
      </c>
      <c r="AH42" s="7" t="str">
        <f t="shared" si="11"/>
        <v>표점</v>
      </c>
      <c r="BO42" s="210"/>
      <c r="BP42" s="210"/>
      <c r="BQ42" s="210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EM42" s="120"/>
      <c r="ET42" s="210"/>
      <c r="EU42" s="210"/>
      <c r="EV42" s="210"/>
      <c r="EW42" s="210"/>
      <c r="EX42" s="210"/>
      <c r="EY42" s="210"/>
      <c r="EZ42" s="210"/>
      <c r="FA42" s="210"/>
      <c r="FB42" s="210"/>
      <c r="FC42" s="210"/>
      <c r="FD42" s="210"/>
      <c r="FE42" s="210"/>
      <c r="FF42" s="210"/>
      <c r="FG42" s="210"/>
      <c r="FH42" s="210"/>
      <c r="HR42" s="120"/>
      <c r="HY42" s="210"/>
      <c r="HZ42" s="210"/>
      <c r="IA42" s="210"/>
      <c r="IB42" s="210"/>
      <c r="IC42" s="210"/>
      <c r="ID42" s="210"/>
      <c r="IE42" s="210"/>
      <c r="IF42" s="210"/>
      <c r="IG42" s="210"/>
      <c r="IH42" s="210"/>
      <c r="II42" s="210"/>
      <c r="IJ42" s="210"/>
      <c r="IK42" s="210"/>
      <c r="IL42" s="210"/>
      <c r="IM42" s="210"/>
      <c r="KW42" s="120"/>
      <c r="LD42" s="210"/>
      <c r="LE42" s="210"/>
      <c r="LF42" s="210"/>
      <c r="LG42" s="210"/>
      <c r="LH42" s="210"/>
      <c r="LI42" s="210"/>
      <c r="LJ42" s="210"/>
      <c r="LK42" s="210"/>
      <c r="LL42" s="210"/>
      <c r="LM42" s="210"/>
      <c r="LN42" s="210"/>
      <c r="LO42" s="210"/>
      <c r="LP42" s="210"/>
      <c r="LQ42" s="210"/>
      <c r="LR42" s="210"/>
      <c r="OB42" s="120"/>
      <c r="OI42" s="210"/>
      <c r="OJ42" s="210"/>
      <c r="OK42" s="210"/>
      <c r="OL42" s="210"/>
      <c r="OM42" s="210"/>
      <c r="ON42" s="210"/>
      <c r="OO42" s="210"/>
      <c r="OP42" s="210"/>
      <c r="OQ42" s="210"/>
      <c r="OR42" s="210"/>
      <c r="OS42" s="210"/>
      <c r="OT42" s="210"/>
      <c r="OU42" s="210"/>
      <c r="OV42" s="210"/>
      <c r="OW42" s="210"/>
      <c r="RG42" s="120"/>
    </row>
    <row r="43" spans="1:475" x14ac:dyDescent="0.3">
      <c r="A43" s="7">
        <v>18</v>
      </c>
      <c r="B43" s="7">
        <v>33</v>
      </c>
      <c r="C43" s="7" t="s">
        <v>346</v>
      </c>
      <c r="D43" s="7" t="s">
        <v>681</v>
      </c>
      <c r="E43" s="7" t="s">
        <v>434</v>
      </c>
      <c r="F43" s="7" t="s">
        <v>275</v>
      </c>
      <c r="G43" s="41" t="str">
        <f t="shared" si="3"/>
        <v>X</v>
      </c>
      <c r="H43" s="41">
        <f>INDEX(환산공식!CI$16:CI$301,MATCH('배치점수 계산기'!$W43,환산공식!$A$16:$A$301,0))</f>
        <v>0</v>
      </c>
      <c r="I43" s="41" t="e">
        <f>CONCATENATE(ROUND(INDEX(환산공식!CJ$16:CJ$301,MATCH('배치점수 계산기'!$W43,환산공식!$A$16:$A$301,0)),1),"%")</f>
        <v>#DIV/0!</v>
      </c>
      <c r="J43" s="41">
        <f>INDEX(환산공식!CK$16:CK$301,MATCH('배치점수 계산기'!$W43,환산공식!$A$16:$A$301,0))</f>
        <v>0</v>
      </c>
      <c r="K43" s="7">
        <f>INDEX(환산공식!$EF$16:$EF$301,MATCH('배치점수 계산기'!W43,환산공식!$A$16:$A$301,0))</f>
        <v>0</v>
      </c>
      <c r="L43" s="41" t="str">
        <f t="shared" si="0"/>
        <v>1% 이하</v>
      </c>
      <c r="M43" s="7">
        <v>411.46052785923757</v>
      </c>
      <c r="N43" s="7">
        <v>408.73947381362188</v>
      </c>
      <c r="O43" s="7">
        <v>406.74052904820769</v>
      </c>
      <c r="P43" s="7">
        <v>404.58</v>
      </c>
      <c r="Q43" s="7">
        <v>403.00000000000006</v>
      </c>
      <c r="R43" s="7">
        <f t="shared" si="1"/>
        <v>6</v>
      </c>
      <c r="T43" s="7">
        <f>COUNTIF($C$11:C43,C43)</f>
        <v>33</v>
      </c>
      <c r="U43" s="7" t="str">
        <f t="shared" si="4"/>
        <v>나33</v>
      </c>
      <c r="V43" s="7" t="str">
        <f>INDEX(환산공식!$C$16:$C$301,MATCH('배치점수 계산기'!W43,환산공식!$A$16:$A$301,0))</f>
        <v>서울대 자전</v>
      </c>
      <c r="W43" s="7">
        <f t="shared" si="5"/>
        <v>18</v>
      </c>
      <c r="X43" s="7">
        <f t="shared" si="6"/>
        <v>1</v>
      </c>
      <c r="Y43" s="7">
        <f>IFERROR(INDEX(환산공식!Q$16:Q$200,MATCH($A43,환산공식!$A$16:$A$200,0)),"")</f>
        <v>1</v>
      </c>
      <c r="Z43" s="7">
        <f>IFERROR(INDEX(환산공식!R$16:R$200,MATCH($A43,환산공식!$A$16:$A$200,0)),"")</f>
        <v>1.2</v>
      </c>
      <c r="AA43" s="7">
        <f>IFERROR(INDEX(환산공식!U$16:U$200,MATCH($A43,환산공식!$A$16:$A$200,0)),"")</f>
        <v>0.8</v>
      </c>
      <c r="AB43" s="7">
        <f t="shared" si="7"/>
        <v>0.33333333333333331</v>
      </c>
      <c r="AC43" s="7">
        <f t="shared" si="8"/>
        <v>0.39999999999999997</v>
      </c>
      <c r="AD43" s="7">
        <f t="shared" si="9"/>
        <v>0.26666666666666666</v>
      </c>
      <c r="AE43" s="7">
        <f>INDEX(환산공식!$AF$16:$AF$301,MATCH('배치점수 계산기'!W43,환산공식!$A$16:$A$301,0))</f>
        <v>1</v>
      </c>
      <c r="AF43" s="7">
        <f>INDEX(환산공식!$AP$16:$AP$301,MATCH('배치점수 계산기'!W43,환산공식!$A$16:$A$301,0))</f>
        <v>1</v>
      </c>
      <c r="AG43" s="7" t="str">
        <f t="shared" si="10"/>
        <v>표점</v>
      </c>
      <c r="AH43" s="7" t="str">
        <f t="shared" si="11"/>
        <v>표점</v>
      </c>
      <c r="BO43" s="210"/>
      <c r="BP43" s="210"/>
      <c r="BQ43" s="210"/>
      <c r="BR43" s="210"/>
      <c r="BS43" s="210"/>
      <c r="BT43" s="210"/>
      <c r="BU43" s="210"/>
      <c r="BV43" s="210"/>
      <c r="BW43" s="210"/>
      <c r="BX43" s="210"/>
      <c r="BY43" s="210"/>
      <c r="BZ43" s="210"/>
      <c r="CA43" s="210"/>
      <c r="CB43" s="210"/>
      <c r="CC43" s="210"/>
      <c r="EM43" s="120"/>
      <c r="ET43" s="210"/>
      <c r="EU43" s="210"/>
      <c r="EV43" s="210"/>
      <c r="EW43" s="210"/>
      <c r="EX43" s="210"/>
      <c r="EY43" s="210"/>
      <c r="EZ43" s="210"/>
      <c r="FA43" s="210"/>
      <c r="FB43" s="210"/>
      <c r="FC43" s="210"/>
      <c r="FD43" s="210"/>
      <c r="FE43" s="210"/>
      <c r="FF43" s="210"/>
      <c r="FG43" s="210"/>
      <c r="FH43" s="210"/>
      <c r="HR43" s="120"/>
      <c r="HY43" s="210"/>
      <c r="HZ43" s="210"/>
      <c r="IA43" s="210"/>
      <c r="IB43" s="210"/>
      <c r="IC43" s="210"/>
      <c r="ID43" s="210"/>
      <c r="IE43" s="210"/>
      <c r="IF43" s="210"/>
      <c r="IG43" s="210"/>
      <c r="IH43" s="210"/>
      <c r="II43" s="210"/>
      <c r="IJ43" s="210"/>
      <c r="IK43" s="210"/>
      <c r="IL43" s="210"/>
      <c r="IM43" s="210"/>
      <c r="KW43" s="120"/>
      <c r="LD43" s="210"/>
      <c r="LE43" s="210"/>
      <c r="LF43" s="210"/>
      <c r="LG43" s="210"/>
      <c r="LH43" s="210"/>
      <c r="LI43" s="210"/>
      <c r="LJ43" s="210"/>
      <c r="LK43" s="210"/>
      <c r="LL43" s="210"/>
      <c r="LM43" s="210"/>
      <c r="LN43" s="210"/>
      <c r="LO43" s="210"/>
      <c r="LP43" s="210"/>
      <c r="LQ43" s="210"/>
      <c r="LR43" s="210"/>
      <c r="OB43" s="120"/>
      <c r="OI43" s="210"/>
      <c r="OJ43" s="210"/>
      <c r="OK43" s="210"/>
      <c r="OL43" s="210"/>
      <c r="OM43" s="210"/>
      <c r="ON43" s="210"/>
      <c r="OO43" s="210"/>
      <c r="OP43" s="210"/>
      <c r="OQ43" s="210"/>
      <c r="OR43" s="210"/>
      <c r="OS43" s="210"/>
      <c r="OT43" s="210"/>
      <c r="OU43" s="210"/>
      <c r="OV43" s="210"/>
      <c r="OW43" s="210"/>
      <c r="RG43" s="120"/>
    </row>
    <row r="44" spans="1:475" x14ac:dyDescent="0.3">
      <c r="A44" s="7">
        <v>17</v>
      </c>
      <c r="B44" s="7">
        <v>34</v>
      </c>
      <c r="C44" s="7" t="s">
        <v>346</v>
      </c>
      <c r="D44" s="7" t="s">
        <v>681</v>
      </c>
      <c r="E44" s="7" t="s">
        <v>261</v>
      </c>
      <c r="F44" s="7" t="s">
        <v>275</v>
      </c>
      <c r="G44" s="41" t="str">
        <f t="shared" si="3"/>
        <v>X</v>
      </c>
      <c r="H44" s="41">
        <f>INDEX(환산공식!CI$16:CI$301,MATCH('배치점수 계산기'!$W44,환산공식!$A$16:$A$301,0))</f>
        <v>0</v>
      </c>
      <c r="I44" s="41" t="e">
        <f>CONCATENATE(ROUND(INDEX(환산공식!CJ$16:CJ$301,MATCH('배치점수 계산기'!$W44,환산공식!$A$16:$A$301,0)),1),"%")</f>
        <v>#DIV/0!</v>
      </c>
      <c r="J44" s="41">
        <f>INDEX(환산공식!CK$16:CK$301,MATCH('배치점수 계산기'!$W44,환산공식!$A$16:$A$301,0))</f>
        <v>0</v>
      </c>
      <c r="K44" s="7">
        <f>INDEX(환산공식!$EF$16:$EF$301,MATCH('배치점수 계산기'!W44,환산공식!$A$16:$A$301,0))</f>
        <v>0</v>
      </c>
      <c r="L44" s="41" t="str">
        <f t="shared" si="0"/>
        <v>1% 이하</v>
      </c>
      <c r="M44" s="7">
        <v>404.96000000000004</v>
      </c>
      <c r="N44" s="7">
        <v>403.18041853512705</v>
      </c>
      <c r="O44" s="7">
        <v>401.91999999999996</v>
      </c>
      <c r="P44" s="7">
        <v>399.08000000000004</v>
      </c>
      <c r="Q44" s="7">
        <v>396.3599999999999</v>
      </c>
      <c r="R44" s="7">
        <f t="shared" si="1"/>
        <v>6</v>
      </c>
      <c r="T44" s="7">
        <f>COUNTIF($C$11:C44,C44)</f>
        <v>34</v>
      </c>
      <c r="U44" s="7" t="str">
        <f t="shared" si="4"/>
        <v>나34</v>
      </c>
      <c r="V44" s="7" t="str">
        <f>INDEX(환산공식!$C$16:$C$301,MATCH('배치점수 계산기'!W44,환산공식!$A$16:$A$301,0))</f>
        <v>서울대 통합</v>
      </c>
      <c r="W44" s="7">
        <f t="shared" si="5"/>
        <v>17</v>
      </c>
      <c r="X44" s="7">
        <f t="shared" si="6"/>
        <v>1</v>
      </c>
      <c r="Y44" s="7">
        <f>IFERROR(INDEX(환산공식!Q$16:Q$200,MATCH($A44,환산공식!$A$16:$A$200,0)),"")</f>
        <v>1</v>
      </c>
      <c r="Z44" s="7">
        <f>IFERROR(INDEX(환산공식!R$16:R$200,MATCH($A44,환산공식!$A$16:$A$200,0)),"")</f>
        <v>1.2</v>
      </c>
      <c r="AA44" s="7">
        <f>IFERROR(INDEX(환산공식!U$16:U$200,MATCH($A44,환산공식!$A$16:$A$200,0)),"")</f>
        <v>0.8</v>
      </c>
      <c r="AB44" s="7">
        <f t="shared" si="7"/>
        <v>0.33333333333333331</v>
      </c>
      <c r="AC44" s="7">
        <f t="shared" si="8"/>
        <v>0.39999999999999997</v>
      </c>
      <c r="AD44" s="7">
        <f t="shared" si="9"/>
        <v>0.26666666666666666</v>
      </c>
      <c r="AE44" s="7">
        <f>INDEX(환산공식!$AF$16:$AF$301,MATCH('배치점수 계산기'!W44,환산공식!$A$16:$A$301,0))</f>
        <v>1</v>
      </c>
      <c r="AF44" s="7">
        <f>INDEX(환산공식!$AP$16:$AP$301,MATCH('배치점수 계산기'!W44,환산공식!$A$16:$A$301,0))</f>
        <v>1</v>
      </c>
      <c r="AG44" s="7" t="str">
        <f t="shared" si="10"/>
        <v>표점</v>
      </c>
      <c r="AH44" s="7" t="str">
        <f t="shared" si="11"/>
        <v>표점</v>
      </c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EM44" s="120"/>
      <c r="ET44" s="210"/>
      <c r="EU44" s="210"/>
      <c r="EV44" s="210"/>
      <c r="EW44" s="210"/>
      <c r="EX44" s="210"/>
      <c r="EY44" s="210"/>
      <c r="EZ44" s="210"/>
      <c r="FA44" s="210"/>
      <c r="FB44" s="210"/>
      <c r="FC44" s="210"/>
      <c r="FD44" s="210"/>
      <c r="FE44" s="210"/>
      <c r="FF44" s="210"/>
      <c r="FG44" s="210"/>
      <c r="FH44" s="210"/>
      <c r="HR44" s="120"/>
      <c r="HY44" s="210"/>
      <c r="HZ44" s="210"/>
      <c r="IA44" s="210"/>
      <c r="IB44" s="210"/>
      <c r="IC44" s="210"/>
      <c r="ID44" s="210"/>
      <c r="IE44" s="210"/>
      <c r="IF44" s="210"/>
      <c r="IG44" s="210"/>
      <c r="IH44" s="210"/>
      <c r="II44" s="210"/>
      <c r="IJ44" s="210"/>
      <c r="IK44" s="210"/>
      <c r="IL44" s="210"/>
      <c r="IM44" s="210"/>
      <c r="KW44" s="120"/>
      <c r="LD44" s="210"/>
      <c r="LE44" s="210"/>
      <c r="LF44" s="210"/>
      <c r="LG44" s="210"/>
      <c r="LH44" s="210"/>
      <c r="LI44" s="210"/>
      <c r="LJ44" s="210"/>
      <c r="LK44" s="210"/>
      <c r="LL44" s="210"/>
      <c r="LM44" s="210"/>
      <c r="LN44" s="210"/>
      <c r="LO44" s="210"/>
      <c r="LP44" s="210"/>
      <c r="LQ44" s="210"/>
      <c r="LR44" s="210"/>
      <c r="OB44" s="120"/>
      <c r="OI44" s="210"/>
      <c r="OJ44" s="210"/>
      <c r="OK44" s="210"/>
      <c r="OL44" s="210"/>
      <c r="OM44" s="210"/>
      <c r="ON44" s="210"/>
      <c r="OO44" s="210"/>
      <c r="OP44" s="210"/>
      <c r="OQ44" s="210"/>
      <c r="OR44" s="210"/>
      <c r="OS44" s="210"/>
      <c r="OT44" s="210"/>
      <c r="OU44" s="210"/>
      <c r="OV44" s="210"/>
      <c r="OW44" s="210"/>
      <c r="RG44" s="120"/>
    </row>
    <row r="45" spans="1:475" x14ac:dyDescent="0.3">
      <c r="A45" s="7">
        <v>17</v>
      </c>
      <c r="B45" s="7">
        <v>35</v>
      </c>
      <c r="C45" s="7" t="s">
        <v>346</v>
      </c>
      <c r="D45" s="7" t="s">
        <v>681</v>
      </c>
      <c r="E45" s="7" t="s">
        <v>262</v>
      </c>
      <c r="F45" s="7" t="s">
        <v>275</v>
      </c>
      <c r="G45" s="41" t="str">
        <f t="shared" si="3"/>
        <v>X</v>
      </c>
      <c r="H45" s="41">
        <f>INDEX(환산공식!CI$16:CI$301,MATCH('배치점수 계산기'!$W45,환산공식!$A$16:$A$301,0))</f>
        <v>0</v>
      </c>
      <c r="I45" s="41" t="e">
        <f>CONCATENATE(ROUND(INDEX(환산공식!CJ$16:CJ$301,MATCH('배치점수 계산기'!$W45,환산공식!$A$16:$A$301,0)),1),"%")</f>
        <v>#DIV/0!</v>
      </c>
      <c r="J45" s="41">
        <f>INDEX(환산공식!CK$16:CK$301,MATCH('배치점수 계산기'!$W45,환산공식!$A$16:$A$301,0))</f>
        <v>0</v>
      </c>
      <c r="K45" s="7">
        <f>INDEX(환산공식!$EF$16:$EF$301,MATCH('배치점수 계산기'!W45,환산공식!$A$16:$A$301,0))</f>
        <v>0</v>
      </c>
      <c r="L45" s="41" t="str">
        <f t="shared" si="0"/>
        <v>1% 이하</v>
      </c>
      <c r="M45" s="7">
        <v>406.77946132937984</v>
      </c>
      <c r="N45" s="7">
        <v>403.18041853512705</v>
      </c>
      <c r="O45" s="7">
        <v>402.61959611069562</v>
      </c>
      <c r="P45" s="7">
        <v>399.08000000000004</v>
      </c>
      <c r="Q45" s="7">
        <v>396.3599999999999</v>
      </c>
      <c r="R45" s="7">
        <f t="shared" si="1"/>
        <v>6</v>
      </c>
      <c r="T45" s="7">
        <f>COUNTIF($C$11:C45,C45)</f>
        <v>35</v>
      </c>
      <c r="U45" s="7" t="str">
        <f t="shared" si="4"/>
        <v>나35</v>
      </c>
      <c r="V45" s="7" t="str">
        <f>INDEX(환산공식!$C$16:$C$301,MATCH('배치점수 계산기'!W45,환산공식!$A$16:$A$301,0))</f>
        <v>서울대 통합</v>
      </c>
      <c r="W45" s="7">
        <f t="shared" si="5"/>
        <v>17</v>
      </c>
      <c r="X45" s="7">
        <f t="shared" si="6"/>
        <v>1</v>
      </c>
      <c r="Y45" s="7">
        <f>IFERROR(INDEX(환산공식!Q$16:Q$200,MATCH($A45,환산공식!$A$16:$A$200,0)),"")</f>
        <v>1</v>
      </c>
      <c r="Z45" s="7">
        <f>IFERROR(INDEX(환산공식!R$16:R$200,MATCH($A45,환산공식!$A$16:$A$200,0)),"")</f>
        <v>1.2</v>
      </c>
      <c r="AA45" s="7">
        <f>IFERROR(INDEX(환산공식!U$16:U$200,MATCH($A45,환산공식!$A$16:$A$200,0)),"")</f>
        <v>0.8</v>
      </c>
      <c r="AB45" s="7">
        <f t="shared" si="7"/>
        <v>0.33333333333333331</v>
      </c>
      <c r="AC45" s="7">
        <f t="shared" si="8"/>
        <v>0.39999999999999997</v>
      </c>
      <c r="AD45" s="7">
        <f t="shared" si="9"/>
        <v>0.26666666666666666</v>
      </c>
      <c r="AE45" s="7">
        <f>INDEX(환산공식!$AF$16:$AF$301,MATCH('배치점수 계산기'!W45,환산공식!$A$16:$A$301,0))</f>
        <v>1</v>
      </c>
      <c r="AF45" s="7">
        <f>INDEX(환산공식!$AP$16:$AP$301,MATCH('배치점수 계산기'!W45,환산공식!$A$16:$A$301,0))</f>
        <v>1</v>
      </c>
      <c r="AG45" s="7" t="str">
        <f t="shared" si="10"/>
        <v>표점</v>
      </c>
      <c r="AH45" s="7" t="str">
        <f t="shared" si="11"/>
        <v>표점</v>
      </c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  <c r="CA45" s="210"/>
      <c r="CB45" s="210"/>
      <c r="CC45" s="210"/>
      <c r="EM45" s="12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210"/>
      <c r="FG45" s="210"/>
      <c r="FH45" s="210"/>
      <c r="HR45" s="120"/>
      <c r="HY45" s="210"/>
      <c r="HZ45" s="210"/>
      <c r="IA45" s="210"/>
      <c r="IB45" s="210"/>
      <c r="IC45" s="210"/>
      <c r="ID45" s="210"/>
      <c r="IE45" s="210"/>
      <c r="IF45" s="210"/>
      <c r="IG45" s="210"/>
      <c r="IH45" s="210"/>
      <c r="II45" s="210"/>
      <c r="IJ45" s="210"/>
      <c r="IK45" s="210"/>
      <c r="IL45" s="210"/>
      <c r="IM45" s="210"/>
      <c r="KW45" s="120"/>
      <c r="LD45" s="210"/>
      <c r="LE45" s="210"/>
      <c r="LF45" s="210"/>
      <c r="LG45" s="210"/>
      <c r="LH45" s="210"/>
      <c r="LI45" s="210"/>
      <c r="LJ45" s="210"/>
      <c r="LK45" s="210"/>
      <c r="LL45" s="210"/>
      <c r="LM45" s="210"/>
      <c r="LN45" s="210"/>
      <c r="LO45" s="210"/>
      <c r="LP45" s="210"/>
      <c r="LQ45" s="210"/>
      <c r="LR45" s="210"/>
      <c r="OB45" s="120"/>
      <c r="OI45" s="210"/>
      <c r="OJ45" s="210"/>
      <c r="OK45" s="210"/>
      <c r="OL45" s="210"/>
      <c r="OM45" s="210"/>
      <c r="ON45" s="210"/>
      <c r="OO45" s="210"/>
      <c r="OP45" s="210"/>
      <c r="OQ45" s="210"/>
      <c r="OR45" s="210"/>
      <c r="OS45" s="210"/>
      <c r="OT45" s="210"/>
      <c r="OU45" s="210"/>
      <c r="OV45" s="210"/>
      <c r="OW45" s="210"/>
      <c r="RG45" s="120"/>
    </row>
    <row r="46" spans="1:475" x14ac:dyDescent="0.3">
      <c r="A46" s="7">
        <v>17</v>
      </c>
      <c r="B46" s="7">
        <v>36</v>
      </c>
      <c r="C46" s="7" t="s">
        <v>346</v>
      </c>
      <c r="D46" s="7" t="s">
        <v>681</v>
      </c>
      <c r="E46" s="7" t="s">
        <v>740</v>
      </c>
      <c r="F46" s="7" t="s">
        <v>275</v>
      </c>
      <c r="G46" s="41" t="str">
        <f t="shared" si="3"/>
        <v>X</v>
      </c>
      <c r="H46" s="41">
        <f>INDEX(환산공식!CI$16:CI$301,MATCH('배치점수 계산기'!$W46,환산공식!$A$16:$A$301,0))</f>
        <v>0</v>
      </c>
      <c r="I46" s="41" t="e">
        <f>CONCATENATE(ROUND(INDEX(환산공식!CJ$16:CJ$301,MATCH('배치점수 계산기'!$W46,환산공식!$A$16:$A$301,0)),1),"%")</f>
        <v>#DIV/0!</v>
      </c>
      <c r="J46" s="41">
        <f>INDEX(환산공식!CK$16:CK$301,MATCH('배치점수 계산기'!$W46,환산공식!$A$16:$A$301,0))</f>
        <v>0</v>
      </c>
      <c r="K46" s="7">
        <f>INDEX(환산공식!$EF$16:$EF$301,MATCH('배치점수 계산기'!W46,환산공식!$A$16:$A$301,0))</f>
        <v>0</v>
      </c>
      <c r="L46" s="41" t="str">
        <f t="shared" si="0"/>
        <v>1% 이하</v>
      </c>
      <c r="M46" s="7">
        <v>402.73959122632107</v>
      </c>
      <c r="N46" s="7">
        <v>401.91999999999996</v>
      </c>
      <c r="O46" s="7">
        <v>400.29967426710095</v>
      </c>
      <c r="P46" s="7">
        <v>398.41971816809269</v>
      </c>
      <c r="Q46" s="7">
        <v>396.3599999999999</v>
      </c>
      <c r="R46" s="7">
        <f t="shared" si="1"/>
        <v>6</v>
      </c>
      <c r="T46" s="7">
        <f>COUNTIF($C$11:C46,C46)</f>
        <v>36</v>
      </c>
      <c r="U46" s="7" t="str">
        <f t="shared" si="4"/>
        <v>나36</v>
      </c>
      <c r="V46" s="7" t="str">
        <f>INDEX(환산공식!$C$16:$C$301,MATCH('배치점수 계산기'!W46,환산공식!$A$16:$A$301,0))</f>
        <v>서울대 통합</v>
      </c>
      <c r="W46" s="7">
        <f t="shared" si="5"/>
        <v>17</v>
      </c>
      <c r="X46" s="7">
        <f t="shared" si="6"/>
        <v>1</v>
      </c>
      <c r="Y46" s="7">
        <f>IFERROR(INDEX(환산공식!Q$16:Q$200,MATCH($A46,환산공식!$A$16:$A$200,0)),"")</f>
        <v>1</v>
      </c>
      <c r="Z46" s="7">
        <f>IFERROR(INDEX(환산공식!R$16:R$200,MATCH($A46,환산공식!$A$16:$A$200,0)),"")</f>
        <v>1.2</v>
      </c>
      <c r="AA46" s="7">
        <f>IFERROR(INDEX(환산공식!U$16:U$200,MATCH($A46,환산공식!$A$16:$A$200,0)),"")</f>
        <v>0.8</v>
      </c>
      <c r="AB46" s="7">
        <f t="shared" si="7"/>
        <v>0.33333333333333331</v>
      </c>
      <c r="AC46" s="7">
        <f t="shared" si="8"/>
        <v>0.39999999999999997</v>
      </c>
      <c r="AD46" s="7">
        <f t="shared" si="9"/>
        <v>0.26666666666666666</v>
      </c>
      <c r="AE46" s="7">
        <f>INDEX(환산공식!$AF$16:$AF$301,MATCH('배치점수 계산기'!W46,환산공식!$A$16:$A$301,0))</f>
        <v>1</v>
      </c>
      <c r="AF46" s="7">
        <f>INDEX(환산공식!$AP$16:$AP$301,MATCH('배치점수 계산기'!W46,환산공식!$A$16:$A$301,0))</f>
        <v>1</v>
      </c>
      <c r="AG46" s="7" t="str">
        <f t="shared" si="10"/>
        <v>표점</v>
      </c>
      <c r="AH46" s="7" t="str">
        <f t="shared" si="11"/>
        <v>표점</v>
      </c>
      <c r="BO46" s="210"/>
      <c r="BP46" s="210"/>
      <c r="BQ46" s="210"/>
      <c r="BR46" s="210"/>
      <c r="BS46" s="210"/>
      <c r="BT46" s="210"/>
      <c r="BU46" s="210"/>
      <c r="BV46" s="210"/>
      <c r="BW46" s="210"/>
      <c r="BX46" s="210"/>
      <c r="BY46" s="210"/>
      <c r="BZ46" s="210"/>
      <c r="CA46" s="210"/>
      <c r="CB46" s="210"/>
      <c r="CC46" s="210"/>
      <c r="EM46" s="120"/>
      <c r="ET46" s="210"/>
      <c r="EU46" s="210"/>
      <c r="EV46" s="210"/>
      <c r="EW46" s="210"/>
      <c r="EX46" s="210"/>
      <c r="EY46" s="210"/>
      <c r="EZ46" s="210"/>
      <c r="FA46" s="210"/>
      <c r="FB46" s="210"/>
      <c r="FC46" s="210"/>
      <c r="FD46" s="210"/>
      <c r="FE46" s="210"/>
      <c r="FF46" s="210"/>
      <c r="FG46" s="210"/>
      <c r="FH46" s="210"/>
      <c r="HR46" s="120"/>
      <c r="HY46" s="210"/>
      <c r="HZ46" s="210"/>
      <c r="IA46" s="210"/>
      <c r="IB46" s="210"/>
      <c r="IC46" s="210"/>
      <c r="ID46" s="210"/>
      <c r="IE46" s="210"/>
      <c r="IF46" s="210"/>
      <c r="IG46" s="210"/>
      <c r="IH46" s="210"/>
      <c r="II46" s="210"/>
      <c r="IJ46" s="210"/>
      <c r="IK46" s="210"/>
      <c r="IL46" s="210"/>
      <c r="IM46" s="210"/>
      <c r="KW46" s="120"/>
      <c r="LD46" s="210"/>
      <c r="LE46" s="210"/>
      <c r="LF46" s="210"/>
      <c r="LG46" s="210"/>
      <c r="LH46" s="210"/>
      <c r="LI46" s="210"/>
      <c r="LJ46" s="210"/>
      <c r="LK46" s="210"/>
      <c r="LL46" s="210"/>
      <c r="LM46" s="210"/>
      <c r="LN46" s="210"/>
      <c r="LO46" s="210"/>
      <c r="LP46" s="210"/>
      <c r="LQ46" s="210"/>
      <c r="LR46" s="210"/>
      <c r="OB46" s="120"/>
      <c r="OI46" s="210"/>
      <c r="OJ46" s="210"/>
      <c r="OK46" s="210"/>
      <c r="OL46" s="210"/>
      <c r="OM46" s="210"/>
      <c r="ON46" s="210"/>
      <c r="OO46" s="210"/>
      <c r="OP46" s="210"/>
      <c r="OQ46" s="210"/>
      <c r="OR46" s="210"/>
      <c r="OS46" s="210"/>
      <c r="OT46" s="210"/>
      <c r="OU46" s="210"/>
      <c r="OV46" s="210"/>
      <c r="OW46" s="210"/>
      <c r="RG46" s="120"/>
    </row>
    <row r="47" spans="1:475" x14ac:dyDescent="0.3">
      <c r="A47" s="7">
        <v>17</v>
      </c>
      <c r="B47" s="7">
        <v>37</v>
      </c>
      <c r="C47" s="7" t="s">
        <v>346</v>
      </c>
      <c r="D47" s="7" t="s">
        <v>681</v>
      </c>
      <c r="E47" s="7" t="s">
        <v>263</v>
      </c>
      <c r="F47" s="7" t="s">
        <v>275</v>
      </c>
      <c r="G47" s="41" t="str">
        <f t="shared" si="3"/>
        <v>X</v>
      </c>
      <c r="H47" s="41">
        <f>INDEX(환산공식!CI$16:CI$301,MATCH('배치점수 계산기'!$W47,환산공식!$A$16:$A$301,0))</f>
        <v>0</v>
      </c>
      <c r="I47" s="41" t="e">
        <f>CONCATENATE(ROUND(INDEX(환산공식!CJ$16:CJ$301,MATCH('배치점수 계산기'!$W47,환산공식!$A$16:$A$301,0)),1),"%")</f>
        <v>#DIV/0!</v>
      </c>
      <c r="J47" s="41">
        <f>INDEX(환산공식!CK$16:CK$301,MATCH('배치점수 계산기'!$W47,환산공식!$A$16:$A$301,0))</f>
        <v>0</v>
      </c>
      <c r="K47" s="7">
        <f>INDEX(환산공식!$EF$16:$EF$301,MATCH('배치점수 계산기'!W47,환산공식!$A$16:$A$301,0))</f>
        <v>0</v>
      </c>
      <c r="L47" s="41" t="str">
        <f t="shared" si="0"/>
        <v>1% 이하</v>
      </c>
      <c r="M47" s="7">
        <v>402.73959122632107</v>
      </c>
      <c r="N47" s="7">
        <v>401.91999999999996</v>
      </c>
      <c r="O47" s="7">
        <v>400.29967426710095</v>
      </c>
      <c r="P47" s="7">
        <v>397.98</v>
      </c>
      <c r="Q47" s="7">
        <v>396.3599999999999</v>
      </c>
      <c r="R47" s="7">
        <f t="shared" si="1"/>
        <v>6</v>
      </c>
      <c r="T47" s="7">
        <f>COUNTIF($C$11:C47,C47)</f>
        <v>37</v>
      </c>
      <c r="U47" s="7" t="str">
        <f t="shared" si="4"/>
        <v>나37</v>
      </c>
      <c r="V47" s="7" t="str">
        <f>INDEX(환산공식!$C$16:$C$301,MATCH('배치점수 계산기'!W47,환산공식!$A$16:$A$301,0))</f>
        <v>서울대 통합</v>
      </c>
      <c r="W47" s="7">
        <f t="shared" si="5"/>
        <v>17</v>
      </c>
      <c r="X47" s="7">
        <f t="shared" si="6"/>
        <v>1</v>
      </c>
      <c r="Y47" s="7">
        <f>IFERROR(INDEX(환산공식!Q$16:Q$200,MATCH($A47,환산공식!$A$16:$A$200,0)),"")</f>
        <v>1</v>
      </c>
      <c r="Z47" s="7">
        <f>IFERROR(INDEX(환산공식!R$16:R$200,MATCH($A47,환산공식!$A$16:$A$200,0)),"")</f>
        <v>1.2</v>
      </c>
      <c r="AA47" s="7">
        <f>IFERROR(INDEX(환산공식!U$16:U$200,MATCH($A47,환산공식!$A$16:$A$200,0)),"")</f>
        <v>0.8</v>
      </c>
      <c r="AB47" s="7">
        <f t="shared" si="7"/>
        <v>0.33333333333333331</v>
      </c>
      <c r="AC47" s="7">
        <f t="shared" si="8"/>
        <v>0.39999999999999997</v>
      </c>
      <c r="AD47" s="7">
        <f t="shared" si="9"/>
        <v>0.26666666666666666</v>
      </c>
      <c r="AE47" s="7">
        <f>INDEX(환산공식!$AF$16:$AF$301,MATCH('배치점수 계산기'!W47,환산공식!$A$16:$A$301,0))</f>
        <v>1</v>
      </c>
      <c r="AF47" s="7">
        <f>INDEX(환산공식!$AP$16:$AP$301,MATCH('배치점수 계산기'!W47,환산공식!$A$16:$A$301,0))</f>
        <v>1</v>
      </c>
      <c r="AG47" s="7" t="str">
        <f t="shared" si="10"/>
        <v>표점</v>
      </c>
      <c r="AH47" s="7" t="str">
        <f t="shared" si="11"/>
        <v>표점</v>
      </c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  <c r="CA47" s="210"/>
      <c r="CB47" s="210"/>
      <c r="CC47" s="210"/>
      <c r="EM47" s="120"/>
      <c r="ET47" s="210"/>
      <c r="EU47" s="210"/>
      <c r="EV47" s="210"/>
      <c r="EW47" s="210"/>
      <c r="EX47" s="210"/>
      <c r="EY47" s="210"/>
      <c r="EZ47" s="210"/>
      <c r="FA47" s="210"/>
      <c r="FB47" s="210"/>
      <c r="FC47" s="210"/>
      <c r="FD47" s="210"/>
      <c r="FE47" s="210"/>
      <c r="FF47" s="210"/>
      <c r="FG47" s="210"/>
      <c r="FH47" s="210"/>
      <c r="HR47" s="120"/>
      <c r="HY47" s="210"/>
      <c r="HZ47" s="210"/>
      <c r="IA47" s="210"/>
      <c r="IB47" s="210"/>
      <c r="IC47" s="210"/>
      <c r="ID47" s="210"/>
      <c r="IE47" s="210"/>
      <c r="IF47" s="210"/>
      <c r="IG47" s="210"/>
      <c r="IH47" s="210"/>
      <c r="II47" s="210"/>
      <c r="IJ47" s="210"/>
      <c r="IK47" s="210"/>
      <c r="IL47" s="210"/>
      <c r="IM47" s="210"/>
      <c r="KW47" s="120"/>
      <c r="LD47" s="210"/>
      <c r="LE47" s="210"/>
      <c r="LF47" s="210"/>
      <c r="LG47" s="210"/>
      <c r="LH47" s="210"/>
      <c r="LI47" s="210"/>
      <c r="LJ47" s="210"/>
      <c r="LK47" s="210"/>
      <c r="LL47" s="210"/>
      <c r="LM47" s="210"/>
      <c r="LN47" s="210"/>
      <c r="LO47" s="210"/>
      <c r="LP47" s="210"/>
      <c r="LQ47" s="210"/>
      <c r="LR47" s="210"/>
      <c r="OB47" s="120"/>
      <c r="OI47" s="210"/>
      <c r="OJ47" s="210"/>
      <c r="OK47" s="210"/>
      <c r="OL47" s="210"/>
      <c r="OM47" s="210"/>
      <c r="ON47" s="210"/>
      <c r="OO47" s="210"/>
      <c r="OP47" s="210"/>
      <c r="OQ47" s="210"/>
      <c r="OR47" s="210"/>
      <c r="OS47" s="210"/>
      <c r="OT47" s="210"/>
      <c r="OU47" s="210"/>
      <c r="OV47" s="210"/>
      <c r="OW47" s="210"/>
      <c r="RG47" s="120"/>
    </row>
    <row r="48" spans="1:475" x14ac:dyDescent="0.3">
      <c r="A48" s="7">
        <v>17</v>
      </c>
      <c r="B48" s="7">
        <v>38</v>
      </c>
      <c r="C48" s="7" t="s">
        <v>346</v>
      </c>
      <c r="D48" s="7" t="s">
        <v>681</v>
      </c>
      <c r="E48" s="7" t="s">
        <v>343</v>
      </c>
      <c r="F48" s="7" t="s">
        <v>275</v>
      </c>
      <c r="G48" s="41" t="str">
        <f t="shared" si="3"/>
        <v>X</v>
      </c>
      <c r="H48" s="41">
        <f>INDEX(환산공식!CI$16:CI$301,MATCH('배치점수 계산기'!$W48,환산공식!$A$16:$A$301,0))</f>
        <v>0</v>
      </c>
      <c r="I48" s="41" t="e">
        <f>CONCATENATE(ROUND(INDEX(환산공식!CJ$16:CJ$301,MATCH('배치점수 계산기'!$W48,환산공식!$A$16:$A$301,0)),1),"%")</f>
        <v>#DIV/0!</v>
      </c>
      <c r="J48" s="41">
        <f>INDEX(환산공식!CK$16:CK$301,MATCH('배치점수 계산기'!$W48,환산공식!$A$16:$A$301,0))</f>
        <v>0</v>
      </c>
      <c r="K48" s="7">
        <f>INDEX(환산공식!$EF$16:$EF$301,MATCH('배치점수 계산기'!W48,환산공식!$A$16:$A$301,0))</f>
        <v>0</v>
      </c>
      <c r="L48" s="41" t="str">
        <f t="shared" si="0"/>
        <v>1% 이하</v>
      </c>
      <c r="M48" s="7">
        <v>401.91999999999996</v>
      </c>
      <c r="N48" s="7">
        <v>399.08000000000004</v>
      </c>
      <c r="O48" s="7">
        <v>397.98</v>
      </c>
      <c r="P48" s="7">
        <v>397.14</v>
      </c>
      <c r="Q48" s="7">
        <v>395.79999999999995</v>
      </c>
      <c r="R48" s="7">
        <f t="shared" si="1"/>
        <v>6</v>
      </c>
      <c r="T48" s="7">
        <f>COUNTIF($C$11:C48,C48)</f>
        <v>38</v>
      </c>
      <c r="U48" s="7" t="str">
        <f t="shared" si="4"/>
        <v>나38</v>
      </c>
      <c r="V48" s="7" t="str">
        <f>INDEX(환산공식!$C$16:$C$301,MATCH('배치점수 계산기'!W48,환산공식!$A$16:$A$301,0))</f>
        <v>서울대 통합</v>
      </c>
      <c r="W48" s="7">
        <f t="shared" si="5"/>
        <v>17</v>
      </c>
      <c r="X48" s="7">
        <f t="shared" si="6"/>
        <v>1</v>
      </c>
      <c r="Y48" s="7">
        <f>IFERROR(INDEX(환산공식!Q$16:Q$200,MATCH($A48,환산공식!$A$16:$A$200,0)),"")</f>
        <v>1</v>
      </c>
      <c r="Z48" s="7">
        <f>IFERROR(INDEX(환산공식!R$16:R$200,MATCH($A48,환산공식!$A$16:$A$200,0)),"")</f>
        <v>1.2</v>
      </c>
      <c r="AA48" s="7">
        <f>IFERROR(INDEX(환산공식!U$16:U$200,MATCH($A48,환산공식!$A$16:$A$200,0)),"")</f>
        <v>0.8</v>
      </c>
      <c r="AB48" s="7">
        <f t="shared" si="7"/>
        <v>0.33333333333333331</v>
      </c>
      <c r="AC48" s="7">
        <f t="shared" si="8"/>
        <v>0.39999999999999997</v>
      </c>
      <c r="AD48" s="7">
        <f t="shared" si="9"/>
        <v>0.26666666666666666</v>
      </c>
      <c r="AE48" s="7">
        <f>INDEX(환산공식!$AF$16:$AF$301,MATCH('배치점수 계산기'!W48,환산공식!$A$16:$A$301,0))</f>
        <v>1</v>
      </c>
      <c r="AF48" s="7">
        <f>INDEX(환산공식!$AP$16:$AP$301,MATCH('배치점수 계산기'!W48,환산공식!$A$16:$A$301,0))</f>
        <v>1</v>
      </c>
      <c r="AG48" s="7" t="str">
        <f t="shared" si="10"/>
        <v>표점</v>
      </c>
      <c r="AH48" s="7" t="str">
        <f t="shared" si="11"/>
        <v>표점</v>
      </c>
      <c r="BO48" s="210"/>
      <c r="BP48" s="210"/>
      <c r="BQ48" s="210"/>
      <c r="BR48" s="210"/>
      <c r="BS48" s="210"/>
      <c r="BT48" s="210"/>
      <c r="BU48" s="210"/>
      <c r="BV48" s="210"/>
      <c r="BW48" s="210"/>
      <c r="BX48" s="210"/>
      <c r="BY48" s="210"/>
      <c r="BZ48" s="210"/>
      <c r="CA48" s="210"/>
      <c r="CB48" s="210"/>
      <c r="CC48" s="210"/>
      <c r="EM48" s="120"/>
      <c r="ET48" s="210"/>
      <c r="EU48" s="210"/>
      <c r="EV48" s="210"/>
      <c r="EW48" s="210"/>
      <c r="EX48" s="210"/>
      <c r="EY48" s="210"/>
      <c r="EZ48" s="210"/>
      <c r="FA48" s="210"/>
      <c r="FB48" s="210"/>
      <c r="FC48" s="210"/>
      <c r="FD48" s="210"/>
      <c r="FE48" s="210"/>
      <c r="FF48" s="210"/>
      <c r="FG48" s="210"/>
      <c r="FH48" s="210"/>
      <c r="HR48" s="120"/>
      <c r="HY48" s="210"/>
      <c r="HZ48" s="210"/>
      <c r="IA48" s="210"/>
      <c r="IB48" s="210"/>
      <c r="IC48" s="210"/>
      <c r="ID48" s="210"/>
      <c r="IE48" s="210"/>
      <c r="IF48" s="210"/>
      <c r="IG48" s="210"/>
      <c r="IH48" s="210"/>
      <c r="II48" s="210"/>
      <c r="IJ48" s="210"/>
      <c r="IK48" s="210"/>
      <c r="IL48" s="210"/>
      <c r="IM48" s="210"/>
      <c r="KW48" s="120"/>
      <c r="LD48" s="210"/>
      <c r="LE48" s="210"/>
      <c r="LF48" s="210"/>
      <c r="LG48" s="210"/>
      <c r="LH48" s="210"/>
      <c r="LI48" s="210"/>
      <c r="LJ48" s="210"/>
      <c r="LK48" s="210"/>
      <c r="LL48" s="210"/>
      <c r="LM48" s="210"/>
      <c r="LN48" s="210"/>
      <c r="LO48" s="210"/>
      <c r="LP48" s="210"/>
      <c r="LQ48" s="210"/>
      <c r="LR48" s="210"/>
      <c r="OB48" s="120"/>
      <c r="OI48" s="210"/>
      <c r="OJ48" s="210"/>
      <c r="OK48" s="210"/>
      <c r="OL48" s="210"/>
      <c r="OM48" s="210"/>
      <c r="ON48" s="210"/>
      <c r="OO48" s="210"/>
      <c r="OP48" s="210"/>
      <c r="OQ48" s="210"/>
      <c r="OR48" s="210"/>
      <c r="OS48" s="210"/>
      <c r="OT48" s="210"/>
      <c r="OU48" s="210"/>
      <c r="OV48" s="210"/>
      <c r="OW48" s="210"/>
      <c r="RG48" s="120"/>
    </row>
    <row r="49" spans="1:475" x14ac:dyDescent="0.3">
      <c r="A49" s="7">
        <v>17</v>
      </c>
      <c r="B49" s="7">
        <v>39</v>
      </c>
      <c r="C49" s="7" t="s">
        <v>346</v>
      </c>
      <c r="D49" s="7" t="s">
        <v>681</v>
      </c>
      <c r="E49" s="7" t="s">
        <v>264</v>
      </c>
      <c r="F49" s="7" t="s">
        <v>275</v>
      </c>
      <c r="G49" s="41" t="str">
        <f t="shared" si="3"/>
        <v>X</v>
      </c>
      <c r="H49" s="41">
        <f>INDEX(환산공식!CI$16:CI$301,MATCH('배치점수 계산기'!$W49,환산공식!$A$16:$A$301,0))</f>
        <v>0</v>
      </c>
      <c r="I49" s="41" t="e">
        <f>CONCATENATE(ROUND(INDEX(환산공식!CJ$16:CJ$301,MATCH('배치점수 계산기'!$W49,환산공식!$A$16:$A$301,0)),1),"%")</f>
        <v>#DIV/0!</v>
      </c>
      <c r="J49" s="41">
        <f>INDEX(환산공식!CK$16:CK$301,MATCH('배치점수 계산기'!$W49,환산공식!$A$16:$A$301,0))</f>
        <v>0</v>
      </c>
      <c r="K49" s="7">
        <f>INDEX(환산공식!$EF$16:$EF$301,MATCH('배치점수 계산기'!W49,환산공식!$A$16:$A$301,0))</f>
        <v>0</v>
      </c>
      <c r="L49" s="41" t="str">
        <f t="shared" si="0"/>
        <v>1% 이하</v>
      </c>
      <c r="M49" s="7">
        <v>401.91999999999996</v>
      </c>
      <c r="N49" s="7">
        <v>399.08000000000004</v>
      </c>
      <c r="O49" s="7">
        <v>398.29972313113512</v>
      </c>
      <c r="P49" s="7">
        <v>397.14</v>
      </c>
      <c r="Q49" s="7">
        <v>395.79999999999995</v>
      </c>
      <c r="R49" s="7">
        <f t="shared" si="1"/>
        <v>6</v>
      </c>
      <c r="T49" s="7">
        <f>COUNTIF($C$11:C49,C49)</f>
        <v>39</v>
      </c>
      <c r="U49" s="7" t="str">
        <f t="shared" si="4"/>
        <v>나39</v>
      </c>
      <c r="V49" s="7" t="str">
        <f>INDEX(환산공식!$C$16:$C$301,MATCH('배치점수 계산기'!W49,환산공식!$A$16:$A$301,0))</f>
        <v>서울대 통합</v>
      </c>
      <c r="W49" s="7">
        <f t="shared" si="5"/>
        <v>17</v>
      </c>
      <c r="X49" s="7">
        <f t="shared" si="6"/>
        <v>1</v>
      </c>
      <c r="Y49" s="7">
        <f>IFERROR(INDEX(환산공식!Q$16:Q$200,MATCH($A49,환산공식!$A$16:$A$200,0)),"")</f>
        <v>1</v>
      </c>
      <c r="Z49" s="7">
        <f>IFERROR(INDEX(환산공식!R$16:R$200,MATCH($A49,환산공식!$A$16:$A$200,0)),"")</f>
        <v>1.2</v>
      </c>
      <c r="AA49" s="7">
        <f>IFERROR(INDEX(환산공식!U$16:U$200,MATCH($A49,환산공식!$A$16:$A$200,0)),"")</f>
        <v>0.8</v>
      </c>
      <c r="AB49" s="7">
        <f t="shared" si="7"/>
        <v>0.33333333333333331</v>
      </c>
      <c r="AC49" s="7">
        <f t="shared" si="8"/>
        <v>0.39999999999999997</v>
      </c>
      <c r="AD49" s="7">
        <f t="shared" si="9"/>
        <v>0.26666666666666666</v>
      </c>
      <c r="AE49" s="7">
        <f>INDEX(환산공식!$AF$16:$AF$301,MATCH('배치점수 계산기'!W49,환산공식!$A$16:$A$301,0))</f>
        <v>1</v>
      </c>
      <c r="AF49" s="7">
        <f>INDEX(환산공식!$AP$16:$AP$301,MATCH('배치점수 계산기'!W49,환산공식!$A$16:$A$301,0))</f>
        <v>1</v>
      </c>
      <c r="AG49" s="7" t="str">
        <f t="shared" si="10"/>
        <v>표점</v>
      </c>
      <c r="AH49" s="7" t="str">
        <f t="shared" si="11"/>
        <v>표점</v>
      </c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210"/>
      <c r="EM49" s="120"/>
      <c r="ET49" s="210"/>
      <c r="EU49" s="210"/>
      <c r="EV49" s="210"/>
      <c r="EW49" s="210"/>
      <c r="EX49" s="210"/>
      <c r="EY49" s="210"/>
      <c r="EZ49" s="210"/>
      <c r="FA49" s="210"/>
      <c r="FB49" s="210"/>
      <c r="FC49" s="210"/>
      <c r="FD49" s="210"/>
      <c r="FE49" s="210"/>
      <c r="FF49" s="210"/>
      <c r="FG49" s="210"/>
      <c r="FH49" s="210"/>
      <c r="HR49" s="120"/>
      <c r="HY49" s="210"/>
      <c r="HZ49" s="210"/>
      <c r="IA49" s="210"/>
      <c r="IB49" s="210"/>
      <c r="IC49" s="210"/>
      <c r="ID49" s="210"/>
      <c r="IE49" s="210"/>
      <c r="IF49" s="210"/>
      <c r="IG49" s="210"/>
      <c r="IH49" s="210"/>
      <c r="II49" s="210"/>
      <c r="IJ49" s="210"/>
      <c r="IK49" s="210"/>
      <c r="IL49" s="210"/>
      <c r="IM49" s="210"/>
      <c r="KW49" s="120"/>
      <c r="LD49" s="210"/>
      <c r="LE49" s="210"/>
      <c r="LF49" s="210"/>
      <c r="LG49" s="210"/>
      <c r="LH49" s="210"/>
      <c r="LI49" s="210"/>
      <c r="LJ49" s="210"/>
      <c r="LK49" s="210"/>
      <c r="LL49" s="210"/>
      <c r="LM49" s="210"/>
      <c r="LN49" s="210"/>
      <c r="LO49" s="210"/>
      <c r="LP49" s="210"/>
      <c r="LQ49" s="210"/>
      <c r="LR49" s="210"/>
      <c r="OB49" s="120"/>
      <c r="OI49" s="210"/>
      <c r="OJ49" s="210"/>
      <c r="OK49" s="210"/>
      <c r="OL49" s="210"/>
      <c r="OM49" s="210"/>
      <c r="ON49" s="210"/>
      <c r="OO49" s="210"/>
      <c r="OP49" s="210"/>
      <c r="OQ49" s="210"/>
      <c r="OR49" s="210"/>
      <c r="OS49" s="210"/>
      <c r="OT49" s="210"/>
      <c r="OU49" s="210"/>
      <c r="OV49" s="210"/>
      <c r="OW49" s="210"/>
      <c r="RG49" s="120"/>
    </row>
    <row r="50" spans="1:475" x14ac:dyDescent="0.3">
      <c r="A50" s="7">
        <v>17</v>
      </c>
      <c r="B50" s="7">
        <v>40</v>
      </c>
      <c r="C50" s="7" t="s">
        <v>346</v>
      </c>
      <c r="D50" s="7" t="s">
        <v>681</v>
      </c>
      <c r="E50" s="7" t="s">
        <v>265</v>
      </c>
      <c r="F50" s="7" t="s">
        <v>275</v>
      </c>
      <c r="G50" s="41" t="str">
        <f t="shared" si="3"/>
        <v>X</v>
      </c>
      <c r="H50" s="41">
        <f>INDEX(환산공식!CI$16:CI$301,MATCH('배치점수 계산기'!$W50,환산공식!$A$16:$A$301,0))</f>
        <v>0</v>
      </c>
      <c r="I50" s="41" t="e">
        <f>CONCATENATE(ROUND(INDEX(환산공식!CJ$16:CJ$301,MATCH('배치점수 계산기'!$W50,환산공식!$A$16:$A$301,0)),1),"%")</f>
        <v>#DIV/0!</v>
      </c>
      <c r="J50" s="41">
        <f>INDEX(환산공식!CK$16:CK$301,MATCH('배치점수 계산기'!$W50,환산공식!$A$16:$A$301,0))</f>
        <v>0</v>
      </c>
      <c r="K50" s="7">
        <f>INDEX(환산공식!$EF$16:$EF$301,MATCH('배치점수 계산기'!W50,환산공식!$A$16:$A$301,0))</f>
        <v>0</v>
      </c>
      <c r="L50" s="41" t="str">
        <f t="shared" si="0"/>
        <v>1% 이하</v>
      </c>
      <c r="M50" s="7">
        <v>401.69962528103918</v>
      </c>
      <c r="N50" s="7">
        <v>398.29972313113512</v>
      </c>
      <c r="O50" s="7">
        <v>397.68027238335435</v>
      </c>
      <c r="P50" s="7">
        <v>396.3599999999999</v>
      </c>
      <c r="Q50" s="7">
        <v>395.79999999999995</v>
      </c>
      <c r="R50" s="7">
        <f t="shared" si="1"/>
        <v>6</v>
      </c>
      <c r="T50" s="7">
        <f>COUNTIF($C$11:C50,C50)</f>
        <v>40</v>
      </c>
      <c r="U50" s="7" t="str">
        <f t="shared" si="4"/>
        <v>나40</v>
      </c>
      <c r="V50" s="7" t="str">
        <f>INDEX(환산공식!$C$16:$C$301,MATCH('배치점수 계산기'!W50,환산공식!$A$16:$A$301,0))</f>
        <v>서울대 통합</v>
      </c>
      <c r="W50" s="7">
        <f t="shared" si="5"/>
        <v>17</v>
      </c>
      <c r="X50" s="7">
        <f t="shared" si="6"/>
        <v>1</v>
      </c>
      <c r="Y50" s="7">
        <f>IFERROR(INDEX(환산공식!Q$16:Q$200,MATCH($A50,환산공식!$A$16:$A$200,0)),"")</f>
        <v>1</v>
      </c>
      <c r="Z50" s="7">
        <f>IFERROR(INDEX(환산공식!R$16:R$200,MATCH($A50,환산공식!$A$16:$A$200,0)),"")</f>
        <v>1.2</v>
      </c>
      <c r="AA50" s="7">
        <f>IFERROR(INDEX(환산공식!U$16:U$200,MATCH($A50,환산공식!$A$16:$A$200,0)),"")</f>
        <v>0.8</v>
      </c>
      <c r="AB50" s="7">
        <f t="shared" si="7"/>
        <v>0.33333333333333331</v>
      </c>
      <c r="AC50" s="7">
        <f t="shared" si="8"/>
        <v>0.39999999999999997</v>
      </c>
      <c r="AD50" s="7">
        <f t="shared" si="9"/>
        <v>0.26666666666666666</v>
      </c>
      <c r="AE50" s="7">
        <f>INDEX(환산공식!$AF$16:$AF$301,MATCH('배치점수 계산기'!W50,환산공식!$A$16:$A$301,0))</f>
        <v>1</v>
      </c>
      <c r="AF50" s="7">
        <f>INDEX(환산공식!$AP$16:$AP$301,MATCH('배치점수 계산기'!W50,환산공식!$A$16:$A$301,0))</f>
        <v>1</v>
      </c>
      <c r="AG50" s="7" t="str">
        <f t="shared" si="10"/>
        <v>표점</v>
      </c>
      <c r="AH50" s="7" t="str">
        <f t="shared" si="11"/>
        <v>표점</v>
      </c>
      <c r="BO50" s="210"/>
      <c r="BP50" s="210"/>
      <c r="BQ50" s="210"/>
      <c r="BR50" s="210"/>
      <c r="BS50" s="210"/>
      <c r="BT50" s="210"/>
      <c r="BU50" s="210"/>
      <c r="BV50" s="210"/>
      <c r="BW50" s="210"/>
      <c r="BX50" s="210"/>
      <c r="BY50" s="210"/>
      <c r="BZ50" s="210"/>
      <c r="CA50" s="210"/>
      <c r="CB50" s="210"/>
      <c r="CC50" s="210"/>
      <c r="EM50" s="120"/>
      <c r="ET50" s="210"/>
      <c r="EU50" s="210"/>
      <c r="EV50" s="210"/>
      <c r="EW50" s="210"/>
      <c r="EX50" s="210"/>
      <c r="EY50" s="210"/>
      <c r="EZ50" s="210"/>
      <c r="FA50" s="210"/>
      <c r="FB50" s="210"/>
      <c r="FC50" s="210"/>
      <c r="FD50" s="210"/>
      <c r="FE50" s="210"/>
      <c r="FF50" s="210"/>
      <c r="FG50" s="210"/>
      <c r="FH50" s="210"/>
      <c r="HR50" s="120"/>
      <c r="HY50" s="210"/>
      <c r="HZ50" s="210"/>
      <c r="IA50" s="210"/>
      <c r="IB50" s="210"/>
      <c r="IC50" s="210"/>
      <c r="ID50" s="210"/>
      <c r="IE50" s="210"/>
      <c r="IF50" s="210"/>
      <c r="IG50" s="210"/>
      <c r="IH50" s="210"/>
      <c r="II50" s="210"/>
      <c r="IJ50" s="210"/>
      <c r="IK50" s="210"/>
      <c r="IL50" s="210"/>
      <c r="IM50" s="210"/>
      <c r="KW50" s="120"/>
      <c r="LD50" s="210"/>
      <c r="LE50" s="210"/>
      <c r="LF50" s="210"/>
      <c r="LG50" s="210"/>
      <c r="LH50" s="210"/>
      <c r="LI50" s="210"/>
      <c r="LJ50" s="210"/>
      <c r="LK50" s="210"/>
      <c r="LL50" s="210"/>
      <c r="LM50" s="210"/>
      <c r="LN50" s="210"/>
      <c r="LO50" s="210"/>
      <c r="LP50" s="210"/>
      <c r="LQ50" s="210"/>
      <c r="LR50" s="210"/>
      <c r="OB50" s="120"/>
      <c r="OI50" s="210"/>
      <c r="OJ50" s="210"/>
      <c r="OK50" s="210"/>
      <c r="OL50" s="210"/>
      <c r="OM50" s="210"/>
      <c r="ON50" s="210"/>
      <c r="OO50" s="210"/>
      <c r="OP50" s="210"/>
      <c r="OQ50" s="210"/>
      <c r="OR50" s="210"/>
      <c r="OS50" s="210"/>
      <c r="OT50" s="210"/>
      <c r="OU50" s="210"/>
      <c r="OV50" s="210"/>
      <c r="OW50" s="210"/>
      <c r="RG50" s="120"/>
    </row>
    <row r="51" spans="1:475" x14ac:dyDescent="0.3">
      <c r="A51" s="7">
        <v>17</v>
      </c>
      <c r="B51" s="7">
        <v>41</v>
      </c>
      <c r="C51" s="7" t="s">
        <v>346</v>
      </c>
      <c r="D51" s="7" t="s">
        <v>681</v>
      </c>
      <c r="E51" s="7" t="s">
        <v>266</v>
      </c>
      <c r="F51" s="7" t="s">
        <v>275</v>
      </c>
      <c r="G51" s="41" t="str">
        <f t="shared" si="3"/>
        <v>X</v>
      </c>
      <c r="H51" s="41">
        <f>INDEX(환산공식!CI$16:CI$301,MATCH('배치점수 계산기'!$W51,환산공식!$A$16:$A$301,0))</f>
        <v>0</v>
      </c>
      <c r="I51" s="41" t="e">
        <f>CONCATENATE(ROUND(INDEX(환산공식!CJ$16:CJ$301,MATCH('배치점수 계산기'!$W51,환산공식!$A$16:$A$301,0)),1),"%")</f>
        <v>#DIV/0!</v>
      </c>
      <c r="J51" s="41">
        <f>INDEX(환산공식!CK$16:CK$301,MATCH('배치점수 계산기'!$W51,환산공식!$A$16:$A$301,0))</f>
        <v>0</v>
      </c>
      <c r="K51" s="7">
        <f>INDEX(환산공식!$EF$16:$EF$301,MATCH('배치점수 계산기'!W51,환산공식!$A$16:$A$301,0))</f>
        <v>0</v>
      </c>
      <c r="L51" s="41" t="str">
        <f t="shared" si="0"/>
        <v>1% 이하</v>
      </c>
      <c r="M51" s="7">
        <v>401.69962528103918</v>
      </c>
      <c r="N51" s="7">
        <v>398.29972313113512</v>
      </c>
      <c r="O51" s="7">
        <v>397.68027238335435</v>
      </c>
      <c r="P51" s="7">
        <v>396.3599999999999</v>
      </c>
      <c r="Q51" s="7">
        <v>395.79999999999995</v>
      </c>
      <c r="R51" s="7">
        <f t="shared" si="1"/>
        <v>6</v>
      </c>
      <c r="T51" s="7">
        <f>COUNTIF($C$11:C51,C51)</f>
        <v>41</v>
      </c>
      <c r="U51" s="7" t="str">
        <f t="shared" si="4"/>
        <v>나41</v>
      </c>
      <c r="V51" s="7" t="str">
        <f>INDEX(환산공식!$C$16:$C$301,MATCH('배치점수 계산기'!W51,환산공식!$A$16:$A$301,0))</f>
        <v>서울대 통합</v>
      </c>
      <c r="W51" s="7">
        <f t="shared" si="5"/>
        <v>17</v>
      </c>
      <c r="X51" s="7">
        <f t="shared" si="6"/>
        <v>1</v>
      </c>
      <c r="Y51" s="7">
        <f>IFERROR(INDEX(환산공식!Q$16:Q$200,MATCH($A51,환산공식!$A$16:$A$200,0)),"")</f>
        <v>1</v>
      </c>
      <c r="Z51" s="7">
        <f>IFERROR(INDEX(환산공식!R$16:R$200,MATCH($A51,환산공식!$A$16:$A$200,0)),"")</f>
        <v>1.2</v>
      </c>
      <c r="AA51" s="7">
        <f>IFERROR(INDEX(환산공식!U$16:U$200,MATCH($A51,환산공식!$A$16:$A$200,0)),"")</f>
        <v>0.8</v>
      </c>
      <c r="AB51" s="7">
        <f t="shared" si="7"/>
        <v>0.33333333333333331</v>
      </c>
      <c r="AC51" s="7">
        <f t="shared" si="8"/>
        <v>0.39999999999999997</v>
      </c>
      <c r="AD51" s="7">
        <f t="shared" si="9"/>
        <v>0.26666666666666666</v>
      </c>
      <c r="AE51" s="7">
        <f>INDEX(환산공식!$AF$16:$AF$301,MATCH('배치점수 계산기'!W51,환산공식!$A$16:$A$301,0))</f>
        <v>1</v>
      </c>
      <c r="AF51" s="7">
        <f>INDEX(환산공식!$AP$16:$AP$301,MATCH('배치점수 계산기'!W51,환산공식!$A$16:$A$301,0))</f>
        <v>1</v>
      </c>
      <c r="AG51" s="7" t="str">
        <f t="shared" si="10"/>
        <v>표점</v>
      </c>
      <c r="AH51" s="7" t="str">
        <f t="shared" si="11"/>
        <v>표점</v>
      </c>
      <c r="BO51" s="210"/>
      <c r="BP51" s="210"/>
      <c r="BQ51" s="210"/>
      <c r="BR51" s="210"/>
      <c r="BS51" s="210"/>
      <c r="BT51" s="210"/>
      <c r="BU51" s="210"/>
      <c r="BV51" s="210"/>
      <c r="BW51" s="210"/>
      <c r="BX51" s="210"/>
      <c r="BY51" s="210"/>
      <c r="BZ51" s="210"/>
      <c r="CA51" s="210"/>
      <c r="CB51" s="210"/>
      <c r="CC51" s="210"/>
      <c r="EM51" s="120"/>
      <c r="ET51" s="210"/>
      <c r="EU51" s="210"/>
      <c r="EV51" s="210"/>
      <c r="EW51" s="210"/>
      <c r="EX51" s="210"/>
      <c r="EY51" s="210"/>
      <c r="EZ51" s="210"/>
      <c r="FA51" s="210"/>
      <c r="FB51" s="210"/>
      <c r="FC51" s="210"/>
      <c r="FD51" s="210"/>
      <c r="FE51" s="210"/>
      <c r="FF51" s="210"/>
      <c r="FG51" s="210"/>
      <c r="FH51" s="210"/>
      <c r="HR51" s="120"/>
      <c r="HY51" s="210"/>
      <c r="HZ51" s="210"/>
      <c r="IA51" s="210"/>
      <c r="IB51" s="210"/>
      <c r="IC51" s="210"/>
      <c r="ID51" s="210"/>
      <c r="IE51" s="210"/>
      <c r="IF51" s="210"/>
      <c r="IG51" s="210"/>
      <c r="IH51" s="210"/>
      <c r="II51" s="210"/>
      <c r="IJ51" s="210"/>
      <c r="IK51" s="210"/>
      <c r="IL51" s="210"/>
      <c r="IM51" s="210"/>
      <c r="KW51" s="120"/>
      <c r="LD51" s="210"/>
      <c r="LE51" s="210"/>
      <c r="LF51" s="210"/>
      <c r="LG51" s="210"/>
      <c r="LH51" s="210"/>
      <c r="LI51" s="210"/>
      <c r="LJ51" s="210"/>
      <c r="LK51" s="210"/>
      <c r="LL51" s="210"/>
      <c r="LM51" s="210"/>
      <c r="LN51" s="210"/>
      <c r="LO51" s="210"/>
      <c r="LP51" s="210"/>
      <c r="LQ51" s="210"/>
      <c r="LR51" s="210"/>
      <c r="OB51" s="120"/>
      <c r="OI51" s="210"/>
      <c r="OJ51" s="210"/>
      <c r="OK51" s="210"/>
      <c r="OL51" s="210"/>
      <c r="OM51" s="210"/>
      <c r="ON51" s="210"/>
      <c r="OO51" s="210"/>
      <c r="OP51" s="210"/>
      <c r="OQ51" s="210"/>
      <c r="OR51" s="210"/>
      <c r="OS51" s="210"/>
      <c r="OT51" s="210"/>
      <c r="OU51" s="210"/>
      <c r="OV51" s="210"/>
      <c r="OW51" s="210"/>
      <c r="RG51" s="120"/>
    </row>
    <row r="52" spans="1:475" x14ac:dyDescent="0.3">
      <c r="A52" s="7">
        <v>17</v>
      </c>
      <c r="B52" s="7">
        <v>42</v>
      </c>
      <c r="C52" s="7" t="s">
        <v>346</v>
      </c>
      <c r="D52" s="7" t="s">
        <v>681</v>
      </c>
      <c r="E52" s="7" t="s">
        <v>741</v>
      </c>
      <c r="F52" s="7" t="s">
        <v>275</v>
      </c>
      <c r="G52" s="41" t="str">
        <f t="shared" si="3"/>
        <v>X</v>
      </c>
      <c r="H52" s="41">
        <f>INDEX(환산공식!CI$16:CI$301,MATCH('배치점수 계산기'!$W52,환산공식!$A$16:$A$301,0))</f>
        <v>0</v>
      </c>
      <c r="I52" s="41" t="e">
        <f>CONCATENATE(ROUND(INDEX(환산공식!CJ$16:CJ$301,MATCH('배치점수 계산기'!$W52,환산공식!$A$16:$A$301,0)),1),"%")</f>
        <v>#DIV/0!</v>
      </c>
      <c r="J52" s="41">
        <f>INDEX(환산공식!CK$16:CK$301,MATCH('배치점수 계산기'!$W52,환산공식!$A$16:$A$301,0))</f>
        <v>0</v>
      </c>
      <c r="K52" s="7">
        <f>INDEX(환산공식!$EF$16:$EF$301,MATCH('배치점수 계산기'!W52,환산공식!$A$16:$A$301,0))</f>
        <v>0</v>
      </c>
      <c r="L52" s="41" t="str">
        <f t="shared" si="0"/>
        <v>1% 이하</v>
      </c>
      <c r="M52" s="7">
        <v>401.69962528103918</v>
      </c>
      <c r="N52" s="7">
        <v>397.98</v>
      </c>
      <c r="O52" s="7">
        <v>397.14</v>
      </c>
      <c r="P52" s="7">
        <v>396.3599999999999</v>
      </c>
      <c r="Q52" s="7">
        <v>394.03983735705208</v>
      </c>
      <c r="R52" s="7">
        <f t="shared" si="1"/>
        <v>6</v>
      </c>
      <c r="T52" s="7">
        <f>COUNTIF($C$11:C52,C52)</f>
        <v>42</v>
      </c>
      <c r="U52" s="7" t="str">
        <f t="shared" si="4"/>
        <v>나42</v>
      </c>
      <c r="V52" s="7" t="str">
        <f>INDEX(환산공식!$C$16:$C$301,MATCH('배치점수 계산기'!W52,환산공식!$A$16:$A$301,0))</f>
        <v>서울대 통합</v>
      </c>
      <c r="W52" s="7">
        <f t="shared" si="5"/>
        <v>17</v>
      </c>
      <c r="X52" s="7">
        <f t="shared" si="6"/>
        <v>1</v>
      </c>
      <c r="Y52" s="7">
        <f>IFERROR(INDEX(환산공식!Q$16:Q$200,MATCH($A52,환산공식!$A$16:$A$200,0)),"")</f>
        <v>1</v>
      </c>
      <c r="Z52" s="7">
        <f>IFERROR(INDEX(환산공식!R$16:R$200,MATCH($A52,환산공식!$A$16:$A$200,0)),"")</f>
        <v>1.2</v>
      </c>
      <c r="AA52" s="7">
        <f>IFERROR(INDEX(환산공식!U$16:U$200,MATCH($A52,환산공식!$A$16:$A$200,0)),"")</f>
        <v>0.8</v>
      </c>
      <c r="AB52" s="7">
        <f t="shared" si="7"/>
        <v>0.33333333333333331</v>
      </c>
      <c r="AC52" s="7">
        <f t="shared" si="8"/>
        <v>0.39999999999999997</v>
      </c>
      <c r="AD52" s="7">
        <f t="shared" si="9"/>
        <v>0.26666666666666666</v>
      </c>
      <c r="AE52" s="7">
        <f>INDEX(환산공식!$AF$16:$AF$301,MATCH('배치점수 계산기'!W52,환산공식!$A$16:$A$301,0))</f>
        <v>1</v>
      </c>
      <c r="AF52" s="7">
        <f>INDEX(환산공식!$AP$16:$AP$301,MATCH('배치점수 계산기'!W52,환산공식!$A$16:$A$301,0))</f>
        <v>1</v>
      </c>
      <c r="AG52" s="7" t="str">
        <f t="shared" si="10"/>
        <v>표점</v>
      </c>
      <c r="AH52" s="7" t="str">
        <f t="shared" si="11"/>
        <v>표점</v>
      </c>
      <c r="BO52" s="210"/>
      <c r="BP52" s="210"/>
      <c r="BQ52" s="210"/>
      <c r="BR52" s="210"/>
      <c r="BS52" s="210"/>
      <c r="BT52" s="210"/>
      <c r="BU52" s="210"/>
      <c r="BV52" s="210"/>
      <c r="BW52" s="210"/>
      <c r="BX52" s="210"/>
      <c r="BY52" s="210"/>
      <c r="BZ52" s="210"/>
      <c r="CA52" s="210"/>
      <c r="CB52" s="210"/>
      <c r="CC52" s="210"/>
      <c r="EM52" s="120"/>
      <c r="ET52" s="210"/>
      <c r="EU52" s="210"/>
      <c r="EV52" s="210"/>
      <c r="EW52" s="210"/>
      <c r="EX52" s="210"/>
      <c r="EY52" s="210"/>
      <c r="EZ52" s="210"/>
      <c r="FA52" s="210"/>
      <c r="FB52" s="210"/>
      <c r="FC52" s="210"/>
      <c r="FD52" s="210"/>
      <c r="FE52" s="210"/>
      <c r="FF52" s="210"/>
      <c r="FG52" s="210"/>
      <c r="FH52" s="210"/>
      <c r="HR52" s="120"/>
      <c r="HY52" s="210"/>
      <c r="HZ52" s="210"/>
      <c r="IA52" s="210"/>
      <c r="IB52" s="210"/>
      <c r="IC52" s="210"/>
      <c r="ID52" s="210"/>
      <c r="IE52" s="210"/>
      <c r="IF52" s="210"/>
      <c r="IG52" s="210"/>
      <c r="IH52" s="210"/>
      <c r="II52" s="210"/>
      <c r="IJ52" s="210"/>
      <c r="IK52" s="210"/>
      <c r="IL52" s="210"/>
      <c r="IM52" s="210"/>
      <c r="KW52" s="120"/>
      <c r="LD52" s="210"/>
      <c r="LE52" s="210"/>
      <c r="LF52" s="210"/>
      <c r="LG52" s="210"/>
      <c r="LH52" s="210"/>
      <c r="LI52" s="210"/>
      <c r="LJ52" s="210"/>
      <c r="LK52" s="210"/>
      <c r="LL52" s="210"/>
      <c r="LM52" s="210"/>
      <c r="LN52" s="210"/>
      <c r="LO52" s="210"/>
      <c r="LP52" s="210"/>
      <c r="LQ52" s="210"/>
      <c r="LR52" s="210"/>
      <c r="OB52" s="120"/>
      <c r="OI52" s="210"/>
      <c r="OJ52" s="210"/>
      <c r="OK52" s="210"/>
      <c r="OL52" s="210"/>
      <c r="OM52" s="210"/>
      <c r="ON52" s="210"/>
      <c r="OO52" s="210"/>
      <c r="OP52" s="210"/>
      <c r="OQ52" s="210"/>
      <c r="OR52" s="210"/>
      <c r="OS52" s="210"/>
      <c r="OT52" s="210"/>
      <c r="OU52" s="210"/>
      <c r="OV52" s="210"/>
      <c r="OW52" s="210"/>
      <c r="RG52" s="120"/>
    </row>
    <row r="53" spans="1:475" x14ac:dyDescent="0.3">
      <c r="A53" s="7">
        <v>17</v>
      </c>
      <c r="B53" s="7">
        <v>43</v>
      </c>
      <c r="C53" s="7" t="s">
        <v>346</v>
      </c>
      <c r="D53" s="7" t="s">
        <v>681</v>
      </c>
      <c r="E53" s="7" t="s">
        <v>267</v>
      </c>
      <c r="F53" s="7" t="s">
        <v>275</v>
      </c>
      <c r="G53" s="41" t="str">
        <f t="shared" si="3"/>
        <v>X</v>
      </c>
      <c r="H53" s="41">
        <f>INDEX(환산공식!CI$16:CI$301,MATCH('배치점수 계산기'!$W53,환산공식!$A$16:$A$301,0))</f>
        <v>0</v>
      </c>
      <c r="I53" s="41" t="e">
        <f>CONCATENATE(ROUND(INDEX(환산공식!CJ$16:CJ$301,MATCH('배치점수 계산기'!$W53,환산공식!$A$16:$A$301,0)),1),"%")</f>
        <v>#DIV/0!</v>
      </c>
      <c r="J53" s="41">
        <f>INDEX(환산공식!CK$16:CK$301,MATCH('배치점수 계산기'!$W53,환산공식!$A$16:$A$301,0))</f>
        <v>0</v>
      </c>
      <c r="K53" s="7">
        <f>INDEX(환산공식!$EF$16:$EF$301,MATCH('배치점수 계산기'!W53,환산공식!$A$16:$A$301,0))</f>
        <v>0</v>
      </c>
      <c r="L53" s="41" t="str">
        <f t="shared" si="0"/>
        <v>1% 이하</v>
      </c>
      <c r="M53" s="7">
        <v>401.69962528103918</v>
      </c>
      <c r="N53" s="7">
        <v>397.98</v>
      </c>
      <c r="O53" s="7">
        <v>397.14</v>
      </c>
      <c r="P53" s="7">
        <v>396.3599999999999</v>
      </c>
      <c r="Q53" s="7">
        <v>395.79999999999995</v>
      </c>
      <c r="R53" s="7">
        <f t="shared" si="1"/>
        <v>6</v>
      </c>
      <c r="T53" s="7">
        <f>COUNTIF($C$11:C53,C53)</f>
        <v>43</v>
      </c>
      <c r="U53" s="7" t="str">
        <f t="shared" si="4"/>
        <v>나43</v>
      </c>
      <c r="V53" s="7" t="str">
        <f>INDEX(환산공식!$C$16:$C$301,MATCH('배치점수 계산기'!W53,환산공식!$A$16:$A$301,0))</f>
        <v>서울대 통합</v>
      </c>
      <c r="W53" s="7">
        <f t="shared" si="5"/>
        <v>17</v>
      </c>
      <c r="X53" s="7">
        <f t="shared" si="6"/>
        <v>1</v>
      </c>
      <c r="Y53" s="7">
        <f>IFERROR(INDEX(환산공식!Q$16:Q$200,MATCH($A53,환산공식!$A$16:$A$200,0)),"")</f>
        <v>1</v>
      </c>
      <c r="Z53" s="7">
        <f>IFERROR(INDEX(환산공식!R$16:R$200,MATCH($A53,환산공식!$A$16:$A$200,0)),"")</f>
        <v>1.2</v>
      </c>
      <c r="AA53" s="7">
        <f>IFERROR(INDEX(환산공식!U$16:U$200,MATCH($A53,환산공식!$A$16:$A$200,0)),"")</f>
        <v>0.8</v>
      </c>
      <c r="AB53" s="7">
        <f t="shared" si="7"/>
        <v>0.33333333333333331</v>
      </c>
      <c r="AC53" s="7">
        <f t="shared" si="8"/>
        <v>0.39999999999999997</v>
      </c>
      <c r="AD53" s="7">
        <f t="shared" si="9"/>
        <v>0.26666666666666666</v>
      </c>
      <c r="AE53" s="7">
        <f>INDEX(환산공식!$AF$16:$AF$301,MATCH('배치점수 계산기'!W53,환산공식!$A$16:$A$301,0))</f>
        <v>1</v>
      </c>
      <c r="AF53" s="7">
        <f>INDEX(환산공식!$AP$16:$AP$301,MATCH('배치점수 계산기'!W53,환산공식!$A$16:$A$301,0))</f>
        <v>1</v>
      </c>
      <c r="AG53" s="7" t="str">
        <f t="shared" si="10"/>
        <v>표점</v>
      </c>
      <c r="AH53" s="7" t="str">
        <f t="shared" si="11"/>
        <v>표점</v>
      </c>
      <c r="BO53" s="210"/>
      <c r="BP53" s="210"/>
      <c r="BQ53" s="210"/>
      <c r="BR53" s="210"/>
      <c r="BS53" s="210"/>
      <c r="BT53" s="210"/>
      <c r="BU53" s="210"/>
      <c r="BV53" s="210"/>
      <c r="BW53" s="210"/>
      <c r="BX53" s="210"/>
      <c r="BY53" s="210"/>
      <c r="BZ53" s="210"/>
      <c r="CA53" s="210"/>
      <c r="CB53" s="210"/>
      <c r="CC53" s="210"/>
      <c r="EM53" s="120"/>
      <c r="ET53" s="210"/>
      <c r="EU53" s="210"/>
      <c r="EV53" s="210"/>
      <c r="EW53" s="210"/>
      <c r="EX53" s="210"/>
      <c r="EY53" s="210"/>
      <c r="EZ53" s="210"/>
      <c r="FA53" s="210"/>
      <c r="FB53" s="210"/>
      <c r="FC53" s="210"/>
      <c r="FD53" s="210"/>
      <c r="FE53" s="210"/>
      <c r="FF53" s="210"/>
      <c r="FG53" s="210"/>
      <c r="FH53" s="210"/>
      <c r="HR53" s="120"/>
      <c r="HY53" s="210"/>
      <c r="HZ53" s="210"/>
      <c r="IA53" s="210"/>
      <c r="IB53" s="210"/>
      <c r="IC53" s="210"/>
      <c r="ID53" s="210"/>
      <c r="IE53" s="210"/>
      <c r="IF53" s="210"/>
      <c r="IG53" s="210"/>
      <c r="IH53" s="210"/>
      <c r="II53" s="210"/>
      <c r="IJ53" s="210"/>
      <c r="IK53" s="210"/>
      <c r="IL53" s="210"/>
      <c r="IM53" s="210"/>
      <c r="KW53" s="120"/>
      <c r="LD53" s="210"/>
      <c r="LE53" s="210"/>
      <c r="LF53" s="210"/>
      <c r="LG53" s="210"/>
      <c r="LH53" s="210"/>
      <c r="LI53" s="210"/>
      <c r="LJ53" s="210"/>
      <c r="LK53" s="210"/>
      <c r="LL53" s="210"/>
      <c r="LM53" s="210"/>
      <c r="LN53" s="210"/>
      <c r="LO53" s="210"/>
      <c r="LP53" s="210"/>
      <c r="LQ53" s="210"/>
      <c r="LR53" s="210"/>
      <c r="OB53" s="120"/>
      <c r="OI53" s="210"/>
      <c r="OJ53" s="210"/>
      <c r="OK53" s="210"/>
      <c r="OL53" s="210"/>
      <c r="OM53" s="210"/>
      <c r="ON53" s="210"/>
      <c r="OO53" s="210"/>
      <c r="OP53" s="210"/>
      <c r="OQ53" s="210"/>
      <c r="OR53" s="210"/>
      <c r="OS53" s="210"/>
      <c r="OT53" s="210"/>
      <c r="OU53" s="210"/>
      <c r="OV53" s="210"/>
      <c r="OW53" s="210"/>
      <c r="RG53" s="120"/>
    </row>
    <row r="54" spans="1:475" x14ac:dyDescent="0.3">
      <c r="A54" s="7">
        <v>17</v>
      </c>
      <c r="B54" s="7">
        <v>44</v>
      </c>
      <c r="C54" s="7" t="s">
        <v>346</v>
      </c>
      <c r="D54" s="7" t="s">
        <v>681</v>
      </c>
      <c r="E54" s="7" t="s">
        <v>742</v>
      </c>
      <c r="F54" s="7" t="s">
        <v>275</v>
      </c>
      <c r="G54" s="41" t="str">
        <f t="shared" si="3"/>
        <v>X</v>
      </c>
      <c r="H54" s="41">
        <f>INDEX(환산공식!CI$16:CI$301,MATCH('배치점수 계산기'!$W54,환산공식!$A$16:$A$301,0))</f>
        <v>0</v>
      </c>
      <c r="I54" s="41" t="e">
        <f>CONCATENATE(ROUND(INDEX(환산공식!CJ$16:CJ$301,MATCH('배치점수 계산기'!$W54,환산공식!$A$16:$A$301,0)),1),"%")</f>
        <v>#DIV/0!</v>
      </c>
      <c r="J54" s="41">
        <f>INDEX(환산공식!CK$16:CK$301,MATCH('배치점수 계산기'!$W54,환산공식!$A$16:$A$301,0))</f>
        <v>0</v>
      </c>
      <c r="K54" s="7">
        <f>INDEX(환산공식!$EF$16:$EF$301,MATCH('배치점수 계산기'!W54,환산공식!$A$16:$A$301,0))</f>
        <v>0</v>
      </c>
      <c r="L54" s="41" t="str">
        <f t="shared" si="0"/>
        <v>1% 이하</v>
      </c>
      <c r="M54" s="7">
        <v>401.69962528103918</v>
      </c>
      <c r="N54" s="7">
        <v>397.98</v>
      </c>
      <c r="O54" s="7">
        <v>397.14</v>
      </c>
      <c r="P54" s="7">
        <v>396.3599999999999</v>
      </c>
      <c r="Q54" s="7">
        <v>395.43999999999994</v>
      </c>
      <c r="R54" s="7">
        <f t="shared" si="1"/>
        <v>6</v>
      </c>
      <c r="T54" s="7">
        <f>COUNTIF($C$11:C54,C54)</f>
        <v>44</v>
      </c>
      <c r="U54" s="7" t="str">
        <f t="shared" si="4"/>
        <v>나44</v>
      </c>
      <c r="V54" s="7" t="str">
        <f>INDEX(환산공식!$C$16:$C$301,MATCH('배치점수 계산기'!W54,환산공식!$A$16:$A$301,0))</f>
        <v>서울대 통합</v>
      </c>
      <c r="W54" s="7">
        <f t="shared" si="5"/>
        <v>17</v>
      </c>
      <c r="X54" s="7">
        <f t="shared" si="6"/>
        <v>1</v>
      </c>
      <c r="Y54" s="7">
        <f>IFERROR(INDEX(환산공식!Q$16:Q$200,MATCH($A54,환산공식!$A$16:$A$200,0)),"")</f>
        <v>1</v>
      </c>
      <c r="Z54" s="7">
        <f>IFERROR(INDEX(환산공식!R$16:R$200,MATCH($A54,환산공식!$A$16:$A$200,0)),"")</f>
        <v>1.2</v>
      </c>
      <c r="AA54" s="7">
        <f>IFERROR(INDEX(환산공식!U$16:U$200,MATCH($A54,환산공식!$A$16:$A$200,0)),"")</f>
        <v>0.8</v>
      </c>
      <c r="AB54" s="7">
        <f t="shared" si="7"/>
        <v>0.33333333333333331</v>
      </c>
      <c r="AC54" s="7">
        <f t="shared" si="8"/>
        <v>0.39999999999999997</v>
      </c>
      <c r="AD54" s="7">
        <f t="shared" si="9"/>
        <v>0.26666666666666666</v>
      </c>
      <c r="AE54" s="7">
        <f>INDEX(환산공식!$AF$16:$AF$301,MATCH('배치점수 계산기'!W54,환산공식!$A$16:$A$301,0))</f>
        <v>1</v>
      </c>
      <c r="AF54" s="7">
        <f>INDEX(환산공식!$AP$16:$AP$301,MATCH('배치점수 계산기'!W54,환산공식!$A$16:$A$301,0))</f>
        <v>1</v>
      </c>
      <c r="AG54" s="7" t="str">
        <f t="shared" si="10"/>
        <v>표점</v>
      </c>
      <c r="AH54" s="7" t="str">
        <f t="shared" si="11"/>
        <v>표점</v>
      </c>
      <c r="BO54" s="210"/>
      <c r="BP54" s="210"/>
      <c r="BQ54" s="210"/>
      <c r="BR54" s="210"/>
      <c r="BS54" s="210"/>
      <c r="BT54" s="210"/>
      <c r="BU54" s="210"/>
      <c r="BV54" s="210"/>
      <c r="BW54" s="210"/>
      <c r="BX54" s="210"/>
      <c r="BY54" s="210"/>
      <c r="BZ54" s="210"/>
      <c r="CA54" s="210"/>
      <c r="CB54" s="210"/>
      <c r="CC54" s="210"/>
      <c r="EM54" s="120"/>
      <c r="ET54" s="210"/>
      <c r="EU54" s="210"/>
      <c r="EV54" s="210"/>
      <c r="EW54" s="210"/>
      <c r="EX54" s="210"/>
      <c r="EY54" s="210"/>
      <c r="EZ54" s="210"/>
      <c r="FA54" s="210"/>
      <c r="FB54" s="210"/>
      <c r="FC54" s="210"/>
      <c r="FD54" s="210"/>
      <c r="FE54" s="210"/>
      <c r="FF54" s="210"/>
      <c r="FG54" s="210"/>
      <c r="FH54" s="210"/>
      <c r="HR54" s="120"/>
      <c r="HY54" s="210"/>
      <c r="HZ54" s="210"/>
      <c r="IA54" s="210"/>
      <c r="IB54" s="210"/>
      <c r="IC54" s="210"/>
      <c r="ID54" s="210"/>
      <c r="IE54" s="210"/>
      <c r="IF54" s="210"/>
      <c r="IG54" s="210"/>
      <c r="IH54" s="210"/>
      <c r="II54" s="210"/>
      <c r="IJ54" s="210"/>
      <c r="IK54" s="210"/>
      <c r="IL54" s="210"/>
      <c r="IM54" s="210"/>
      <c r="KW54" s="120"/>
      <c r="LD54" s="210"/>
      <c r="LE54" s="210"/>
      <c r="LF54" s="210"/>
      <c r="LG54" s="210"/>
      <c r="LH54" s="210"/>
      <c r="LI54" s="210"/>
      <c r="LJ54" s="210"/>
      <c r="LK54" s="210"/>
      <c r="LL54" s="210"/>
      <c r="LM54" s="210"/>
      <c r="LN54" s="210"/>
      <c r="LO54" s="210"/>
      <c r="LP54" s="210"/>
      <c r="LQ54" s="210"/>
      <c r="LR54" s="210"/>
      <c r="OB54" s="120"/>
      <c r="OI54" s="210"/>
      <c r="OJ54" s="210"/>
      <c r="OK54" s="210"/>
      <c r="OL54" s="210"/>
      <c r="OM54" s="210"/>
      <c r="ON54" s="210"/>
      <c r="OO54" s="210"/>
      <c r="OP54" s="210"/>
      <c r="OQ54" s="210"/>
      <c r="OR54" s="210"/>
      <c r="OS54" s="210"/>
      <c r="OT54" s="210"/>
      <c r="OU54" s="210"/>
      <c r="OV54" s="210"/>
      <c r="OW54" s="210"/>
      <c r="RG54" s="120"/>
    </row>
    <row r="55" spans="1:475" x14ac:dyDescent="0.3">
      <c r="A55" s="7">
        <v>17</v>
      </c>
      <c r="B55" s="7">
        <v>45</v>
      </c>
      <c r="C55" s="7" t="s">
        <v>346</v>
      </c>
      <c r="D55" s="7" t="s">
        <v>681</v>
      </c>
      <c r="E55" s="7" t="s">
        <v>743</v>
      </c>
      <c r="F55" s="7" t="s">
        <v>275</v>
      </c>
      <c r="G55" s="41" t="str">
        <f t="shared" si="3"/>
        <v>X</v>
      </c>
      <c r="H55" s="41">
        <f>INDEX(환산공식!CI$16:CI$301,MATCH('배치점수 계산기'!$W55,환산공식!$A$16:$A$301,0))</f>
        <v>0</v>
      </c>
      <c r="I55" s="41" t="e">
        <f>CONCATENATE(ROUND(INDEX(환산공식!CJ$16:CJ$301,MATCH('배치점수 계산기'!$W55,환산공식!$A$16:$A$301,0)),1),"%")</f>
        <v>#DIV/0!</v>
      </c>
      <c r="J55" s="41">
        <f>INDEX(환산공식!CK$16:CK$301,MATCH('배치점수 계산기'!$W55,환산공식!$A$16:$A$301,0))</f>
        <v>0</v>
      </c>
      <c r="K55" s="7">
        <f>INDEX(환산공식!$EF$16:$EF$301,MATCH('배치점수 계산기'!W55,환산공식!$A$16:$A$301,0))</f>
        <v>0</v>
      </c>
      <c r="L55" s="41" t="str">
        <f t="shared" si="0"/>
        <v>1% 이하</v>
      </c>
      <c r="M55" s="7">
        <v>401.69962528103918</v>
      </c>
      <c r="N55" s="7">
        <v>397.98</v>
      </c>
      <c r="O55" s="7">
        <v>397.14</v>
      </c>
      <c r="P55" s="7">
        <v>396.3599999999999</v>
      </c>
      <c r="Q55" s="7">
        <v>394.03983735705208</v>
      </c>
      <c r="R55" s="7">
        <f t="shared" si="1"/>
        <v>6</v>
      </c>
      <c r="T55" s="7">
        <f>COUNTIF($C$11:C55,C55)</f>
        <v>45</v>
      </c>
      <c r="U55" s="7" t="str">
        <f t="shared" si="4"/>
        <v>나45</v>
      </c>
      <c r="V55" s="7" t="str">
        <f>INDEX(환산공식!$C$16:$C$301,MATCH('배치점수 계산기'!W55,환산공식!$A$16:$A$301,0))</f>
        <v>서울대 통합</v>
      </c>
      <c r="W55" s="7">
        <f t="shared" si="5"/>
        <v>17</v>
      </c>
      <c r="X55" s="7">
        <f t="shared" si="6"/>
        <v>1</v>
      </c>
      <c r="Y55" s="7">
        <f>IFERROR(INDEX(환산공식!Q$16:Q$200,MATCH($A55,환산공식!$A$16:$A$200,0)),"")</f>
        <v>1</v>
      </c>
      <c r="Z55" s="7">
        <f>IFERROR(INDEX(환산공식!R$16:R$200,MATCH($A55,환산공식!$A$16:$A$200,0)),"")</f>
        <v>1.2</v>
      </c>
      <c r="AA55" s="7">
        <f>IFERROR(INDEX(환산공식!U$16:U$200,MATCH($A55,환산공식!$A$16:$A$200,0)),"")</f>
        <v>0.8</v>
      </c>
      <c r="AB55" s="7">
        <f t="shared" si="7"/>
        <v>0.33333333333333331</v>
      </c>
      <c r="AC55" s="7">
        <f t="shared" si="8"/>
        <v>0.39999999999999997</v>
      </c>
      <c r="AD55" s="7">
        <f t="shared" si="9"/>
        <v>0.26666666666666666</v>
      </c>
      <c r="AE55" s="7">
        <f>INDEX(환산공식!$AF$16:$AF$301,MATCH('배치점수 계산기'!W55,환산공식!$A$16:$A$301,0))</f>
        <v>1</v>
      </c>
      <c r="AF55" s="7">
        <f>INDEX(환산공식!$AP$16:$AP$301,MATCH('배치점수 계산기'!W55,환산공식!$A$16:$A$301,0))</f>
        <v>1</v>
      </c>
      <c r="AG55" s="7" t="str">
        <f t="shared" si="10"/>
        <v>표점</v>
      </c>
      <c r="AH55" s="7" t="str">
        <f t="shared" si="11"/>
        <v>표점</v>
      </c>
      <c r="BO55" s="210"/>
      <c r="BP55" s="210"/>
      <c r="BQ55" s="210"/>
      <c r="BR55" s="210"/>
      <c r="BS55" s="210"/>
      <c r="BT55" s="210"/>
      <c r="BU55" s="210"/>
      <c r="BV55" s="210"/>
      <c r="BW55" s="210"/>
      <c r="BX55" s="210"/>
      <c r="BY55" s="210"/>
      <c r="BZ55" s="210"/>
      <c r="CA55" s="210"/>
      <c r="CB55" s="210"/>
      <c r="CC55" s="210"/>
      <c r="EM55" s="120"/>
      <c r="ET55" s="210"/>
      <c r="EU55" s="210"/>
      <c r="EV55" s="210"/>
      <c r="EW55" s="210"/>
      <c r="EX55" s="210"/>
      <c r="EY55" s="210"/>
      <c r="EZ55" s="210"/>
      <c r="FA55" s="210"/>
      <c r="FB55" s="210"/>
      <c r="FC55" s="210"/>
      <c r="FD55" s="210"/>
      <c r="FE55" s="210"/>
      <c r="FF55" s="210"/>
      <c r="FG55" s="210"/>
      <c r="FH55" s="210"/>
      <c r="HR55" s="120"/>
      <c r="HY55" s="210"/>
      <c r="HZ55" s="210"/>
      <c r="IA55" s="210"/>
      <c r="IB55" s="210"/>
      <c r="IC55" s="210"/>
      <c r="ID55" s="210"/>
      <c r="IE55" s="210"/>
      <c r="IF55" s="210"/>
      <c r="IG55" s="210"/>
      <c r="IH55" s="210"/>
      <c r="II55" s="210"/>
      <c r="IJ55" s="210"/>
      <c r="IK55" s="210"/>
      <c r="IL55" s="210"/>
      <c r="IM55" s="210"/>
      <c r="KW55" s="120"/>
      <c r="LD55" s="210"/>
      <c r="LE55" s="210"/>
      <c r="LF55" s="210"/>
      <c r="LG55" s="210"/>
      <c r="LH55" s="210"/>
      <c r="LI55" s="210"/>
      <c r="LJ55" s="210"/>
      <c r="LK55" s="210"/>
      <c r="LL55" s="210"/>
      <c r="LM55" s="210"/>
      <c r="LN55" s="210"/>
      <c r="LO55" s="210"/>
      <c r="LP55" s="210"/>
      <c r="LQ55" s="210"/>
      <c r="LR55" s="210"/>
      <c r="OB55" s="120"/>
      <c r="OI55" s="210"/>
      <c r="OJ55" s="210"/>
      <c r="OK55" s="210"/>
      <c r="OL55" s="210"/>
      <c r="OM55" s="210"/>
      <c r="ON55" s="210"/>
      <c r="OO55" s="210"/>
      <c r="OP55" s="210"/>
      <c r="OQ55" s="210"/>
      <c r="OR55" s="210"/>
      <c r="OS55" s="210"/>
      <c r="OT55" s="210"/>
      <c r="OU55" s="210"/>
      <c r="OV55" s="210"/>
      <c r="OW55" s="210"/>
      <c r="RG55" s="120"/>
    </row>
    <row r="56" spans="1:475" x14ac:dyDescent="0.3">
      <c r="A56" s="7">
        <v>17</v>
      </c>
      <c r="B56" s="7">
        <v>46</v>
      </c>
      <c r="C56" s="7" t="s">
        <v>346</v>
      </c>
      <c r="D56" s="7" t="s">
        <v>681</v>
      </c>
      <c r="E56" s="7" t="s">
        <v>268</v>
      </c>
      <c r="F56" s="7" t="s">
        <v>275</v>
      </c>
      <c r="G56" s="41" t="str">
        <f t="shared" si="3"/>
        <v>X</v>
      </c>
      <c r="H56" s="41">
        <f>INDEX(환산공식!CI$16:CI$301,MATCH('배치점수 계산기'!$W56,환산공식!$A$16:$A$301,0))</f>
        <v>0</v>
      </c>
      <c r="I56" s="41" t="e">
        <f>CONCATENATE(ROUND(INDEX(환산공식!CJ$16:CJ$301,MATCH('배치점수 계산기'!$W56,환산공식!$A$16:$A$301,0)),1),"%")</f>
        <v>#DIV/0!</v>
      </c>
      <c r="J56" s="41">
        <f>INDEX(환산공식!CK$16:CK$301,MATCH('배치점수 계산기'!$W56,환산공식!$A$16:$A$301,0))</f>
        <v>0</v>
      </c>
      <c r="K56" s="7">
        <f>INDEX(환산공식!$EF$16:$EF$301,MATCH('배치점수 계산기'!W56,환산공식!$A$16:$A$301,0))</f>
        <v>0</v>
      </c>
      <c r="L56" s="41" t="str">
        <f t="shared" si="0"/>
        <v>1% 이하</v>
      </c>
      <c r="M56" s="7">
        <v>399.81969400551804</v>
      </c>
      <c r="N56" s="7">
        <v>397.68027238335435</v>
      </c>
      <c r="O56" s="7">
        <v>396.78</v>
      </c>
      <c r="P56" s="7">
        <v>396.22023279352231</v>
      </c>
      <c r="Q56" s="7">
        <v>393.96016785350969</v>
      </c>
      <c r="R56" s="7">
        <f t="shared" si="1"/>
        <v>6</v>
      </c>
      <c r="T56" s="7">
        <f>COUNTIF($C$11:C56,C56)</f>
        <v>46</v>
      </c>
      <c r="U56" s="7" t="str">
        <f t="shared" si="4"/>
        <v>나46</v>
      </c>
      <c r="V56" s="7" t="str">
        <f>INDEX(환산공식!$C$16:$C$301,MATCH('배치점수 계산기'!W56,환산공식!$A$16:$A$301,0))</f>
        <v>서울대 통합</v>
      </c>
      <c r="W56" s="7">
        <f t="shared" si="5"/>
        <v>17</v>
      </c>
      <c r="X56" s="7">
        <f t="shared" si="6"/>
        <v>1</v>
      </c>
      <c r="Y56" s="7">
        <f>IFERROR(INDEX(환산공식!Q$16:Q$200,MATCH($A56,환산공식!$A$16:$A$200,0)),"")</f>
        <v>1</v>
      </c>
      <c r="Z56" s="7">
        <f>IFERROR(INDEX(환산공식!R$16:R$200,MATCH($A56,환산공식!$A$16:$A$200,0)),"")</f>
        <v>1.2</v>
      </c>
      <c r="AA56" s="7">
        <f>IFERROR(INDEX(환산공식!U$16:U$200,MATCH($A56,환산공식!$A$16:$A$200,0)),"")</f>
        <v>0.8</v>
      </c>
      <c r="AB56" s="7">
        <f t="shared" si="7"/>
        <v>0.33333333333333331</v>
      </c>
      <c r="AC56" s="7">
        <f t="shared" si="8"/>
        <v>0.39999999999999997</v>
      </c>
      <c r="AD56" s="7">
        <f t="shared" si="9"/>
        <v>0.26666666666666666</v>
      </c>
      <c r="AE56" s="7">
        <f>INDEX(환산공식!$AF$16:$AF$301,MATCH('배치점수 계산기'!W56,환산공식!$A$16:$A$301,0))</f>
        <v>1</v>
      </c>
      <c r="AF56" s="7">
        <f>INDEX(환산공식!$AP$16:$AP$301,MATCH('배치점수 계산기'!W56,환산공식!$A$16:$A$301,0))</f>
        <v>1</v>
      </c>
      <c r="AG56" s="7" t="str">
        <f t="shared" si="10"/>
        <v>표점</v>
      </c>
      <c r="AH56" s="7" t="str">
        <f t="shared" si="11"/>
        <v>표점</v>
      </c>
      <c r="BO56" s="210"/>
      <c r="BP56" s="210"/>
      <c r="BQ56" s="210"/>
      <c r="BR56" s="210"/>
      <c r="BS56" s="210"/>
      <c r="BT56" s="210"/>
      <c r="BU56" s="210"/>
      <c r="BV56" s="210"/>
      <c r="BW56" s="210"/>
      <c r="BX56" s="210"/>
      <c r="BY56" s="210"/>
      <c r="BZ56" s="210"/>
      <c r="CA56" s="210"/>
      <c r="CB56" s="210"/>
      <c r="CC56" s="210"/>
      <c r="EM56" s="120"/>
      <c r="ET56" s="210"/>
      <c r="EU56" s="210"/>
      <c r="EV56" s="210"/>
      <c r="EW56" s="210"/>
      <c r="EX56" s="210"/>
      <c r="EY56" s="210"/>
      <c r="EZ56" s="210"/>
      <c r="FA56" s="210"/>
      <c r="FB56" s="210"/>
      <c r="FC56" s="210"/>
      <c r="FD56" s="210"/>
      <c r="FE56" s="210"/>
      <c r="FF56" s="210"/>
      <c r="FG56" s="210"/>
      <c r="FH56" s="210"/>
      <c r="HR56" s="120"/>
      <c r="HY56" s="210"/>
      <c r="HZ56" s="210"/>
      <c r="IA56" s="210"/>
      <c r="IB56" s="210"/>
      <c r="IC56" s="210"/>
      <c r="ID56" s="210"/>
      <c r="IE56" s="210"/>
      <c r="IF56" s="210"/>
      <c r="IG56" s="210"/>
      <c r="IH56" s="210"/>
      <c r="II56" s="210"/>
      <c r="IJ56" s="210"/>
      <c r="IK56" s="210"/>
      <c r="IL56" s="210"/>
      <c r="IM56" s="210"/>
      <c r="KW56" s="120"/>
      <c r="LD56" s="210"/>
      <c r="LE56" s="210"/>
      <c r="LF56" s="210"/>
      <c r="LG56" s="210"/>
      <c r="LH56" s="210"/>
      <c r="LI56" s="210"/>
      <c r="LJ56" s="210"/>
      <c r="LK56" s="210"/>
      <c r="LL56" s="210"/>
      <c r="LM56" s="210"/>
      <c r="LN56" s="210"/>
      <c r="LO56" s="210"/>
      <c r="LP56" s="210"/>
      <c r="LQ56" s="210"/>
      <c r="LR56" s="210"/>
      <c r="OB56" s="120"/>
      <c r="OI56" s="210"/>
      <c r="OJ56" s="210"/>
      <c r="OK56" s="210"/>
      <c r="OL56" s="210"/>
      <c r="OM56" s="210"/>
      <c r="ON56" s="210"/>
      <c r="OO56" s="210"/>
      <c r="OP56" s="210"/>
      <c r="OQ56" s="210"/>
      <c r="OR56" s="210"/>
      <c r="OS56" s="210"/>
      <c r="OT56" s="210"/>
      <c r="OU56" s="210"/>
      <c r="OV56" s="210"/>
      <c r="OW56" s="210"/>
      <c r="RG56" s="120"/>
    </row>
    <row r="57" spans="1:475" x14ac:dyDescent="0.3">
      <c r="A57" s="7">
        <v>17</v>
      </c>
      <c r="B57" s="7">
        <v>47</v>
      </c>
      <c r="C57" s="7" t="s">
        <v>346</v>
      </c>
      <c r="D57" s="7" t="s">
        <v>681</v>
      </c>
      <c r="E57" s="7" t="s">
        <v>269</v>
      </c>
      <c r="F57" s="7" t="s">
        <v>275</v>
      </c>
      <c r="G57" s="41" t="str">
        <f t="shared" si="3"/>
        <v>X</v>
      </c>
      <c r="H57" s="41">
        <f>INDEX(환산공식!CI$16:CI$301,MATCH('배치점수 계산기'!$W57,환산공식!$A$16:$A$301,0))</f>
        <v>0</v>
      </c>
      <c r="I57" s="41" t="e">
        <f>CONCATENATE(ROUND(INDEX(환산공식!CJ$16:CJ$301,MATCH('배치점수 계산기'!$W57,환산공식!$A$16:$A$301,0)),1),"%")</f>
        <v>#DIV/0!</v>
      </c>
      <c r="J57" s="41">
        <f>INDEX(환산공식!CK$16:CK$301,MATCH('배치점수 계산기'!$W57,환산공식!$A$16:$A$301,0))</f>
        <v>0</v>
      </c>
      <c r="K57" s="7">
        <f>INDEX(환산공식!$EF$16:$EF$301,MATCH('배치점수 계산기'!W57,환산공식!$A$16:$A$301,0))</f>
        <v>0</v>
      </c>
      <c r="L57" s="41" t="str">
        <f t="shared" si="0"/>
        <v>1% 이하</v>
      </c>
      <c r="M57" s="7">
        <v>399.81969400551804</v>
      </c>
      <c r="N57" s="7">
        <v>397.68027238335435</v>
      </c>
      <c r="O57" s="7">
        <v>396.78</v>
      </c>
      <c r="P57" s="7">
        <v>396.22023279352231</v>
      </c>
      <c r="Q57" s="7">
        <v>393.96016785350969</v>
      </c>
      <c r="R57" s="7">
        <f t="shared" si="1"/>
        <v>6</v>
      </c>
      <c r="T57" s="7">
        <f>COUNTIF($C$11:C57,C57)</f>
        <v>47</v>
      </c>
      <c r="U57" s="7" t="str">
        <f t="shared" si="4"/>
        <v>나47</v>
      </c>
      <c r="V57" s="7" t="str">
        <f>INDEX(환산공식!$C$16:$C$301,MATCH('배치점수 계산기'!W57,환산공식!$A$16:$A$301,0))</f>
        <v>서울대 통합</v>
      </c>
      <c r="W57" s="7">
        <f t="shared" si="5"/>
        <v>17</v>
      </c>
      <c r="X57" s="7">
        <f t="shared" si="6"/>
        <v>1</v>
      </c>
      <c r="Y57" s="7">
        <f>IFERROR(INDEX(환산공식!Q$16:Q$200,MATCH($A57,환산공식!$A$16:$A$200,0)),"")</f>
        <v>1</v>
      </c>
      <c r="Z57" s="7">
        <f>IFERROR(INDEX(환산공식!R$16:R$200,MATCH($A57,환산공식!$A$16:$A$200,0)),"")</f>
        <v>1.2</v>
      </c>
      <c r="AA57" s="7">
        <f>IFERROR(INDEX(환산공식!U$16:U$200,MATCH($A57,환산공식!$A$16:$A$200,0)),"")</f>
        <v>0.8</v>
      </c>
      <c r="AB57" s="7">
        <f t="shared" si="7"/>
        <v>0.33333333333333331</v>
      </c>
      <c r="AC57" s="7">
        <f t="shared" si="8"/>
        <v>0.39999999999999997</v>
      </c>
      <c r="AD57" s="7">
        <f t="shared" si="9"/>
        <v>0.26666666666666666</v>
      </c>
      <c r="AE57" s="7">
        <f>INDEX(환산공식!$AF$16:$AF$301,MATCH('배치점수 계산기'!W57,환산공식!$A$16:$A$301,0))</f>
        <v>1</v>
      </c>
      <c r="AF57" s="7">
        <f>INDEX(환산공식!$AP$16:$AP$301,MATCH('배치점수 계산기'!W57,환산공식!$A$16:$A$301,0))</f>
        <v>1</v>
      </c>
      <c r="AG57" s="7" t="str">
        <f t="shared" si="10"/>
        <v>표점</v>
      </c>
      <c r="AH57" s="7" t="str">
        <f t="shared" si="11"/>
        <v>표점</v>
      </c>
      <c r="BO57" s="210"/>
      <c r="BP57" s="210"/>
      <c r="BQ57" s="210"/>
      <c r="BR57" s="210"/>
      <c r="BS57" s="210"/>
      <c r="BT57" s="210"/>
      <c r="BU57" s="210"/>
      <c r="BV57" s="210"/>
      <c r="BW57" s="210"/>
      <c r="BX57" s="210"/>
      <c r="BY57" s="210"/>
      <c r="BZ57" s="210"/>
      <c r="CA57" s="210"/>
      <c r="CB57" s="210"/>
      <c r="CC57" s="210"/>
      <c r="EM57" s="120"/>
      <c r="ET57" s="210"/>
      <c r="EU57" s="210"/>
      <c r="EV57" s="210"/>
      <c r="EW57" s="210"/>
      <c r="EX57" s="210"/>
      <c r="EY57" s="210"/>
      <c r="EZ57" s="210"/>
      <c r="FA57" s="210"/>
      <c r="FB57" s="210"/>
      <c r="FC57" s="210"/>
      <c r="FD57" s="210"/>
      <c r="FE57" s="210"/>
      <c r="FF57" s="210"/>
      <c r="FG57" s="210"/>
      <c r="FH57" s="210"/>
      <c r="HR57" s="120"/>
      <c r="HY57" s="210"/>
      <c r="HZ57" s="210"/>
      <c r="IA57" s="210"/>
      <c r="IB57" s="210"/>
      <c r="IC57" s="210"/>
      <c r="ID57" s="210"/>
      <c r="IE57" s="210"/>
      <c r="IF57" s="210"/>
      <c r="IG57" s="210"/>
      <c r="IH57" s="210"/>
      <c r="II57" s="210"/>
      <c r="IJ57" s="210"/>
      <c r="IK57" s="210"/>
      <c r="IL57" s="210"/>
      <c r="IM57" s="210"/>
      <c r="KW57" s="120"/>
      <c r="LD57" s="210"/>
      <c r="LE57" s="210"/>
      <c r="LF57" s="210"/>
      <c r="LG57" s="210"/>
      <c r="LH57" s="210"/>
      <c r="LI57" s="210"/>
      <c r="LJ57" s="210"/>
      <c r="LK57" s="210"/>
      <c r="LL57" s="210"/>
      <c r="LM57" s="210"/>
      <c r="LN57" s="210"/>
      <c r="LO57" s="210"/>
      <c r="LP57" s="210"/>
      <c r="LQ57" s="210"/>
      <c r="LR57" s="210"/>
      <c r="OB57" s="120"/>
      <c r="OI57" s="210"/>
      <c r="OJ57" s="210"/>
      <c r="OK57" s="210"/>
      <c r="OL57" s="210"/>
      <c r="OM57" s="210"/>
      <c r="ON57" s="210"/>
      <c r="OO57" s="210"/>
      <c r="OP57" s="210"/>
      <c r="OQ57" s="210"/>
      <c r="OR57" s="210"/>
      <c r="OS57" s="210"/>
      <c r="OT57" s="210"/>
      <c r="OU57" s="210"/>
      <c r="OV57" s="210"/>
      <c r="OW57" s="210"/>
      <c r="RG57" s="120"/>
    </row>
    <row r="58" spans="1:475" x14ac:dyDescent="0.3">
      <c r="A58" s="7">
        <v>17</v>
      </c>
      <c r="B58" s="7">
        <v>48</v>
      </c>
      <c r="C58" s="7" t="s">
        <v>346</v>
      </c>
      <c r="D58" s="7" t="s">
        <v>681</v>
      </c>
      <c r="E58" s="7" t="s">
        <v>270</v>
      </c>
      <c r="F58" s="7" t="s">
        <v>275</v>
      </c>
      <c r="G58" s="41" t="str">
        <f t="shared" si="3"/>
        <v>X</v>
      </c>
      <c r="H58" s="41">
        <f>INDEX(환산공식!CI$16:CI$301,MATCH('배치점수 계산기'!$W58,환산공식!$A$16:$A$301,0))</f>
        <v>0</v>
      </c>
      <c r="I58" s="41" t="e">
        <f>CONCATENATE(ROUND(INDEX(환산공식!CJ$16:CJ$301,MATCH('배치점수 계산기'!$W58,환산공식!$A$16:$A$301,0)),1),"%")</f>
        <v>#DIV/0!</v>
      </c>
      <c r="J58" s="41">
        <f>INDEX(환산공식!CK$16:CK$301,MATCH('배치점수 계산기'!$W58,환산공식!$A$16:$A$301,0))</f>
        <v>0</v>
      </c>
      <c r="K58" s="7">
        <f>INDEX(환산공식!$EF$16:$EF$301,MATCH('배치점수 계산기'!W58,환산공식!$A$16:$A$301,0))</f>
        <v>0</v>
      </c>
      <c r="L58" s="41" t="str">
        <f t="shared" si="0"/>
        <v>1% 이하</v>
      </c>
      <c r="M58" s="7">
        <v>399.81969400551804</v>
      </c>
      <c r="N58" s="7">
        <v>397.68027238335435</v>
      </c>
      <c r="O58" s="7">
        <v>396.78</v>
      </c>
      <c r="P58" s="7">
        <v>396.22023279352231</v>
      </c>
      <c r="Q58" s="7">
        <v>393.96016785350969</v>
      </c>
      <c r="R58" s="7">
        <f t="shared" si="1"/>
        <v>6</v>
      </c>
      <c r="T58" s="7">
        <f>COUNTIF($C$11:C58,C58)</f>
        <v>48</v>
      </c>
      <c r="U58" s="7" t="str">
        <f t="shared" si="4"/>
        <v>나48</v>
      </c>
      <c r="V58" s="7" t="str">
        <f>INDEX(환산공식!$C$16:$C$301,MATCH('배치점수 계산기'!W58,환산공식!$A$16:$A$301,0))</f>
        <v>서울대 통합</v>
      </c>
      <c r="W58" s="7">
        <f t="shared" si="5"/>
        <v>17</v>
      </c>
      <c r="X58" s="7">
        <f t="shared" si="6"/>
        <v>1</v>
      </c>
      <c r="Y58" s="7">
        <f>IFERROR(INDEX(환산공식!Q$16:Q$200,MATCH($A58,환산공식!$A$16:$A$200,0)),"")</f>
        <v>1</v>
      </c>
      <c r="Z58" s="7">
        <f>IFERROR(INDEX(환산공식!R$16:R$200,MATCH($A58,환산공식!$A$16:$A$200,0)),"")</f>
        <v>1.2</v>
      </c>
      <c r="AA58" s="7">
        <f>IFERROR(INDEX(환산공식!U$16:U$200,MATCH($A58,환산공식!$A$16:$A$200,0)),"")</f>
        <v>0.8</v>
      </c>
      <c r="AB58" s="7">
        <f t="shared" si="7"/>
        <v>0.33333333333333331</v>
      </c>
      <c r="AC58" s="7">
        <f t="shared" si="8"/>
        <v>0.39999999999999997</v>
      </c>
      <c r="AD58" s="7">
        <f t="shared" si="9"/>
        <v>0.26666666666666666</v>
      </c>
      <c r="AE58" s="7">
        <f>INDEX(환산공식!$AF$16:$AF$301,MATCH('배치점수 계산기'!W58,환산공식!$A$16:$A$301,0))</f>
        <v>1</v>
      </c>
      <c r="AF58" s="7">
        <f>INDEX(환산공식!$AP$16:$AP$301,MATCH('배치점수 계산기'!W58,환산공식!$A$16:$A$301,0))</f>
        <v>1</v>
      </c>
      <c r="AG58" s="7" t="str">
        <f t="shared" si="10"/>
        <v>표점</v>
      </c>
      <c r="AH58" s="7" t="str">
        <f t="shared" si="11"/>
        <v>표점</v>
      </c>
      <c r="BO58" s="210"/>
      <c r="BP58" s="210"/>
      <c r="BQ58" s="210"/>
      <c r="BR58" s="210"/>
      <c r="BS58" s="210"/>
      <c r="BT58" s="210"/>
      <c r="BU58" s="210"/>
      <c r="BV58" s="210"/>
      <c r="BW58" s="210"/>
      <c r="BX58" s="210"/>
      <c r="BY58" s="210"/>
      <c r="BZ58" s="210"/>
      <c r="CA58" s="210"/>
      <c r="CB58" s="210"/>
      <c r="CC58" s="210"/>
      <c r="EM58" s="120"/>
      <c r="ET58" s="210"/>
      <c r="EU58" s="210"/>
      <c r="EV58" s="210"/>
      <c r="EW58" s="210"/>
      <c r="EX58" s="210"/>
      <c r="EY58" s="210"/>
      <c r="EZ58" s="210"/>
      <c r="FA58" s="210"/>
      <c r="FB58" s="210"/>
      <c r="FC58" s="210"/>
      <c r="FD58" s="210"/>
      <c r="FE58" s="210"/>
      <c r="FF58" s="210"/>
      <c r="FG58" s="210"/>
      <c r="FH58" s="210"/>
      <c r="HR58" s="120"/>
      <c r="HY58" s="210"/>
      <c r="HZ58" s="210"/>
      <c r="IA58" s="210"/>
      <c r="IB58" s="210"/>
      <c r="IC58" s="210"/>
      <c r="ID58" s="210"/>
      <c r="IE58" s="210"/>
      <c r="IF58" s="210"/>
      <c r="IG58" s="210"/>
      <c r="IH58" s="210"/>
      <c r="II58" s="210"/>
      <c r="IJ58" s="210"/>
      <c r="IK58" s="210"/>
      <c r="IL58" s="210"/>
      <c r="IM58" s="210"/>
      <c r="KW58" s="120"/>
      <c r="LD58" s="210"/>
      <c r="LE58" s="210"/>
      <c r="LF58" s="210"/>
      <c r="LG58" s="210"/>
      <c r="LH58" s="210"/>
      <c r="LI58" s="210"/>
      <c r="LJ58" s="210"/>
      <c r="LK58" s="210"/>
      <c r="LL58" s="210"/>
      <c r="LM58" s="210"/>
      <c r="LN58" s="210"/>
      <c r="LO58" s="210"/>
      <c r="LP58" s="210"/>
      <c r="LQ58" s="210"/>
      <c r="LR58" s="210"/>
      <c r="OB58" s="120"/>
      <c r="OI58" s="210"/>
      <c r="OJ58" s="210"/>
      <c r="OK58" s="210"/>
      <c r="OL58" s="210"/>
      <c r="OM58" s="210"/>
      <c r="ON58" s="210"/>
      <c r="OO58" s="210"/>
      <c r="OP58" s="210"/>
      <c r="OQ58" s="210"/>
      <c r="OR58" s="210"/>
      <c r="OS58" s="210"/>
      <c r="OT58" s="210"/>
      <c r="OU58" s="210"/>
      <c r="OV58" s="210"/>
      <c r="OW58" s="210"/>
      <c r="RG58" s="120"/>
    </row>
    <row r="59" spans="1:475" x14ac:dyDescent="0.3">
      <c r="A59" s="7">
        <v>17</v>
      </c>
      <c r="B59" s="7">
        <v>49</v>
      </c>
      <c r="C59" s="7" t="s">
        <v>346</v>
      </c>
      <c r="D59" s="7" t="s">
        <v>681</v>
      </c>
      <c r="E59" s="7" t="s">
        <v>744</v>
      </c>
      <c r="F59" s="7" t="s">
        <v>275</v>
      </c>
      <c r="G59" s="41" t="str">
        <f t="shared" si="3"/>
        <v>X</v>
      </c>
      <c r="H59" s="41">
        <f>INDEX(환산공식!CI$16:CI$301,MATCH('배치점수 계산기'!$W59,환산공식!$A$16:$A$301,0))</f>
        <v>0</v>
      </c>
      <c r="I59" s="41" t="e">
        <f>CONCATENATE(ROUND(INDEX(환산공식!CJ$16:CJ$301,MATCH('배치점수 계산기'!$W59,환산공식!$A$16:$A$301,0)),1),"%")</f>
        <v>#DIV/0!</v>
      </c>
      <c r="J59" s="41">
        <f>INDEX(환산공식!CK$16:CK$301,MATCH('배치점수 계산기'!$W59,환산공식!$A$16:$A$301,0))</f>
        <v>0</v>
      </c>
      <c r="K59" s="7">
        <f>INDEX(환산공식!$EF$16:$EF$301,MATCH('배치점수 계산기'!W59,환산공식!$A$16:$A$301,0))</f>
        <v>0</v>
      </c>
      <c r="L59" s="41" t="str">
        <f t="shared" si="0"/>
        <v>1% 이하</v>
      </c>
      <c r="M59" s="7">
        <v>399.81969400551804</v>
      </c>
      <c r="N59" s="7">
        <v>397.68027238335435</v>
      </c>
      <c r="O59" s="7">
        <v>396.78</v>
      </c>
      <c r="P59" s="7">
        <v>396.22023279352231</v>
      </c>
      <c r="Q59" s="7">
        <v>393.96016785350969</v>
      </c>
      <c r="R59" s="7">
        <f t="shared" si="1"/>
        <v>6</v>
      </c>
      <c r="T59" s="7">
        <f>COUNTIF($C$11:C59,C59)</f>
        <v>49</v>
      </c>
      <c r="U59" s="7" t="str">
        <f t="shared" si="4"/>
        <v>나49</v>
      </c>
      <c r="V59" s="7" t="str">
        <f>INDEX(환산공식!$C$16:$C$301,MATCH('배치점수 계산기'!W59,환산공식!$A$16:$A$301,0))</f>
        <v>서울대 통합</v>
      </c>
      <c r="W59" s="7">
        <f t="shared" si="5"/>
        <v>17</v>
      </c>
      <c r="X59" s="7">
        <f t="shared" si="6"/>
        <v>1</v>
      </c>
      <c r="Y59" s="7">
        <f>IFERROR(INDEX(환산공식!Q$16:Q$200,MATCH($A59,환산공식!$A$16:$A$200,0)),"")</f>
        <v>1</v>
      </c>
      <c r="Z59" s="7">
        <f>IFERROR(INDEX(환산공식!R$16:R$200,MATCH($A59,환산공식!$A$16:$A$200,0)),"")</f>
        <v>1.2</v>
      </c>
      <c r="AA59" s="7">
        <f>IFERROR(INDEX(환산공식!U$16:U$200,MATCH($A59,환산공식!$A$16:$A$200,0)),"")</f>
        <v>0.8</v>
      </c>
      <c r="AB59" s="7">
        <f t="shared" si="7"/>
        <v>0.33333333333333331</v>
      </c>
      <c r="AC59" s="7">
        <f t="shared" si="8"/>
        <v>0.39999999999999997</v>
      </c>
      <c r="AD59" s="7">
        <f t="shared" si="9"/>
        <v>0.26666666666666666</v>
      </c>
      <c r="AE59" s="7">
        <f>INDEX(환산공식!$AF$16:$AF$301,MATCH('배치점수 계산기'!W59,환산공식!$A$16:$A$301,0))</f>
        <v>1</v>
      </c>
      <c r="AF59" s="7">
        <f>INDEX(환산공식!$AP$16:$AP$301,MATCH('배치점수 계산기'!W59,환산공식!$A$16:$A$301,0))</f>
        <v>1</v>
      </c>
      <c r="AG59" s="7" t="str">
        <f t="shared" si="10"/>
        <v>표점</v>
      </c>
      <c r="AH59" s="7" t="str">
        <f t="shared" si="11"/>
        <v>표점</v>
      </c>
      <c r="BO59" s="210"/>
      <c r="BP59" s="210"/>
      <c r="BQ59" s="210"/>
      <c r="BR59" s="210"/>
      <c r="BS59" s="210"/>
      <c r="BT59" s="210"/>
      <c r="BU59" s="210"/>
      <c r="BV59" s="210"/>
      <c r="BW59" s="210"/>
      <c r="BX59" s="210"/>
      <c r="BY59" s="210"/>
      <c r="BZ59" s="210"/>
      <c r="CA59" s="210"/>
      <c r="CB59" s="210"/>
      <c r="CC59" s="210"/>
      <c r="EM59" s="120"/>
      <c r="ET59" s="210"/>
      <c r="EU59" s="210"/>
      <c r="EV59" s="210"/>
      <c r="EW59" s="210"/>
      <c r="EX59" s="210"/>
      <c r="EY59" s="210"/>
      <c r="EZ59" s="210"/>
      <c r="FA59" s="210"/>
      <c r="FB59" s="210"/>
      <c r="FC59" s="210"/>
      <c r="FD59" s="210"/>
      <c r="FE59" s="210"/>
      <c r="FF59" s="210"/>
      <c r="FG59" s="210"/>
      <c r="FH59" s="210"/>
      <c r="HR59" s="120"/>
      <c r="HY59" s="210"/>
      <c r="HZ59" s="210"/>
      <c r="IA59" s="210"/>
      <c r="IB59" s="210"/>
      <c r="IC59" s="210"/>
      <c r="ID59" s="210"/>
      <c r="IE59" s="210"/>
      <c r="IF59" s="210"/>
      <c r="IG59" s="210"/>
      <c r="IH59" s="210"/>
      <c r="II59" s="210"/>
      <c r="IJ59" s="210"/>
      <c r="IK59" s="210"/>
      <c r="IL59" s="210"/>
      <c r="IM59" s="210"/>
      <c r="KW59" s="120"/>
      <c r="LD59" s="210"/>
      <c r="LE59" s="210"/>
      <c r="LF59" s="210"/>
      <c r="LG59" s="210"/>
      <c r="LH59" s="210"/>
      <c r="LI59" s="210"/>
      <c r="LJ59" s="210"/>
      <c r="LK59" s="210"/>
      <c r="LL59" s="210"/>
      <c r="LM59" s="210"/>
      <c r="LN59" s="210"/>
      <c r="LO59" s="210"/>
      <c r="LP59" s="210"/>
      <c r="LQ59" s="210"/>
      <c r="LR59" s="210"/>
      <c r="OB59" s="120"/>
      <c r="OI59" s="210"/>
      <c r="OJ59" s="210"/>
      <c r="OK59" s="210"/>
      <c r="OL59" s="210"/>
      <c r="OM59" s="210"/>
      <c r="ON59" s="210"/>
      <c r="OO59" s="210"/>
      <c r="OP59" s="210"/>
      <c r="OQ59" s="210"/>
      <c r="OR59" s="210"/>
      <c r="OS59" s="210"/>
      <c r="OT59" s="210"/>
      <c r="OU59" s="210"/>
      <c r="OV59" s="210"/>
      <c r="OW59" s="210"/>
      <c r="RG59" s="120"/>
    </row>
    <row r="60" spans="1:475" x14ac:dyDescent="0.3">
      <c r="A60" s="7">
        <v>17</v>
      </c>
      <c r="B60" s="7">
        <v>50</v>
      </c>
      <c r="C60" s="7" t="s">
        <v>346</v>
      </c>
      <c r="D60" s="7" t="s">
        <v>681</v>
      </c>
      <c r="E60" s="7" t="s">
        <v>271</v>
      </c>
      <c r="F60" s="7" t="s">
        <v>275</v>
      </c>
      <c r="G60" s="41" t="str">
        <f t="shared" si="3"/>
        <v>X</v>
      </c>
      <c r="H60" s="41">
        <f>INDEX(환산공식!CI$16:CI$301,MATCH('배치점수 계산기'!$W60,환산공식!$A$16:$A$301,0))</f>
        <v>0</v>
      </c>
      <c r="I60" s="41" t="e">
        <f>CONCATENATE(ROUND(INDEX(환산공식!CJ$16:CJ$301,MATCH('배치점수 계산기'!$W60,환산공식!$A$16:$A$301,0)),1),"%")</f>
        <v>#DIV/0!</v>
      </c>
      <c r="J60" s="41">
        <f>INDEX(환산공식!CK$16:CK$301,MATCH('배치점수 계산기'!$W60,환산공식!$A$16:$A$301,0))</f>
        <v>0</v>
      </c>
      <c r="K60" s="7">
        <f>INDEX(환산공식!$EF$16:$EF$301,MATCH('배치점수 계산기'!W60,환산공식!$A$16:$A$301,0))</f>
        <v>0</v>
      </c>
      <c r="L60" s="41" t="str">
        <f t="shared" si="0"/>
        <v>1% 이하</v>
      </c>
      <c r="M60" s="7">
        <v>399.81969400551804</v>
      </c>
      <c r="N60" s="7">
        <v>397.14</v>
      </c>
      <c r="O60" s="7">
        <v>396.3599999999999</v>
      </c>
      <c r="P60" s="7">
        <v>395.79999999999995</v>
      </c>
      <c r="Q60" s="7">
        <v>393.52015784114053</v>
      </c>
      <c r="R60" s="7">
        <f t="shared" si="1"/>
        <v>6</v>
      </c>
      <c r="T60" s="7">
        <f>COUNTIF($C$11:C60,C60)</f>
        <v>50</v>
      </c>
      <c r="U60" s="7" t="str">
        <f t="shared" si="4"/>
        <v>나50</v>
      </c>
      <c r="V60" s="7" t="str">
        <f>INDEX(환산공식!$C$16:$C$301,MATCH('배치점수 계산기'!W60,환산공식!$A$16:$A$301,0))</f>
        <v>서울대 통합</v>
      </c>
      <c r="W60" s="7">
        <f t="shared" si="5"/>
        <v>17</v>
      </c>
      <c r="X60" s="7">
        <f t="shared" si="6"/>
        <v>1</v>
      </c>
      <c r="Y60" s="7">
        <f>IFERROR(INDEX(환산공식!Q$16:Q$200,MATCH($A60,환산공식!$A$16:$A$200,0)),"")</f>
        <v>1</v>
      </c>
      <c r="Z60" s="7">
        <f>IFERROR(INDEX(환산공식!R$16:R$200,MATCH($A60,환산공식!$A$16:$A$200,0)),"")</f>
        <v>1.2</v>
      </c>
      <c r="AA60" s="7">
        <f>IFERROR(INDEX(환산공식!U$16:U$200,MATCH($A60,환산공식!$A$16:$A$200,0)),"")</f>
        <v>0.8</v>
      </c>
      <c r="AB60" s="7">
        <f t="shared" si="7"/>
        <v>0.33333333333333331</v>
      </c>
      <c r="AC60" s="7">
        <f t="shared" si="8"/>
        <v>0.39999999999999997</v>
      </c>
      <c r="AD60" s="7">
        <f t="shared" si="9"/>
        <v>0.26666666666666666</v>
      </c>
      <c r="AE60" s="7">
        <f>INDEX(환산공식!$AF$16:$AF$301,MATCH('배치점수 계산기'!W60,환산공식!$A$16:$A$301,0))</f>
        <v>1</v>
      </c>
      <c r="AF60" s="7">
        <f>INDEX(환산공식!$AP$16:$AP$301,MATCH('배치점수 계산기'!W60,환산공식!$A$16:$A$301,0))</f>
        <v>1</v>
      </c>
      <c r="AG60" s="7" t="str">
        <f t="shared" si="10"/>
        <v>표점</v>
      </c>
      <c r="AH60" s="7" t="str">
        <f t="shared" si="11"/>
        <v>표점</v>
      </c>
      <c r="BO60" s="210"/>
      <c r="BP60" s="210"/>
      <c r="BQ60" s="210"/>
      <c r="BR60" s="210"/>
      <c r="BS60" s="210"/>
      <c r="BT60" s="210"/>
      <c r="BU60" s="210"/>
      <c r="BV60" s="210"/>
      <c r="BW60" s="210"/>
      <c r="BX60" s="210"/>
      <c r="BY60" s="210"/>
      <c r="BZ60" s="210"/>
      <c r="CA60" s="210"/>
      <c r="CB60" s="210"/>
      <c r="CC60" s="210"/>
      <c r="EM60" s="120"/>
      <c r="ET60" s="210"/>
      <c r="EU60" s="210"/>
      <c r="EV60" s="210"/>
      <c r="EW60" s="210"/>
      <c r="EX60" s="210"/>
      <c r="EY60" s="210"/>
      <c r="EZ60" s="210"/>
      <c r="FA60" s="210"/>
      <c r="FB60" s="210"/>
      <c r="FC60" s="210"/>
      <c r="FD60" s="210"/>
      <c r="FE60" s="210"/>
      <c r="FF60" s="210"/>
      <c r="FG60" s="210"/>
      <c r="FH60" s="210"/>
      <c r="HR60" s="120"/>
      <c r="HY60" s="210"/>
      <c r="HZ60" s="210"/>
      <c r="IA60" s="210"/>
      <c r="IB60" s="210"/>
      <c r="IC60" s="210"/>
      <c r="ID60" s="210"/>
      <c r="IE60" s="210"/>
      <c r="IF60" s="210"/>
      <c r="IG60" s="210"/>
      <c r="IH60" s="210"/>
      <c r="II60" s="210"/>
      <c r="IJ60" s="210"/>
      <c r="IK60" s="210"/>
      <c r="IL60" s="210"/>
      <c r="IM60" s="210"/>
      <c r="KW60" s="120"/>
      <c r="LD60" s="210"/>
      <c r="LE60" s="210"/>
      <c r="LF60" s="210"/>
      <c r="LG60" s="210"/>
      <c r="LH60" s="210"/>
      <c r="LI60" s="210"/>
      <c r="LJ60" s="210"/>
      <c r="LK60" s="210"/>
      <c r="LL60" s="210"/>
      <c r="LM60" s="210"/>
      <c r="LN60" s="210"/>
      <c r="LO60" s="210"/>
      <c r="LP60" s="210"/>
      <c r="LQ60" s="210"/>
      <c r="LR60" s="210"/>
      <c r="OB60" s="120"/>
      <c r="OI60" s="210"/>
      <c r="OJ60" s="210"/>
      <c r="OK60" s="210"/>
      <c r="OL60" s="210"/>
      <c r="OM60" s="210"/>
      <c r="ON60" s="210"/>
      <c r="OO60" s="210"/>
      <c r="OP60" s="210"/>
      <c r="OQ60" s="210"/>
      <c r="OR60" s="210"/>
      <c r="OS60" s="210"/>
      <c r="OT60" s="210"/>
      <c r="OU60" s="210"/>
      <c r="OV60" s="210"/>
      <c r="OW60" s="210"/>
      <c r="RG60" s="120"/>
    </row>
    <row r="61" spans="1:475" x14ac:dyDescent="0.3">
      <c r="A61" s="7">
        <v>17</v>
      </c>
      <c r="B61" s="7">
        <v>51</v>
      </c>
      <c r="C61" s="7" t="s">
        <v>346</v>
      </c>
      <c r="D61" s="7" t="s">
        <v>681</v>
      </c>
      <c r="E61" s="7" t="s">
        <v>745</v>
      </c>
      <c r="F61" s="7" t="s">
        <v>275</v>
      </c>
      <c r="G61" s="41" t="str">
        <f t="shared" si="3"/>
        <v>X</v>
      </c>
      <c r="H61" s="41">
        <f>INDEX(환산공식!CI$16:CI$301,MATCH('배치점수 계산기'!$W61,환산공식!$A$16:$A$301,0))</f>
        <v>0</v>
      </c>
      <c r="I61" s="41" t="e">
        <f>CONCATENATE(ROUND(INDEX(환산공식!CJ$16:CJ$301,MATCH('배치점수 계산기'!$W61,환산공식!$A$16:$A$301,0)),1),"%")</f>
        <v>#DIV/0!</v>
      </c>
      <c r="J61" s="41">
        <f>INDEX(환산공식!CK$16:CK$301,MATCH('배치점수 계산기'!$W61,환산공식!$A$16:$A$301,0))</f>
        <v>0</v>
      </c>
      <c r="K61" s="7">
        <f>INDEX(환산공식!$EF$16:$EF$301,MATCH('배치점수 계산기'!W61,환산공식!$A$16:$A$301,0))</f>
        <v>0</v>
      </c>
      <c r="L61" s="41" t="str">
        <f t="shared" si="0"/>
        <v>1% 이하</v>
      </c>
      <c r="M61" s="7">
        <v>399.81969400551804</v>
      </c>
      <c r="N61" s="7">
        <v>397.14</v>
      </c>
      <c r="O61" s="7">
        <v>396.3599999999999</v>
      </c>
      <c r="P61" s="7">
        <v>395.79999999999995</v>
      </c>
      <c r="Q61" s="7">
        <v>393.52015784114053</v>
      </c>
      <c r="R61" s="7">
        <f t="shared" si="1"/>
        <v>6</v>
      </c>
      <c r="T61" s="7">
        <f>COUNTIF($C$11:C61,C61)</f>
        <v>51</v>
      </c>
      <c r="U61" s="7" t="str">
        <f t="shared" si="4"/>
        <v>나51</v>
      </c>
      <c r="V61" s="7" t="str">
        <f>INDEX(환산공식!$C$16:$C$301,MATCH('배치점수 계산기'!W61,환산공식!$A$16:$A$301,0))</f>
        <v>서울대 통합</v>
      </c>
      <c r="W61" s="7">
        <f t="shared" si="5"/>
        <v>17</v>
      </c>
      <c r="X61" s="7">
        <f t="shared" si="6"/>
        <v>1</v>
      </c>
      <c r="Y61" s="7">
        <f>IFERROR(INDEX(환산공식!Q$16:Q$200,MATCH($A61,환산공식!$A$16:$A$200,0)),"")</f>
        <v>1</v>
      </c>
      <c r="Z61" s="7">
        <f>IFERROR(INDEX(환산공식!R$16:R$200,MATCH($A61,환산공식!$A$16:$A$200,0)),"")</f>
        <v>1.2</v>
      </c>
      <c r="AA61" s="7">
        <f>IFERROR(INDEX(환산공식!U$16:U$200,MATCH($A61,환산공식!$A$16:$A$200,0)),"")</f>
        <v>0.8</v>
      </c>
      <c r="AB61" s="7">
        <f t="shared" si="7"/>
        <v>0.33333333333333331</v>
      </c>
      <c r="AC61" s="7">
        <f t="shared" si="8"/>
        <v>0.39999999999999997</v>
      </c>
      <c r="AD61" s="7">
        <f t="shared" si="9"/>
        <v>0.26666666666666666</v>
      </c>
      <c r="AE61" s="7">
        <f>INDEX(환산공식!$AF$16:$AF$301,MATCH('배치점수 계산기'!W61,환산공식!$A$16:$A$301,0))</f>
        <v>1</v>
      </c>
      <c r="AF61" s="7">
        <f>INDEX(환산공식!$AP$16:$AP$301,MATCH('배치점수 계산기'!W61,환산공식!$A$16:$A$301,0))</f>
        <v>1</v>
      </c>
      <c r="AG61" s="7" t="str">
        <f t="shared" si="10"/>
        <v>표점</v>
      </c>
      <c r="AH61" s="7" t="str">
        <f t="shared" si="11"/>
        <v>표점</v>
      </c>
      <c r="BO61" s="210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  <c r="CA61" s="210"/>
      <c r="CB61" s="210"/>
      <c r="CC61" s="210"/>
      <c r="EM61" s="120"/>
      <c r="ET61" s="210"/>
      <c r="EU61" s="210"/>
      <c r="EV61" s="210"/>
      <c r="EW61" s="210"/>
      <c r="EX61" s="210"/>
      <c r="EY61" s="210"/>
      <c r="EZ61" s="210"/>
      <c r="FA61" s="210"/>
      <c r="FB61" s="210"/>
      <c r="FC61" s="210"/>
      <c r="FD61" s="210"/>
      <c r="FE61" s="210"/>
      <c r="FF61" s="210"/>
      <c r="FG61" s="210"/>
      <c r="FH61" s="210"/>
      <c r="HR61" s="120"/>
      <c r="HY61" s="210"/>
      <c r="HZ61" s="210"/>
      <c r="IA61" s="210"/>
      <c r="IB61" s="210"/>
      <c r="IC61" s="210"/>
      <c r="ID61" s="210"/>
      <c r="IE61" s="210"/>
      <c r="IF61" s="210"/>
      <c r="IG61" s="210"/>
      <c r="IH61" s="210"/>
      <c r="II61" s="210"/>
      <c r="IJ61" s="210"/>
      <c r="IK61" s="210"/>
      <c r="IL61" s="210"/>
      <c r="IM61" s="210"/>
      <c r="KW61" s="120"/>
      <c r="LD61" s="210"/>
      <c r="LE61" s="210"/>
      <c r="LF61" s="210"/>
      <c r="LG61" s="210"/>
      <c r="LH61" s="210"/>
      <c r="LI61" s="210"/>
      <c r="LJ61" s="210"/>
      <c r="LK61" s="210"/>
      <c r="LL61" s="210"/>
      <c r="LM61" s="210"/>
      <c r="LN61" s="210"/>
      <c r="LO61" s="210"/>
      <c r="LP61" s="210"/>
      <c r="LQ61" s="210"/>
      <c r="LR61" s="210"/>
      <c r="OB61" s="120"/>
      <c r="OI61" s="210"/>
      <c r="OJ61" s="210"/>
      <c r="OK61" s="210"/>
      <c r="OL61" s="210"/>
      <c r="OM61" s="210"/>
      <c r="ON61" s="210"/>
      <c r="OO61" s="210"/>
      <c r="OP61" s="210"/>
      <c r="OQ61" s="210"/>
      <c r="OR61" s="210"/>
      <c r="OS61" s="210"/>
      <c r="OT61" s="210"/>
      <c r="OU61" s="210"/>
      <c r="OV61" s="210"/>
      <c r="OW61" s="210"/>
      <c r="RG61" s="120"/>
    </row>
    <row r="62" spans="1:475" x14ac:dyDescent="0.3">
      <c r="A62" s="7">
        <v>17</v>
      </c>
      <c r="B62" s="7">
        <v>52</v>
      </c>
      <c r="C62" s="7" t="s">
        <v>346</v>
      </c>
      <c r="D62" s="7" t="s">
        <v>681</v>
      </c>
      <c r="E62" s="7" t="s">
        <v>273</v>
      </c>
      <c r="F62" s="7" t="s">
        <v>275</v>
      </c>
      <c r="G62" s="41" t="str">
        <f t="shared" si="3"/>
        <v>X</v>
      </c>
      <c r="H62" s="41">
        <f>INDEX(환산공식!CI$16:CI$301,MATCH('배치점수 계산기'!$W62,환산공식!$A$16:$A$301,0))</f>
        <v>0</v>
      </c>
      <c r="I62" s="41" t="e">
        <f>CONCATENATE(ROUND(INDEX(환산공식!CJ$16:CJ$301,MATCH('배치점수 계산기'!$W62,환산공식!$A$16:$A$301,0)),1),"%")</f>
        <v>#DIV/0!</v>
      </c>
      <c r="J62" s="41">
        <f>INDEX(환산공식!CK$16:CK$301,MATCH('배치점수 계산기'!$W62,환산공식!$A$16:$A$301,0))</f>
        <v>0</v>
      </c>
      <c r="K62" s="7">
        <f>INDEX(환산공식!$EF$16:$EF$301,MATCH('배치점수 계산기'!W62,환산공식!$A$16:$A$301,0))</f>
        <v>0</v>
      </c>
      <c r="L62" s="41" t="str">
        <f t="shared" si="0"/>
        <v>1% 이하</v>
      </c>
      <c r="M62" s="7">
        <v>398.29972313113512</v>
      </c>
      <c r="N62" s="7">
        <v>397.14</v>
      </c>
      <c r="O62" s="7">
        <v>396.3599999999999</v>
      </c>
      <c r="P62" s="7">
        <v>395.43999999999994</v>
      </c>
      <c r="Q62" s="7">
        <v>393.52015784114053</v>
      </c>
      <c r="R62" s="7">
        <f t="shared" si="1"/>
        <v>6</v>
      </c>
      <c r="T62" s="7">
        <f>COUNTIF($C$11:C62,C62)</f>
        <v>52</v>
      </c>
      <c r="U62" s="7" t="str">
        <f t="shared" si="4"/>
        <v>나52</v>
      </c>
      <c r="V62" s="7" t="str">
        <f>INDEX(환산공식!$C$16:$C$301,MATCH('배치점수 계산기'!W62,환산공식!$A$16:$A$301,0))</f>
        <v>서울대 통합</v>
      </c>
      <c r="W62" s="7">
        <f t="shared" si="5"/>
        <v>17</v>
      </c>
      <c r="X62" s="7">
        <f t="shared" si="6"/>
        <v>1</v>
      </c>
      <c r="Y62" s="7">
        <f>IFERROR(INDEX(환산공식!Q$16:Q$200,MATCH($A62,환산공식!$A$16:$A$200,0)),"")</f>
        <v>1</v>
      </c>
      <c r="Z62" s="7">
        <f>IFERROR(INDEX(환산공식!R$16:R$200,MATCH($A62,환산공식!$A$16:$A$200,0)),"")</f>
        <v>1.2</v>
      </c>
      <c r="AA62" s="7">
        <f>IFERROR(INDEX(환산공식!U$16:U$200,MATCH($A62,환산공식!$A$16:$A$200,0)),"")</f>
        <v>0.8</v>
      </c>
      <c r="AB62" s="7">
        <f t="shared" si="7"/>
        <v>0.33333333333333331</v>
      </c>
      <c r="AC62" s="7">
        <f t="shared" si="8"/>
        <v>0.39999999999999997</v>
      </c>
      <c r="AD62" s="7">
        <f t="shared" si="9"/>
        <v>0.26666666666666666</v>
      </c>
      <c r="AE62" s="7">
        <f>INDEX(환산공식!$AF$16:$AF$301,MATCH('배치점수 계산기'!W62,환산공식!$A$16:$A$301,0))</f>
        <v>1</v>
      </c>
      <c r="AF62" s="7">
        <f>INDEX(환산공식!$AP$16:$AP$301,MATCH('배치점수 계산기'!W62,환산공식!$A$16:$A$301,0))</f>
        <v>1</v>
      </c>
      <c r="AG62" s="7" t="str">
        <f t="shared" si="10"/>
        <v>표점</v>
      </c>
      <c r="AH62" s="7" t="str">
        <f t="shared" si="11"/>
        <v>표점</v>
      </c>
      <c r="BO62" s="210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  <c r="CA62" s="210"/>
      <c r="CB62" s="210"/>
      <c r="CC62" s="210"/>
      <c r="EM62" s="120"/>
      <c r="ET62" s="210"/>
      <c r="EU62" s="210"/>
      <c r="EV62" s="210"/>
      <c r="EW62" s="210"/>
      <c r="EX62" s="210"/>
      <c r="EY62" s="210"/>
      <c r="EZ62" s="210"/>
      <c r="FA62" s="210"/>
      <c r="FB62" s="210"/>
      <c r="FC62" s="210"/>
      <c r="FD62" s="210"/>
      <c r="FE62" s="210"/>
      <c r="FF62" s="210"/>
      <c r="FG62" s="210"/>
      <c r="FH62" s="210"/>
      <c r="HR62" s="120"/>
      <c r="HY62" s="210"/>
      <c r="HZ62" s="210"/>
      <c r="IA62" s="210"/>
      <c r="IB62" s="210"/>
      <c r="IC62" s="210"/>
      <c r="ID62" s="210"/>
      <c r="IE62" s="210"/>
      <c r="IF62" s="210"/>
      <c r="IG62" s="210"/>
      <c r="IH62" s="210"/>
      <c r="II62" s="210"/>
      <c r="IJ62" s="210"/>
      <c r="IK62" s="210"/>
      <c r="IL62" s="210"/>
      <c r="IM62" s="210"/>
      <c r="KW62" s="120"/>
      <c r="LD62" s="210"/>
      <c r="LE62" s="210"/>
      <c r="LF62" s="210"/>
      <c r="LG62" s="210"/>
      <c r="LH62" s="210"/>
      <c r="LI62" s="210"/>
      <c r="LJ62" s="210"/>
      <c r="LK62" s="210"/>
      <c r="LL62" s="210"/>
      <c r="LM62" s="210"/>
      <c r="LN62" s="210"/>
      <c r="LO62" s="210"/>
      <c r="LP62" s="210"/>
      <c r="LQ62" s="210"/>
      <c r="LR62" s="210"/>
      <c r="OB62" s="120"/>
      <c r="OI62" s="210"/>
      <c r="OJ62" s="210"/>
      <c r="OK62" s="210"/>
      <c r="OL62" s="210"/>
      <c r="OM62" s="210"/>
      <c r="ON62" s="210"/>
      <c r="OO62" s="210"/>
      <c r="OP62" s="210"/>
      <c r="OQ62" s="210"/>
      <c r="OR62" s="210"/>
      <c r="OS62" s="210"/>
      <c r="OT62" s="210"/>
      <c r="OU62" s="210"/>
      <c r="OV62" s="210"/>
      <c r="OW62" s="210"/>
      <c r="RG62" s="120"/>
    </row>
    <row r="63" spans="1:475" x14ac:dyDescent="0.3">
      <c r="A63" s="7">
        <v>17</v>
      </c>
      <c r="B63" s="7">
        <v>53</v>
      </c>
      <c r="C63" s="7" t="s">
        <v>346</v>
      </c>
      <c r="D63" s="7" t="s">
        <v>681</v>
      </c>
      <c r="E63" s="7" t="s">
        <v>272</v>
      </c>
      <c r="F63" s="7" t="s">
        <v>275</v>
      </c>
      <c r="G63" s="41" t="str">
        <f t="shared" si="3"/>
        <v>X</v>
      </c>
      <c r="H63" s="41">
        <f>INDEX(환산공식!CI$16:CI$301,MATCH('배치점수 계산기'!$W63,환산공식!$A$16:$A$301,0))</f>
        <v>0</v>
      </c>
      <c r="I63" s="41" t="e">
        <f>CONCATENATE(ROUND(INDEX(환산공식!CJ$16:CJ$301,MATCH('배치점수 계산기'!$W63,환산공식!$A$16:$A$301,0)),1),"%")</f>
        <v>#DIV/0!</v>
      </c>
      <c r="J63" s="41">
        <f>INDEX(환산공식!CK$16:CK$301,MATCH('배치점수 계산기'!$W63,환산공식!$A$16:$A$301,0))</f>
        <v>0</v>
      </c>
      <c r="K63" s="7">
        <f>INDEX(환산공식!$EF$16:$EF$301,MATCH('배치점수 계산기'!W63,환산공식!$A$16:$A$301,0))</f>
        <v>0</v>
      </c>
      <c r="L63" s="41" t="str">
        <f t="shared" si="0"/>
        <v>1% 이하</v>
      </c>
      <c r="M63" s="7">
        <v>393.38029546612336</v>
      </c>
      <c r="N63" s="7">
        <v>391.96000000000004</v>
      </c>
      <c r="O63" s="7">
        <v>390.79989756722148</v>
      </c>
      <c r="P63" s="7">
        <v>389.75993326488702</v>
      </c>
      <c r="Q63" s="7">
        <v>388.09997423344498</v>
      </c>
      <c r="R63" s="7">
        <f t="shared" si="1"/>
        <v>6</v>
      </c>
      <c r="T63" s="7">
        <f>COUNTIF($C$11:C63,C63)</f>
        <v>53</v>
      </c>
      <c r="U63" s="7" t="str">
        <f t="shared" si="4"/>
        <v>나53</v>
      </c>
      <c r="V63" s="7" t="str">
        <f>INDEX(환산공식!$C$16:$C$301,MATCH('배치점수 계산기'!W63,환산공식!$A$16:$A$301,0))</f>
        <v>서울대 통합</v>
      </c>
      <c r="W63" s="7">
        <f t="shared" si="5"/>
        <v>17</v>
      </c>
      <c r="X63" s="7">
        <f t="shared" si="6"/>
        <v>1</v>
      </c>
      <c r="Y63" s="7">
        <f>IFERROR(INDEX(환산공식!Q$16:Q$200,MATCH($A63,환산공식!$A$16:$A$200,0)),"")</f>
        <v>1</v>
      </c>
      <c r="Z63" s="7">
        <f>IFERROR(INDEX(환산공식!R$16:R$200,MATCH($A63,환산공식!$A$16:$A$200,0)),"")</f>
        <v>1.2</v>
      </c>
      <c r="AA63" s="7">
        <f>IFERROR(INDEX(환산공식!U$16:U$200,MATCH($A63,환산공식!$A$16:$A$200,0)),"")</f>
        <v>0.8</v>
      </c>
      <c r="AB63" s="7">
        <f t="shared" si="7"/>
        <v>0.33333333333333331</v>
      </c>
      <c r="AC63" s="7">
        <f t="shared" si="8"/>
        <v>0.39999999999999997</v>
      </c>
      <c r="AD63" s="7">
        <f t="shared" si="9"/>
        <v>0.26666666666666666</v>
      </c>
      <c r="AE63" s="7">
        <f>INDEX(환산공식!$AF$16:$AF$301,MATCH('배치점수 계산기'!W63,환산공식!$A$16:$A$301,0))</f>
        <v>1</v>
      </c>
      <c r="AF63" s="7">
        <f>INDEX(환산공식!$AP$16:$AP$301,MATCH('배치점수 계산기'!W63,환산공식!$A$16:$A$301,0))</f>
        <v>1</v>
      </c>
      <c r="AG63" s="7" t="str">
        <f t="shared" si="10"/>
        <v>표점</v>
      </c>
      <c r="AH63" s="7" t="str">
        <f t="shared" si="11"/>
        <v>표점</v>
      </c>
      <c r="BO63" s="210"/>
      <c r="BP63" s="210"/>
      <c r="BQ63" s="210"/>
      <c r="BR63" s="210"/>
      <c r="BS63" s="210"/>
      <c r="BT63" s="210"/>
      <c r="BU63" s="210"/>
      <c r="BV63" s="210"/>
      <c r="BW63" s="210"/>
      <c r="BX63" s="210"/>
      <c r="BY63" s="210"/>
      <c r="BZ63" s="210"/>
      <c r="CA63" s="210"/>
      <c r="CB63" s="210"/>
      <c r="CC63" s="210"/>
      <c r="EM63" s="120"/>
      <c r="ET63" s="210"/>
      <c r="EU63" s="210"/>
      <c r="EV63" s="210"/>
      <c r="EW63" s="210"/>
      <c r="EX63" s="210"/>
      <c r="EY63" s="210"/>
      <c r="EZ63" s="210"/>
      <c r="FA63" s="210"/>
      <c r="FB63" s="210"/>
      <c r="FC63" s="210"/>
      <c r="FD63" s="210"/>
      <c r="FE63" s="210"/>
      <c r="FF63" s="210"/>
      <c r="FG63" s="210"/>
      <c r="FH63" s="210"/>
      <c r="HR63" s="120"/>
      <c r="HY63" s="210"/>
      <c r="HZ63" s="210"/>
      <c r="IA63" s="210"/>
      <c r="IB63" s="210"/>
      <c r="IC63" s="210"/>
      <c r="ID63" s="210"/>
      <c r="IE63" s="210"/>
      <c r="IF63" s="210"/>
      <c r="IG63" s="210"/>
      <c r="IH63" s="210"/>
      <c r="II63" s="210"/>
      <c r="IJ63" s="210"/>
      <c r="IK63" s="210"/>
      <c r="IL63" s="210"/>
      <c r="IM63" s="210"/>
      <c r="KW63" s="120"/>
      <c r="LD63" s="210"/>
      <c r="LE63" s="210"/>
      <c r="LF63" s="210"/>
      <c r="LG63" s="210"/>
      <c r="LH63" s="210"/>
      <c r="LI63" s="210"/>
      <c r="LJ63" s="210"/>
      <c r="LK63" s="210"/>
      <c r="LL63" s="210"/>
      <c r="LM63" s="210"/>
      <c r="LN63" s="210"/>
      <c r="LO63" s="210"/>
      <c r="LP63" s="210"/>
      <c r="LQ63" s="210"/>
      <c r="LR63" s="210"/>
      <c r="OB63" s="120"/>
      <c r="OI63" s="210"/>
      <c r="OJ63" s="210"/>
      <c r="OK63" s="210"/>
      <c r="OL63" s="210"/>
      <c r="OM63" s="210"/>
      <c r="ON63" s="210"/>
      <c r="OO63" s="210"/>
      <c r="OP63" s="210"/>
      <c r="OQ63" s="210"/>
      <c r="OR63" s="210"/>
      <c r="OS63" s="210"/>
      <c r="OT63" s="210"/>
      <c r="OU63" s="210"/>
      <c r="OV63" s="210"/>
      <c r="OW63" s="210"/>
      <c r="RG63" s="120"/>
    </row>
    <row r="64" spans="1:475" x14ac:dyDescent="0.3">
      <c r="A64" s="7">
        <v>19</v>
      </c>
      <c r="B64" s="7">
        <v>54</v>
      </c>
      <c r="C64" s="7" t="s">
        <v>276</v>
      </c>
      <c r="D64" s="7" t="s">
        <v>277</v>
      </c>
      <c r="E64" s="7" t="s">
        <v>278</v>
      </c>
      <c r="F64" s="7" t="s">
        <v>274</v>
      </c>
      <c r="G64" s="41" t="str">
        <f t="shared" si="3"/>
        <v>X</v>
      </c>
      <c r="H64" s="41">
        <f>INDEX(환산공식!CI$16:CI$301,MATCH('배치점수 계산기'!$W64,환산공식!$A$16:$A$301,0))</f>
        <v>111.1</v>
      </c>
      <c r="I64" s="41" t="str">
        <f>CONCATENATE(ROUND(INDEX(환산공식!CJ$16:CJ$301,MATCH('배치점수 계산기'!$W64,환산공식!$A$16:$A$301,0)),1),"%")</f>
        <v>100%</v>
      </c>
      <c r="J64" s="41">
        <f>INDEX(환산공식!CK$16:CK$301,MATCH('배치점수 계산기'!$W64,환산공식!$A$16:$A$301,0))</f>
        <v>10</v>
      </c>
      <c r="K64" s="7">
        <f>INDEX(환산공식!$EF$16:$EF$301,MATCH('배치점수 계산기'!W64,환산공식!$A$16:$A$301,0))</f>
        <v>0</v>
      </c>
      <c r="L64" s="41" t="str">
        <f t="shared" si="0"/>
        <v>1% 이하</v>
      </c>
      <c r="M64" s="7">
        <v>718.05555555555543</v>
      </c>
      <c r="N64" s="7">
        <v>716.11111111111109</v>
      </c>
      <c r="O64" s="7">
        <v>713.33333333333326</v>
      </c>
      <c r="P64" s="7">
        <v>707.99999999999989</v>
      </c>
      <c r="Q64" s="7">
        <v>703.49999999999989</v>
      </c>
      <c r="R64" s="7">
        <f t="shared" si="1"/>
        <v>6</v>
      </c>
      <c r="T64" s="7">
        <f>COUNTIF($C$11:C64,C64)</f>
        <v>1</v>
      </c>
      <c r="U64" s="7" t="str">
        <f t="shared" si="4"/>
        <v>가1</v>
      </c>
      <c r="V64" s="7" t="str">
        <f>INDEX(환산공식!$C$16:$C$301,MATCH('배치점수 계산기'!W64,환산공식!$A$16:$A$301,0))</f>
        <v>연세대 자연</v>
      </c>
      <c r="W64" s="7">
        <f t="shared" si="5"/>
        <v>19</v>
      </c>
      <c r="X64" s="7">
        <f t="shared" si="6"/>
        <v>1</v>
      </c>
      <c r="Y64" s="7">
        <f>IFERROR(INDEX(환산공식!Q$16:Q$200,MATCH($A64,환산공식!$A$16:$A$200,0)),"")</f>
        <v>1.1111111111111109</v>
      </c>
      <c r="Z64" s="7">
        <f>IFERROR(INDEX(환산공식!R$16:R$200,MATCH($A64,환산공식!$A$16:$A$200,0)),"")</f>
        <v>1.6666666666666665</v>
      </c>
      <c r="AA64" s="7">
        <f>IFERROR(INDEX(환산공식!U$16:U$200,MATCH($A64,환산공식!$A$16:$A$200,0)),"")</f>
        <v>1.6666666666666665</v>
      </c>
      <c r="AB64" s="7">
        <f t="shared" si="7"/>
        <v>0.24999999999999994</v>
      </c>
      <c r="AC64" s="7">
        <f t="shared" si="8"/>
        <v>0.37499999999999994</v>
      </c>
      <c r="AD64" s="7">
        <f t="shared" si="9"/>
        <v>0.37499999999999994</v>
      </c>
      <c r="AE64" s="7">
        <f>INDEX(환산공식!$AF$16:$AF$301,MATCH('배치점수 계산기'!W64,환산공식!$A$16:$A$301,0))</f>
        <v>1</v>
      </c>
      <c r="AF64" s="7">
        <f>INDEX(환산공식!$AP$16:$AP$301,MATCH('배치점수 계산기'!W64,환산공식!$A$16:$A$301,0))</f>
        <v>1</v>
      </c>
      <c r="AG64" s="7" t="str">
        <f t="shared" si="10"/>
        <v>표점</v>
      </c>
      <c r="AH64" s="7" t="str">
        <f t="shared" si="11"/>
        <v>표점</v>
      </c>
      <c r="BO64" s="210"/>
      <c r="BP64" s="210"/>
      <c r="BQ64" s="210"/>
      <c r="BR64" s="210"/>
      <c r="BS64" s="210"/>
      <c r="BT64" s="210"/>
      <c r="BU64" s="210"/>
      <c r="BV64" s="210"/>
      <c r="BW64" s="210"/>
      <c r="BX64" s="210"/>
      <c r="BY64" s="210"/>
      <c r="BZ64" s="210"/>
      <c r="CA64" s="210"/>
      <c r="CB64" s="210"/>
      <c r="CC64" s="210"/>
      <c r="EM64" s="120"/>
      <c r="ET64" s="210"/>
      <c r="EU64" s="210"/>
      <c r="EV64" s="210"/>
      <c r="EW64" s="210"/>
      <c r="EX64" s="210"/>
      <c r="EY64" s="210"/>
      <c r="EZ64" s="210"/>
      <c r="FA64" s="210"/>
      <c r="FB64" s="210"/>
      <c r="FC64" s="210"/>
      <c r="FD64" s="210"/>
      <c r="FE64" s="210"/>
      <c r="FF64" s="210"/>
      <c r="FG64" s="210"/>
      <c r="FH64" s="210"/>
      <c r="HR64" s="120"/>
      <c r="HY64" s="210"/>
      <c r="HZ64" s="210"/>
      <c r="IA64" s="210"/>
      <c r="IB64" s="210"/>
      <c r="IC64" s="210"/>
      <c r="ID64" s="210"/>
      <c r="IE64" s="210"/>
      <c r="IF64" s="210"/>
      <c r="IG64" s="210"/>
      <c r="IH64" s="210"/>
      <c r="II64" s="210"/>
      <c r="IJ64" s="210"/>
      <c r="IK64" s="210"/>
      <c r="IL64" s="210"/>
      <c r="IM64" s="210"/>
      <c r="KW64" s="120"/>
      <c r="LD64" s="210"/>
      <c r="LE64" s="210"/>
      <c r="LF64" s="210"/>
      <c r="LG64" s="210"/>
      <c r="LH64" s="210"/>
      <c r="LI64" s="210"/>
      <c r="LJ64" s="210"/>
      <c r="LK64" s="210"/>
      <c r="LL64" s="210"/>
      <c r="LM64" s="210"/>
      <c r="LN64" s="210"/>
      <c r="LO64" s="210"/>
      <c r="LP64" s="210"/>
      <c r="LQ64" s="210"/>
      <c r="LR64" s="210"/>
      <c r="OB64" s="120"/>
      <c r="OI64" s="210"/>
      <c r="OJ64" s="210"/>
      <c r="OK64" s="210"/>
      <c r="OL64" s="210"/>
      <c r="OM64" s="210"/>
      <c r="ON64" s="210"/>
      <c r="OO64" s="210"/>
      <c r="OP64" s="210"/>
      <c r="OQ64" s="210"/>
      <c r="OR64" s="210"/>
      <c r="OS64" s="210"/>
      <c r="OT64" s="210"/>
      <c r="OU64" s="210"/>
      <c r="OV64" s="210"/>
      <c r="OW64" s="210"/>
      <c r="RG64" s="120"/>
    </row>
    <row r="65" spans="1:475" x14ac:dyDescent="0.3">
      <c r="A65" s="7">
        <v>19</v>
      </c>
      <c r="B65" s="7">
        <v>55</v>
      </c>
      <c r="C65" s="7" t="s">
        <v>276</v>
      </c>
      <c r="D65" s="7" t="s">
        <v>277</v>
      </c>
      <c r="E65" s="7" t="s">
        <v>279</v>
      </c>
      <c r="F65" s="7" t="s">
        <v>274</v>
      </c>
      <c r="G65" s="41" t="str">
        <f t="shared" si="3"/>
        <v>X</v>
      </c>
      <c r="H65" s="41">
        <f>INDEX(환산공식!CI$16:CI$301,MATCH('배치점수 계산기'!$W65,환산공식!$A$16:$A$301,0))</f>
        <v>111.1</v>
      </c>
      <c r="I65" s="41" t="str">
        <f>CONCATENATE(ROUND(INDEX(환산공식!CJ$16:CJ$301,MATCH('배치점수 계산기'!$W65,환산공식!$A$16:$A$301,0)),1),"%")</f>
        <v>100%</v>
      </c>
      <c r="J65" s="41">
        <f>INDEX(환산공식!CK$16:CK$301,MATCH('배치점수 계산기'!$W65,환산공식!$A$16:$A$301,0))</f>
        <v>10</v>
      </c>
      <c r="K65" s="7">
        <f>INDEX(환산공식!$EF$16:$EF$301,MATCH('배치점수 계산기'!W65,환산공식!$A$16:$A$301,0))</f>
        <v>0</v>
      </c>
      <c r="L65" s="41" t="str">
        <f t="shared" si="0"/>
        <v>1% 이하</v>
      </c>
      <c r="M65" s="7">
        <v>716.51829707136119</v>
      </c>
      <c r="N65" s="7">
        <v>714.38888888888891</v>
      </c>
      <c r="O65" s="7">
        <v>710.74051712089431</v>
      </c>
      <c r="P65" s="7">
        <v>707.99999999999989</v>
      </c>
      <c r="Q65" s="7">
        <v>703.49999999999989</v>
      </c>
      <c r="R65" s="7">
        <f t="shared" si="1"/>
        <v>6</v>
      </c>
      <c r="T65" s="7">
        <f>COUNTIF($C$11:C65,C65)</f>
        <v>2</v>
      </c>
      <c r="U65" s="7" t="str">
        <f t="shared" si="4"/>
        <v>가2</v>
      </c>
      <c r="V65" s="7" t="str">
        <f>INDEX(환산공식!$C$16:$C$301,MATCH('배치점수 계산기'!W65,환산공식!$A$16:$A$301,0))</f>
        <v>연세대 자연</v>
      </c>
      <c r="W65" s="7">
        <f t="shared" si="5"/>
        <v>19</v>
      </c>
      <c r="X65" s="7">
        <f t="shared" si="6"/>
        <v>1</v>
      </c>
      <c r="Y65" s="7">
        <f>IFERROR(INDEX(환산공식!Q$16:Q$200,MATCH($A65,환산공식!$A$16:$A$200,0)),"")</f>
        <v>1.1111111111111109</v>
      </c>
      <c r="Z65" s="7">
        <f>IFERROR(INDEX(환산공식!R$16:R$200,MATCH($A65,환산공식!$A$16:$A$200,0)),"")</f>
        <v>1.6666666666666665</v>
      </c>
      <c r="AA65" s="7">
        <f>IFERROR(INDEX(환산공식!U$16:U$200,MATCH($A65,환산공식!$A$16:$A$200,0)),"")</f>
        <v>1.6666666666666665</v>
      </c>
      <c r="AB65" s="7">
        <f t="shared" si="7"/>
        <v>0.24999999999999994</v>
      </c>
      <c r="AC65" s="7">
        <f t="shared" si="8"/>
        <v>0.37499999999999994</v>
      </c>
      <c r="AD65" s="7">
        <f t="shared" si="9"/>
        <v>0.37499999999999994</v>
      </c>
      <c r="AE65" s="7">
        <f>INDEX(환산공식!$AF$16:$AF$301,MATCH('배치점수 계산기'!W65,환산공식!$A$16:$A$301,0))</f>
        <v>1</v>
      </c>
      <c r="AF65" s="7">
        <f>INDEX(환산공식!$AP$16:$AP$301,MATCH('배치점수 계산기'!W65,환산공식!$A$16:$A$301,0))</f>
        <v>1</v>
      </c>
      <c r="AG65" s="7" t="str">
        <f t="shared" si="10"/>
        <v>표점</v>
      </c>
      <c r="AH65" s="7" t="str">
        <f t="shared" si="11"/>
        <v>표점</v>
      </c>
      <c r="BO65" s="210"/>
      <c r="BP65" s="210"/>
      <c r="BQ65" s="210"/>
      <c r="BR65" s="210"/>
      <c r="BS65" s="210"/>
      <c r="BT65" s="210"/>
      <c r="BU65" s="210"/>
      <c r="BV65" s="210"/>
      <c r="BW65" s="210"/>
      <c r="BX65" s="210"/>
      <c r="BY65" s="210"/>
      <c r="BZ65" s="210"/>
      <c r="CA65" s="210"/>
      <c r="CB65" s="210"/>
      <c r="CC65" s="210"/>
      <c r="EM65" s="120"/>
      <c r="ET65" s="210"/>
      <c r="EU65" s="210"/>
      <c r="EV65" s="210"/>
      <c r="EW65" s="210"/>
      <c r="EX65" s="210"/>
      <c r="EY65" s="210"/>
      <c r="EZ65" s="210"/>
      <c r="FA65" s="210"/>
      <c r="FB65" s="210"/>
      <c r="FC65" s="210"/>
      <c r="FD65" s="210"/>
      <c r="FE65" s="210"/>
      <c r="FF65" s="210"/>
      <c r="FG65" s="210"/>
      <c r="FH65" s="210"/>
      <c r="HR65" s="120"/>
      <c r="HY65" s="210"/>
      <c r="HZ65" s="210"/>
      <c r="IA65" s="210"/>
      <c r="IB65" s="210"/>
      <c r="IC65" s="210"/>
      <c r="ID65" s="210"/>
      <c r="IE65" s="210"/>
      <c r="IF65" s="210"/>
      <c r="IG65" s="210"/>
      <c r="IH65" s="210"/>
      <c r="II65" s="210"/>
      <c r="IJ65" s="210"/>
      <c r="IK65" s="210"/>
      <c r="IL65" s="210"/>
      <c r="IM65" s="210"/>
      <c r="KW65" s="120"/>
      <c r="LD65" s="210"/>
      <c r="LE65" s="210"/>
      <c r="LF65" s="210"/>
      <c r="LG65" s="210"/>
      <c r="LH65" s="210"/>
      <c r="LI65" s="210"/>
      <c r="LJ65" s="210"/>
      <c r="LK65" s="210"/>
      <c r="LL65" s="210"/>
      <c r="LM65" s="210"/>
      <c r="LN65" s="210"/>
      <c r="LO65" s="210"/>
      <c r="LP65" s="210"/>
      <c r="LQ65" s="210"/>
      <c r="LR65" s="210"/>
      <c r="OB65" s="120"/>
      <c r="OI65" s="210"/>
      <c r="OJ65" s="210"/>
      <c r="OK65" s="210"/>
      <c r="OL65" s="210"/>
      <c r="OM65" s="210"/>
      <c r="ON65" s="210"/>
      <c r="OO65" s="210"/>
      <c r="OP65" s="210"/>
      <c r="OQ65" s="210"/>
      <c r="OR65" s="210"/>
      <c r="OS65" s="210"/>
      <c r="OT65" s="210"/>
      <c r="OU65" s="210"/>
      <c r="OV65" s="210"/>
      <c r="OW65" s="210"/>
      <c r="RG65" s="120"/>
    </row>
    <row r="66" spans="1:475" x14ac:dyDescent="0.3">
      <c r="A66" s="7">
        <v>19</v>
      </c>
      <c r="B66" s="7">
        <v>56</v>
      </c>
      <c r="C66" s="7" t="s">
        <v>276</v>
      </c>
      <c r="D66" s="7" t="s">
        <v>277</v>
      </c>
      <c r="E66" s="7" t="s">
        <v>285</v>
      </c>
      <c r="F66" s="7" t="s">
        <v>274</v>
      </c>
      <c r="G66" s="41" t="str">
        <f t="shared" si="3"/>
        <v>X</v>
      </c>
      <c r="H66" s="41">
        <f>INDEX(환산공식!CI$16:CI$301,MATCH('배치점수 계산기'!$W66,환산공식!$A$16:$A$301,0))</f>
        <v>111.1</v>
      </c>
      <c r="I66" s="41" t="str">
        <f>CONCATENATE(ROUND(INDEX(환산공식!CJ$16:CJ$301,MATCH('배치점수 계산기'!$W66,환산공식!$A$16:$A$301,0)),1),"%")</f>
        <v>100%</v>
      </c>
      <c r="J66" s="41">
        <f>INDEX(환산공식!CK$16:CK$301,MATCH('배치점수 계산기'!$W66,환산공식!$A$16:$A$301,0))</f>
        <v>10</v>
      </c>
      <c r="K66" s="7">
        <f>INDEX(환산공식!$EF$16:$EF$301,MATCH('배치점수 계산기'!W66,환산공식!$A$16:$A$301,0))</f>
        <v>0</v>
      </c>
      <c r="L66" s="41" t="str">
        <f t="shared" si="0"/>
        <v>1% 이하</v>
      </c>
      <c r="M66" s="7">
        <v>716.51829707136119</v>
      </c>
      <c r="N66" s="7">
        <v>714.38888888888891</v>
      </c>
      <c r="O66" s="7">
        <v>708.99999999999989</v>
      </c>
      <c r="P66" s="7">
        <v>705.2777777777776</v>
      </c>
      <c r="Q66" s="7">
        <v>704.22222222222217</v>
      </c>
      <c r="R66" s="7">
        <f t="shared" si="1"/>
        <v>6</v>
      </c>
      <c r="T66" s="7">
        <f>COUNTIF($C$11:C66,C66)</f>
        <v>3</v>
      </c>
      <c r="U66" s="7" t="str">
        <f t="shared" si="4"/>
        <v>가3</v>
      </c>
      <c r="V66" s="7" t="str">
        <f>INDEX(환산공식!$C$16:$C$301,MATCH('배치점수 계산기'!W66,환산공식!$A$16:$A$301,0))</f>
        <v>연세대 자연</v>
      </c>
      <c r="W66" s="7">
        <f t="shared" si="5"/>
        <v>19</v>
      </c>
      <c r="X66" s="7">
        <f t="shared" si="6"/>
        <v>1</v>
      </c>
      <c r="Y66" s="7">
        <f>IFERROR(INDEX(환산공식!Q$16:Q$200,MATCH($A66,환산공식!$A$16:$A$200,0)),"")</f>
        <v>1.1111111111111109</v>
      </c>
      <c r="Z66" s="7">
        <f>IFERROR(INDEX(환산공식!R$16:R$200,MATCH($A66,환산공식!$A$16:$A$200,0)),"")</f>
        <v>1.6666666666666665</v>
      </c>
      <c r="AA66" s="7">
        <f>IFERROR(INDEX(환산공식!U$16:U$200,MATCH($A66,환산공식!$A$16:$A$200,0)),"")</f>
        <v>1.6666666666666665</v>
      </c>
      <c r="AB66" s="7">
        <f t="shared" si="7"/>
        <v>0.24999999999999994</v>
      </c>
      <c r="AC66" s="7">
        <f t="shared" si="8"/>
        <v>0.37499999999999994</v>
      </c>
      <c r="AD66" s="7">
        <f t="shared" si="9"/>
        <v>0.37499999999999994</v>
      </c>
      <c r="AE66" s="7">
        <f>INDEX(환산공식!$AF$16:$AF$301,MATCH('배치점수 계산기'!W66,환산공식!$A$16:$A$301,0))</f>
        <v>1</v>
      </c>
      <c r="AF66" s="7">
        <f>INDEX(환산공식!$AP$16:$AP$301,MATCH('배치점수 계산기'!W66,환산공식!$A$16:$A$301,0))</f>
        <v>1</v>
      </c>
      <c r="AG66" s="7" t="str">
        <f t="shared" si="10"/>
        <v>표점</v>
      </c>
      <c r="AH66" s="7" t="str">
        <f t="shared" si="11"/>
        <v>표점</v>
      </c>
      <c r="BO66" s="210"/>
      <c r="BP66" s="210"/>
      <c r="BQ66" s="210"/>
      <c r="BR66" s="210"/>
      <c r="BS66" s="210"/>
      <c r="BT66" s="210"/>
      <c r="BU66" s="210"/>
      <c r="BV66" s="210"/>
      <c r="BW66" s="210"/>
      <c r="BX66" s="210"/>
      <c r="BY66" s="210"/>
      <c r="BZ66" s="210"/>
      <c r="CA66" s="210"/>
      <c r="CB66" s="210"/>
      <c r="CC66" s="210"/>
      <c r="EM66" s="120"/>
      <c r="ET66" s="210"/>
      <c r="EU66" s="210"/>
      <c r="EV66" s="210"/>
      <c r="EW66" s="210"/>
      <c r="EX66" s="210"/>
      <c r="EY66" s="210"/>
      <c r="EZ66" s="210"/>
      <c r="FA66" s="210"/>
      <c r="FB66" s="210"/>
      <c r="FC66" s="210"/>
      <c r="FD66" s="210"/>
      <c r="FE66" s="210"/>
      <c r="FF66" s="210"/>
      <c r="FG66" s="210"/>
      <c r="FH66" s="210"/>
      <c r="HR66" s="120"/>
      <c r="HY66" s="210"/>
      <c r="HZ66" s="210"/>
      <c r="IA66" s="210"/>
      <c r="IB66" s="210"/>
      <c r="IC66" s="210"/>
      <c r="ID66" s="210"/>
      <c r="IE66" s="210"/>
      <c r="IF66" s="210"/>
      <c r="IG66" s="210"/>
      <c r="IH66" s="210"/>
      <c r="II66" s="210"/>
      <c r="IJ66" s="210"/>
      <c r="IK66" s="210"/>
      <c r="IL66" s="210"/>
      <c r="IM66" s="210"/>
      <c r="KW66" s="120"/>
      <c r="LD66" s="210"/>
      <c r="LE66" s="210"/>
      <c r="LF66" s="210"/>
      <c r="LG66" s="210"/>
      <c r="LH66" s="210"/>
      <c r="LI66" s="210"/>
      <c r="LJ66" s="210"/>
      <c r="LK66" s="210"/>
      <c r="LL66" s="210"/>
      <c r="LM66" s="210"/>
      <c r="LN66" s="210"/>
      <c r="LO66" s="210"/>
      <c r="LP66" s="210"/>
      <c r="LQ66" s="210"/>
      <c r="LR66" s="210"/>
      <c r="OB66" s="120"/>
      <c r="OI66" s="210"/>
      <c r="OJ66" s="210"/>
      <c r="OK66" s="210"/>
      <c r="OL66" s="210"/>
      <c r="OM66" s="210"/>
      <c r="ON66" s="210"/>
      <c r="OO66" s="210"/>
      <c r="OP66" s="210"/>
      <c r="OQ66" s="210"/>
      <c r="OR66" s="210"/>
      <c r="OS66" s="210"/>
      <c r="OT66" s="210"/>
      <c r="OU66" s="210"/>
      <c r="OV66" s="210"/>
      <c r="OW66" s="210"/>
      <c r="RG66" s="120"/>
    </row>
    <row r="67" spans="1:475" x14ac:dyDescent="0.3">
      <c r="A67" s="7">
        <v>19</v>
      </c>
      <c r="B67" s="7">
        <v>57</v>
      </c>
      <c r="C67" s="7" t="s">
        <v>276</v>
      </c>
      <c r="D67" s="7" t="s">
        <v>277</v>
      </c>
      <c r="E67" s="7" t="s">
        <v>280</v>
      </c>
      <c r="F67" s="7" t="s">
        <v>274</v>
      </c>
      <c r="G67" s="41" t="str">
        <f t="shared" si="3"/>
        <v>X</v>
      </c>
      <c r="H67" s="41">
        <f>INDEX(환산공식!CI$16:CI$301,MATCH('배치점수 계산기'!$W67,환산공식!$A$16:$A$301,0))</f>
        <v>111.1</v>
      </c>
      <c r="I67" s="41" t="str">
        <f>CONCATENATE(ROUND(INDEX(환산공식!CJ$16:CJ$301,MATCH('배치점수 계산기'!$W67,환산공식!$A$16:$A$301,0)),1),"%")</f>
        <v>100%</v>
      </c>
      <c r="J67" s="41">
        <f>INDEX(환산공식!CK$16:CK$301,MATCH('배치점수 계산기'!$W67,환산공식!$A$16:$A$301,0))</f>
        <v>10</v>
      </c>
      <c r="K67" s="7">
        <f>INDEX(환산공식!$EF$16:$EF$301,MATCH('배치점수 계산기'!W67,환산공식!$A$16:$A$301,0))</f>
        <v>0</v>
      </c>
      <c r="L67" s="41" t="str">
        <f t="shared" si="0"/>
        <v>1% 이하</v>
      </c>
      <c r="M67" s="7">
        <v>710.05555555555543</v>
      </c>
      <c r="N67" s="7">
        <v>708.74046015712668</v>
      </c>
      <c r="O67" s="7">
        <v>707.07376449397725</v>
      </c>
      <c r="P67" s="7">
        <v>705.74039275435916</v>
      </c>
      <c r="Q67" s="7">
        <v>703.49999999999989</v>
      </c>
      <c r="R67" s="7">
        <f t="shared" si="1"/>
        <v>6</v>
      </c>
      <c r="T67" s="7">
        <f>COUNTIF($C$11:C67,C67)</f>
        <v>4</v>
      </c>
      <c r="U67" s="7" t="str">
        <f t="shared" si="4"/>
        <v>가4</v>
      </c>
      <c r="V67" s="7" t="str">
        <f>INDEX(환산공식!$C$16:$C$301,MATCH('배치점수 계산기'!W67,환산공식!$A$16:$A$301,0))</f>
        <v>연세대 자연</v>
      </c>
      <c r="W67" s="7">
        <f t="shared" si="5"/>
        <v>19</v>
      </c>
      <c r="X67" s="7">
        <f t="shared" si="6"/>
        <v>1</v>
      </c>
      <c r="Y67" s="7">
        <f>IFERROR(INDEX(환산공식!Q$16:Q$200,MATCH($A67,환산공식!$A$16:$A$200,0)),"")</f>
        <v>1.1111111111111109</v>
      </c>
      <c r="Z67" s="7">
        <f>IFERROR(INDEX(환산공식!R$16:R$200,MATCH($A67,환산공식!$A$16:$A$200,0)),"")</f>
        <v>1.6666666666666665</v>
      </c>
      <c r="AA67" s="7">
        <f>IFERROR(INDEX(환산공식!U$16:U$200,MATCH($A67,환산공식!$A$16:$A$200,0)),"")</f>
        <v>1.6666666666666665</v>
      </c>
      <c r="AB67" s="7">
        <f t="shared" si="7"/>
        <v>0.24999999999999994</v>
      </c>
      <c r="AC67" s="7">
        <f t="shared" si="8"/>
        <v>0.37499999999999994</v>
      </c>
      <c r="AD67" s="7">
        <f t="shared" si="9"/>
        <v>0.37499999999999994</v>
      </c>
      <c r="AE67" s="7">
        <f>INDEX(환산공식!$AF$16:$AF$301,MATCH('배치점수 계산기'!W67,환산공식!$A$16:$A$301,0))</f>
        <v>1</v>
      </c>
      <c r="AF67" s="7">
        <f>INDEX(환산공식!$AP$16:$AP$301,MATCH('배치점수 계산기'!W67,환산공식!$A$16:$A$301,0))</f>
        <v>1</v>
      </c>
      <c r="AG67" s="7" t="str">
        <f t="shared" si="10"/>
        <v>표점</v>
      </c>
      <c r="AH67" s="7" t="str">
        <f t="shared" si="11"/>
        <v>표점</v>
      </c>
      <c r="BO67" s="210"/>
      <c r="BP67" s="210"/>
      <c r="BQ67" s="210"/>
      <c r="BR67" s="210"/>
      <c r="BS67" s="210"/>
      <c r="BT67" s="210"/>
      <c r="BU67" s="210"/>
      <c r="BV67" s="210"/>
      <c r="BW67" s="210"/>
      <c r="BX67" s="210"/>
      <c r="BY67" s="210"/>
      <c r="BZ67" s="210"/>
      <c r="CA67" s="210"/>
      <c r="CB67" s="210"/>
      <c r="CC67" s="210"/>
      <c r="EM67" s="120"/>
      <c r="ET67" s="210"/>
      <c r="EU67" s="210"/>
      <c r="EV67" s="210"/>
      <c r="EW67" s="210"/>
      <c r="EX67" s="210"/>
      <c r="EY67" s="210"/>
      <c r="EZ67" s="210"/>
      <c r="FA67" s="210"/>
      <c r="FB67" s="210"/>
      <c r="FC67" s="210"/>
      <c r="FD67" s="210"/>
      <c r="FE67" s="210"/>
      <c r="FF67" s="210"/>
      <c r="FG67" s="210"/>
      <c r="FH67" s="210"/>
      <c r="HR67" s="120"/>
      <c r="HY67" s="210"/>
      <c r="HZ67" s="210"/>
      <c r="IA67" s="210"/>
      <c r="IB67" s="210"/>
      <c r="IC67" s="210"/>
      <c r="ID67" s="210"/>
      <c r="IE67" s="210"/>
      <c r="IF67" s="210"/>
      <c r="IG67" s="210"/>
      <c r="IH67" s="210"/>
      <c r="II67" s="210"/>
      <c r="IJ67" s="210"/>
      <c r="IK67" s="210"/>
      <c r="IL67" s="210"/>
      <c r="IM67" s="210"/>
      <c r="KW67" s="120"/>
      <c r="LD67" s="210"/>
      <c r="LE67" s="210"/>
      <c r="LF67" s="210"/>
      <c r="LG67" s="210"/>
      <c r="LH67" s="210"/>
      <c r="LI67" s="210"/>
      <c r="LJ67" s="210"/>
      <c r="LK67" s="210"/>
      <c r="LL67" s="210"/>
      <c r="LM67" s="210"/>
      <c r="LN67" s="210"/>
      <c r="LO67" s="210"/>
      <c r="LP67" s="210"/>
      <c r="LQ67" s="210"/>
      <c r="LR67" s="210"/>
      <c r="OB67" s="120"/>
      <c r="OI67" s="210"/>
      <c r="OJ67" s="210"/>
      <c r="OK67" s="210"/>
      <c r="OL67" s="210"/>
      <c r="OM67" s="210"/>
      <c r="ON67" s="210"/>
      <c r="OO67" s="210"/>
      <c r="OP67" s="210"/>
      <c r="OQ67" s="210"/>
      <c r="OR67" s="210"/>
      <c r="OS67" s="210"/>
      <c r="OT67" s="210"/>
      <c r="OU67" s="210"/>
      <c r="OV67" s="210"/>
      <c r="OW67" s="210"/>
      <c r="RG67" s="120"/>
    </row>
    <row r="68" spans="1:475" x14ac:dyDescent="0.3">
      <c r="A68" s="7">
        <v>19</v>
      </c>
      <c r="B68" s="7">
        <v>58</v>
      </c>
      <c r="C68" s="7" t="s">
        <v>276</v>
      </c>
      <c r="D68" s="7" t="s">
        <v>277</v>
      </c>
      <c r="E68" s="7" t="s">
        <v>286</v>
      </c>
      <c r="F68" s="7" t="s">
        <v>274</v>
      </c>
      <c r="G68" s="41" t="str">
        <f t="shared" si="3"/>
        <v>X</v>
      </c>
      <c r="H68" s="41">
        <f>INDEX(환산공식!CI$16:CI$301,MATCH('배치점수 계산기'!$W68,환산공식!$A$16:$A$301,0))</f>
        <v>111.1</v>
      </c>
      <c r="I68" s="41" t="str">
        <f>CONCATENATE(ROUND(INDEX(환산공식!CJ$16:CJ$301,MATCH('배치점수 계산기'!$W68,환산공식!$A$16:$A$301,0)),1),"%")</f>
        <v>100%</v>
      </c>
      <c r="J68" s="41">
        <f>INDEX(환산공식!CK$16:CK$301,MATCH('배치점수 계산기'!$W68,환산공식!$A$16:$A$301,0))</f>
        <v>10</v>
      </c>
      <c r="K68" s="7">
        <f>INDEX(환산공식!$EF$16:$EF$301,MATCH('배치점수 계산기'!W68,환산공식!$A$16:$A$301,0))</f>
        <v>0</v>
      </c>
      <c r="L68" s="41" t="str">
        <f t="shared" si="0"/>
        <v>1% 이하</v>
      </c>
      <c r="M68" s="7">
        <v>710.66666666666652</v>
      </c>
      <c r="N68" s="7">
        <v>708.99999999999989</v>
      </c>
      <c r="O68" s="7">
        <v>706.55555555555554</v>
      </c>
      <c r="P68" s="7">
        <v>704.99999999999977</v>
      </c>
      <c r="Q68" s="7">
        <v>703.49999999999989</v>
      </c>
      <c r="R68" s="7">
        <f t="shared" si="1"/>
        <v>6</v>
      </c>
      <c r="T68" s="7">
        <f>COUNTIF($C$11:C68,C68)</f>
        <v>5</v>
      </c>
      <c r="U68" s="7" t="str">
        <f t="shared" si="4"/>
        <v>가5</v>
      </c>
      <c r="V68" s="7" t="str">
        <f>INDEX(환산공식!$C$16:$C$301,MATCH('배치점수 계산기'!W68,환산공식!$A$16:$A$301,0))</f>
        <v>연세대 자연</v>
      </c>
      <c r="W68" s="7">
        <f t="shared" si="5"/>
        <v>19</v>
      </c>
      <c r="X68" s="7">
        <f t="shared" si="6"/>
        <v>1</v>
      </c>
      <c r="Y68" s="7">
        <f>IFERROR(INDEX(환산공식!Q$16:Q$200,MATCH($A68,환산공식!$A$16:$A$200,0)),"")</f>
        <v>1.1111111111111109</v>
      </c>
      <c r="Z68" s="7">
        <f>IFERROR(INDEX(환산공식!R$16:R$200,MATCH($A68,환산공식!$A$16:$A$200,0)),"")</f>
        <v>1.6666666666666665</v>
      </c>
      <c r="AA68" s="7">
        <f>IFERROR(INDEX(환산공식!U$16:U$200,MATCH($A68,환산공식!$A$16:$A$200,0)),"")</f>
        <v>1.6666666666666665</v>
      </c>
      <c r="AB68" s="7">
        <f t="shared" si="7"/>
        <v>0.24999999999999994</v>
      </c>
      <c r="AC68" s="7">
        <f t="shared" si="8"/>
        <v>0.37499999999999994</v>
      </c>
      <c r="AD68" s="7">
        <f t="shared" si="9"/>
        <v>0.37499999999999994</v>
      </c>
      <c r="AE68" s="7">
        <f>INDEX(환산공식!$AF$16:$AF$301,MATCH('배치점수 계산기'!W68,환산공식!$A$16:$A$301,0))</f>
        <v>1</v>
      </c>
      <c r="AF68" s="7">
        <f>INDEX(환산공식!$AP$16:$AP$301,MATCH('배치점수 계산기'!W68,환산공식!$A$16:$A$301,0))</f>
        <v>1</v>
      </c>
      <c r="AG68" s="7" t="str">
        <f t="shared" si="10"/>
        <v>표점</v>
      </c>
      <c r="AH68" s="7" t="str">
        <f t="shared" si="11"/>
        <v>표점</v>
      </c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210"/>
      <c r="EM68" s="120"/>
      <c r="ET68" s="210"/>
      <c r="EU68" s="210"/>
      <c r="EV68" s="210"/>
      <c r="EW68" s="210"/>
      <c r="EX68" s="210"/>
      <c r="EY68" s="210"/>
      <c r="EZ68" s="210"/>
      <c r="FA68" s="210"/>
      <c r="FB68" s="210"/>
      <c r="FC68" s="210"/>
      <c r="FD68" s="210"/>
      <c r="FE68" s="210"/>
      <c r="FF68" s="210"/>
      <c r="FG68" s="210"/>
      <c r="FH68" s="210"/>
      <c r="HR68" s="120"/>
      <c r="HY68" s="210"/>
      <c r="HZ68" s="210"/>
      <c r="IA68" s="210"/>
      <c r="IB68" s="210"/>
      <c r="IC68" s="210"/>
      <c r="ID68" s="210"/>
      <c r="IE68" s="210"/>
      <c r="IF68" s="210"/>
      <c r="IG68" s="210"/>
      <c r="IH68" s="210"/>
      <c r="II68" s="210"/>
      <c r="IJ68" s="210"/>
      <c r="IK68" s="210"/>
      <c r="IL68" s="210"/>
      <c r="IM68" s="210"/>
      <c r="KW68" s="120"/>
      <c r="LD68" s="210"/>
      <c r="LE68" s="210"/>
      <c r="LF68" s="210"/>
      <c r="LG68" s="210"/>
      <c r="LH68" s="210"/>
      <c r="LI68" s="210"/>
      <c r="LJ68" s="210"/>
      <c r="LK68" s="210"/>
      <c r="LL68" s="210"/>
      <c r="LM68" s="210"/>
      <c r="LN68" s="210"/>
      <c r="LO68" s="210"/>
      <c r="LP68" s="210"/>
      <c r="LQ68" s="210"/>
      <c r="LR68" s="210"/>
      <c r="OB68" s="120"/>
      <c r="OI68" s="210"/>
      <c r="OJ68" s="210"/>
      <c r="OK68" s="210"/>
      <c r="OL68" s="210"/>
      <c r="OM68" s="210"/>
      <c r="ON68" s="210"/>
      <c r="OO68" s="210"/>
      <c r="OP68" s="210"/>
      <c r="OQ68" s="210"/>
      <c r="OR68" s="210"/>
      <c r="OS68" s="210"/>
      <c r="OT68" s="210"/>
      <c r="OU68" s="210"/>
      <c r="OV68" s="210"/>
      <c r="OW68" s="210"/>
      <c r="RG68" s="120"/>
    </row>
    <row r="69" spans="1:475" x14ac:dyDescent="0.3">
      <c r="A69" s="7">
        <v>19</v>
      </c>
      <c r="B69" s="7">
        <v>59</v>
      </c>
      <c r="C69" s="7" t="s">
        <v>276</v>
      </c>
      <c r="D69" s="7" t="s">
        <v>277</v>
      </c>
      <c r="E69" s="7" t="s">
        <v>281</v>
      </c>
      <c r="F69" s="7" t="s">
        <v>274</v>
      </c>
      <c r="G69" s="41" t="str">
        <f t="shared" si="3"/>
        <v>X</v>
      </c>
      <c r="H69" s="41">
        <f>INDEX(환산공식!CI$16:CI$301,MATCH('배치점수 계산기'!$W69,환산공식!$A$16:$A$301,0))</f>
        <v>111.1</v>
      </c>
      <c r="I69" s="41" t="str">
        <f>CONCATENATE(ROUND(INDEX(환산공식!CJ$16:CJ$301,MATCH('배치점수 계산기'!$W69,환산공식!$A$16:$A$301,0)),1),"%")</f>
        <v>100%</v>
      </c>
      <c r="J69" s="41">
        <f>INDEX(환산공식!CK$16:CK$301,MATCH('배치점수 계산기'!$W69,환산공식!$A$16:$A$301,0))</f>
        <v>10</v>
      </c>
      <c r="K69" s="7">
        <f>INDEX(환산공식!$EF$16:$EF$301,MATCH('배치점수 계산기'!W69,환산공식!$A$16:$A$301,0))</f>
        <v>0</v>
      </c>
      <c r="L69" s="41" t="str">
        <f t="shared" si="0"/>
        <v>1% 이하</v>
      </c>
      <c r="M69" s="7">
        <v>710.74051712089431</v>
      </c>
      <c r="N69" s="7">
        <v>708.99999999999989</v>
      </c>
      <c r="O69" s="7">
        <v>707.07376449397725</v>
      </c>
      <c r="P69" s="7">
        <v>704.99999999999977</v>
      </c>
      <c r="Q69" s="7">
        <v>703.49999999999989</v>
      </c>
      <c r="R69" s="7">
        <f t="shared" si="1"/>
        <v>6</v>
      </c>
      <c r="T69" s="7">
        <f>COUNTIF($C$11:C69,C69)</f>
        <v>6</v>
      </c>
      <c r="U69" s="7" t="str">
        <f t="shared" si="4"/>
        <v>가6</v>
      </c>
      <c r="V69" s="7" t="str">
        <f>INDEX(환산공식!$C$16:$C$301,MATCH('배치점수 계산기'!W69,환산공식!$A$16:$A$301,0))</f>
        <v>연세대 자연</v>
      </c>
      <c r="W69" s="7">
        <f t="shared" si="5"/>
        <v>19</v>
      </c>
      <c r="X69" s="7">
        <f t="shared" si="6"/>
        <v>1</v>
      </c>
      <c r="Y69" s="7">
        <f>IFERROR(INDEX(환산공식!Q$16:Q$200,MATCH($A69,환산공식!$A$16:$A$200,0)),"")</f>
        <v>1.1111111111111109</v>
      </c>
      <c r="Z69" s="7">
        <f>IFERROR(INDEX(환산공식!R$16:R$200,MATCH($A69,환산공식!$A$16:$A$200,0)),"")</f>
        <v>1.6666666666666665</v>
      </c>
      <c r="AA69" s="7">
        <f>IFERROR(INDEX(환산공식!U$16:U$200,MATCH($A69,환산공식!$A$16:$A$200,0)),"")</f>
        <v>1.6666666666666665</v>
      </c>
      <c r="AB69" s="7">
        <f t="shared" si="7"/>
        <v>0.24999999999999994</v>
      </c>
      <c r="AC69" s="7">
        <f t="shared" si="8"/>
        <v>0.37499999999999994</v>
      </c>
      <c r="AD69" s="7">
        <f t="shared" si="9"/>
        <v>0.37499999999999994</v>
      </c>
      <c r="AE69" s="7">
        <f>INDEX(환산공식!$AF$16:$AF$301,MATCH('배치점수 계산기'!W69,환산공식!$A$16:$A$301,0))</f>
        <v>1</v>
      </c>
      <c r="AF69" s="7">
        <f>INDEX(환산공식!$AP$16:$AP$301,MATCH('배치점수 계산기'!W69,환산공식!$A$16:$A$301,0))</f>
        <v>1</v>
      </c>
      <c r="AG69" s="7" t="str">
        <f t="shared" si="10"/>
        <v>표점</v>
      </c>
      <c r="AH69" s="7" t="str">
        <f t="shared" si="11"/>
        <v>표점</v>
      </c>
      <c r="BO69" s="210"/>
      <c r="BP69" s="210"/>
      <c r="BQ69" s="210"/>
      <c r="BR69" s="210"/>
      <c r="BS69" s="210"/>
      <c r="BT69" s="210"/>
      <c r="BU69" s="210"/>
      <c r="BV69" s="210"/>
      <c r="BW69" s="210"/>
      <c r="BX69" s="210"/>
      <c r="BY69" s="210"/>
      <c r="BZ69" s="210"/>
      <c r="CA69" s="210"/>
      <c r="CB69" s="210"/>
      <c r="CC69" s="210"/>
      <c r="EM69" s="12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210"/>
      <c r="FG69" s="210"/>
      <c r="FH69" s="210"/>
      <c r="HR69" s="120"/>
      <c r="HY69" s="210"/>
      <c r="HZ69" s="210"/>
      <c r="IA69" s="210"/>
      <c r="IB69" s="210"/>
      <c r="IC69" s="210"/>
      <c r="ID69" s="210"/>
      <c r="IE69" s="210"/>
      <c r="IF69" s="210"/>
      <c r="IG69" s="210"/>
      <c r="IH69" s="210"/>
      <c r="II69" s="210"/>
      <c r="IJ69" s="210"/>
      <c r="IK69" s="210"/>
      <c r="IL69" s="210"/>
      <c r="IM69" s="210"/>
      <c r="KW69" s="120"/>
      <c r="LD69" s="210"/>
      <c r="LE69" s="210"/>
      <c r="LF69" s="210"/>
      <c r="LG69" s="210"/>
      <c r="LH69" s="210"/>
      <c r="LI69" s="210"/>
      <c r="LJ69" s="210"/>
      <c r="LK69" s="210"/>
      <c r="LL69" s="210"/>
      <c r="LM69" s="210"/>
      <c r="LN69" s="210"/>
      <c r="LO69" s="210"/>
      <c r="LP69" s="210"/>
      <c r="LQ69" s="210"/>
      <c r="LR69" s="210"/>
      <c r="OB69" s="120"/>
      <c r="OI69" s="210"/>
      <c r="OJ69" s="210"/>
      <c r="OK69" s="210"/>
      <c r="OL69" s="210"/>
      <c r="OM69" s="210"/>
      <c r="ON69" s="210"/>
      <c r="OO69" s="210"/>
      <c r="OP69" s="210"/>
      <c r="OQ69" s="210"/>
      <c r="OR69" s="210"/>
      <c r="OS69" s="210"/>
      <c r="OT69" s="210"/>
      <c r="OU69" s="210"/>
      <c r="OV69" s="210"/>
      <c r="OW69" s="210"/>
      <c r="RG69" s="120"/>
    </row>
    <row r="70" spans="1:475" x14ac:dyDescent="0.3">
      <c r="A70" s="7">
        <v>22</v>
      </c>
      <c r="B70" s="7">
        <v>60</v>
      </c>
      <c r="C70" s="7" t="s">
        <v>276</v>
      </c>
      <c r="D70" s="7" t="s">
        <v>277</v>
      </c>
      <c r="E70" s="7" t="s">
        <v>287</v>
      </c>
      <c r="F70" s="7" t="s">
        <v>274</v>
      </c>
      <c r="G70" s="41" t="str">
        <f t="shared" si="3"/>
        <v>X</v>
      </c>
      <c r="H70" s="41">
        <f>INDEX(환산공식!CI$16:CI$301,MATCH('배치점수 계산기'!$W70,환산공식!$A$16:$A$301,0))</f>
        <v>150</v>
      </c>
      <c r="I70" s="41" t="str">
        <f>CONCATENATE(ROUND(INDEX(환산공식!CJ$16:CJ$301,MATCH('배치점수 계산기'!$W70,환산공식!$A$16:$A$301,0)),1),"%")</f>
        <v>100%</v>
      </c>
      <c r="J70" s="41">
        <f>INDEX(환산공식!CK$16:CK$301,MATCH('배치점수 계산기'!$W70,환산공식!$A$16:$A$301,0))</f>
        <v>10</v>
      </c>
      <c r="K70" s="7">
        <f>INDEX(환산공식!$EF$16:$EF$301,MATCH('배치점수 계산기'!W70,환산공식!$A$16:$A$301,0))</f>
        <v>0</v>
      </c>
      <c r="L70" s="41" t="str">
        <f t="shared" si="0"/>
        <v>1% 이하</v>
      </c>
      <c r="M70" s="7">
        <v>663.10000000000014</v>
      </c>
      <c r="N70" s="7">
        <v>655.84930942726805</v>
      </c>
      <c r="O70" s="7">
        <v>652.82500000000005</v>
      </c>
      <c r="P70" s="7">
        <v>651.34936733128825</v>
      </c>
      <c r="Q70" s="7">
        <v>649.77438461538463</v>
      </c>
      <c r="R70" s="7">
        <f t="shared" si="1"/>
        <v>6</v>
      </c>
      <c r="T70" s="7">
        <f>COUNTIF($C$11:C70,C70)</f>
        <v>7</v>
      </c>
      <c r="U70" s="7" t="str">
        <f t="shared" si="4"/>
        <v>가7</v>
      </c>
      <c r="V70" s="7" t="str">
        <f>INDEX(환산공식!$C$16:$C$301,MATCH('배치점수 계산기'!W70,환산공식!$A$16:$A$301,0))</f>
        <v>연세대 국제</v>
      </c>
      <c r="W70" s="7">
        <f t="shared" si="5"/>
        <v>22</v>
      </c>
      <c r="X70" s="7">
        <f t="shared" si="6"/>
        <v>1</v>
      </c>
      <c r="Y70" s="7">
        <f>IFERROR(INDEX(환산공식!Q$16:Q$200,MATCH($A70,환산공식!$A$16:$A$200,0)),"")</f>
        <v>1.5</v>
      </c>
      <c r="Z70" s="7">
        <f>IFERROR(INDEX(환산공식!R$16:R$200,MATCH($A70,환산공식!$A$16:$A$200,0)),"")</f>
        <v>1.5</v>
      </c>
      <c r="AA70" s="7">
        <f>IFERROR(INDEX(환산공식!U$16:U$200,MATCH($A70,환산공식!$A$16:$A$200,0)),"")</f>
        <v>0.75</v>
      </c>
      <c r="AB70" s="7">
        <f t="shared" si="7"/>
        <v>0.4</v>
      </c>
      <c r="AC70" s="7">
        <f t="shared" si="8"/>
        <v>0.4</v>
      </c>
      <c r="AD70" s="7">
        <f t="shared" si="9"/>
        <v>0.2</v>
      </c>
      <c r="AE70" s="7">
        <f>INDEX(환산공식!$AF$16:$AF$301,MATCH('배치점수 계산기'!W70,환산공식!$A$16:$A$301,0))</f>
        <v>1</v>
      </c>
      <c r="AF70" s="7">
        <f>INDEX(환산공식!$AP$16:$AP$301,MATCH('배치점수 계산기'!W70,환산공식!$A$16:$A$301,0))</f>
        <v>1</v>
      </c>
      <c r="AG70" s="7" t="str">
        <f t="shared" si="10"/>
        <v>표점</v>
      </c>
      <c r="AH70" s="7" t="str">
        <f t="shared" si="11"/>
        <v>표점</v>
      </c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  <c r="CA70" s="210"/>
      <c r="CB70" s="210"/>
      <c r="CC70" s="210"/>
      <c r="EM70" s="120"/>
      <c r="ET70" s="210"/>
      <c r="EU70" s="210"/>
      <c r="EV70" s="210"/>
      <c r="EW70" s="210"/>
      <c r="EX70" s="210"/>
      <c r="EY70" s="210"/>
      <c r="EZ70" s="210"/>
      <c r="FA70" s="210"/>
      <c r="FB70" s="210"/>
      <c r="FC70" s="210"/>
      <c r="FD70" s="210"/>
      <c r="FE70" s="210"/>
      <c r="FF70" s="210"/>
      <c r="FG70" s="210"/>
      <c r="FH70" s="210"/>
      <c r="HR70" s="120"/>
      <c r="HY70" s="210"/>
      <c r="HZ70" s="210"/>
      <c r="IA70" s="210"/>
      <c r="IB70" s="210"/>
      <c r="IC70" s="210"/>
      <c r="ID70" s="210"/>
      <c r="IE70" s="210"/>
      <c r="IF70" s="210"/>
      <c r="IG70" s="210"/>
      <c r="IH70" s="210"/>
      <c r="II70" s="210"/>
      <c r="IJ70" s="210"/>
      <c r="IK70" s="210"/>
      <c r="IL70" s="210"/>
      <c r="IM70" s="210"/>
      <c r="KW70" s="120"/>
      <c r="LD70" s="210"/>
      <c r="LE70" s="210"/>
      <c r="LF70" s="210"/>
      <c r="LG70" s="210"/>
      <c r="LH70" s="210"/>
      <c r="LI70" s="210"/>
      <c r="LJ70" s="210"/>
      <c r="LK70" s="210"/>
      <c r="LL70" s="210"/>
      <c r="LM70" s="210"/>
      <c r="LN70" s="210"/>
      <c r="LO70" s="210"/>
      <c r="LP70" s="210"/>
      <c r="LQ70" s="210"/>
      <c r="LR70" s="210"/>
      <c r="OB70" s="120"/>
      <c r="OI70" s="210"/>
      <c r="OJ70" s="210"/>
      <c r="OK70" s="210"/>
      <c r="OL70" s="210"/>
      <c r="OM70" s="210"/>
      <c r="ON70" s="210"/>
      <c r="OO70" s="210"/>
      <c r="OP70" s="210"/>
      <c r="OQ70" s="210"/>
      <c r="OR70" s="210"/>
      <c r="OS70" s="210"/>
      <c r="OT70" s="210"/>
      <c r="OU70" s="210"/>
      <c r="OV70" s="210"/>
      <c r="OW70" s="210"/>
      <c r="RG70" s="120"/>
    </row>
    <row r="71" spans="1:475" x14ac:dyDescent="0.3">
      <c r="A71" s="7">
        <v>19</v>
      </c>
      <c r="B71" s="7">
        <v>61</v>
      </c>
      <c r="C71" s="7" t="s">
        <v>276</v>
      </c>
      <c r="D71" s="7" t="s">
        <v>277</v>
      </c>
      <c r="E71" s="7" t="s">
        <v>288</v>
      </c>
      <c r="F71" s="7" t="s">
        <v>274</v>
      </c>
      <c r="G71" s="41" t="str">
        <f t="shared" si="3"/>
        <v>X</v>
      </c>
      <c r="H71" s="41">
        <f>INDEX(환산공식!CI$16:CI$301,MATCH('배치점수 계산기'!$W71,환산공식!$A$16:$A$301,0))</f>
        <v>111.1</v>
      </c>
      <c r="I71" s="41" t="str">
        <f>CONCATENATE(ROUND(INDEX(환산공식!CJ$16:CJ$301,MATCH('배치점수 계산기'!$W71,환산공식!$A$16:$A$301,0)),1),"%")</f>
        <v>100%</v>
      </c>
      <c r="J71" s="41">
        <f>INDEX(환산공식!CK$16:CK$301,MATCH('배치점수 계산기'!$W71,환산공식!$A$16:$A$301,0))</f>
        <v>10</v>
      </c>
      <c r="K71" s="7">
        <f>INDEX(환산공식!$EF$16:$EF$301,MATCH('배치점수 계산기'!W71,환산공식!$A$16:$A$301,0))</f>
        <v>0</v>
      </c>
      <c r="L71" s="41" t="str">
        <f t="shared" si="0"/>
        <v>1% 이하</v>
      </c>
      <c r="M71" s="7">
        <v>714.38888888888891</v>
      </c>
      <c r="N71" s="7">
        <v>710.99999999999989</v>
      </c>
      <c r="O71" s="7">
        <v>709.68492843738625</v>
      </c>
      <c r="P71" s="7">
        <v>705.2777777777776</v>
      </c>
      <c r="Q71" s="7">
        <v>703.49999999999989</v>
      </c>
      <c r="R71" s="7">
        <f t="shared" si="1"/>
        <v>6</v>
      </c>
      <c r="T71" s="7">
        <f>COUNTIF($C$11:C71,C71)</f>
        <v>8</v>
      </c>
      <c r="U71" s="7" t="str">
        <f t="shared" si="4"/>
        <v>가8</v>
      </c>
      <c r="V71" s="7" t="str">
        <f>INDEX(환산공식!$C$16:$C$301,MATCH('배치점수 계산기'!W71,환산공식!$A$16:$A$301,0))</f>
        <v>연세대 자연</v>
      </c>
      <c r="W71" s="7">
        <f t="shared" si="5"/>
        <v>19</v>
      </c>
      <c r="X71" s="7">
        <f t="shared" si="6"/>
        <v>1</v>
      </c>
      <c r="Y71" s="7">
        <f>IFERROR(INDEX(환산공식!Q$16:Q$200,MATCH($A71,환산공식!$A$16:$A$200,0)),"")</f>
        <v>1.1111111111111109</v>
      </c>
      <c r="Z71" s="7">
        <f>IFERROR(INDEX(환산공식!R$16:R$200,MATCH($A71,환산공식!$A$16:$A$200,0)),"")</f>
        <v>1.6666666666666665</v>
      </c>
      <c r="AA71" s="7">
        <f>IFERROR(INDEX(환산공식!U$16:U$200,MATCH($A71,환산공식!$A$16:$A$200,0)),"")</f>
        <v>1.6666666666666665</v>
      </c>
      <c r="AB71" s="7">
        <f t="shared" si="7"/>
        <v>0.24999999999999994</v>
      </c>
      <c r="AC71" s="7">
        <f t="shared" si="8"/>
        <v>0.37499999999999994</v>
      </c>
      <c r="AD71" s="7">
        <f t="shared" si="9"/>
        <v>0.37499999999999994</v>
      </c>
      <c r="AE71" s="7">
        <f>INDEX(환산공식!$AF$16:$AF$301,MATCH('배치점수 계산기'!W71,환산공식!$A$16:$A$301,0))</f>
        <v>1</v>
      </c>
      <c r="AF71" s="7">
        <f>INDEX(환산공식!$AP$16:$AP$301,MATCH('배치점수 계산기'!W71,환산공식!$A$16:$A$301,0))</f>
        <v>1</v>
      </c>
      <c r="AG71" s="7" t="str">
        <f t="shared" si="10"/>
        <v>표점</v>
      </c>
      <c r="AH71" s="7" t="str">
        <f t="shared" si="11"/>
        <v>표점</v>
      </c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EM71" s="120"/>
      <c r="ET71" s="210"/>
      <c r="EU71" s="210"/>
      <c r="EV71" s="210"/>
      <c r="EW71" s="210"/>
      <c r="EX71" s="210"/>
      <c r="EY71" s="210"/>
      <c r="EZ71" s="210"/>
      <c r="FA71" s="210"/>
      <c r="FB71" s="210"/>
      <c r="FC71" s="210"/>
      <c r="FD71" s="210"/>
      <c r="FE71" s="210"/>
      <c r="FF71" s="210"/>
      <c r="FG71" s="210"/>
      <c r="FH71" s="210"/>
      <c r="HR71" s="120"/>
      <c r="HY71" s="210"/>
      <c r="HZ71" s="210"/>
      <c r="IA71" s="210"/>
      <c r="IB71" s="210"/>
      <c r="IC71" s="210"/>
      <c r="ID71" s="210"/>
      <c r="IE71" s="210"/>
      <c r="IF71" s="210"/>
      <c r="IG71" s="210"/>
      <c r="IH71" s="210"/>
      <c r="II71" s="210"/>
      <c r="IJ71" s="210"/>
      <c r="IK71" s="210"/>
      <c r="IL71" s="210"/>
      <c r="IM71" s="210"/>
      <c r="KW71" s="120"/>
      <c r="LD71" s="210"/>
      <c r="LE71" s="210"/>
      <c r="LF71" s="210"/>
      <c r="LG71" s="210"/>
      <c r="LH71" s="210"/>
      <c r="LI71" s="210"/>
      <c r="LJ71" s="210"/>
      <c r="LK71" s="210"/>
      <c r="LL71" s="210"/>
      <c r="LM71" s="210"/>
      <c r="LN71" s="210"/>
      <c r="LO71" s="210"/>
      <c r="LP71" s="210"/>
      <c r="LQ71" s="210"/>
      <c r="LR71" s="210"/>
      <c r="OB71" s="120"/>
      <c r="OI71" s="210"/>
      <c r="OJ71" s="210"/>
      <c r="OK71" s="210"/>
      <c r="OL71" s="210"/>
      <c r="OM71" s="210"/>
      <c r="ON71" s="210"/>
      <c r="OO71" s="210"/>
      <c r="OP71" s="210"/>
      <c r="OQ71" s="210"/>
      <c r="OR71" s="210"/>
      <c r="OS71" s="210"/>
      <c r="OT71" s="210"/>
      <c r="OU71" s="210"/>
      <c r="OV71" s="210"/>
      <c r="OW71" s="210"/>
      <c r="RG71" s="120"/>
    </row>
    <row r="72" spans="1:475" x14ac:dyDescent="0.3">
      <c r="A72" s="7">
        <v>19</v>
      </c>
      <c r="B72" s="7">
        <v>62</v>
      </c>
      <c r="C72" s="7" t="s">
        <v>276</v>
      </c>
      <c r="D72" s="7" t="s">
        <v>277</v>
      </c>
      <c r="E72" s="7" t="s">
        <v>289</v>
      </c>
      <c r="F72" s="7" t="s">
        <v>274</v>
      </c>
      <c r="G72" s="41" t="str">
        <f t="shared" si="3"/>
        <v>X</v>
      </c>
      <c r="H72" s="41">
        <f>INDEX(환산공식!CI$16:CI$301,MATCH('배치점수 계산기'!$W72,환산공식!$A$16:$A$301,0))</f>
        <v>111.1</v>
      </c>
      <c r="I72" s="41" t="str">
        <f>CONCATENATE(ROUND(INDEX(환산공식!CJ$16:CJ$301,MATCH('배치점수 계산기'!$W72,환산공식!$A$16:$A$301,0)),1),"%")</f>
        <v>100%</v>
      </c>
      <c r="J72" s="41">
        <f>INDEX(환산공식!CK$16:CK$301,MATCH('배치점수 계산기'!$W72,환산공식!$A$16:$A$301,0))</f>
        <v>10</v>
      </c>
      <c r="K72" s="7">
        <f>INDEX(환산공식!$EF$16:$EF$301,MATCH('배치점수 계산기'!W72,환산공식!$A$16:$A$301,0))</f>
        <v>0</v>
      </c>
      <c r="L72" s="41" t="str">
        <f t="shared" si="0"/>
        <v>1% 이하</v>
      </c>
      <c r="M72" s="7">
        <v>710.05555555555543</v>
      </c>
      <c r="N72" s="7">
        <v>707.49999999999989</v>
      </c>
      <c r="O72" s="7">
        <v>705.74039275435916</v>
      </c>
      <c r="P72" s="7">
        <v>703.61111111111109</v>
      </c>
      <c r="Q72" s="7">
        <v>701.83333333333326</v>
      </c>
      <c r="R72" s="7">
        <f t="shared" si="1"/>
        <v>6</v>
      </c>
      <c r="T72" s="7">
        <f>COUNTIF($C$11:C72,C72)</f>
        <v>9</v>
      </c>
      <c r="U72" s="7" t="str">
        <f t="shared" si="4"/>
        <v>가9</v>
      </c>
      <c r="V72" s="7" t="str">
        <f>INDEX(환산공식!$C$16:$C$301,MATCH('배치점수 계산기'!W72,환산공식!$A$16:$A$301,0))</f>
        <v>연세대 자연</v>
      </c>
      <c r="W72" s="7">
        <f t="shared" si="5"/>
        <v>19</v>
      </c>
      <c r="X72" s="7">
        <f t="shared" si="6"/>
        <v>1</v>
      </c>
      <c r="Y72" s="7">
        <f>IFERROR(INDEX(환산공식!Q$16:Q$200,MATCH($A72,환산공식!$A$16:$A$200,0)),"")</f>
        <v>1.1111111111111109</v>
      </c>
      <c r="Z72" s="7">
        <f>IFERROR(INDEX(환산공식!R$16:R$200,MATCH($A72,환산공식!$A$16:$A$200,0)),"")</f>
        <v>1.6666666666666665</v>
      </c>
      <c r="AA72" s="7">
        <f>IFERROR(INDEX(환산공식!U$16:U$200,MATCH($A72,환산공식!$A$16:$A$200,0)),"")</f>
        <v>1.6666666666666665</v>
      </c>
      <c r="AB72" s="7">
        <f t="shared" si="7"/>
        <v>0.24999999999999994</v>
      </c>
      <c r="AC72" s="7">
        <f t="shared" si="8"/>
        <v>0.37499999999999994</v>
      </c>
      <c r="AD72" s="7">
        <f t="shared" si="9"/>
        <v>0.37499999999999994</v>
      </c>
      <c r="AE72" s="7">
        <f>INDEX(환산공식!$AF$16:$AF$301,MATCH('배치점수 계산기'!W72,환산공식!$A$16:$A$301,0))</f>
        <v>1</v>
      </c>
      <c r="AF72" s="7">
        <f>INDEX(환산공식!$AP$16:$AP$301,MATCH('배치점수 계산기'!W72,환산공식!$A$16:$A$301,0))</f>
        <v>1</v>
      </c>
      <c r="AG72" s="7" t="str">
        <f t="shared" si="10"/>
        <v>표점</v>
      </c>
      <c r="AH72" s="7" t="str">
        <f t="shared" si="11"/>
        <v>표점</v>
      </c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EM72" s="120"/>
      <c r="ET72" s="210"/>
      <c r="EU72" s="210"/>
      <c r="EV72" s="210"/>
      <c r="EW72" s="210"/>
      <c r="EX72" s="210"/>
      <c r="EY72" s="210"/>
      <c r="EZ72" s="210"/>
      <c r="FA72" s="210"/>
      <c r="FB72" s="210"/>
      <c r="FC72" s="210"/>
      <c r="FD72" s="210"/>
      <c r="FE72" s="210"/>
      <c r="FF72" s="210"/>
      <c r="FG72" s="210"/>
      <c r="FH72" s="210"/>
      <c r="HR72" s="120"/>
      <c r="HY72" s="210"/>
      <c r="HZ72" s="210"/>
      <c r="IA72" s="210"/>
      <c r="IB72" s="210"/>
      <c r="IC72" s="210"/>
      <c r="ID72" s="210"/>
      <c r="IE72" s="210"/>
      <c r="IF72" s="210"/>
      <c r="IG72" s="210"/>
      <c r="IH72" s="210"/>
      <c r="II72" s="210"/>
      <c r="IJ72" s="210"/>
      <c r="IK72" s="210"/>
      <c r="IL72" s="210"/>
      <c r="IM72" s="210"/>
      <c r="KW72" s="120"/>
      <c r="LD72" s="210"/>
      <c r="LE72" s="210"/>
      <c r="LF72" s="210"/>
      <c r="LG72" s="210"/>
      <c r="LH72" s="210"/>
      <c r="LI72" s="210"/>
      <c r="LJ72" s="210"/>
      <c r="LK72" s="210"/>
      <c r="LL72" s="210"/>
      <c r="LM72" s="210"/>
      <c r="LN72" s="210"/>
      <c r="LO72" s="210"/>
      <c r="LP72" s="210"/>
      <c r="LQ72" s="210"/>
      <c r="LR72" s="210"/>
      <c r="OB72" s="120"/>
      <c r="OI72" s="210"/>
      <c r="OJ72" s="210"/>
      <c r="OK72" s="210"/>
      <c r="OL72" s="210"/>
      <c r="OM72" s="210"/>
      <c r="ON72" s="210"/>
      <c r="OO72" s="210"/>
      <c r="OP72" s="210"/>
      <c r="OQ72" s="210"/>
      <c r="OR72" s="210"/>
      <c r="OS72" s="210"/>
      <c r="OT72" s="210"/>
      <c r="OU72" s="210"/>
      <c r="OV72" s="210"/>
      <c r="OW72" s="210"/>
      <c r="RG72" s="120"/>
    </row>
    <row r="73" spans="1:475" x14ac:dyDescent="0.3">
      <c r="A73" s="7">
        <v>19</v>
      </c>
      <c r="B73" s="7">
        <v>63</v>
      </c>
      <c r="C73" s="7" t="s">
        <v>276</v>
      </c>
      <c r="D73" s="7" t="s">
        <v>277</v>
      </c>
      <c r="E73" s="7" t="s">
        <v>290</v>
      </c>
      <c r="F73" s="7" t="s">
        <v>274</v>
      </c>
      <c r="G73" s="41" t="str">
        <f t="shared" si="3"/>
        <v>X</v>
      </c>
      <c r="H73" s="41">
        <f>INDEX(환산공식!CI$16:CI$301,MATCH('배치점수 계산기'!$W73,환산공식!$A$16:$A$301,0))</f>
        <v>111.1</v>
      </c>
      <c r="I73" s="41" t="str">
        <f>CONCATENATE(ROUND(INDEX(환산공식!CJ$16:CJ$301,MATCH('배치점수 계산기'!$W73,환산공식!$A$16:$A$301,0)),1),"%")</f>
        <v>100%</v>
      </c>
      <c r="J73" s="41">
        <f>INDEX(환산공식!CK$16:CK$301,MATCH('배치점수 계산기'!$W73,환산공식!$A$16:$A$301,0))</f>
        <v>10</v>
      </c>
      <c r="K73" s="7">
        <f>INDEX(환산공식!$EF$16:$EF$301,MATCH('배치점수 계산기'!W73,환산공식!$A$16:$A$301,0))</f>
        <v>0</v>
      </c>
      <c r="L73" s="41" t="str">
        <f t="shared" si="0"/>
        <v>1% 이하</v>
      </c>
      <c r="M73" s="7">
        <v>707.99999999999989</v>
      </c>
      <c r="N73" s="7">
        <v>705.96263395375058</v>
      </c>
      <c r="O73" s="7">
        <v>704.33333333333326</v>
      </c>
      <c r="P73" s="7">
        <v>701.83333333333326</v>
      </c>
      <c r="Q73" s="7">
        <v>700.01807658312657</v>
      </c>
      <c r="R73" s="7">
        <f t="shared" si="1"/>
        <v>6</v>
      </c>
      <c r="T73" s="7">
        <f>COUNTIF($C$11:C73,C73)</f>
        <v>10</v>
      </c>
      <c r="U73" s="7" t="str">
        <f t="shared" si="4"/>
        <v>가10</v>
      </c>
      <c r="V73" s="7" t="str">
        <f>INDEX(환산공식!$C$16:$C$301,MATCH('배치점수 계산기'!W73,환산공식!$A$16:$A$301,0))</f>
        <v>연세대 자연</v>
      </c>
      <c r="W73" s="7">
        <f t="shared" si="5"/>
        <v>19</v>
      </c>
      <c r="X73" s="7">
        <f t="shared" si="6"/>
        <v>1</v>
      </c>
      <c r="Y73" s="7">
        <f>IFERROR(INDEX(환산공식!Q$16:Q$200,MATCH($A73,환산공식!$A$16:$A$200,0)),"")</f>
        <v>1.1111111111111109</v>
      </c>
      <c r="Z73" s="7">
        <f>IFERROR(INDEX(환산공식!R$16:R$200,MATCH($A73,환산공식!$A$16:$A$200,0)),"")</f>
        <v>1.6666666666666665</v>
      </c>
      <c r="AA73" s="7">
        <f>IFERROR(INDEX(환산공식!U$16:U$200,MATCH($A73,환산공식!$A$16:$A$200,0)),"")</f>
        <v>1.6666666666666665</v>
      </c>
      <c r="AB73" s="7">
        <f t="shared" si="7"/>
        <v>0.24999999999999994</v>
      </c>
      <c r="AC73" s="7">
        <f t="shared" si="8"/>
        <v>0.37499999999999994</v>
      </c>
      <c r="AD73" s="7">
        <f t="shared" si="9"/>
        <v>0.37499999999999994</v>
      </c>
      <c r="AE73" s="7">
        <f>INDEX(환산공식!$AF$16:$AF$301,MATCH('배치점수 계산기'!W73,환산공식!$A$16:$A$301,0))</f>
        <v>1</v>
      </c>
      <c r="AF73" s="7">
        <f>INDEX(환산공식!$AP$16:$AP$301,MATCH('배치점수 계산기'!W73,환산공식!$A$16:$A$301,0))</f>
        <v>1</v>
      </c>
      <c r="AG73" s="7" t="str">
        <f t="shared" si="10"/>
        <v>표점</v>
      </c>
      <c r="AH73" s="7" t="str">
        <f t="shared" si="11"/>
        <v>표점</v>
      </c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EM73" s="120"/>
      <c r="ET73" s="210"/>
      <c r="EU73" s="210"/>
      <c r="EV73" s="210"/>
      <c r="EW73" s="210"/>
      <c r="EX73" s="210"/>
      <c r="EY73" s="210"/>
      <c r="EZ73" s="210"/>
      <c r="FA73" s="210"/>
      <c r="FB73" s="210"/>
      <c r="FC73" s="210"/>
      <c r="FD73" s="210"/>
      <c r="FE73" s="210"/>
      <c r="FF73" s="210"/>
      <c r="FG73" s="210"/>
      <c r="FH73" s="210"/>
      <c r="HR73" s="120"/>
      <c r="HY73" s="210"/>
      <c r="HZ73" s="210"/>
      <c r="IA73" s="210"/>
      <c r="IB73" s="210"/>
      <c r="IC73" s="210"/>
      <c r="ID73" s="210"/>
      <c r="IE73" s="210"/>
      <c r="IF73" s="210"/>
      <c r="IG73" s="210"/>
      <c r="IH73" s="210"/>
      <c r="II73" s="210"/>
      <c r="IJ73" s="210"/>
      <c r="IK73" s="210"/>
      <c r="IL73" s="210"/>
      <c r="IM73" s="210"/>
      <c r="KW73" s="120"/>
      <c r="LD73" s="210"/>
      <c r="LE73" s="210"/>
      <c r="LF73" s="210"/>
      <c r="LG73" s="210"/>
      <c r="LH73" s="210"/>
      <c r="LI73" s="210"/>
      <c r="LJ73" s="210"/>
      <c r="LK73" s="210"/>
      <c r="LL73" s="210"/>
      <c r="LM73" s="210"/>
      <c r="LN73" s="210"/>
      <c r="LO73" s="210"/>
      <c r="LP73" s="210"/>
      <c r="LQ73" s="210"/>
      <c r="LR73" s="210"/>
      <c r="OB73" s="120"/>
      <c r="OI73" s="210"/>
      <c r="OJ73" s="210"/>
      <c r="OK73" s="210"/>
      <c r="OL73" s="210"/>
      <c r="OM73" s="210"/>
      <c r="ON73" s="210"/>
      <c r="OO73" s="210"/>
      <c r="OP73" s="210"/>
      <c r="OQ73" s="210"/>
      <c r="OR73" s="210"/>
      <c r="OS73" s="210"/>
      <c r="OT73" s="210"/>
      <c r="OU73" s="210"/>
      <c r="OV73" s="210"/>
      <c r="OW73" s="210"/>
      <c r="RG73" s="120"/>
    </row>
    <row r="74" spans="1:475" x14ac:dyDescent="0.3">
      <c r="A74" s="7">
        <v>19</v>
      </c>
      <c r="B74" s="7">
        <v>64</v>
      </c>
      <c r="C74" s="7" t="s">
        <v>276</v>
      </c>
      <c r="D74" s="7" t="s">
        <v>277</v>
      </c>
      <c r="E74" s="7" t="s">
        <v>291</v>
      </c>
      <c r="F74" s="7" t="s">
        <v>274</v>
      </c>
      <c r="G74" s="41" t="str">
        <f t="shared" si="3"/>
        <v>X</v>
      </c>
      <c r="H74" s="41">
        <f>INDEX(환산공식!CI$16:CI$301,MATCH('배치점수 계산기'!$W74,환산공식!$A$16:$A$301,0))</f>
        <v>111.1</v>
      </c>
      <c r="I74" s="41" t="str">
        <f>CONCATENATE(ROUND(INDEX(환산공식!CJ$16:CJ$301,MATCH('배치점수 계산기'!$W74,환산공식!$A$16:$A$301,0)),1),"%")</f>
        <v>100%</v>
      </c>
      <c r="J74" s="41">
        <f>INDEX(환산공식!CK$16:CK$301,MATCH('배치점수 계산기'!$W74,환산공식!$A$16:$A$301,0))</f>
        <v>10</v>
      </c>
      <c r="K74" s="7">
        <f>INDEX(환산공식!$EF$16:$EF$301,MATCH('배치점수 계산기'!W74,환산공식!$A$16:$A$301,0))</f>
        <v>0</v>
      </c>
      <c r="L74" s="41" t="str">
        <f t="shared" si="0"/>
        <v>1% 이하</v>
      </c>
      <c r="M74" s="7">
        <v>707.49999999999989</v>
      </c>
      <c r="N74" s="7">
        <v>705.2777777777776</v>
      </c>
      <c r="O74" s="7">
        <v>704.22222222222217</v>
      </c>
      <c r="P74" s="7">
        <v>702.51812118632029</v>
      </c>
      <c r="Q74" s="7">
        <v>700.01807658312657</v>
      </c>
      <c r="R74" s="7">
        <f t="shared" si="1"/>
        <v>6</v>
      </c>
      <c r="T74" s="7">
        <f>COUNTIF($C$11:C74,C74)</f>
        <v>11</v>
      </c>
      <c r="U74" s="7" t="str">
        <f t="shared" si="4"/>
        <v>가11</v>
      </c>
      <c r="V74" s="7" t="str">
        <f>INDEX(환산공식!$C$16:$C$301,MATCH('배치점수 계산기'!W74,환산공식!$A$16:$A$301,0))</f>
        <v>연세대 자연</v>
      </c>
      <c r="W74" s="7">
        <f t="shared" si="5"/>
        <v>19</v>
      </c>
      <c r="X74" s="7">
        <f t="shared" si="6"/>
        <v>1</v>
      </c>
      <c r="Y74" s="7">
        <f>IFERROR(INDEX(환산공식!Q$16:Q$200,MATCH($A74,환산공식!$A$16:$A$200,0)),"")</f>
        <v>1.1111111111111109</v>
      </c>
      <c r="Z74" s="7">
        <f>IFERROR(INDEX(환산공식!R$16:R$200,MATCH($A74,환산공식!$A$16:$A$200,0)),"")</f>
        <v>1.6666666666666665</v>
      </c>
      <c r="AA74" s="7">
        <f>IFERROR(INDEX(환산공식!U$16:U$200,MATCH($A74,환산공식!$A$16:$A$200,0)),"")</f>
        <v>1.6666666666666665</v>
      </c>
      <c r="AB74" s="7">
        <f t="shared" si="7"/>
        <v>0.24999999999999994</v>
      </c>
      <c r="AC74" s="7">
        <f t="shared" si="8"/>
        <v>0.37499999999999994</v>
      </c>
      <c r="AD74" s="7">
        <f t="shared" si="9"/>
        <v>0.37499999999999994</v>
      </c>
      <c r="AE74" s="7">
        <f>INDEX(환산공식!$AF$16:$AF$301,MATCH('배치점수 계산기'!W74,환산공식!$A$16:$A$301,0))</f>
        <v>1</v>
      </c>
      <c r="AF74" s="7">
        <f>INDEX(환산공식!$AP$16:$AP$301,MATCH('배치점수 계산기'!W74,환산공식!$A$16:$A$301,0))</f>
        <v>1</v>
      </c>
      <c r="AG74" s="7" t="str">
        <f t="shared" si="10"/>
        <v>표점</v>
      </c>
      <c r="AH74" s="7" t="str">
        <f t="shared" si="11"/>
        <v>표점</v>
      </c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EM74" s="120"/>
      <c r="ET74" s="210"/>
      <c r="EU74" s="210"/>
      <c r="EV74" s="210"/>
      <c r="EW74" s="210"/>
      <c r="EX74" s="210"/>
      <c r="EY74" s="210"/>
      <c r="EZ74" s="210"/>
      <c r="FA74" s="210"/>
      <c r="FB74" s="210"/>
      <c r="FC74" s="210"/>
      <c r="FD74" s="210"/>
      <c r="FE74" s="210"/>
      <c r="FF74" s="210"/>
      <c r="FG74" s="210"/>
      <c r="FH74" s="210"/>
      <c r="HR74" s="120"/>
      <c r="HY74" s="210"/>
      <c r="HZ74" s="210"/>
      <c r="IA74" s="210"/>
      <c r="IB74" s="210"/>
      <c r="IC74" s="210"/>
      <c r="ID74" s="210"/>
      <c r="IE74" s="210"/>
      <c r="IF74" s="210"/>
      <c r="IG74" s="210"/>
      <c r="IH74" s="210"/>
      <c r="II74" s="210"/>
      <c r="IJ74" s="210"/>
      <c r="IK74" s="210"/>
      <c r="IL74" s="210"/>
      <c r="IM74" s="210"/>
      <c r="KW74" s="120"/>
      <c r="LD74" s="210"/>
      <c r="LE74" s="210"/>
      <c r="LF74" s="210"/>
      <c r="LG74" s="210"/>
      <c r="LH74" s="210"/>
      <c r="LI74" s="210"/>
      <c r="LJ74" s="210"/>
      <c r="LK74" s="210"/>
      <c r="LL74" s="210"/>
      <c r="LM74" s="210"/>
      <c r="LN74" s="210"/>
      <c r="LO74" s="210"/>
      <c r="LP74" s="210"/>
      <c r="LQ74" s="210"/>
      <c r="LR74" s="210"/>
      <c r="OB74" s="120"/>
      <c r="OI74" s="210"/>
      <c r="OJ74" s="210"/>
      <c r="OK74" s="210"/>
      <c r="OL74" s="210"/>
      <c r="OM74" s="210"/>
      <c r="ON74" s="210"/>
      <c r="OO74" s="210"/>
      <c r="OP74" s="210"/>
      <c r="OQ74" s="210"/>
      <c r="OR74" s="210"/>
      <c r="OS74" s="210"/>
      <c r="OT74" s="210"/>
      <c r="OU74" s="210"/>
      <c r="OV74" s="210"/>
      <c r="OW74" s="210"/>
      <c r="RG74" s="120"/>
    </row>
    <row r="75" spans="1:475" x14ac:dyDescent="0.3">
      <c r="A75" s="7">
        <v>19</v>
      </c>
      <c r="B75" s="7">
        <v>65</v>
      </c>
      <c r="C75" s="7" t="s">
        <v>276</v>
      </c>
      <c r="D75" s="7" t="s">
        <v>277</v>
      </c>
      <c r="E75" s="7" t="s">
        <v>292</v>
      </c>
      <c r="F75" s="7" t="s">
        <v>274</v>
      </c>
      <c r="G75" s="41" t="str">
        <f t="shared" si="3"/>
        <v>X</v>
      </c>
      <c r="H75" s="41">
        <f>INDEX(환산공식!CI$16:CI$301,MATCH('배치점수 계산기'!$W75,환산공식!$A$16:$A$301,0))</f>
        <v>111.1</v>
      </c>
      <c r="I75" s="41" t="str">
        <f>CONCATENATE(ROUND(INDEX(환산공식!CJ$16:CJ$301,MATCH('배치점수 계산기'!$W75,환산공식!$A$16:$A$301,0)),1),"%")</f>
        <v>100%</v>
      </c>
      <c r="J75" s="41">
        <f>INDEX(환산공식!CK$16:CK$301,MATCH('배치점수 계산기'!$W75,환산공식!$A$16:$A$301,0))</f>
        <v>10</v>
      </c>
      <c r="K75" s="7">
        <f>INDEX(환산공식!$EF$16:$EF$301,MATCH('배치점수 계산기'!W75,환산공식!$A$16:$A$301,0))</f>
        <v>0</v>
      </c>
      <c r="L75" s="41" t="str">
        <f t="shared" ref="L75:L138" si="12">IF(K75&gt;M75,"90% 이상",IF(K75&gt;N75,CONCATENATE(ROUND(((K75-N75)/(M75-N75))*20+70,0),"%"),IF(K75&gt;O75,CONCATENATE(ROUND(((K75-O75)/(N75-O75))*30+40,0),"%"),IF(K75&gt;P75,CONCATENATE(ROUND(((K75-P75)/(O75-P75))*30+10,0),"%"),IF(K75&gt;Q75,CONCATENATE(ROUND(((K75-Q75)/(P75-Q75))*9+1,0),"%"),"1% 이하")))))</f>
        <v>1% 이하</v>
      </c>
      <c r="M75" s="7">
        <v>707.49999999999989</v>
      </c>
      <c r="N75" s="7">
        <v>705.96263395375058</v>
      </c>
      <c r="O75" s="7">
        <v>704.22222222222217</v>
      </c>
      <c r="P75" s="7">
        <v>703.33333333333314</v>
      </c>
      <c r="Q75" s="7">
        <v>701.3888888888888</v>
      </c>
      <c r="R75" s="7">
        <f t="shared" ref="R75:R138" si="13">IF(K75&gt;M75,1,IF(K75&gt;N75,2,IF(K75&gt;O75,3,IF(K75&gt;P75,4,IF(K75&gt;=Q75,5,IF(K75&lt;Q75,6))))))</f>
        <v>6</v>
      </c>
      <c r="T75" s="7">
        <f>COUNTIF($C$11:C75,C75)</f>
        <v>12</v>
      </c>
      <c r="U75" s="7" t="str">
        <f t="shared" si="4"/>
        <v>가12</v>
      </c>
      <c r="V75" s="7" t="str">
        <f>INDEX(환산공식!$C$16:$C$301,MATCH('배치점수 계산기'!W75,환산공식!$A$16:$A$301,0))</f>
        <v>연세대 자연</v>
      </c>
      <c r="W75" s="7">
        <f t="shared" si="5"/>
        <v>19</v>
      </c>
      <c r="X75" s="7">
        <f t="shared" si="6"/>
        <v>1</v>
      </c>
      <c r="Y75" s="7">
        <f>IFERROR(INDEX(환산공식!Q$16:Q$200,MATCH($A75,환산공식!$A$16:$A$200,0)),"")</f>
        <v>1.1111111111111109</v>
      </c>
      <c r="Z75" s="7">
        <f>IFERROR(INDEX(환산공식!R$16:R$200,MATCH($A75,환산공식!$A$16:$A$200,0)),"")</f>
        <v>1.6666666666666665</v>
      </c>
      <c r="AA75" s="7">
        <f>IFERROR(INDEX(환산공식!U$16:U$200,MATCH($A75,환산공식!$A$16:$A$200,0)),"")</f>
        <v>1.6666666666666665</v>
      </c>
      <c r="AB75" s="7">
        <f t="shared" si="7"/>
        <v>0.24999999999999994</v>
      </c>
      <c r="AC75" s="7">
        <f t="shared" si="8"/>
        <v>0.37499999999999994</v>
      </c>
      <c r="AD75" s="7">
        <f t="shared" si="9"/>
        <v>0.37499999999999994</v>
      </c>
      <c r="AE75" s="7">
        <f>INDEX(환산공식!$AF$16:$AF$301,MATCH('배치점수 계산기'!W75,환산공식!$A$16:$A$301,0))</f>
        <v>1</v>
      </c>
      <c r="AF75" s="7">
        <f>INDEX(환산공식!$AP$16:$AP$301,MATCH('배치점수 계산기'!W75,환산공식!$A$16:$A$301,0))</f>
        <v>1</v>
      </c>
      <c r="AG75" s="7" t="str">
        <f t="shared" si="10"/>
        <v>표점</v>
      </c>
      <c r="AH75" s="7" t="str">
        <f t="shared" si="11"/>
        <v>표점</v>
      </c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EM75" s="120"/>
      <c r="ET75" s="210"/>
      <c r="EU75" s="210"/>
      <c r="EV75" s="210"/>
      <c r="EW75" s="210"/>
      <c r="EX75" s="210"/>
      <c r="EY75" s="210"/>
      <c r="EZ75" s="210"/>
      <c r="FA75" s="210"/>
      <c r="FB75" s="210"/>
      <c r="FC75" s="210"/>
      <c r="FD75" s="210"/>
      <c r="FE75" s="210"/>
      <c r="FF75" s="210"/>
      <c r="FG75" s="210"/>
      <c r="FH75" s="210"/>
      <c r="HR75" s="120"/>
      <c r="HY75" s="210"/>
      <c r="HZ75" s="210"/>
      <c r="IA75" s="210"/>
      <c r="IB75" s="210"/>
      <c r="IC75" s="210"/>
      <c r="ID75" s="210"/>
      <c r="IE75" s="210"/>
      <c r="IF75" s="210"/>
      <c r="IG75" s="210"/>
      <c r="IH75" s="210"/>
      <c r="II75" s="210"/>
      <c r="IJ75" s="210"/>
      <c r="IK75" s="210"/>
      <c r="IL75" s="210"/>
      <c r="IM75" s="210"/>
      <c r="KW75" s="120"/>
      <c r="LD75" s="210"/>
      <c r="LE75" s="210"/>
      <c r="LF75" s="210"/>
      <c r="LG75" s="210"/>
      <c r="LH75" s="210"/>
      <c r="LI75" s="210"/>
      <c r="LJ75" s="210"/>
      <c r="LK75" s="210"/>
      <c r="LL75" s="210"/>
      <c r="LM75" s="210"/>
      <c r="LN75" s="210"/>
      <c r="LO75" s="210"/>
      <c r="LP75" s="210"/>
      <c r="LQ75" s="210"/>
      <c r="LR75" s="210"/>
      <c r="OB75" s="120"/>
      <c r="OI75" s="210"/>
      <c r="OJ75" s="210"/>
      <c r="OK75" s="210"/>
      <c r="OL75" s="210"/>
      <c r="OM75" s="210"/>
      <c r="ON75" s="210"/>
      <c r="OO75" s="210"/>
      <c r="OP75" s="210"/>
      <c r="OQ75" s="210"/>
      <c r="OR75" s="210"/>
      <c r="OS75" s="210"/>
      <c r="OT75" s="210"/>
      <c r="OU75" s="210"/>
      <c r="OV75" s="210"/>
      <c r="OW75" s="210"/>
      <c r="RG75" s="120"/>
    </row>
    <row r="76" spans="1:475" x14ac:dyDescent="0.3">
      <c r="A76" s="7">
        <v>19</v>
      </c>
      <c r="B76" s="7">
        <v>66</v>
      </c>
      <c r="C76" s="7" t="s">
        <v>276</v>
      </c>
      <c r="D76" s="7" t="s">
        <v>277</v>
      </c>
      <c r="E76" s="7" t="s">
        <v>293</v>
      </c>
      <c r="F76" s="7" t="s">
        <v>274</v>
      </c>
      <c r="G76" s="41" t="str">
        <f t="shared" ref="G76:G139" si="14">IFERROR(IF(BJ76=0,"X","O"),"")</f>
        <v>X</v>
      </c>
      <c r="H76" s="41">
        <f>INDEX(환산공식!CI$16:CI$301,MATCH('배치점수 계산기'!$W76,환산공식!$A$16:$A$301,0))</f>
        <v>111.1</v>
      </c>
      <c r="I76" s="41" t="str">
        <f>CONCATENATE(ROUND(INDEX(환산공식!CJ$16:CJ$301,MATCH('배치점수 계산기'!$W76,환산공식!$A$16:$A$301,0)),1),"%")</f>
        <v>100%</v>
      </c>
      <c r="J76" s="41">
        <f>INDEX(환산공식!CK$16:CK$301,MATCH('배치점수 계산기'!$W76,환산공식!$A$16:$A$301,0))</f>
        <v>10</v>
      </c>
      <c r="K76" s="7">
        <f>INDEX(환산공식!$EF$16:$EF$301,MATCH('배치점수 계산기'!W76,환산공식!$A$16:$A$301,0))</f>
        <v>0</v>
      </c>
      <c r="L76" s="41" t="str">
        <f t="shared" si="12"/>
        <v>1% 이하</v>
      </c>
      <c r="M76" s="7">
        <v>706.55555555555554</v>
      </c>
      <c r="N76" s="7">
        <v>705.2777777777776</v>
      </c>
      <c r="O76" s="7">
        <v>703.61111111111109</v>
      </c>
      <c r="P76" s="7">
        <v>702.51812118632029</v>
      </c>
      <c r="Q76" s="7">
        <v>700.01807658312657</v>
      </c>
      <c r="R76" s="7">
        <f t="shared" si="13"/>
        <v>6</v>
      </c>
      <c r="T76" s="7">
        <f>COUNTIF($C$11:C76,C76)</f>
        <v>13</v>
      </c>
      <c r="U76" s="7" t="str">
        <f t="shared" ref="U76:U139" si="15">CONCATENATE(C76,T76)</f>
        <v>가13</v>
      </c>
      <c r="V76" s="7" t="str">
        <f>INDEX(환산공식!$C$16:$C$301,MATCH('배치점수 계산기'!W76,환산공식!$A$16:$A$301,0))</f>
        <v>연세대 자연</v>
      </c>
      <c r="W76" s="7">
        <f t="shared" ref="W76:W139" si="16">A76</f>
        <v>19</v>
      </c>
      <c r="X76" s="7">
        <f t="shared" ref="X76:X139" si="17">IF(OR(D76=0,D76=""),"",IF(LEFT(D76,1)=LEFT(V76,1),1,2))</f>
        <v>1</v>
      </c>
      <c r="Y76" s="7">
        <f>IFERROR(INDEX(환산공식!Q$16:Q$200,MATCH($A76,환산공식!$A$16:$A$200,0)),"")</f>
        <v>1.1111111111111109</v>
      </c>
      <c r="Z76" s="7">
        <f>IFERROR(INDEX(환산공식!R$16:R$200,MATCH($A76,환산공식!$A$16:$A$200,0)),"")</f>
        <v>1.6666666666666665</v>
      </c>
      <c r="AA76" s="7">
        <f>IFERROR(INDEX(환산공식!U$16:U$200,MATCH($A76,환산공식!$A$16:$A$200,0)),"")</f>
        <v>1.6666666666666665</v>
      </c>
      <c r="AB76" s="7">
        <f t="shared" ref="AB76:AB139" si="18">Y76/($Y76+$Z76+$AA76)</f>
        <v>0.24999999999999994</v>
      </c>
      <c r="AC76" s="7">
        <f t="shared" ref="AC76:AC139" si="19">Z76/($Y76+$Z76+$AA76)</f>
        <v>0.37499999999999994</v>
      </c>
      <c r="AD76" s="7">
        <f t="shared" ref="AD76:AD139" si="20">AA76/($Y76+$Z76+$AA76)</f>
        <v>0.37499999999999994</v>
      </c>
      <c r="AE76" s="7">
        <f>INDEX(환산공식!$AF$16:$AF$301,MATCH('배치점수 계산기'!W76,환산공식!$A$16:$A$301,0))</f>
        <v>1</v>
      </c>
      <c r="AF76" s="7">
        <f>INDEX(환산공식!$AP$16:$AP$301,MATCH('배치점수 계산기'!W76,환산공식!$A$16:$A$301,0))</f>
        <v>1</v>
      </c>
      <c r="AG76" s="7" t="str">
        <f t="shared" ref="AG76:AG139" si="21">IF(AE76=1,"표점",IF(AE76=12,"표점/만점",IF(AE76=2,"백분위")))</f>
        <v>표점</v>
      </c>
      <c r="AH76" s="7" t="str">
        <f t="shared" ref="AH76:AH139" si="22">IF(AF76=1,"표점",IF(AF76=12,"표점/만점",IF(AF76=2,"백분위",IF(AF76=4,"변표",IF(AF76=42,"변표/만점")))))</f>
        <v>표점</v>
      </c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EM76" s="12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HR76" s="12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KW76" s="12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OB76" s="12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RG76" s="120"/>
    </row>
    <row r="77" spans="1:475" x14ac:dyDescent="0.3">
      <c r="A77" s="7">
        <v>19</v>
      </c>
      <c r="B77" s="7">
        <v>67</v>
      </c>
      <c r="C77" s="7" t="s">
        <v>276</v>
      </c>
      <c r="D77" s="7" t="s">
        <v>277</v>
      </c>
      <c r="E77" s="7" t="s">
        <v>256</v>
      </c>
      <c r="F77" s="7" t="s">
        <v>274</v>
      </c>
      <c r="G77" s="41" t="str">
        <f t="shared" si="14"/>
        <v>X</v>
      </c>
      <c r="H77" s="41">
        <f>INDEX(환산공식!CI$16:CI$301,MATCH('배치점수 계산기'!$W77,환산공식!$A$16:$A$301,0))</f>
        <v>111.1</v>
      </c>
      <c r="I77" s="41" t="str">
        <f>CONCATENATE(ROUND(INDEX(환산공식!CJ$16:CJ$301,MATCH('배치점수 계산기'!$W77,환산공식!$A$16:$A$301,0)),1),"%")</f>
        <v>100%</v>
      </c>
      <c r="J77" s="41">
        <f>INDEX(환산공식!CK$16:CK$301,MATCH('배치점수 계산기'!$W77,환산공식!$A$16:$A$301,0))</f>
        <v>10</v>
      </c>
      <c r="K77" s="7">
        <f>INDEX(환산공식!$EF$16:$EF$301,MATCH('배치점수 계산기'!W77,환산공식!$A$16:$A$301,0))</f>
        <v>0</v>
      </c>
      <c r="L77" s="41" t="str">
        <f t="shared" si="12"/>
        <v>1% 이하</v>
      </c>
      <c r="M77" s="7">
        <v>706.55555555555554</v>
      </c>
      <c r="N77" s="7">
        <v>705.2777777777776</v>
      </c>
      <c r="O77" s="7">
        <v>703.33333333333314</v>
      </c>
      <c r="P77" s="7">
        <v>701.83333333333326</v>
      </c>
      <c r="Q77" s="7">
        <v>701</v>
      </c>
      <c r="R77" s="7">
        <f t="shared" si="13"/>
        <v>6</v>
      </c>
      <c r="T77" s="7">
        <f>COUNTIF($C$11:C77,C77)</f>
        <v>14</v>
      </c>
      <c r="U77" s="7" t="str">
        <f t="shared" si="15"/>
        <v>가14</v>
      </c>
      <c r="V77" s="7" t="str">
        <f>INDEX(환산공식!$C$16:$C$301,MATCH('배치점수 계산기'!W77,환산공식!$A$16:$A$301,0))</f>
        <v>연세대 자연</v>
      </c>
      <c r="W77" s="7">
        <f t="shared" si="16"/>
        <v>19</v>
      </c>
      <c r="X77" s="7">
        <f t="shared" si="17"/>
        <v>1</v>
      </c>
      <c r="Y77" s="7">
        <f>IFERROR(INDEX(환산공식!Q$16:Q$200,MATCH($A77,환산공식!$A$16:$A$200,0)),"")</f>
        <v>1.1111111111111109</v>
      </c>
      <c r="Z77" s="7">
        <f>IFERROR(INDEX(환산공식!R$16:R$200,MATCH($A77,환산공식!$A$16:$A$200,0)),"")</f>
        <v>1.6666666666666665</v>
      </c>
      <c r="AA77" s="7">
        <f>IFERROR(INDEX(환산공식!U$16:U$200,MATCH($A77,환산공식!$A$16:$A$200,0)),"")</f>
        <v>1.6666666666666665</v>
      </c>
      <c r="AB77" s="7">
        <f t="shared" si="18"/>
        <v>0.24999999999999994</v>
      </c>
      <c r="AC77" s="7">
        <f t="shared" si="19"/>
        <v>0.37499999999999994</v>
      </c>
      <c r="AD77" s="7">
        <f t="shared" si="20"/>
        <v>0.37499999999999994</v>
      </c>
      <c r="AE77" s="7">
        <f>INDEX(환산공식!$AF$16:$AF$301,MATCH('배치점수 계산기'!W77,환산공식!$A$16:$A$301,0))</f>
        <v>1</v>
      </c>
      <c r="AF77" s="7">
        <f>INDEX(환산공식!$AP$16:$AP$301,MATCH('배치점수 계산기'!W77,환산공식!$A$16:$A$301,0))</f>
        <v>1</v>
      </c>
      <c r="AG77" s="7" t="str">
        <f t="shared" si="21"/>
        <v>표점</v>
      </c>
      <c r="AH77" s="7" t="str">
        <f t="shared" si="22"/>
        <v>표점</v>
      </c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EM77" s="120"/>
      <c r="ET77" s="210"/>
      <c r="EU77" s="210"/>
      <c r="EV77" s="210"/>
      <c r="EW77" s="210"/>
      <c r="EX77" s="210"/>
      <c r="EY77" s="210"/>
      <c r="EZ77" s="210"/>
      <c r="FA77" s="210"/>
      <c r="FB77" s="210"/>
      <c r="FC77" s="210"/>
      <c r="FD77" s="210"/>
      <c r="FE77" s="210"/>
      <c r="FF77" s="210"/>
      <c r="FG77" s="210"/>
      <c r="FH77" s="210"/>
      <c r="HR77" s="120"/>
      <c r="HY77" s="210"/>
      <c r="HZ77" s="210"/>
      <c r="IA77" s="210"/>
      <c r="IB77" s="210"/>
      <c r="IC77" s="210"/>
      <c r="ID77" s="210"/>
      <c r="IE77" s="210"/>
      <c r="IF77" s="210"/>
      <c r="IG77" s="210"/>
      <c r="IH77" s="210"/>
      <c r="II77" s="210"/>
      <c r="IJ77" s="210"/>
      <c r="IK77" s="210"/>
      <c r="IL77" s="210"/>
      <c r="IM77" s="210"/>
      <c r="KW77" s="120"/>
      <c r="LD77" s="210"/>
      <c r="LE77" s="210"/>
      <c r="LF77" s="210"/>
      <c r="LG77" s="210"/>
      <c r="LH77" s="210"/>
      <c r="LI77" s="210"/>
      <c r="LJ77" s="210"/>
      <c r="LK77" s="210"/>
      <c r="LL77" s="210"/>
      <c r="LM77" s="210"/>
      <c r="LN77" s="210"/>
      <c r="LO77" s="210"/>
      <c r="LP77" s="210"/>
      <c r="LQ77" s="210"/>
      <c r="LR77" s="210"/>
      <c r="OB77" s="120"/>
      <c r="OI77" s="210"/>
      <c r="OJ77" s="210"/>
      <c r="OK77" s="210"/>
      <c r="OL77" s="210"/>
      <c r="OM77" s="210"/>
      <c r="ON77" s="210"/>
      <c r="OO77" s="210"/>
      <c r="OP77" s="210"/>
      <c r="OQ77" s="210"/>
      <c r="OR77" s="210"/>
      <c r="OS77" s="210"/>
      <c r="OT77" s="210"/>
      <c r="OU77" s="210"/>
      <c r="OV77" s="210"/>
      <c r="OW77" s="210"/>
      <c r="RG77" s="120"/>
    </row>
    <row r="78" spans="1:475" x14ac:dyDescent="0.3">
      <c r="A78" s="7">
        <v>19</v>
      </c>
      <c r="B78" s="7">
        <v>68</v>
      </c>
      <c r="C78" s="7" t="s">
        <v>276</v>
      </c>
      <c r="D78" s="7" t="s">
        <v>277</v>
      </c>
      <c r="E78" s="7" t="s">
        <v>294</v>
      </c>
      <c r="F78" s="7" t="s">
        <v>274</v>
      </c>
      <c r="G78" s="41" t="str">
        <f t="shared" si="14"/>
        <v>X</v>
      </c>
      <c r="H78" s="41">
        <f>INDEX(환산공식!CI$16:CI$301,MATCH('배치점수 계산기'!$W78,환산공식!$A$16:$A$301,0))</f>
        <v>111.1</v>
      </c>
      <c r="I78" s="41" t="str">
        <f>CONCATENATE(ROUND(INDEX(환산공식!CJ$16:CJ$301,MATCH('배치점수 계산기'!$W78,환산공식!$A$16:$A$301,0)),1),"%")</f>
        <v>100%</v>
      </c>
      <c r="J78" s="41">
        <f>INDEX(환산공식!CK$16:CK$301,MATCH('배치점수 계산기'!$W78,환산공식!$A$16:$A$301,0))</f>
        <v>10</v>
      </c>
      <c r="K78" s="7">
        <f>INDEX(환산공식!$EF$16:$EF$301,MATCH('배치점수 계산기'!W78,환산공식!$A$16:$A$301,0))</f>
        <v>0</v>
      </c>
      <c r="L78" s="41" t="str">
        <f t="shared" si="12"/>
        <v>1% 이하</v>
      </c>
      <c r="M78" s="7">
        <v>705.74039275435916</v>
      </c>
      <c r="N78" s="7">
        <v>704.33333333333326</v>
      </c>
      <c r="O78" s="7">
        <v>703.33333333333314</v>
      </c>
      <c r="P78" s="7">
        <v>701.83333333333326</v>
      </c>
      <c r="Q78" s="7">
        <v>701</v>
      </c>
      <c r="R78" s="7">
        <f t="shared" si="13"/>
        <v>6</v>
      </c>
      <c r="T78" s="7">
        <f>COUNTIF($C$11:C78,C78)</f>
        <v>15</v>
      </c>
      <c r="U78" s="7" t="str">
        <f t="shared" si="15"/>
        <v>가15</v>
      </c>
      <c r="V78" s="7" t="str">
        <f>INDEX(환산공식!$C$16:$C$301,MATCH('배치점수 계산기'!W78,환산공식!$A$16:$A$301,0))</f>
        <v>연세대 자연</v>
      </c>
      <c r="W78" s="7">
        <f t="shared" si="16"/>
        <v>19</v>
      </c>
      <c r="X78" s="7">
        <f t="shared" si="17"/>
        <v>1</v>
      </c>
      <c r="Y78" s="7">
        <f>IFERROR(INDEX(환산공식!Q$16:Q$200,MATCH($A78,환산공식!$A$16:$A$200,0)),"")</f>
        <v>1.1111111111111109</v>
      </c>
      <c r="Z78" s="7">
        <f>IFERROR(INDEX(환산공식!R$16:R$200,MATCH($A78,환산공식!$A$16:$A$200,0)),"")</f>
        <v>1.6666666666666665</v>
      </c>
      <c r="AA78" s="7">
        <f>IFERROR(INDEX(환산공식!U$16:U$200,MATCH($A78,환산공식!$A$16:$A$200,0)),"")</f>
        <v>1.6666666666666665</v>
      </c>
      <c r="AB78" s="7">
        <f t="shared" si="18"/>
        <v>0.24999999999999994</v>
      </c>
      <c r="AC78" s="7">
        <f t="shared" si="19"/>
        <v>0.37499999999999994</v>
      </c>
      <c r="AD78" s="7">
        <f t="shared" si="20"/>
        <v>0.37499999999999994</v>
      </c>
      <c r="AE78" s="7">
        <f>INDEX(환산공식!$AF$16:$AF$301,MATCH('배치점수 계산기'!W78,환산공식!$A$16:$A$301,0))</f>
        <v>1</v>
      </c>
      <c r="AF78" s="7">
        <f>INDEX(환산공식!$AP$16:$AP$301,MATCH('배치점수 계산기'!W78,환산공식!$A$16:$A$301,0))</f>
        <v>1</v>
      </c>
      <c r="AG78" s="7" t="str">
        <f t="shared" si="21"/>
        <v>표점</v>
      </c>
      <c r="AH78" s="7" t="str">
        <f t="shared" si="22"/>
        <v>표점</v>
      </c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EM78" s="120"/>
      <c r="ET78" s="210"/>
      <c r="EU78" s="210"/>
      <c r="EV78" s="210"/>
      <c r="EW78" s="210"/>
      <c r="EX78" s="210"/>
      <c r="EY78" s="210"/>
      <c r="EZ78" s="210"/>
      <c r="FA78" s="210"/>
      <c r="FB78" s="210"/>
      <c r="FC78" s="210"/>
      <c r="FD78" s="210"/>
      <c r="FE78" s="210"/>
      <c r="FF78" s="210"/>
      <c r="FG78" s="210"/>
      <c r="FH78" s="210"/>
      <c r="HR78" s="120"/>
      <c r="HY78" s="210"/>
      <c r="HZ78" s="210"/>
      <c r="IA78" s="210"/>
      <c r="IB78" s="210"/>
      <c r="IC78" s="210"/>
      <c r="ID78" s="210"/>
      <c r="IE78" s="210"/>
      <c r="IF78" s="210"/>
      <c r="IG78" s="210"/>
      <c r="IH78" s="210"/>
      <c r="II78" s="210"/>
      <c r="IJ78" s="210"/>
      <c r="IK78" s="210"/>
      <c r="IL78" s="210"/>
      <c r="IM78" s="210"/>
      <c r="KW78" s="120"/>
      <c r="LD78" s="210"/>
      <c r="LE78" s="210"/>
      <c r="LF78" s="210"/>
      <c r="LG78" s="210"/>
      <c r="LH78" s="210"/>
      <c r="LI78" s="210"/>
      <c r="LJ78" s="210"/>
      <c r="LK78" s="210"/>
      <c r="LL78" s="210"/>
      <c r="LM78" s="210"/>
      <c r="LN78" s="210"/>
      <c r="LO78" s="210"/>
      <c r="LP78" s="210"/>
      <c r="LQ78" s="210"/>
      <c r="LR78" s="210"/>
      <c r="OB78" s="120"/>
      <c r="OI78" s="210"/>
      <c r="OJ78" s="210"/>
      <c r="OK78" s="210"/>
      <c r="OL78" s="210"/>
      <c r="OM78" s="210"/>
      <c r="ON78" s="210"/>
      <c r="OO78" s="210"/>
      <c r="OP78" s="210"/>
      <c r="OQ78" s="210"/>
      <c r="OR78" s="210"/>
      <c r="OS78" s="210"/>
      <c r="OT78" s="210"/>
      <c r="OU78" s="210"/>
      <c r="OV78" s="210"/>
      <c r="OW78" s="210"/>
      <c r="RG78" s="120"/>
    </row>
    <row r="79" spans="1:475" x14ac:dyDescent="0.3">
      <c r="A79" s="7">
        <v>19</v>
      </c>
      <c r="B79" s="7">
        <v>69</v>
      </c>
      <c r="C79" s="7" t="s">
        <v>276</v>
      </c>
      <c r="D79" s="7" t="s">
        <v>277</v>
      </c>
      <c r="E79" s="7" t="s">
        <v>252</v>
      </c>
      <c r="F79" s="7" t="s">
        <v>274</v>
      </c>
      <c r="G79" s="41" t="str">
        <f t="shared" si="14"/>
        <v>X</v>
      </c>
      <c r="H79" s="41">
        <f>INDEX(환산공식!CI$16:CI$301,MATCH('배치점수 계산기'!$W79,환산공식!$A$16:$A$301,0))</f>
        <v>111.1</v>
      </c>
      <c r="I79" s="41" t="str">
        <f>CONCATENATE(ROUND(INDEX(환산공식!CJ$16:CJ$301,MATCH('배치점수 계산기'!$W79,환산공식!$A$16:$A$301,0)),1),"%")</f>
        <v>100%</v>
      </c>
      <c r="J79" s="41">
        <f>INDEX(환산공식!CK$16:CK$301,MATCH('배치점수 계산기'!$W79,환산공식!$A$16:$A$301,0))</f>
        <v>10</v>
      </c>
      <c r="K79" s="7">
        <f>INDEX(환산공식!$EF$16:$EF$301,MATCH('배치점수 계산기'!W79,환산공식!$A$16:$A$301,0))</f>
        <v>0</v>
      </c>
      <c r="L79" s="41" t="str">
        <f t="shared" si="12"/>
        <v>1% 이하</v>
      </c>
      <c r="M79" s="7">
        <v>706.79598186630619</v>
      </c>
      <c r="N79" s="7">
        <v>704.99999999999977</v>
      </c>
      <c r="O79" s="7">
        <v>703.49999999999989</v>
      </c>
      <c r="P79" s="7">
        <v>702.51812118632029</v>
      </c>
      <c r="Q79" s="7">
        <v>701.3888888888888</v>
      </c>
      <c r="R79" s="7">
        <f t="shared" si="13"/>
        <v>6</v>
      </c>
      <c r="T79" s="7">
        <f>COUNTIF($C$11:C79,C79)</f>
        <v>16</v>
      </c>
      <c r="U79" s="7" t="str">
        <f t="shared" si="15"/>
        <v>가16</v>
      </c>
      <c r="V79" s="7" t="str">
        <f>INDEX(환산공식!$C$16:$C$301,MATCH('배치점수 계산기'!W79,환산공식!$A$16:$A$301,0))</f>
        <v>연세대 자연</v>
      </c>
      <c r="W79" s="7">
        <f t="shared" si="16"/>
        <v>19</v>
      </c>
      <c r="X79" s="7">
        <f t="shared" si="17"/>
        <v>1</v>
      </c>
      <c r="Y79" s="7">
        <f>IFERROR(INDEX(환산공식!Q$16:Q$200,MATCH($A79,환산공식!$A$16:$A$200,0)),"")</f>
        <v>1.1111111111111109</v>
      </c>
      <c r="Z79" s="7">
        <f>IFERROR(INDEX(환산공식!R$16:R$200,MATCH($A79,환산공식!$A$16:$A$200,0)),"")</f>
        <v>1.6666666666666665</v>
      </c>
      <c r="AA79" s="7">
        <f>IFERROR(INDEX(환산공식!U$16:U$200,MATCH($A79,환산공식!$A$16:$A$200,0)),"")</f>
        <v>1.6666666666666665</v>
      </c>
      <c r="AB79" s="7">
        <f t="shared" si="18"/>
        <v>0.24999999999999994</v>
      </c>
      <c r="AC79" s="7">
        <f t="shared" si="19"/>
        <v>0.37499999999999994</v>
      </c>
      <c r="AD79" s="7">
        <f t="shared" si="20"/>
        <v>0.37499999999999994</v>
      </c>
      <c r="AE79" s="7">
        <f>INDEX(환산공식!$AF$16:$AF$301,MATCH('배치점수 계산기'!W79,환산공식!$A$16:$A$301,0))</f>
        <v>1</v>
      </c>
      <c r="AF79" s="7">
        <f>INDEX(환산공식!$AP$16:$AP$301,MATCH('배치점수 계산기'!W79,환산공식!$A$16:$A$301,0))</f>
        <v>1</v>
      </c>
      <c r="AG79" s="7" t="str">
        <f t="shared" si="21"/>
        <v>표점</v>
      </c>
      <c r="AH79" s="7" t="str">
        <f t="shared" si="22"/>
        <v>표점</v>
      </c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EM79" s="120"/>
      <c r="ET79" s="210"/>
      <c r="EU79" s="210"/>
      <c r="EV79" s="210"/>
      <c r="EW79" s="210"/>
      <c r="EX79" s="210"/>
      <c r="EY79" s="210"/>
      <c r="EZ79" s="210"/>
      <c r="FA79" s="210"/>
      <c r="FB79" s="210"/>
      <c r="FC79" s="210"/>
      <c r="FD79" s="210"/>
      <c r="FE79" s="210"/>
      <c r="FF79" s="210"/>
      <c r="FG79" s="210"/>
      <c r="FH79" s="210"/>
      <c r="HR79" s="120"/>
      <c r="HY79" s="210"/>
      <c r="HZ79" s="210"/>
      <c r="IA79" s="210"/>
      <c r="IB79" s="210"/>
      <c r="IC79" s="210"/>
      <c r="ID79" s="210"/>
      <c r="IE79" s="210"/>
      <c r="IF79" s="210"/>
      <c r="IG79" s="210"/>
      <c r="IH79" s="210"/>
      <c r="II79" s="210"/>
      <c r="IJ79" s="210"/>
      <c r="IK79" s="210"/>
      <c r="IL79" s="210"/>
      <c r="IM79" s="210"/>
      <c r="KW79" s="120"/>
      <c r="LD79" s="210"/>
      <c r="LE79" s="210"/>
      <c r="LF79" s="210"/>
      <c r="LG79" s="210"/>
      <c r="LH79" s="210"/>
      <c r="LI79" s="210"/>
      <c r="LJ79" s="210"/>
      <c r="LK79" s="210"/>
      <c r="LL79" s="210"/>
      <c r="LM79" s="210"/>
      <c r="LN79" s="210"/>
      <c r="LO79" s="210"/>
      <c r="LP79" s="210"/>
      <c r="LQ79" s="210"/>
      <c r="LR79" s="210"/>
      <c r="OB79" s="120"/>
      <c r="OI79" s="210"/>
      <c r="OJ79" s="210"/>
      <c r="OK79" s="210"/>
      <c r="OL79" s="210"/>
      <c r="OM79" s="210"/>
      <c r="ON79" s="210"/>
      <c r="OO79" s="210"/>
      <c r="OP79" s="210"/>
      <c r="OQ79" s="210"/>
      <c r="OR79" s="210"/>
      <c r="OS79" s="210"/>
      <c r="OT79" s="210"/>
      <c r="OU79" s="210"/>
      <c r="OV79" s="210"/>
      <c r="OW79" s="210"/>
      <c r="RG79" s="120"/>
    </row>
    <row r="80" spans="1:475" x14ac:dyDescent="0.3">
      <c r="A80" s="7">
        <v>19</v>
      </c>
      <c r="B80" s="7">
        <v>70</v>
      </c>
      <c r="C80" s="7" t="s">
        <v>276</v>
      </c>
      <c r="D80" s="7" t="s">
        <v>277</v>
      </c>
      <c r="E80" s="7" t="s">
        <v>295</v>
      </c>
      <c r="F80" s="7" t="s">
        <v>274</v>
      </c>
      <c r="G80" s="41" t="str">
        <f t="shared" si="14"/>
        <v>X</v>
      </c>
      <c r="H80" s="41">
        <f>INDEX(환산공식!CI$16:CI$301,MATCH('배치점수 계산기'!$W80,환산공식!$A$16:$A$301,0))</f>
        <v>111.1</v>
      </c>
      <c r="I80" s="41" t="str">
        <f>CONCATENATE(ROUND(INDEX(환산공식!CJ$16:CJ$301,MATCH('배치점수 계산기'!$W80,환산공식!$A$16:$A$301,0)),1),"%")</f>
        <v>100%</v>
      </c>
      <c r="J80" s="41">
        <f>INDEX(환산공식!CK$16:CK$301,MATCH('배치점수 계산기'!$W80,환산공식!$A$16:$A$301,0))</f>
        <v>10</v>
      </c>
      <c r="K80" s="7">
        <f>INDEX(환산공식!$EF$16:$EF$301,MATCH('배치점수 계산기'!W80,환산공식!$A$16:$A$301,0))</f>
        <v>0</v>
      </c>
      <c r="L80" s="41" t="str">
        <f t="shared" si="12"/>
        <v>1% 이하</v>
      </c>
      <c r="M80" s="7">
        <v>704.99999999999977</v>
      </c>
      <c r="N80" s="7">
        <v>703.49999999999989</v>
      </c>
      <c r="O80" s="7">
        <v>702.51812118632029</v>
      </c>
      <c r="P80" s="7">
        <v>701.3888888888888</v>
      </c>
      <c r="Q80" s="7">
        <v>700.01807658312657</v>
      </c>
      <c r="R80" s="7">
        <f t="shared" si="13"/>
        <v>6</v>
      </c>
      <c r="T80" s="7">
        <f>COUNTIF($C$11:C80,C80)</f>
        <v>17</v>
      </c>
      <c r="U80" s="7" t="str">
        <f t="shared" si="15"/>
        <v>가17</v>
      </c>
      <c r="V80" s="7" t="str">
        <f>INDEX(환산공식!$C$16:$C$301,MATCH('배치점수 계산기'!W80,환산공식!$A$16:$A$301,0))</f>
        <v>연세대 자연</v>
      </c>
      <c r="W80" s="7">
        <f t="shared" si="16"/>
        <v>19</v>
      </c>
      <c r="X80" s="7">
        <f t="shared" si="17"/>
        <v>1</v>
      </c>
      <c r="Y80" s="7">
        <f>IFERROR(INDEX(환산공식!Q$16:Q$200,MATCH($A80,환산공식!$A$16:$A$200,0)),"")</f>
        <v>1.1111111111111109</v>
      </c>
      <c r="Z80" s="7">
        <f>IFERROR(INDEX(환산공식!R$16:R$200,MATCH($A80,환산공식!$A$16:$A$200,0)),"")</f>
        <v>1.6666666666666665</v>
      </c>
      <c r="AA80" s="7">
        <f>IFERROR(INDEX(환산공식!U$16:U$200,MATCH($A80,환산공식!$A$16:$A$200,0)),"")</f>
        <v>1.6666666666666665</v>
      </c>
      <c r="AB80" s="7">
        <f t="shared" si="18"/>
        <v>0.24999999999999994</v>
      </c>
      <c r="AC80" s="7">
        <f t="shared" si="19"/>
        <v>0.37499999999999994</v>
      </c>
      <c r="AD80" s="7">
        <f t="shared" si="20"/>
        <v>0.37499999999999994</v>
      </c>
      <c r="AE80" s="7">
        <f>INDEX(환산공식!$AF$16:$AF$301,MATCH('배치점수 계산기'!W80,환산공식!$A$16:$A$301,0))</f>
        <v>1</v>
      </c>
      <c r="AF80" s="7">
        <f>INDEX(환산공식!$AP$16:$AP$301,MATCH('배치점수 계산기'!W80,환산공식!$A$16:$A$301,0))</f>
        <v>1</v>
      </c>
      <c r="AG80" s="7" t="str">
        <f t="shared" si="21"/>
        <v>표점</v>
      </c>
      <c r="AH80" s="7" t="str">
        <f t="shared" si="22"/>
        <v>표점</v>
      </c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210"/>
      <c r="EM80" s="120"/>
      <c r="ET80" s="210"/>
      <c r="EU80" s="210"/>
      <c r="EV80" s="210"/>
      <c r="EW80" s="210"/>
      <c r="EX80" s="210"/>
      <c r="EY80" s="210"/>
      <c r="EZ80" s="210"/>
      <c r="FA80" s="210"/>
      <c r="FB80" s="210"/>
      <c r="FC80" s="210"/>
      <c r="FD80" s="210"/>
      <c r="FE80" s="210"/>
      <c r="FF80" s="210"/>
      <c r="FG80" s="210"/>
      <c r="FH80" s="210"/>
      <c r="HR80" s="120"/>
      <c r="HY80" s="210"/>
      <c r="HZ80" s="210"/>
      <c r="IA80" s="210"/>
      <c r="IB80" s="210"/>
      <c r="IC80" s="210"/>
      <c r="ID80" s="210"/>
      <c r="IE80" s="210"/>
      <c r="IF80" s="210"/>
      <c r="IG80" s="210"/>
      <c r="IH80" s="210"/>
      <c r="II80" s="210"/>
      <c r="IJ80" s="210"/>
      <c r="IK80" s="210"/>
      <c r="IL80" s="210"/>
      <c r="IM80" s="210"/>
      <c r="KW80" s="120"/>
      <c r="LD80" s="210"/>
      <c r="LE80" s="210"/>
      <c r="LF80" s="210"/>
      <c r="LG80" s="210"/>
      <c r="LH80" s="210"/>
      <c r="LI80" s="210"/>
      <c r="LJ80" s="210"/>
      <c r="LK80" s="210"/>
      <c r="LL80" s="210"/>
      <c r="LM80" s="210"/>
      <c r="LN80" s="210"/>
      <c r="LO80" s="210"/>
      <c r="LP80" s="210"/>
      <c r="LQ80" s="210"/>
      <c r="LR80" s="210"/>
      <c r="OB80" s="120"/>
      <c r="OI80" s="210"/>
      <c r="OJ80" s="210"/>
      <c r="OK80" s="210"/>
      <c r="OL80" s="210"/>
      <c r="OM80" s="210"/>
      <c r="ON80" s="210"/>
      <c r="OO80" s="210"/>
      <c r="OP80" s="210"/>
      <c r="OQ80" s="210"/>
      <c r="OR80" s="210"/>
      <c r="OS80" s="210"/>
      <c r="OT80" s="210"/>
      <c r="OU80" s="210"/>
      <c r="OV80" s="210"/>
      <c r="OW80" s="210"/>
      <c r="RG80" s="120"/>
    </row>
    <row r="81" spans="1:475" x14ac:dyDescent="0.3">
      <c r="A81" s="7">
        <v>19</v>
      </c>
      <c r="B81" s="7">
        <v>71</v>
      </c>
      <c r="C81" s="7" t="s">
        <v>276</v>
      </c>
      <c r="D81" s="7" t="s">
        <v>277</v>
      </c>
      <c r="E81" s="7" t="s">
        <v>254</v>
      </c>
      <c r="F81" s="7" t="s">
        <v>274</v>
      </c>
      <c r="G81" s="41" t="str">
        <f t="shared" si="14"/>
        <v>X</v>
      </c>
      <c r="H81" s="41">
        <f>INDEX(환산공식!CI$16:CI$301,MATCH('배치점수 계산기'!$W81,환산공식!$A$16:$A$301,0))</f>
        <v>111.1</v>
      </c>
      <c r="I81" s="41" t="str">
        <f>CONCATENATE(ROUND(INDEX(환산공식!CJ$16:CJ$301,MATCH('배치점수 계산기'!$W81,환산공식!$A$16:$A$301,0)),1),"%")</f>
        <v>100%</v>
      </c>
      <c r="J81" s="41">
        <f>INDEX(환산공식!CK$16:CK$301,MATCH('배치점수 계산기'!$W81,환산공식!$A$16:$A$301,0))</f>
        <v>10</v>
      </c>
      <c r="K81" s="7">
        <f>INDEX(환산공식!$EF$16:$EF$301,MATCH('배치점수 계산기'!W81,환산공식!$A$16:$A$301,0))</f>
        <v>0</v>
      </c>
      <c r="L81" s="41" t="str">
        <f t="shared" si="12"/>
        <v>1% 이하</v>
      </c>
      <c r="M81" s="7">
        <v>704.99999999999977</v>
      </c>
      <c r="N81" s="7">
        <v>703.49999999999989</v>
      </c>
      <c r="O81" s="7">
        <v>702.07367643717328</v>
      </c>
      <c r="P81" s="7">
        <v>701.11111111111109</v>
      </c>
      <c r="Q81" s="7">
        <v>699.72222222222217</v>
      </c>
      <c r="R81" s="7">
        <f t="shared" si="13"/>
        <v>6</v>
      </c>
      <c r="T81" s="7">
        <f>COUNTIF($C$11:C81,C81)</f>
        <v>18</v>
      </c>
      <c r="U81" s="7" t="str">
        <f t="shared" si="15"/>
        <v>가18</v>
      </c>
      <c r="V81" s="7" t="str">
        <f>INDEX(환산공식!$C$16:$C$301,MATCH('배치점수 계산기'!W81,환산공식!$A$16:$A$301,0))</f>
        <v>연세대 자연</v>
      </c>
      <c r="W81" s="7">
        <f t="shared" si="16"/>
        <v>19</v>
      </c>
      <c r="X81" s="7">
        <f t="shared" si="17"/>
        <v>1</v>
      </c>
      <c r="Y81" s="7">
        <f>IFERROR(INDEX(환산공식!Q$16:Q$200,MATCH($A81,환산공식!$A$16:$A$200,0)),"")</f>
        <v>1.1111111111111109</v>
      </c>
      <c r="Z81" s="7">
        <f>IFERROR(INDEX(환산공식!R$16:R$200,MATCH($A81,환산공식!$A$16:$A$200,0)),"")</f>
        <v>1.6666666666666665</v>
      </c>
      <c r="AA81" s="7">
        <f>IFERROR(INDEX(환산공식!U$16:U$200,MATCH($A81,환산공식!$A$16:$A$200,0)),"")</f>
        <v>1.6666666666666665</v>
      </c>
      <c r="AB81" s="7">
        <f t="shared" si="18"/>
        <v>0.24999999999999994</v>
      </c>
      <c r="AC81" s="7">
        <f t="shared" si="19"/>
        <v>0.37499999999999994</v>
      </c>
      <c r="AD81" s="7">
        <f t="shared" si="20"/>
        <v>0.37499999999999994</v>
      </c>
      <c r="AE81" s="7">
        <f>INDEX(환산공식!$AF$16:$AF$301,MATCH('배치점수 계산기'!W81,환산공식!$A$16:$A$301,0))</f>
        <v>1</v>
      </c>
      <c r="AF81" s="7">
        <f>INDEX(환산공식!$AP$16:$AP$301,MATCH('배치점수 계산기'!W81,환산공식!$A$16:$A$301,0))</f>
        <v>1</v>
      </c>
      <c r="AG81" s="7" t="str">
        <f t="shared" si="21"/>
        <v>표점</v>
      </c>
      <c r="AH81" s="7" t="str">
        <f t="shared" si="22"/>
        <v>표점</v>
      </c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0"/>
      <c r="CA81" s="210"/>
      <c r="CB81" s="210"/>
      <c r="CC81" s="210"/>
      <c r="EM81" s="120"/>
      <c r="ET81" s="210"/>
      <c r="EU81" s="210"/>
      <c r="EV81" s="210"/>
      <c r="EW81" s="210"/>
      <c r="EX81" s="210"/>
      <c r="EY81" s="210"/>
      <c r="EZ81" s="210"/>
      <c r="FA81" s="210"/>
      <c r="FB81" s="210"/>
      <c r="FC81" s="210"/>
      <c r="FD81" s="210"/>
      <c r="FE81" s="210"/>
      <c r="FF81" s="210"/>
      <c r="FG81" s="210"/>
      <c r="FH81" s="210"/>
      <c r="HR81" s="120"/>
      <c r="HY81" s="210"/>
      <c r="HZ81" s="210"/>
      <c r="IA81" s="210"/>
      <c r="IB81" s="210"/>
      <c r="IC81" s="210"/>
      <c r="ID81" s="210"/>
      <c r="IE81" s="210"/>
      <c r="IF81" s="210"/>
      <c r="IG81" s="210"/>
      <c r="IH81" s="210"/>
      <c r="II81" s="210"/>
      <c r="IJ81" s="210"/>
      <c r="IK81" s="210"/>
      <c r="IL81" s="210"/>
      <c r="IM81" s="210"/>
      <c r="KW81" s="120"/>
      <c r="LD81" s="210"/>
      <c r="LE81" s="210"/>
      <c r="LF81" s="210"/>
      <c r="LG81" s="210"/>
      <c r="LH81" s="210"/>
      <c r="LI81" s="210"/>
      <c r="LJ81" s="210"/>
      <c r="LK81" s="210"/>
      <c r="LL81" s="210"/>
      <c r="LM81" s="210"/>
      <c r="LN81" s="210"/>
      <c r="LO81" s="210"/>
      <c r="LP81" s="210"/>
      <c r="LQ81" s="210"/>
      <c r="LR81" s="210"/>
      <c r="OB81" s="120"/>
      <c r="OI81" s="210"/>
      <c r="OJ81" s="210"/>
      <c r="OK81" s="210"/>
      <c r="OL81" s="210"/>
      <c r="OM81" s="210"/>
      <c r="ON81" s="210"/>
      <c r="OO81" s="210"/>
      <c r="OP81" s="210"/>
      <c r="OQ81" s="210"/>
      <c r="OR81" s="210"/>
      <c r="OS81" s="210"/>
      <c r="OT81" s="210"/>
      <c r="OU81" s="210"/>
      <c r="OV81" s="210"/>
      <c r="OW81" s="210"/>
      <c r="RG81" s="120"/>
    </row>
    <row r="82" spans="1:475" x14ac:dyDescent="0.3">
      <c r="A82" s="7">
        <v>19</v>
      </c>
      <c r="B82" s="7">
        <v>72</v>
      </c>
      <c r="C82" s="7" t="s">
        <v>276</v>
      </c>
      <c r="D82" s="7" t="s">
        <v>277</v>
      </c>
      <c r="E82" s="7" t="s">
        <v>257</v>
      </c>
      <c r="F82" s="7" t="s">
        <v>274</v>
      </c>
      <c r="G82" s="41" t="str">
        <f t="shared" si="14"/>
        <v>X</v>
      </c>
      <c r="H82" s="41">
        <f>INDEX(환산공식!CI$16:CI$301,MATCH('배치점수 계산기'!$W82,환산공식!$A$16:$A$301,0))</f>
        <v>111.1</v>
      </c>
      <c r="I82" s="41" t="str">
        <f>CONCATENATE(ROUND(INDEX(환산공식!CJ$16:CJ$301,MATCH('배치점수 계산기'!$W82,환산공식!$A$16:$A$301,0)),1),"%")</f>
        <v>100%</v>
      </c>
      <c r="J82" s="41">
        <f>INDEX(환산공식!CK$16:CK$301,MATCH('배치점수 계산기'!$W82,환산공식!$A$16:$A$301,0))</f>
        <v>10</v>
      </c>
      <c r="K82" s="7">
        <f>INDEX(환산공식!$EF$16:$EF$301,MATCH('배치점수 계산기'!W82,환산공식!$A$16:$A$301,0))</f>
        <v>0</v>
      </c>
      <c r="L82" s="41" t="str">
        <f t="shared" si="12"/>
        <v>1% 이하</v>
      </c>
      <c r="M82" s="7">
        <v>704.99999999999977</v>
      </c>
      <c r="N82" s="7">
        <v>703.49999999999989</v>
      </c>
      <c r="O82" s="7">
        <v>702.07367643717328</v>
      </c>
      <c r="P82" s="7">
        <v>701.11111111111109</v>
      </c>
      <c r="Q82" s="7">
        <v>699.72222222222217</v>
      </c>
      <c r="R82" s="7">
        <f t="shared" si="13"/>
        <v>6</v>
      </c>
      <c r="T82" s="7">
        <f>COUNTIF($C$11:C82,C82)</f>
        <v>19</v>
      </c>
      <c r="U82" s="7" t="str">
        <f t="shared" si="15"/>
        <v>가19</v>
      </c>
      <c r="V82" s="7" t="str">
        <f>INDEX(환산공식!$C$16:$C$301,MATCH('배치점수 계산기'!W82,환산공식!$A$16:$A$301,0))</f>
        <v>연세대 자연</v>
      </c>
      <c r="W82" s="7">
        <f t="shared" si="16"/>
        <v>19</v>
      </c>
      <c r="X82" s="7">
        <f t="shared" si="17"/>
        <v>1</v>
      </c>
      <c r="Y82" s="7">
        <f>IFERROR(INDEX(환산공식!Q$16:Q$200,MATCH($A82,환산공식!$A$16:$A$200,0)),"")</f>
        <v>1.1111111111111109</v>
      </c>
      <c r="Z82" s="7">
        <f>IFERROR(INDEX(환산공식!R$16:R$200,MATCH($A82,환산공식!$A$16:$A$200,0)),"")</f>
        <v>1.6666666666666665</v>
      </c>
      <c r="AA82" s="7">
        <f>IFERROR(INDEX(환산공식!U$16:U$200,MATCH($A82,환산공식!$A$16:$A$200,0)),"")</f>
        <v>1.6666666666666665</v>
      </c>
      <c r="AB82" s="7">
        <f t="shared" si="18"/>
        <v>0.24999999999999994</v>
      </c>
      <c r="AC82" s="7">
        <f t="shared" si="19"/>
        <v>0.37499999999999994</v>
      </c>
      <c r="AD82" s="7">
        <f t="shared" si="20"/>
        <v>0.37499999999999994</v>
      </c>
      <c r="AE82" s="7">
        <f>INDEX(환산공식!$AF$16:$AF$301,MATCH('배치점수 계산기'!W82,환산공식!$A$16:$A$301,0))</f>
        <v>1</v>
      </c>
      <c r="AF82" s="7">
        <f>INDEX(환산공식!$AP$16:$AP$301,MATCH('배치점수 계산기'!W82,환산공식!$A$16:$A$301,0))</f>
        <v>1</v>
      </c>
      <c r="AG82" s="7" t="str">
        <f t="shared" si="21"/>
        <v>표점</v>
      </c>
      <c r="AH82" s="7" t="str">
        <f t="shared" si="22"/>
        <v>표점</v>
      </c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210"/>
      <c r="EM82" s="120"/>
      <c r="ET82" s="210"/>
      <c r="EU82" s="210"/>
      <c r="EV82" s="210"/>
      <c r="EW82" s="210"/>
      <c r="EX82" s="210"/>
      <c r="EY82" s="210"/>
      <c r="EZ82" s="210"/>
      <c r="FA82" s="210"/>
      <c r="FB82" s="210"/>
      <c r="FC82" s="210"/>
      <c r="FD82" s="210"/>
      <c r="FE82" s="210"/>
      <c r="FF82" s="210"/>
      <c r="FG82" s="210"/>
      <c r="FH82" s="210"/>
      <c r="HR82" s="120"/>
      <c r="HY82" s="210"/>
      <c r="HZ82" s="210"/>
      <c r="IA82" s="210"/>
      <c r="IB82" s="210"/>
      <c r="IC82" s="210"/>
      <c r="ID82" s="210"/>
      <c r="IE82" s="210"/>
      <c r="IF82" s="210"/>
      <c r="IG82" s="210"/>
      <c r="IH82" s="210"/>
      <c r="II82" s="210"/>
      <c r="IJ82" s="210"/>
      <c r="IK82" s="210"/>
      <c r="IL82" s="210"/>
      <c r="IM82" s="210"/>
      <c r="KW82" s="120"/>
      <c r="LD82" s="210"/>
      <c r="LE82" s="210"/>
      <c r="LF82" s="210"/>
      <c r="LG82" s="210"/>
      <c r="LH82" s="210"/>
      <c r="LI82" s="210"/>
      <c r="LJ82" s="210"/>
      <c r="LK82" s="210"/>
      <c r="LL82" s="210"/>
      <c r="LM82" s="210"/>
      <c r="LN82" s="210"/>
      <c r="LO82" s="210"/>
      <c r="LP82" s="210"/>
      <c r="LQ82" s="210"/>
      <c r="LR82" s="210"/>
      <c r="OB82" s="120"/>
      <c r="OI82" s="210"/>
      <c r="OJ82" s="210"/>
      <c r="OK82" s="210"/>
      <c r="OL82" s="210"/>
      <c r="OM82" s="210"/>
      <c r="ON82" s="210"/>
      <c r="OO82" s="210"/>
      <c r="OP82" s="210"/>
      <c r="OQ82" s="210"/>
      <c r="OR82" s="210"/>
      <c r="OS82" s="210"/>
      <c r="OT82" s="210"/>
      <c r="OU82" s="210"/>
      <c r="OV82" s="210"/>
      <c r="OW82" s="210"/>
      <c r="RG82" s="120"/>
    </row>
    <row r="83" spans="1:475" x14ac:dyDescent="0.3">
      <c r="A83" s="7">
        <v>19</v>
      </c>
      <c r="B83" s="7">
        <v>73</v>
      </c>
      <c r="C83" s="7" t="s">
        <v>276</v>
      </c>
      <c r="D83" s="7" t="s">
        <v>277</v>
      </c>
      <c r="E83" s="7" t="s">
        <v>259</v>
      </c>
      <c r="F83" s="7" t="s">
        <v>274</v>
      </c>
      <c r="G83" s="41" t="str">
        <f t="shared" si="14"/>
        <v>X</v>
      </c>
      <c r="H83" s="41">
        <f>INDEX(환산공식!CI$16:CI$301,MATCH('배치점수 계산기'!$W83,환산공식!$A$16:$A$301,0))</f>
        <v>111.1</v>
      </c>
      <c r="I83" s="41" t="str">
        <f>CONCATENATE(ROUND(INDEX(환산공식!CJ$16:CJ$301,MATCH('배치점수 계산기'!$W83,환산공식!$A$16:$A$301,0)),1),"%")</f>
        <v>100%</v>
      </c>
      <c r="J83" s="41">
        <f>INDEX(환산공식!CK$16:CK$301,MATCH('배치점수 계산기'!$W83,환산공식!$A$16:$A$301,0))</f>
        <v>10</v>
      </c>
      <c r="K83" s="7">
        <f>INDEX(환산공식!$EF$16:$EF$301,MATCH('배치점수 계산기'!W83,환산공식!$A$16:$A$301,0))</f>
        <v>0</v>
      </c>
      <c r="L83" s="41" t="str">
        <f t="shared" si="12"/>
        <v>1% 이하</v>
      </c>
      <c r="M83" s="7">
        <v>704.33333333333326</v>
      </c>
      <c r="N83" s="7">
        <v>703.33333333333314</v>
      </c>
      <c r="O83" s="7">
        <v>701</v>
      </c>
      <c r="P83" s="7">
        <v>699.72222222222217</v>
      </c>
      <c r="Q83" s="7">
        <v>697.77777777777771</v>
      </c>
      <c r="R83" s="7">
        <f t="shared" si="13"/>
        <v>6</v>
      </c>
      <c r="T83" s="7">
        <f>COUNTIF($C$11:C83,C83)</f>
        <v>20</v>
      </c>
      <c r="U83" s="7" t="str">
        <f t="shared" si="15"/>
        <v>가20</v>
      </c>
      <c r="V83" s="7" t="str">
        <f>INDEX(환산공식!$C$16:$C$301,MATCH('배치점수 계산기'!W83,환산공식!$A$16:$A$301,0))</f>
        <v>연세대 자연</v>
      </c>
      <c r="W83" s="7">
        <f t="shared" si="16"/>
        <v>19</v>
      </c>
      <c r="X83" s="7">
        <f t="shared" si="17"/>
        <v>1</v>
      </c>
      <c r="Y83" s="7">
        <f>IFERROR(INDEX(환산공식!Q$16:Q$200,MATCH($A83,환산공식!$A$16:$A$200,0)),"")</f>
        <v>1.1111111111111109</v>
      </c>
      <c r="Z83" s="7">
        <f>IFERROR(INDEX(환산공식!R$16:R$200,MATCH($A83,환산공식!$A$16:$A$200,0)),"")</f>
        <v>1.6666666666666665</v>
      </c>
      <c r="AA83" s="7">
        <f>IFERROR(INDEX(환산공식!U$16:U$200,MATCH($A83,환산공식!$A$16:$A$200,0)),"")</f>
        <v>1.6666666666666665</v>
      </c>
      <c r="AB83" s="7">
        <f t="shared" si="18"/>
        <v>0.24999999999999994</v>
      </c>
      <c r="AC83" s="7">
        <f t="shared" si="19"/>
        <v>0.37499999999999994</v>
      </c>
      <c r="AD83" s="7">
        <f t="shared" si="20"/>
        <v>0.37499999999999994</v>
      </c>
      <c r="AE83" s="7">
        <f>INDEX(환산공식!$AF$16:$AF$301,MATCH('배치점수 계산기'!W83,환산공식!$A$16:$A$301,0))</f>
        <v>1</v>
      </c>
      <c r="AF83" s="7">
        <f>INDEX(환산공식!$AP$16:$AP$301,MATCH('배치점수 계산기'!W83,환산공식!$A$16:$A$301,0))</f>
        <v>1</v>
      </c>
      <c r="AG83" s="7" t="str">
        <f t="shared" si="21"/>
        <v>표점</v>
      </c>
      <c r="AH83" s="7" t="str">
        <f t="shared" si="22"/>
        <v>표점</v>
      </c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EM83" s="120"/>
      <c r="ET83" s="210"/>
      <c r="EU83" s="210"/>
      <c r="EV83" s="210"/>
      <c r="EW83" s="210"/>
      <c r="EX83" s="210"/>
      <c r="EY83" s="210"/>
      <c r="EZ83" s="210"/>
      <c r="FA83" s="210"/>
      <c r="FB83" s="210"/>
      <c r="FC83" s="210"/>
      <c r="FD83" s="210"/>
      <c r="FE83" s="210"/>
      <c r="FF83" s="210"/>
      <c r="FG83" s="210"/>
      <c r="FH83" s="210"/>
      <c r="HR83" s="120"/>
      <c r="HY83" s="210"/>
      <c r="HZ83" s="210"/>
      <c r="IA83" s="210"/>
      <c r="IB83" s="210"/>
      <c r="IC83" s="210"/>
      <c r="ID83" s="210"/>
      <c r="IE83" s="210"/>
      <c r="IF83" s="210"/>
      <c r="IG83" s="210"/>
      <c r="IH83" s="210"/>
      <c r="II83" s="210"/>
      <c r="IJ83" s="210"/>
      <c r="IK83" s="210"/>
      <c r="IL83" s="210"/>
      <c r="IM83" s="210"/>
      <c r="KW83" s="120"/>
      <c r="LD83" s="210"/>
      <c r="LE83" s="210"/>
      <c r="LF83" s="210"/>
      <c r="LG83" s="210"/>
      <c r="LH83" s="210"/>
      <c r="LI83" s="210"/>
      <c r="LJ83" s="210"/>
      <c r="LK83" s="210"/>
      <c r="LL83" s="210"/>
      <c r="LM83" s="210"/>
      <c r="LN83" s="210"/>
      <c r="LO83" s="210"/>
      <c r="LP83" s="210"/>
      <c r="LQ83" s="210"/>
      <c r="LR83" s="210"/>
      <c r="OB83" s="120"/>
      <c r="OI83" s="210"/>
      <c r="OJ83" s="210"/>
      <c r="OK83" s="210"/>
      <c r="OL83" s="210"/>
      <c r="OM83" s="210"/>
      <c r="ON83" s="210"/>
      <c r="OO83" s="210"/>
      <c r="OP83" s="210"/>
      <c r="OQ83" s="210"/>
      <c r="OR83" s="210"/>
      <c r="OS83" s="210"/>
      <c r="OT83" s="210"/>
      <c r="OU83" s="210"/>
      <c r="OV83" s="210"/>
      <c r="OW83" s="210"/>
      <c r="RG83" s="120"/>
    </row>
    <row r="84" spans="1:475" x14ac:dyDescent="0.3">
      <c r="A84" s="7">
        <v>19</v>
      </c>
      <c r="B84" s="7">
        <v>74</v>
      </c>
      <c r="C84" s="7" t="s">
        <v>276</v>
      </c>
      <c r="D84" s="7" t="s">
        <v>277</v>
      </c>
      <c r="E84" s="7" t="s">
        <v>304</v>
      </c>
      <c r="F84" s="7" t="s">
        <v>274</v>
      </c>
      <c r="G84" s="41" t="str">
        <f t="shared" si="14"/>
        <v>X</v>
      </c>
      <c r="H84" s="41">
        <f>INDEX(환산공식!CI$16:CI$301,MATCH('배치점수 계산기'!$W84,환산공식!$A$16:$A$301,0))</f>
        <v>111.1</v>
      </c>
      <c r="I84" s="41" t="str">
        <f>CONCATENATE(ROUND(INDEX(환산공식!CJ$16:CJ$301,MATCH('배치점수 계산기'!$W84,환산공식!$A$16:$A$301,0)),1),"%")</f>
        <v>100%</v>
      </c>
      <c r="J84" s="41">
        <f>INDEX(환산공식!CK$16:CK$301,MATCH('배치점수 계산기'!$W84,환산공식!$A$16:$A$301,0))</f>
        <v>10</v>
      </c>
      <c r="K84" s="7">
        <f>INDEX(환산공식!$EF$16:$EF$301,MATCH('배치점수 계산기'!W84,환산공식!$A$16:$A$301,0))</f>
        <v>0</v>
      </c>
      <c r="L84" s="41" t="str">
        <f t="shared" si="12"/>
        <v>1% 이하</v>
      </c>
      <c r="M84" s="7">
        <v>701.83333333333326</v>
      </c>
      <c r="N84" s="7">
        <v>701</v>
      </c>
      <c r="O84" s="7">
        <v>700.01807658312657</v>
      </c>
      <c r="P84" s="7">
        <v>698.94444444444434</v>
      </c>
      <c r="Q84" s="7">
        <v>697.77777777777771</v>
      </c>
      <c r="R84" s="7">
        <f t="shared" si="13"/>
        <v>6</v>
      </c>
      <c r="T84" s="7">
        <f>COUNTIF($C$11:C84,C84)</f>
        <v>21</v>
      </c>
      <c r="U84" s="7" t="str">
        <f t="shared" si="15"/>
        <v>가21</v>
      </c>
      <c r="V84" s="7" t="str">
        <f>INDEX(환산공식!$C$16:$C$301,MATCH('배치점수 계산기'!W84,환산공식!$A$16:$A$301,0))</f>
        <v>연세대 자연</v>
      </c>
      <c r="W84" s="7">
        <f t="shared" si="16"/>
        <v>19</v>
      </c>
      <c r="X84" s="7">
        <f t="shared" si="17"/>
        <v>1</v>
      </c>
      <c r="Y84" s="7">
        <f>IFERROR(INDEX(환산공식!Q$16:Q$200,MATCH($A84,환산공식!$A$16:$A$200,0)),"")</f>
        <v>1.1111111111111109</v>
      </c>
      <c r="Z84" s="7">
        <f>IFERROR(INDEX(환산공식!R$16:R$200,MATCH($A84,환산공식!$A$16:$A$200,0)),"")</f>
        <v>1.6666666666666665</v>
      </c>
      <c r="AA84" s="7">
        <f>IFERROR(INDEX(환산공식!U$16:U$200,MATCH($A84,환산공식!$A$16:$A$200,0)),"")</f>
        <v>1.6666666666666665</v>
      </c>
      <c r="AB84" s="7">
        <f t="shared" si="18"/>
        <v>0.24999999999999994</v>
      </c>
      <c r="AC84" s="7">
        <f t="shared" si="19"/>
        <v>0.37499999999999994</v>
      </c>
      <c r="AD84" s="7">
        <f t="shared" si="20"/>
        <v>0.37499999999999994</v>
      </c>
      <c r="AE84" s="7">
        <f>INDEX(환산공식!$AF$16:$AF$301,MATCH('배치점수 계산기'!W84,환산공식!$A$16:$A$301,0))</f>
        <v>1</v>
      </c>
      <c r="AF84" s="7">
        <f>INDEX(환산공식!$AP$16:$AP$301,MATCH('배치점수 계산기'!W84,환산공식!$A$16:$A$301,0))</f>
        <v>1</v>
      </c>
      <c r="AG84" s="7" t="str">
        <f t="shared" si="21"/>
        <v>표점</v>
      </c>
      <c r="AH84" s="7" t="str">
        <f t="shared" si="22"/>
        <v>표점</v>
      </c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EM84" s="120"/>
      <c r="ET84" s="210"/>
      <c r="EU84" s="210"/>
      <c r="EV84" s="210"/>
      <c r="EW84" s="210"/>
      <c r="EX84" s="210"/>
      <c r="EY84" s="210"/>
      <c r="EZ84" s="210"/>
      <c r="FA84" s="210"/>
      <c r="FB84" s="210"/>
      <c r="FC84" s="210"/>
      <c r="FD84" s="210"/>
      <c r="FE84" s="210"/>
      <c r="FF84" s="210"/>
      <c r="FG84" s="210"/>
      <c r="FH84" s="210"/>
      <c r="HR84" s="120"/>
      <c r="HY84" s="210"/>
      <c r="HZ84" s="210"/>
      <c r="IA84" s="210"/>
      <c r="IB84" s="210"/>
      <c r="IC84" s="210"/>
      <c r="ID84" s="210"/>
      <c r="IE84" s="210"/>
      <c r="IF84" s="210"/>
      <c r="IG84" s="210"/>
      <c r="IH84" s="210"/>
      <c r="II84" s="210"/>
      <c r="IJ84" s="210"/>
      <c r="IK84" s="210"/>
      <c r="IL84" s="210"/>
      <c r="IM84" s="210"/>
      <c r="KW84" s="120"/>
      <c r="LD84" s="210"/>
      <c r="LE84" s="210"/>
      <c r="LF84" s="210"/>
      <c r="LG84" s="210"/>
      <c r="LH84" s="210"/>
      <c r="LI84" s="210"/>
      <c r="LJ84" s="210"/>
      <c r="LK84" s="210"/>
      <c r="LL84" s="210"/>
      <c r="LM84" s="210"/>
      <c r="LN84" s="210"/>
      <c r="LO84" s="210"/>
      <c r="LP84" s="210"/>
      <c r="LQ84" s="210"/>
      <c r="LR84" s="210"/>
      <c r="OB84" s="120"/>
      <c r="OI84" s="210"/>
      <c r="OJ84" s="210"/>
      <c r="OK84" s="210"/>
      <c r="OL84" s="210"/>
      <c r="OM84" s="210"/>
      <c r="ON84" s="210"/>
      <c r="OO84" s="210"/>
      <c r="OP84" s="210"/>
      <c r="OQ84" s="210"/>
      <c r="OR84" s="210"/>
      <c r="OS84" s="210"/>
      <c r="OT84" s="210"/>
      <c r="OU84" s="210"/>
      <c r="OV84" s="210"/>
      <c r="OW84" s="210"/>
      <c r="RG84" s="120"/>
    </row>
    <row r="85" spans="1:475" x14ac:dyDescent="0.3">
      <c r="A85" s="7">
        <v>19</v>
      </c>
      <c r="B85" s="7">
        <v>75</v>
      </c>
      <c r="C85" s="7" t="s">
        <v>276</v>
      </c>
      <c r="D85" s="7" t="s">
        <v>277</v>
      </c>
      <c r="E85" s="7" t="s">
        <v>316</v>
      </c>
      <c r="F85" s="7" t="s">
        <v>274</v>
      </c>
      <c r="G85" s="41" t="str">
        <f t="shared" si="14"/>
        <v>X</v>
      </c>
      <c r="H85" s="41">
        <f>INDEX(환산공식!CI$16:CI$301,MATCH('배치점수 계산기'!$W85,환산공식!$A$16:$A$301,0))</f>
        <v>111.1</v>
      </c>
      <c r="I85" s="41" t="str">
        <f>CONCATENATE(ROUND(INDEX(환산공식!CJ$16:CJ$301,MATCH('배치점수 계산기'!$W85,환산공식!$A$16:$A$301,0)),1),"%")</f>
        <v>100%</v>
      </c>
      <c r="J85" s="41">
        <f>INDEX(환산공식!CK$16:CK$301,MATCH('배치점수 계산기'!$W85,환산공식!$A$16:$A$301,0))</f>
        <v>10</v>
      </c>
      <c r="K85" s="7">
        <f>INDEX(환산공식!$EF$16:$EF$301,MATCH('배치점수 계산기'!W85,환산공식!$A$16:$A$301,0))</f>
        <v>0</v>
      </c>
      <c r="L85" s="41" t="str">
        <f t="shared" si="12"/>
        <v>1% 이하</v>
      </c>
      <c r="M85" s="7">
        <v>702.79590389470388</v>
      </c>
      <c r="N85" s="7">
        <v>701.83333333333326</v>
      </c>
      <c r="O85" s="7">
        <v>701</v>
      </c>
      <c r="P85" s="7">
        <v>699.83333333333326</v>
      </c>
      <c r="Q85" s="7">
        <v>697.77777777777771</v>
      </c>
      <c r="R85" s="7">
        <f t="shared" si="13"/>
        <v>6</v>
      </c>
      <c r="T85" s="7">
        <f>COUNTIF($C$11:C85,C85)</f>
        <v>22</v>
      </c>
      <c r="U85" s="7" t="str">
        <f t="shared" si="15"/>
        <v>가22</v>
      </c>
      <c r="V85" s="7" t="str">
        <f>INDEX(환산공식!$C$16:$C$301,MATCH('배치점수 계산기'!W85,환산공식!$A$16:$A$301,0))</f>
        <v>연세대 자연</v>
      </c>
      <c r="W85" s="7">
        <f t="shared" si="16"/>
        <v>19</v>
      </c>
      <c r="X85" s="7">
        <f t="shared" si="17"/>
        <v>1</v>
      </c>
      <c r="Y85" s="7">
        <f>IFERROR(INDEX(환산공식!Q$16:Q$200,MATCH($A85,환산공식!$A$16:$A$200,0)),"")</f>
        <v>1.1111111111111109</v>
      </c>
      <c r="Z85" s="7">
        <f>IFERROR(INDEX(환산공식!R$16:R$200,MATCH($A85,환산공식!$A$16:$A$200,0)),"")</f>
        <v>1.6666666666666665</v>
      </c>
      <c r="AA85" s="7">
        <f>IFERROR(INDEX(환산공식!U$16:U$200,MATCH($A85,환산공식!$A$16:$A$200,0)),"")</f>
        <v>1.6666666666666665</v>
      </c>
      <c r="AB85" s="7">
        <f t="shared" si="18"/>
        <v>0.24999999999999994</v>
      </c>
      <c r="AC85" s="7">
        <f t="shared" si="19"/>
        <v>0.37499999999999994</v>
      </c>
      <c r="AD85" s="7">
        <f t="shared" si="20"/>
        <v>0.37499999999999994</v>
      </c>
      <c r="AE85" s="7">
        <f>INDEX(환산공식!$AF$16:$AF$301,MATCH('배치점수 계산기'!W85,환산공식!$A$16:$A$301,0))</f>
        <v>1</v>
      </c>
      <c r="AF85" s="7">
        <f>INDEX(환산공식!$AP$16:$AP$301,MATCH('배치점수 계산기'!W85,환산공식!$A$16:$A$301,0))</f>
        <v>1</v>
      </c>
      <c r="AG85" s="7" t="str">
        <f t="shared" si="21"/>
        <v>표점</v>
      </c>
      <c r="AH85" s="7" t="str">
        <f t="shared" si="22"/>
        <v>표점</v>
      </c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EM85" s="12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210"/>
      <c r="FG85" s="210"/>
      <c r="FH85" s="210"/>
      <c r="HR85" s="120"/>
      <c r="HY85" s="210"/>
      <c r="HZ85" s="210"/>
      <c r="IA85" s="210"/>
      <c r="IB85" s="210"/>
      <c r="IC85" s="210"/>
      <c r="ID85" s="210"/>
      <c r="IE85" s="210"/>
      <c r="IF85" s="210"/>
      <c r="IG85" s="210"/>
      <c r="IH85" s="210"/>
      <c r="II85" s="210"/>
      <c r="IJ85" s="210"/>
      <c r="IK85" s="210"/>
      <c r="IL85" s="210"/>
      <c r="IM85" s="210"/>
      <c r="KW85" s="120"/>
      <c r="LD85" s="210"/>
      <c r="LE85" s="210"/>
      <c r="LF85" s="210"/>
      <c r="LG85" s="210"/>
      <c r="LH85" s="210"/>
      <c r="LI85" s="210"/>
      <c r="LJ85" s="210"/>
      <c r="LK85" s="210"/>
      <c r="LL85" s="210"/>
      <c r="LM85" s="210"/>
      <c r="LN85" s="210"/>
      <c r="LO85" s="210"/>
      <c r="LP85" s="210"/>
      <c r="LQ85" s="210"/>
      <c r="LR85" s="210"/>
      <c r="OB85" s="120"/>
      <c r="OI85" s="210"/>
      <c r="OJ85" s="210"/>
      <c r="OK85" s="210"/>
      <c r="OL85" s="210"/>
      <c r="OM85" s="210"/>
      <c r="ON85" s="210"/>
      <c r="OO85" s="210"/>
      <c r="OP85" s="210"/>
      <c r="OQ85" s="210"/>
      <c r="OR85" s="210"/>
      <c r="OS85" s="210"/>
      <c r="OT85" s="210"/>
      <c r="OU85" s="210"/>
      <c r="OV85" s="210"/>
      <c r="OW85" s="210"/>
      <c r="RG85" s="120"/>
    </row>
    <row r="86" spans="1:475" x14ac:dyDescent="0.3">
      <c r="A86" s="7">
        <v>19</v>
      </c>
      <c r="B86" s="7">
        <v>76</v>
      </c>
      <c r="C86" s="7" t="s">
        <v>276</v>
      </c>
      <c r="D86" s="7" t="s">
        <v>277</v>
      </c>
      <c r="E86" s="7" t="s">
        <v>260</v>
      </c>
      <c r="F86" s="7" t="s">
        <v>274</v>
      </c>
      <c r="G86" s="41" t="str">
        <f t="shared" si="14"/>
        <v>X</v>
      </c>
      <c r="H86" s="41">
        <f>INDEX(환산공식!CI$16:CI$301,MATCH('배치점수 계산기'!$W86,환산공식!$A$16:$A$301,0))</f>
        <v>111.1</v>
      </c>
      <c r="I86" s="41" t="str">
        <f>CONCATENATE(ROUND(INDEX(환산공식!CJ$16:CJ$301,MATCH('배치점수 계산기'!$W86,환산공식!$A$16:$A$301,0)),1),"%")</f>
        <v>100%</v>
      </c>
      <c r="J86" s="41">
        <f>INDEX(환산공식!CK$16:CK$301,MATCH('배치점수 계산기'!$W86,환산공식!$A$16:$A$301,0))</f>
        <v>10</v>
      </c>
      <c r="K86" s="7">
        <f>INDEX(환산공식!$EF$16:$EF$301,MATCH('배치점수 계산기'!W86,환산공식!$A$16:$A$301,0))</f>
        <v>0</v>
      </c>
      <c r="L86" s="41" t="str">
        <f t="shared" si="12"/>
        <v>1% 이하</v>
      </c>
      <c r="M86" s="7">
        <v>702.51812118632029</v>
      </c>
      <c r="N86" s="7">
        <v>701</v>
      </c>
      <c r="O86" s="7">
        <v>699.83333333333326</v>
      </c>
      <c r="P86" s="7">
        <v>698.68474222679458</v>
      </c>
      <c r="Q86" s="7">
        <v>697.5</v>
      </c>
      <c r="R86" s="7">
        <f t="shared" si="13"/>
        <v>6</v>
      </c>
      <c r="T86" s="7">
        <f>COUNTIF($C$11:C86,C86)</f>
        <v>23</v>
      </c>
      <c r="U86" s="7" t="str">
        <f t="shared" si="15"/>
        <v>가23</v>
      </c>
      <c r="V86" s="7" t="str">
        <f>INDEX(환산공식!$C$16:$C$301,MATCH('배치점수 계산기'!W86,환산공식!$A$16:$A$301,0))</f>
        <v>연세대 자연</v>
      </c>
      <c r="W86" s="7">
        <f t="shared" si="16"/>
        <v>19</v>
      </c>
      <c r="X86" s="7">
        <f t="shared" si="17"/>
        <v>1</v>
      </c>
      <c r="Y86" s="7">
        <f>IFERROR(INDEX(환산공식!Q$16:Q$200,MATCH($A86,환산공식!$A$16:$A$200,0)),"")</f>
        <v>1.1111111111111109</v>
      </c>
      <c r="Z86" s="7">
        <f>IFERROR(INDEX(환산공식!R$16:R$200,MATCH($A86,환산공식!$A$16:$A$200,0)),"")</f>
        <v>1.6666666666666665</v>
      </c>
      <c r="AA86" s="7">
        <f>IFERROR(INDEX(환산공식!U$16:U$200,MATCH($A86,환산공식!$A$16:$A$200,0)),"")</f>
        <v>1.6666666666666665</v>
      </c>
      <c r="AB86" s="7">
        <f t="shared" si="18"/>
        <v>0.24999999999999994</v>
      </c>
      <c r="AC86" s="7">
        <f t="shared" si="19"/>
        <v>0.37499999999999994</v>
      </c>
      <c r="AD86" s="7">
        <f t="shared" si="20"/>
        <v>0.37499999999999994</v>
      </c>
      <c r="AE86" s="7">
        <f>INDEX(환산공식!$AF$16:$AF$301,MATCH('배치점수 계산기'!W86,환산공식!$A$16:$A$301,0))</f>
        <v>1</v>
      </c>
      <c r="AF86" s="7">
        <f>INDEX(환산공식!$AP$16:$AP$301,MATCH('배치점수 계산기'!W86,환산공식!$A$16:$A$301,0))</f>
        <v>1</v>
      </c>
      <c r="AG86" s="7" t="str">
        <f t="shared" si="21"/>
        <v>표점</v>
      </c>
      <c r="AH86" s="7" t="str">
        <f t="shared" si="22"/>
        <v>표점</v>
      </c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EM86" s="120"/>
      <c r="ET86" s="210"/>
      <c r="EU86" s="210"/>
      <c r="EV86" s="210"/>
      <c r="EW86" s="210"/>
      <c r="EX86" s="210"/>
      <c r="EY86" s="210"/>
      <c r="EZ86" s="210"/>
      <c r="FA86" s="210"/>
      <c r="FB86" s="210"/>
      <c r="FC86" s="210"/>
      <c r="FD86" s="210"/>
      <c r="FE86" s="210"/>
      <c r="FF86" s="210"/>
      <c r="FG86" s="210"/>
      <c r="FH86" s="210"/>
      <c r="HR86" s="120"/>
      <c r="HY86" s="210"/>
      <c r="HZ86" s="210"/>
      <c r="IA86" s="210"/>
      <c r="IB86" s="210"/>
      <c r="IC86" s="210"/>
      <c r="ID86" s="210"/>
      <c r="IE86" s="210"/>
      <c r="IF86" s="210"/>
      <c r="IG86" s="210"/>
      <c r="IH86" s="210"/>
      <c r="II86" s="210"/>
      <c r="IJ86" s="210"/>
      <c r="IK86" s="210"/>
      <c r="IL86" s="210"/>
      <c r="IM86" s="210"/>
      <c r="KW86" s="120"/>
      <c r="LD86" s="210"/>
      <c r="LE86" s="210"/>
      <c r="LF86" s="210"/>
      <c r="LG86" s="210"/>
      <c r="LH86" s="210"/>
      <c r="LI86" s="210"/>
      <c r="LJ86" s="210"/>
      <c r="LK86" s="210"/>
      <c r="LL86" s="210"/>
      <c r="LM86" s="210"/>
      <c r="LN86" s="210"/>
      <c r="LO86" s="210"/>
      <c r="LP86" s="210"/>
      <c r="LQ86" s="210"/>
      <c r="LR86" s="210"/>
      <c r="OB86" s="120"/>
      <c r="OI86" s="210"/>
      <c r="OJ86" s="210"/>
      <c r="OK86" s="210"/>
      <c r="OL86" s="210"/>
      <c r="OM86" s="210"/>
      <c r="ON86" s="210"/>
      <c r="OO86" s="210"/>
      <c r="OP86" s="210"/>
      <c r="OQ86" s="210"/>
      <c r="OR86" s="210"/>
      <c r="OS86" s="210"/>
      <c r="OT86" s="210"/>
      <c r="OU86" s="210"/>
      <c r="OV86" s="210"/>
      <c r="OW86" s="210"/>
      <c r="RG86" s="120"/>
    </row>
    <row r="87" spans="1:475" x14ac:dyDescent="0.3">
      <c r="A87" s="7">
        <v>19</v>
      </c>
      <c r="B87" s="7">
        <v>77</v>
      </c>
      <c r="C87" s="7" t="s">
        <v>276</v>
      </c>
      <c r="D87" s="7" t="s">
        <v>277</v>
      </c>
      <c r="E87" s="7" t="s">
        <v>296</v>
      </c>
      <c r="F87" s="7" t="s">
        <v>274</v>
      </c>
      <c r="G87" s="41" t="str">
        <f t="shared" si="14"/>
        <v>X</v>
      </c>
      <c r="H87" s="41">
        <f>INDEX(환산공식!CI$16:CI$301,MATCH('배치점수 계산기'!$W87,환산공식!$A$16:$A$301,0))</f>
        <v>111.1</v>
      </c>
      <c r="I87" s="41" t="str">
        <f>CONCATENATE(ROUND(INDEX(환산공식!CJ$16:CJ$301,MATCH('배치점수 계산기'!$W87,환산공식!$A$16:$A$301,0)),1),"%")</f>
        <v>100%</v>
      </c>
      <c r="J87" s="41">
        <f>INDEX(환산공식!CK$16:CK$301,MATCH('배치점수 계산기'!$W87,환산공식!$A$16:$A$301,0))</f>
        <v>10</v>
      </c>
      <c r="K87" s="7">
        <f>INDEX(환산공식!$EF$16:$EF$301,MATCH('배치점수 계산기'!W87,환산공식!$A$16:$A$301,0))</f>
        <v>0</v>
      </c>
      <c r="L87" s="41" t="str">
        <f t="shared" si="12"/>
        <v>1% 이하</v>
      </c>
      <c r="M87" s="7">
        <v>704.99999999999977</v>
      </c>
      <c r="N87" s="7">
        <v>703.49999999999989</v>
      </c>
      <c r="O87" s="7">
        <v>702.07367643717328</v>
      </c>
      <c r="P87" s="7">
        <v>701.11111111111109</v>
      </c>
      <c r="Q87" s="7">
        <v>699.83333333333326</v>
      </c>
      <c r="R87" s="7">
        <f t="shared" si="13"/>
        <v>6</v>
      </c>
      <c r="T87" s="7">
        <f>COUNTIF($C$11:C87,C87)</f>
        <v>24</v>
      </c>
      <c r="U87" s="7" t="str">
        <f t="shared" si="15"/>
        <v>가24</v>
      </c>
      <c r="V87" s="7" t="str">
        <f>INDEX(환산공식!$C$16:$C$301,MATCH('배치점수 계산기'!W87,환산공식!$A$16:$A$301,0))</f>
        <v>연세대 자연</v>
      </c>
      <c r="W87" s="7">
        <f t="shared" si="16"/>
        <v>19</v>
      </c>
      <c r="X87" s="7">
        <f t="shared" si="17"/>
        <v>1</v>
      </c>
      <c r="Y87" s="7">
        <f>IFERROR(INDEX(환산공식!Q$16:Q$200,MATCH($A87,환산공식!$A$16:$A$200,0)),"")</f>
        <v>1.1111111111111109</v>
      </c>
      <c r="Z87" s="7">
        <f>IFERROR(INDEX(환산공식!R$16:R$200,MATCH($A87,환산공식!$A$16:$A$200,0)),"")</f>
        <v>1.6666666666666665</v>
      </c>
      <c r="AA87" s="7">
        <f>IFERROR(INDEX(환산공식!U$16:U$200,MATCH($A87,환산공식!$A$16:$A$200,0)),"")</f>
        <v>1.6666666666666665</v>
      </c>
      <c r="AB87" s="7">
        <f t="shared" si="18"/>
        <v>0.24999999999999994</v>
      </c>
      <c r="AC87" s="7">
        <f t="shared" si="19"/>
        <v>0.37499999999999994</v>
      </c>
      <c r="AD87" s="7">
        <f t="shared" si="20"/>
        <v>0.37499999999999994</v>
      </c>
      <c r="AE87" s="7">
        <f>INDEX(환산공식!$AF$16:$AF$301,MATCH('배치점수 계산기'!W87,환산공식!$A$16:$A$301,0))</f>
        <v>1</v>
      </c>
      <c r="AF87" s="7">
        <f>INDEX(환산공식!$AP$16:$AP$301,MATCH('배치점수 계산기'!W87,환산공식!$A$16:$A$301,0))</f>
        <v>1</v>
      </c>
      <c r="AG87" s="7" t="str">
        <f t="shared" si="21"/>
        <v>표점</v>
      </c>
      <c r="AH87" s="7" t="str">
        <f t="shared" si="22"/>
        <v>표점</v>
      </c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EM87" s="12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210"/>
      <c r="FG87" s="210"/>
      <c r="FH87" s="210"/>
      <c r="HR87" s="120"/>
      <c r="HY87" s="210"/>
      <c r="HZ87" s="210"/>
      <c r="IA87" s="210"/>
      <c r="IB87" s="210"/>
      <c r="IC87" s="210"/>
      <c r="ID87" s="210"/>
      <c r="IE87" s="210"/>
      <c r="IF87" s="210"/>
      <c r="IG87" s="210"/>
      <c r="IH87" s="210"/>
      <c r="II87" s="210"/>
      <c r="IJ87" s="210"/>
      <c r="IK87" s="210"/>
      <c r="IL87" s="210"/>
      <c r="IM87" s="210"/>
      <c r="KW87" s="120"/>
      <c r="LD87" s="210"/>
      <c r="LE87" s="210"/>
      <c r="LF87" s="210"/>
      <c r="LG87" s="210"/>
      <c r="LH87" s="210"/>
      <c r="LI87" s="210"/>
      <c r="LJ87" s="210"/>
      <c r="LK87" s="210"/>
      <c r="LL87" s="210"/>
      <c r="LM87" s="210"/>
      <c r="LN87" s="210"/>
      <c r="LO87" s="210"/>
      <c r="LP87" s="210"/>
      <c r="LQ87" s="210"/>
      <c r="LR87" s="210"/>
      <c r="OB87" s="120"/>
      <c r="OI87" s="210"/>
      <c r="OJ87" s="210"/>
      <c r="OK87" s="210"/>
      <c r="OL87" s="210"/>
      <c r="OM87" s="210"/>
      <c r="ON87" s="210"/>
      <c r="OO87" s="210"/>
      <c r="OP87" s="210"/>
      <c r="OQ87" s="210"/>
      <c r="OR87" s="210"/>
      <c r="OS87" s="210"/>
      <c r="OT87" s="210"/>
      <c r="OU87" s="210"/>
      <c r="OV87" s="210"/>
      <c r="OW87" s="210"/>
      <c r="RG87" s="120"/>
    </row>
    <row r="88" spans="1:475" x14ac:dyDescent="0.3">
      <c r="A88" s="7">
        <v>19</v>
      </c>
      <c r="B88" s="7">
        <v>78</v>
      </c>
      <c r="C88" s="7" t="s">
        <v>276</v>
      </c>
      <c r="D88" s="7" t="s">
        <v>277</v>
      </c>
      <c r="E88" s="7" t="s">
        <v>297</v>
      </c>
      <c r="F88" s="7" t="s">
        <v>274</v>
      </c>
      <c r="G88" s="41" t="str">
        <f t="shared" si="14"/>
        <v>X</v>
      </c>
      <c r="H88" s="41">
        <f>INDEX(환산공식!CI$16:CI$301,MATCH('배치점수 계산기'!$W88,환산공식!$A$16:$A$301,0))</f>
        <v>111.1</v>
      </c>
      <c r="I88" s="41" t="str">
        <f>CONCATENATE(ROUND(INDEX(환산공식!CJ$16:CJ$301,MATCH('배치점수 계산기'!$W88,환산공식!$A$16:$A$301,0)),1),"%")</f>
        <v>100%</v>
      </c>
      <c r="J88" s="41">
        <f>INDEX(환산공식!CK$16:CK$301,MATCH('배치점수 계산기'!$W88,환산공식!$A$16:$A$301,0))</f>
        <v>10</v>
      </c>
      <c r="K88" s="7">
        <f>INDEX(환산공식!$EF$16:$EF$301,MATCH('배치점수 계산기'!W88,환산공식!$A$16:$A$301,0))</f>
        <v>0</v>
      </c>
      <c r="L88" s="41" t="str">
        <f t="shared" si="12"/>
        <v>1% 이하</v>
      </c>
      <c r="M88" s="7">
        <v>705.2777777777776</v>
      </c>
      <c r="N88" s="7">
        <v>703.61111111111109</v>
      </c>
      <c r="O88" s="7">
        <v>702.51812118632029</v>
      </c>
      <c r="P88" s="7">
        <v>701.11111111111109</v>
      </c>
      <c r="Q88" s="7">
        <v>699.83333333333326</v>
      </c>
      <c r="R88" s="7">
        <f t="shared" si="13"/>
        <v>6</v>
      </c>
      <c r="T88" s="7">
        <f>COUNTIF($C$11:C88,C88)</f>
        <v>25</v>
      </c>
      <c r="U88" s="7" t="str">
        <f t="shared" si="15"/>
        <v>가25</v>
      </c>
      <c r="V88" s="7" t="str">
        <f>INDEX(환산공식!$C$16:$C$301,MATCH('배치점수 계산기'!W88,환산공식!$A$16:$A$301,0))</f>
        <v>연세대 자연</v>
      </c>
      <c r="W88" s="7">
        <f t="shared" si="16"/>
        <v>19</v>
      </c>
      <c r="X88" s="7">
        <f t="shared" si="17"/>
        <v>1</v>
      </c>
      <c r="Y88" s="7">
        <f>IFERROR(INDEX(환산공식!Q$16:Q$200,MATCH($A88,환산공식!$A$16:$A$200,0)),"")</f>
        <v>1.1111111111111109</v>
      </c>
      <c r="Z88" s="7">
        <f>IFERROR(INDEX(환산공식!R$16:R$200,MATCH($A88,환산공식!$A$16:$A$200,0)),"")</f>
        <v>1.6666666666666665</v>
      </c>
      <c r="AA88" s="7">
        <f>IFERROR(INDEX(환산공식!U$16:U$200,MATCH($A88,환산공식!$A$16:$A$200,0)),"")</f>
        <v>1.6666666666666665</v>
      </c>
      <c r="AB88" s="7">
        <f t="shared" si="18"/>
        <v>0.24999999999999994</v>
      </c>
      <c r="AC88" s="7">
        <f t="shared" si="19"/>
        <v>0.37499999999999994</v>
      </c>
      <c r="AD88" s="7">
        <f t="shared" si="20"/>
        <v>0.37499999999999994</v>
      </c>
      <c r="AE88" s="7">
        <f>INDEX(환산공식!$AF$16:$AF$301,MATCH('배치점수 계산기'!W88,환산공식!$A$16:$A$301,0))</f>
        <v>1</v>
      </c>
      <c r="AF88" s="7">
        <f>INDEX(환산공식!$AP$16:$AP$301,MATCH('배치점수 계산기'!W88,환산공식!$A$16:$A$301,0))</f>
        <v>1</v>
      </c>
      <c r="AG88" s="7" t="str">
        <f t="shared" si="21"/>
        <v>표점</v>
      </c>
      <c r="AH88" s="7" t="str">
        <f t="shared" si="22"/>
        <v>표점</v>
      </c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210"/>
      <c r="EM88" s="120"/>
      <c r="ET88" s="210"/>
      <c r="EU88" s="210"/>
      <c r="EV88" s="210"/>
      <c r="EW88" s="210"/>
      <c r="EX88" s="210"/>
      <c r="EY88" s="210"/>
      <c r="EZ88" s="210"/>
      <c r="FA88" s="210"/>
      <c r="FB88" s="210"/>
      <c r="FC88" s="210"/>
      <c r="FD88" s="210"/>
      <c r="FE88" s="210"/>
      <c r="FF88" s="210"/>
      <c r="FG88" s="210"/>
      <c r="FH88" s="210"/>
      <c r="HR88" s="120"/>
      <c r="HY88" s="210"/>
      <c r="HZ88" s="210"/>
      <c r="IA88" s="210"/>
      <c r="IB88" s="210"/>
      <c r="IC88" s="210"/>
      <c r="ID88" s="210"/>
      <c r="IE88" s="210"/>
      <c r="IF88" s="210"/>
      <c r="IG88" s="210"/>
      <c r="IH88" s="210"/>
      <c r="II88" s="210"/>
      <c r="IJ88" s="210"/>
      <c r="IK88" s="210"/>
      <c r="IL88" s="210"/>
      <c r="IM88" s="210"/>
      <c r="KW88" s="120"/>
      <c r="LD88" s="210"/>
      <c r="LE88" s="210"/>
      <c r="LF88" s="210"/>
      <c r="LG88" s="210"/>
      <c r="LH88" s="210"/>
      <c r="LI88" s="210"/>
      <c r="LJ88" s="210"/>
      <c r="LK88" s="210"/>
      <c r="LL88" s="210"/>
      <c r="LM88" s="210"/>
      <c r="LN88" s="210"/>
      <c r="LO88" s="210"/>
      <c r="LP88" s="210"/>
      <c r="LQ88" s="210"/>
      <c r="LR88" s="210"/>
      <c r="OB88" s="120"/>
      <c r="OI88" s="210"/>
      <c r="OJ88" s="210"/>
      <c r="OK88" s="210"/>
      <c r="OL88" s="210"/>
      <c r="OM88" s="210"/>
      <c r="ON88" s="210"/>
      <c r="OO88" s="210"/>
      <c r="OP88" s="210"/>
      <c r="OQ88" s="210"/>
      <c r="OR88" s="210"/>
      <c r="OS88" s="210"/>
      <c r="OT88" s="210"/>
      <c r="OU88" s="210"/>
      <c r="OV88" s="210"/>
      <c r="OW88" s="210"/>
      <c r="RG88" s="120"/>
    </row>
    <row r="89" spans="1:475" x14ac:dyDescent="0.3">
      <c r="A89" s="7">
        <v>20</v>
      </c>
      <c r="B89" s="7">
        <v>79</v>
      </c>
      <c r="C89" s="7" t="s">
        <v>276</v>
      </c>
      <c r="D89" s="7" t="s">
        <v>277</v>
      </c>
      <c r="E89" s="7" t="s">
        <v>261</v>
      </c>
      <c r="F89" s="7" t="s">
        <v>275</v>
      </c>
      <c r="G89" s="41" t="str">
        <f t="shared" si="14"/>
        <v>X</v>
      </c>
      <c r="H89" s="41">
        <f>INDEX(환산공식!CI$16:CI$301,MATCH('배치점수 계산기'!$W89,환산공식!$A$16:$A$301,0))</f>
        <v>166.7</v>
      </c>
      <c r="I89" s="41" t="str">
        <f>CONCATENATE(ROUND(INDEX(환산공식!CJ$16:CJ$301,MATCH('배치점수 계산기'!$W89,환산공식!$A$16:$A$301,0)),1),"%")</f>
        <v>100%</v>
      </c>
      <c r="J89" s="41">
        <f>INDEX(환산공식!CK$16:CK$301,MATCH('배치점수 계산기'!$W89,환산공식!$A$16:$A$301,0))</f>
        <v>10</v>
      </c>
      <c r="K89" s="7">
        <f>INDEX(환산공식!$EF$16:$EF$301,MATCH('배치점수 계산기'!W89,환산공식!$A$16:$A$301,0))</f>
        <v>0</v>
      </c>
      <c r="L89" s="41" t="str">
        <f t="shared" si="12"/>
        <v>1% 이하</v>
      </c>
      <c r="M89" s="7">
        <v>724.30605057705361</v>
      </c>
      <c r="N89" s="7">
        <v>723.16666666666652</v>
      </c>
      <c r="O89" s="7">
        <v>720.36073410157906</v>
      </c>
      <c r="P89" s="7">
        <v>716.83333333333326</v>
      </c>
      <c r="Q89" s="7">
        <v>714.86093171445782</v>
      </c>
      <c r="R89" s="7">
        <f t="shared" si="13"/>
        <v>6</v>
      </c>
      <c r="T89" s="7">
        <f>COUNTIF($C$11:C89,C89)</f>
        <v>26</v>
      </c>
      <c r="U89" s="7" t="str">
        <f t="shared" si="15"/>
        <v>가26</v>
      </c>
      <c r="V89" s="7" t="str">
        <f>INDEX(환산공식!$C$16:$C$301,MATCH('배치점수 계산기'!W89,환산공식!$A$16:$A$301,0))</f>
        <v>연세대 통합</v>
      </c>
      <c r="W89" s="7">
        <f t="shared" si="16"/>
        <v>20</v>
      </c>
      <c r="X89" s="7">
        <f t="shared" si="17"/>
        <v>1</v>
      </c>
      <c r="Y89" s="7">
        <f>IFERROR(INDEX(환산공식!Q$16:Q$200,MATCH($A89,환산공식!$A$16:$A$200,0)),"")</f>
        <v>1.6666666666666665</v>
      </c>
      <c r="Z89" s="7">
        <f>IFERROR(INDEX(환산공식!R$16:R$200,MATCH($A89,환산공식!$A$16:$A$200,0)),"")</f>
        <v>1.6666666666666665</v>
      </c>
      <c r="AA89" s="7">
        <f>IFERROR(INDEX(환산공식!U$16:U$200,MATCH($A89,환산공식!$A$16:$A$200,0)),"")</f>
        <v>0.83333333333333326</v>
      </c>
      <c r="AB89" s="7">
        <f t="shared" si="18"/>
        <v>0.4</v>
      </c>
      <c r="AC89" s="7">
        <f t="shared" si="19"/>
        <v>0.4</v>
      </c>
      <c r="AD89" s="7">
        <f t="shared" si="20"/>
        <v>0.2</v>
      </c>
      <c r="AE89" s="7">
        <f>INDEX(환산공식!$AF$16:$AF$301,MATCH('배치점수 계산기'!W89,환산공식!$A$16:$A$301,0))</f>
        <v>1</v>
      </c>
      <c r="AF89" s="7">
        <f>INDEX(환산공식!$AP$16:$AP$301,MATCH('배치점수 계산기'!W89,환산공식!$A$16:$A$301,0))</f>
        <v>1</v>
      </c>
      <c r="AG89" s="7" t="str">
        <f t="shared" si="21"/>
        <v>표점</v>
      </c>
      <c r="AH89" s="7" t="str">
        <f t="shared" si="22"/>
        <v>표점</v>
      </c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210"/>
      <c r="EM89" s="120"/>
      <c r="ET89" s="210"/>
      <c r="EU89" s="210"/>
      <c r="EV89" s="210"/>
      <c r="EW89" s="210"/>
      <c r="EX89" s="210"/>
      <c r="EY89" s="210"/>
      <c r="EZ89" s="210"/>
      <c r="FA89" s="210"/>
      <c r="FB89" s="210"/>
      <c r="FC89" s="210"/>
      <c r="FD89" s="210"/>
      <c r="FE89" s="210"/>
      <c r="FF89" s="210"/>
      <c r="FG89" s="210"/>
      <c r="FH89" s="210"/>
      <c r="HR89" s="120"/>
      <c r="HY89" s="210"/>
      <c r="HZ89" s="210"/>
      <c r="IA89" s="210"/>
      <c r="IB89" s="210"/>
      <c r="IC89" s="210"/>
      <c r="ID89" s="210"/>
      <c r="IE89" s="210"/>
      <c r="IF89" s="210"/>
      <c r="IG89" s="210"/>
      <c r="IH89" s="210"/>
      <c r="II89" s="210"/>
      <c r="IJ89" s="210"/>
      <c r="IK89" s="210"/>
      <c r="IL89" s="210"/>
      <c r="IM89" s="210"/>
      <c r="KW89" s="120"/>
      <c r="LD89" s="210"/>
      <c r="LE89" s="210"/>
      <c r="LF89" s="210"/>
      <c r="LG89" s="210"/>
      <c r="LH89" s="210"/>
      <c r="LI89" s="210"/>
      <c r="LJ89" s="210"/>
      <c r="LK89" s="210"/>
      <c r="LL89" s="210"/>
      <c r="LM89" s="210"/>
      <c r="LN89" s="210"/>
      <c r="LO89" s="210"/>
      <c r="LP89" s="210"/>
      <c r="LQ89" s="210"/>
      <c r="LR89" s="210"/>
      <c r="OB89" s="120"/>
      <c r="OI89" s="210"/>
      <c r="OJ89" s="210"/>
      <c r="OK89" s="210"/>
      <c r="OL89" s="210"/>
      <c r="OM89" s="210"/>
      <c r="ON89" s="210"/>
      <c r="OO89" s="210"/>
      <c r="OP89" s="210"/>
      <c r="OQ89" s="210"/>
      <c r="OR89" s="210"/>
      <c r="OS89" s="210"/>
      <c r="OT89" s="210"/>
      <c r="OU89" s="210"/>
      <c r="OV89" s="210"/>
      <c r="OW89" s="210"/>
      <c r="RG89" s="120"/>
    </row>
    <row r="90" spans="1:475" x14ac:dyDescent="0.3">
      <c r="A90" s="7">
        <v>20</v>
      </c>
      <c r="B90" s="7">
        <v>80</v>
      </c>
      <c r="C90" s="7" t="s">
        <v>276</v>
      </c>
      <c r="D90" s="7" t="s">
        <v>277</v>
      </c>
      <c r="E90" s="7" t="s">
        <v>262</v>
      </c>
      <c r="F90" s="7" t="s">
        <v>275</v>
      </c>
      <c r="G90" s="41" t="str">
        <f t="shared" si="14"/>
        <v>X</v>
      </c>
      <c r="H90" s="41">
        <f>INDEX(환산공식!CI$16:CI$301,MATCH('배치점수 계산기'!$W90,환산공식!$A$16:$A$301,0))</f>
        <v>166.7</v>
      </c>
      <c r="I90" s="41" t="str">
        <f>CONCATENATE(ROUND(INDEX(환산공식!CJ$16:CJ$301,MATCH('배치점수 계산기'!$W90,환산공식!$A$16:$A$301,0)),1),"%")</f>
        <v>100%</v>
      </c>
      <c r="J90" s="41">
        <f>INDEX(환산공식!CK$16:CK$301,MATCH('배치점수 계산기'!$W90,환산공식!$A$16:$A$301,0))</f>
        <v>10</v>
      </c>
      <c r="K90" s="7">
        <f>INDEX(환산공식!$EF$16:$EF$301,MATCH('배치점수 계산기'!W90,환산공식!$A$16:$A$301,0))</f>
        <v>0</v>
      </c>
      <c r="L90" s="41" t="str">
        <f t="shared" si="12"/>
        <v>1% 이하</v>
      </c>
      <c r="M90" s="7">
        <v>724.97274499830451</v>
      </c>
      <c r="N90" s="7">
        <v>723.16666666666652</v>
      </c>
      <c r="O90" s="7">
        <v>721.11189318317543</v>
      </c>
      <c r="P90" s="7">
        <v>716.83333333333326</v>
      </c>
      <c r="Q90" s="7">
        <v>714.86093171445782</v>
      </c>
      <c r="R90" s="7">
        <f t="shared" si="13"/>
        <v>6</v>
      </c>
      <c r="T90" s="7">
        <f>COUNTIF($C$11:C90,C90)</f>
        <v>27</v>
      </c>
      <c r="U90" s="7" t="str">
        <f t="shared" si="15"/>
        <v>가27</v>
      </c>
      <c r="V90" s="7" t="str">
        <f>INDEX(환산공식!$C$16:$C$301,MATCH('배치점수 계산기'!W90,환산공식!$A$16:$A$301,0))</f>
        <v>연세대 통합</v>
      </c>
      <c r="W90" s="7">
        <f t="shared" si="16"/>
        <v>20</v>
      </c>
      <c r="X90" s="7">
        <f t="shared" si="17"/>
        <v>1</v>
      </c>
      <c r="Y90" s="7">
        <f>IFERROR(INDEX(환산공식!Q$16:Q$200,MATCH($A90,환산공식!$A$16:$A$200,0)),"")</f>
        <v>1.6666666666666665</v>
      </c>
      <c r="Z90" s="7">
        <f>IFERROR(INDEX(환산공식!R$16:R$200,MATCH($A90,환산공식!$A$16:$A$200,0)),"")</f>
        <v>1.6666666666666665</v>
      </c>
      <c r="AA90" s="7">
        <f>IFERROR(INDEX(환산공식!U$16:U$200,MATCH($A90,환산공식!$A$16:$A$200,0)),"")</f>
        <v>0.83333333333333326</v>
      </c>
      <c r="AB90" s="7">
        <f t="shared" si="18"/>
        <v>0.4</v>
      </c>
      <c r="AC90" s="7">
        <f t="shared" si="19"/>
        <v>0.4</v>
      </c>
      <c r="AD90" s="7">
        <f t="shared" si="20"/>
        <v>0.2</v>
      </c>
      <c r="AE90" s="7">
        <f>INDEX(환산공식!$AF$16:$AF$301,MATCH('배치점수 계산기'!W90,환산공식!$A$16:$A$301,0))</f>
        <v>1</v>
      </c>
      <c r="AF90" s="7">
        <f>INDEX(환산공식!$AP$16:$AP$301,MATCH('배치점수 계산기'!W90,환산공식!$A$16:$A$301,0))</f>
        <v>1</v>
      </c>
      <c r="AG90" s="7" t="str">
        <f t="shared" si="21"/>
        <v>표점</v>
      </c>
      <c r="AH90" s="7" t="str">
        <f t="shared" si="22"/>
        <v>표점</v>
      </c>
      <c r="BO90" s="210"/>
      <c r="BP90" s="210"/>
      <c r="BQ90" s="210"/>
      <c r="BR90" s="210"/>
      <c r="BS90" s="210"/>
      <c r="BT90" s="210"/>
      <c r="BU90" s="210"/>
      <c r="BV90" s="210"/>
      <c r="BW90" s="210"/>
      <c r="BX90" s="210"/>
      <c r="BY90" s="210"/>
      <c r="BZ90" s="210"/>
      <c r="CA90" s="210"/>
      <c r="CB90" s="210"/>
      <c r="CC90" s="210"/>
      <c r="EM90" s="120"/>
      <c r="ET90" s="210"/>
      <c r="EU90" s="210"/>
      <c r="EV90" s="210"/>
      <c r="EW90" s="210"/>
      <c r="EX90" s="210"/>
      <c r="EY90" s="210"/>
      <c r="EZ90" s="210"/>
      <c r="FA90" s="210"/>
      <c r="FB90" s="210"/>
      <c r="FC90" s="210"/>
      <c r="FD90" s="210"/>
      <c r="FE90" s="210"/>
      <c r="FF90" s="210"/>
      <c r="FG90" s="210"/>
      <c r="FH90" s="210"/>
      <c r="HR90" s="120"/>
      <c r="HY90" s="210"/>
      <c r="HZ90" s="210"/>
      <c r="IA90" s="210"/>
      <c r="IB90" s="210"/>
      <c r="IC90" s="210"/>
      <c r="ID90" s="210"/>
      <c r="IE90" s="210"/>
      <c r="IF90" s="210"/>
      <c r="IG90" s="210"/>
      <c r="IH90" s="210"/>
      <c r="II90" s="210"/>
      <c r="IJ90" s="210"/>
      <c r="IK90" s="210"/>
      <c r="IL90" s="210"/>
      <c r="IM90" s="210"/>
      <c r="KW90" s="120"/>
      <c r="LD90" s="210"/>
      <c r="LE90" s="210"/>
      <c r="LF90" s="210"/>
      <c r="LG90" s="210"/>
      <c r="LH90" s="210"/>
      <c r="LI90" s="210"/>
      <c r="LJ90" s="210"/>
      <c r="LK90" s="210"/>
      <c r="LL90" s="210"/>
      <c r="LM90" s="210"/>
      <c r="LN90" s="210"/>
      <c r="LO90" s="210"/>
      <c r="LP90" s="210"/>
      <c r="LQ90" s="210"/>
      <c r="LR90" s="210"/>
      <c r="OB90" s="120"/>
      <c r="OI90" s="210"/>
      <c r="OJ90" s="210"/>
      <c r="OK90" s="210"/>
      <c r="OL90" s="210"/>
      <c r="OM90" s="210"/>
      <c r="ON90" s="210"/>
      <c r="OO90" s="210"/>
      <c r="OP90" s="210"/>
      <c r="OQ90" s="210"/>
      <c r="OR90" s="210"/>
      <c r="OS90" s="210"/>
      <c r="OT90" s="210"/>
      <c r="OU90" s="210"/>
      <c r="OV90" s="210"/>
      <c r="OW90" s="210"/>
      <c r="RG90" s="120"/>
    </row>
    <row r="91" spans="1:475" x14ac:dyDescent="0.3">
      <c r="A91" s="7">
        <v>20</v>
      </c>
      <c r="B91" s="7">
        <v>81</v>
      </c>
      <c r="C91" s="7" t="s">
        <v>276</v>
      </c>
      <c r="D91" s="7" t="s">
        <v>277</v>
      </c>
      <c r="E91" s="7" t="s">
        <v>298</v>
      </c>
      <c r="F91" s="7" t="s">
        <v>275</v>
      </c>
      <c r="G91" s="41" t="str">
        <f t="shared" si="14"/>
        <v>X</v>
      </c>
      <c r="H91" s="41">
        <f>INDEX(환산공식!CI$16:CI$301,MATCH('배치점수 계산기'!$W91,환산공식!$A$16:$A$301,0))</f>
        <v>166.7</v>
      </c>
      <c r="I91" s="41" t="str">
        <f>CONCATENATE(ROUND(INDEX(환산공식!CJ$16:CJ$301,MATCH('배치점수 계산기'!$W91,환산공식!$A$16:$A$301,0)),1),"%")</f>
        <v>100%</v>
      </c>
      <c r="J91" s="41">
        <f>INDEX(환산공식!CK$16:CK$301,MATCH('배치점수 계산기'!$W91,환산공식!$A$16:$A$301,0))</f>
        <v>10</v>
      </c>
      <c r="K91" s="7">
        <f>INDEX(환산공식!$EF$16:$EF$301,MATCH('배치점수 계산기'!W91,환산공식!$A$16:$A$301,0))</f>
        <v>0</v>
      </c>
      <c r="L91" s="41" t="str">
        <f t="shared" si="12"/>
        <v>1% 이하</v>
      </c>
      <c r="M91" s="7">
        <v>716.83333333333326</v>
      </c>
      <c r="N91" s="7">
        <v>714.86093171445782</v>
      </c>
      <c r="O91" s="7">
        <v>712.19434353918018</v>
      </c>
      <c r="P91" s="7">
        <v>711</v>
      </c>
      <c r="Q91" s="7">
        <v>708.16666666666652</v>
      </c>
      <c r="R91" s="7">
        <f t="shared" si="13"/>
        <v>6</v>
      </c>
      <c r="T91" s="7">
        <f>COUNTIF($C$11:C91,C91)</f>
        <v>28</v>
      </c>
      <c r="U91" s="7" t="str">
        <f t="shared" si="15"/>
        <v>가28</v>
      </c>
      <c r="V91" s="7" t="str">
        <f>INDEX(환산공식!$C$16:$C$301,MATCH('배치점수 계산기'!W91,환산공식!$A$16:$A$301,0))</f>
        <v>연세대 통합</v>
      </c>
      <c r="W91" s="7">
        <f t="shared" si="16"/>
        <v>20</v>
      </c>
      <c r="X91" s="7">
        <f t="shared" si="17"/>
        <v>1</v>
      </c>
      <c r="Y91" s="7">
        <f>IFERROR(INDEX(환산공식!Q$16:Q$200,MATCH($A91,환산공식!$A$16:$A$200,0)),"")</f>
        <v>1.6666666666666665</v>
      </c>
      <c r="Z91" s="7">
        <f>IFERROR(INDEX(환산공식!R$16:R$200,MATCH($A91,환산공식!$A$16:$A$200,0)),"")</f>
        <v>1.6666666666666665</v>
      </c>
      <c r="AA91" s="7">
        <f>IFERROR(INDEX(환산공식!U$16:U$200,MATCH($A91,환산공식!$A$16:$A$200,0)),"")</f>
        <v>0.83333333333333326</v>
      </c>
      <c r="AB91" s="7">
        <f t="shared" si="18"/>
        <v>0.4</v>
      </c>
      <c r="AC91" s="7">
        <f t="shared" si="19"/>
        <v>0.4</v>
      </c>
      <c r="AD91" s="7">
        <f t="shared" si="20"/>
        <v>0.2</v>
      </c>
      <c r="AE91" s="7">
        <f>INDEX(환산공식!$AF$16:$AF$301,MATCH('배치점수 계산기'!W91,환산공식!$A$16:$A$301,0))</f>
        <v>1</v>
      </c>
      <c r="AF91" s="7">
        <f>INDEX(환산공식!$AP$16:$AP$301,MATCH('배치점수 계산기'!W91,환산공식!$A$16:$A$301,0))</f>
        <v>1</v>
      </c>
      <c r="AG91" s="7" t="str">
        <f t="shared" si="21"/>
        <v>표점</v>
      </c>
      <c r="AH91" s="7" t="str">
        <f t="shared" si="22"/>
        <v>표점</v>
      </c>
      <c r="BO91" s="210"/>
      <c r="BP91" s="210"/>
      <c r="BQ91" s="210"/>
      <c r="BR91" s="210"/>
      <c r="BS91" s="210"/>
      <c r="BT91" s="210"/>
      <c r="BU91" s="210"/>
      <c r="BV91" s="210"/>
      <c r="BW91" s="210"/>
      <c r="BX91" s="210"/>
      <c r="BY91" s="210"/>
      <c r="BZ91" s="210"/>
      <c r="CA91" s="210"/>
      <c r="CB91" s="210"/>
      <c r="CC91" s="210"/>
      <c r="EM91" s="120"/>
      <c r="ET91" s="210"/>
      <c r="EU91" s="210"/>
      <c r="EV91" s="210"/>
      <c r="EW91" s="210"/>
      <c r="EX91" s="210"/>
      <c r="EY91" s="210"/>
      <c r="EZ91" s="210"/>
      <c r="FA91" s="210"/>
      <c r="FB91" s="210"/>
      <c r="FC91" s="210"/>
      <c r="FD91" s="210"/>
      <c r="FE91" s="210"/>
      <c r="FF91" s="210"/>
      <c r="FG91" s="210"/>
      <c r="FH91" s="210"/>
      <c r="HR91" s="120"/>
      <c r="HY91" s="210"/>
      <c r="HZ91" s="210"/>
      <c r="IA91" s="210"/>
      <c r="IB91" s="210"/>
      <c r="IC91" s="210"/>
      <c r="ID91" s="210"/>
      <c r="IE91" s="210"/>
      <c r="IF91" s="210"/>
      <c r="IG91" s="210"/>
      <c r="IH91" s="210"/>
      <c r="II91" s="210"/>
      <c r="IJ91" s="210"/>
      <c r="IK91" s="210"/>
      <c r="IL91" s="210"/>
      <c r="IM91" s="210"/>
      <c r="KW91" s="120"/>
      <c r="LD91" s="210"/>
      <c r="LE91" s="210"/>
      <c r="LF91" s="210"/>
      <c r="LG91" s="210"/>
      <c r="LH91" s="210"/>
      <c r="LI91" s="210"/>
      <c r="LJ91" s="210"/>
      <c r="LK91" s="210"/>
      <c r="LL91" s="210"/>
      <c r="LM91" s="210"/>
      <c r="LN91" s="210"/>
      <c r="LO91" s="210"/>
      <c r="LP91" s="210"/>
      <c r="LQ91" s="210"/>
      <c r="LR91" s="210"/>
      <c r="OB91" s="120"/>
      <c r="OI91" s="210"/>
      <c r="OJ91" s="210"/>
      <c r="OK91" s="210"/>
      <c r="OL91" s="210"/>
      <c r="OM91" s="210"/>
      <c r="ON91" s="210"/>
      <c r="OO91" s="210"/>
      <c r="OP91" s="210"/>
      <c r="OQ91" s="210"/>
      <c r="OR91" s="210"/>
      <c r="OS91" s="210"/>
      <c r="OT91" s="210"/>
      <c r="OU91" s="210"/>
      <c r="OV91" s="210"/>
      <c r="OW91" s="210"/>
      <c r="RG91" s="120"/>
    </row>
    <row r="92" spans="1:475" x14ac:dyDescent="0.3">
      <c r="A92" s="7">
        <v>20</v>
      </c>
      <c r="B92" s="7">
        <v>82</v>
      </c>
      <c r="C92" s="7" t="s">
        <v>276</v>
      </c>
      <c r="D92" s="7" t="s">
        <v>277</v>
      </c>
      <c r="E92" s="7" t="s">
        <v>266</v>
      </c>
      <c r="F92" s="7" t="s">
        <v>275</v>
      </c>
      <c r="G92" s="41" t="str">
        <f t="shared" si="14"/>
        <v>X</v>
      </c>
      <c r="H92" s="41">
        <f>INDEX(환산공식!CI$16:CI$301,MATCH('배치점수 계산기'!$W92,환산공식!$A$16:$A$301,0))</f>
        <v>166.7</v>
      </c>
      <c r="I92" s="41" t="str">
        <f>CONCATENATE(ROUND(INDEX(환산공식!CJ$16:CJ$301,MATCH('배치점수 계산기'!$W92,환산공식!$A$16:$A$301,0)),1),"%")</f>
        <v>100%</v>
      </c>
      <c r="J92" s="41">
        <f>INDEX(환산공식!CK$16:CK$301,MATCH('배치점수 계산기'!$W92,환산공식!$A$16:$A$301,0))</f>
        <v>10</v>
      </c>
      <c r="K92" s="7">
        <f>INDEX(환산공식!$EF$16:$EF$301,MATCH('배치점수 계산기'!W92,환산공식!$A$16:$A$301,0))</f>
        <v>0</v>
      </c>
      <c r="L92" s="41" t="str">
        <f t="shared" si="12"/>
        <v>1% 이하</v>
      </c>
      <c r="M92" s="7">
        <v>720.16666666666674</v>
      </c>
      <c r="N92" s="7">
        <v>718.86079739904176</v>
      </c>
      <c r="O92" s="7">
        <v>713.33333333333326</v>
      </c>
      <c r="P92" s="7">
        <v>711.63898995148975</v>
      </c>
      <c r="Q92" s="7">
        <v>708.66666666666674</v>
      </c>
      <c r="R92" s="7">
        <f t="shared" si="13"/>
        <v>6</v>
      </c>
      <c r="T92" s="7">
        <f>COUNTIF($C$11:C92,C92)</f>
        <v>29</v>
      </c>
      <c r="U92" s="7" t="str">
        <f t="shared" si="15"/>
        <v>가29</v>
      </c>
      <c r="V92" s="7" t="str">
        <f>INDEX(환산공식!$C$16:$C$301,MATCH('배치점수 계산기'!W92,환산공식!$A$16:$A$301,0))</f>
        <v>연세대 통합</v>
      </c>
      <c r="W92" s="7">
        <f t="shared" si="16"/>
        <v>20</v>
      </c>
      <c r="X92" s="7">
        <f t="shared" si="17"/>
        <v>1</v>
      </c>
      <c r="Y92" s="7">
        <f>IFERROR(INDEX(환산공식!Q$16:Q$200,MATCH($A92,환산공식!$A$16:$A$200,0)),"")</f>
        <v>1.6666666666666665</v>
      </c>
      <c r="Z92" s="7">
        <f>IFERROR(INDEX(환산공식!R$16:R$200,MATCH($A92,환산공식!$A$16:$A$200,0)),"")</f>
        <v>1.6666666666666665</v>
      </c>
      <c r="AA92" s="7">
        <f>IFERROR(INDEX(환산공식!U$16:U$200,MATCH($A92,환산공식!$A$16:$A$200,0)),"")</f>
        <v>0.83333333333333326</v>
      </c>
      <c r="AB92" s="7">
        <f t="shared" si="18"/>
        <v>0.4</v>
      </c>
      <c r="AC92" s="7">
        <f t="shared" si="19"/>
        <v>0.4</v>
      </c>
      <c r="AD92" s="7">
        <f t="shared" si="20"/>
        <v>0.2</v>
      </c>
      <c r="AE92" s="7">
        <f>INDEX(환산공식!$AF$16:$AF$301,MATCH('배치점수 계산기'!W92,환산공식!$A$16:$A$301,0))</f>
        <v>1</v>
      </c>
      <c r="AF92" s="7">
        <f>INDEX(환산공식!$AP$16:$AP$301,MATCH('배치점수 계산기'!W92,환산공식!$A$16:$A$301,0))</f>
        <v>1</v>
      </c>
      <c r="AG92" s="7" t="str">
        <f t="shared" si="21"/>
        <v>표점</v>
      </c>
      <c r="AH92" s="7" t="str">
        <f t="shared" si="22"/>
        <v>표점</v>
      </c>
      <c r="BO92" s="210"/>
      <c r="BP92" s="210"/>
      <c r="BQ92" s="210"/>
      <c r="BR92" s="210"/>
      <c r="BS92" s="210"/>
      <c r="BT92" s="210"/>
      <c r="BU92" s="210"/>
      <c r="BV92" s="210"/>
      <c r="BW92" s="210"/>
      <c r="BX92" s="210"/>
      <c r="BY92" s="210"/>
      <c r="BZ92" s="210"/>
      <c r="CA92" s="210"/>
      <c r="CB92" s="210"/>
      <c r="CC92" s="210"/>
      <c r="EM92" s="120"/>
      <c r="ET92" s="210"/>
      <c r="EU92" s="210"/>
      <c r="EV92" s="210"/>
      <c r="EW92" s="210"/>
      <c r="EX92" s="210"/>
      <c r="EY92" s="210"/>
      <c r="EZ92" s="210"/>
      <c r="FA92" s="210"/>
      <c r="FB92" s="210"/>
      <c r="FC92" s="210"/>
      <c r="FD92" s="210"/>
      <c r="FE92" s="210"/>
      <c r="FF92" s="210"/>
      <c r="FG92" s="210"/>
      <c r="FH92" s="210"/>
      <c r="HR92" s="120"/>
      <c r="HY92" s="210"/>
      <c r="HZ92" s="210"/>
      <c r="IA92" s="210"/>
      <c r="IB92" s="210"/>
      <c r="IC92" s="210"/>
      <c r="ID92" s="210"/>
      <c r="IE92" s="210"/>
      <c r="IF92" s="210"/>
      <c r="IG92" s="210"/>
      <c r="IH92" s="210"/>
      <c r="II92" s="210"/>
      <c r="IJ92" s="210"/>
      <c r="IK92" s="210"/>
      <c r="IL92" s="210"/>
      <c r="IM92" s="210"/>
      <c r="KW92" s="120"/>
      <c r="LD92" s="210"/>
      <c r="LE92" s="210"/>
      <c r="LF92" s="210"/>
      <c r="LG92" s="210"/>
      <c r="LH92" s="210"/>
      <c r="LI92" s="210"/>
      <c r="LJ92" s="210"/>
      <c r="LK92" s="210"/>
      <c r="LL92" s="210"/>
      <c r="LM92" s="210"/>
      <c r="LN92" s="210"/>
      <c r="LO92" s="210"/>
      <c r="LP92" s="210"/>
      <c r="LQ92" s="210"/>
      <c r="LR92" s="210"/>
      <c r="OB92" s="120"/>
      <c r="OI92" s="210"/>
      <c r="OJ92" s="210"/>
      <c r="OK92" s="210"/>
      <c r="OL92" s="210"/>
      <c r="OM92" s="210"/>
      <c r="ON92" s="210"/>
      <c r="OO92" s="210"/>
      <c r="OP92" s="210"/>
      <c r="OQ92" s="210"/>
      <c r="OR92" s="210"/>
      <c r="OS92" s="210"/>
      <c r="OT92" s="210"/>
      <c r="OU92" s="210"/>
      <c r="OV92" s="210"/>
      <c r="OW92" s="210"/>
      <c r="RG92" s="120"/>
    </row>
    <row r="93" spans="1:475" x14ac:dyDescent="0.3">
      <c r="A93" s="7">
        <v>20</v>
      </c>
      <c r="B93" s="7">
        <v>83</v>
      </c>
      <c r="C93" s="7" t="s">
        <v>276</v>
      </c>
      <c r="D93" s="7" t="s">
        <v>277</v>
      </c>
      <c r="E93" s="7" t="s">
        <v>299</v>
      </c>
      <c r="F93" s="7" t="s">
        <v>275</v>
      </c>
      <c r="G93" s="41" t="str">
        <f t="shared" si="14"/>
        <v>X</v>
      </c>
      <c r="H93" s="41">
        <f>INDEX(환산공식!CI$16:CI$301,MATCH('배치점수 계산기'!$W93,환산공식!$A$16:$A$301,0))</f>
        <v>166.7</v>
      </c>
      <c r="I93" s="41" t="str">
        <f>CONCATENATE(ROUND(INDEX(환산공식!CJ$16:CJ$301,MATCH('배치점수 계산기'!$W93,환산공식!$A$16:$A$301,0)),1),"%")</f>
        <v>100%</v>
      </c>
      <c r="J93" s="41">
        <f>INDEX(환산공식!CK$16:CK$301,MATCH('배치점수 계산기'!$W93,환산공식!$A$16:$A$301,0))</f>
        <v>10</v>
      </c>
      <c r="K93" s="7">
        <f>INDEX(환산공식!$EF$16:$EF$301,MATCH('배치점수 계산기'!W93,환산공식!$A$16:$A$301,0))</f>
        <v>0</v>
      </c>
      <c r="L93" s="41" t="str">
        <f t="shared" si="12"/>
        <v>1% 이하</v>
      </c>
      <c r="M93" s="7">
        <v>716.83333333333326</v>
      </c>
      <c r="N93" s="7">
        <v>714</v>
      </c>
      <c r="O93" s="7">
        <v>710.83333333333326</v>
      </c>
      <c r="P93" s="7">
        <v>709.30559179059037</v>
      </c>
      <c r="Q93" s="7">
        <v>708.16666666666652</v>
      </c>
      <c r="R93" s="7">
        <f t="shared" si="13"/>
        <v>6</v>
      </c>
      <c r="T93" s="7">
        <f>COUNTIF($C$11:C93,C93)</f>
        <v>30</v>
      </c>
      <c r="U93" s="7" t="str">
        <f t="shared" si="15"/>
        <v>가30</v>
      </c>
      <c r="V93" s="7" t="str">
        <f>INDEX(환산공식!$C$16:$C$301,MATCH('배치점수 계산기'!W93,환산공식!$A$16:$A$301,0))</f>
        <v>연세대 통합</v>
      </c>
      <c r="W93" s="7">
        <f t="shared" si="16"/>
        <v>20</v>
      </c>
      <c r="X93" s="7">
        <f t="shared" si="17"/>
        <v>1</v>
      </c>
      <c r="Y93" s="7">
        <f>IFERROR(INDEX(환산공식!Q$16:Q$200,MATCH($A93,환산공식!$A$16:$A$200,0)),"")</f>
        <v>1.6666666666666665</v>
      </c>
      <c r="Z93" s="7">
        <f>IFERROR(INDEX(환산공식!R$16:R$200,MATCH($A93,환산공식!$A$16:$A$200,0)),"")</f>
        <v>1.6666666666666665</v>
      </c>
      <c r="AA93" s="7">
        <f>IFERROR(INDEX(환산공식!U$16:U$200,MATCH($A93,환산공식!$A$16:$A$200,0)),"")</f>
        <v>0.83333333333333326</v>
      </c>
      <c r="AB93" s="7">
        <f t="shared" si="18"/>
        <v>0.4</v>
      </c>
      <c r="AC93" s="7">
        <f t="shared" si="19"/>
        <v>0.4</v>
      </c>
      <c r="AD93" s="7">
        <f t="shared" si="20"/>
        <v>0.2</v>
      </c>
      <c r="AE93" s="7">
        <f>INDEX(환산공식!$AF$16:$AF$301,MATCH('배치점수 계산기'!W93,환산공식!$A$16:$A$301,0))</f>
        <v>1</v>
      </c>
      <c r="AF93" s="7">
        <f>INDEX(환산공식!$AP$16:$AP$301,MATCH('배치점수 계산기'!W93,환산공식!$A$16:$A$301,0))</f>
        <v>1</v>
      </c>
      <c r="AG93" s="7" t="str">
        <f t="shared" si="21"/>
        <v>표점</v>
      </c>
      <c r="AH93" s="7" t="str">
        <f t="shared" si="22"/>
        <v>표점</v>
      </c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  <c r="CA93" s="210"/>
      <c r="CB93" s="210"/>
      <c r="CC93" s="210"/>
      <c r="EM93" s="120"/>
      <c r="ET93" s="210"/>
      <c r="EU93" s="210"/>
      <c r="EV93" s="210"/>
      <c r="EW93" s="210"/>
      <c r="EX93" s="210"/>
      <c r="EY93" s="210"/>
      <c r="EZ93" s="210"/>
      <c r="FA93" s="210"/>
      <c r="FB93" s="210"/>
      <c r="FC93" s="210"/>
      <c r="FD93" s="210"/>
      <c r="FE93" s="210"/>
      <c r="FF93" s="210"/>
      <c r="FG93" s="210"/>
      <c r="FH93" s="210"/>
      <c r="HR93" s="120"/>
      <c r="HY93" s="210"/>
      <c r="HZ93" s="210"/>
      <c r="IA93" s="210"/>
      <c r="IB93" s="210"/>
      <c r="IC93" s="210"/>
      <c r="ID93" s="210"/>
      <c r="IE93" s="210"/>
      <c r="IF93" s="210"/>
      <c r="IG93" s="210"/>
      <c r="IH93" s="210"/>
      <c r="II93" s="210"/>
      <c r="IJ93" s="210"/>
      <c r="IK93" s="210"/>
      <c r="IL93" s="210"/>
      <c r="IM93" s="210"/>
      <c r="KW93" s="120"/>
      <c r="LD93" s="210"/>
      <c r="LE93" s="210"/>
      <c r="LF93" s="210"/>
      <c r="LG93" s="210"/>
      <c r="LH93" s="210"/>
      <c r="LI93" s="210"/>
      <c r="LJ93" s="210"/>
      <c r="LK93" s="210"/>
      <c r="LL93" s="210"/>
      <c r="LM93" s="210"/>
      <c r="LN93" s="210"/>
      <c r="LO93" s="210"/>
      <c r="LP93" s="210"/>
      <c r="LQ93" s="210"/>
      <c r="LR93" s="210"/>
      <c r="OB93" s="120"/>
      <c r="OI93" s="210"/>
      <c r="OJ93" s="210"/>
      <c r="OK93" s="210"/>
      <c r="OL93" s="210"/>
      <c r="OM93" s="210"/>
      <c r="ON93" s="210"/>
      <c r="OO93" s="210"/>
      <c r="OP93" s="210"/>
      <c r="OQ93" s="210"/>
      <c r="OR93" s="210"/>
      <c r="OS93" s="210"/>
      <c r="OT93" s="210"/>
      <c r="OU93" s="210"/>
      <c r="OV93" s="210"/>
      <c r="OW93" s="210"/>
      <c r="RG93" s="120"/>
    </row>
    <row r="94" spans="1:475" x14ac:dyDescent="0.3">
      <c r="A94" s="7">
        <v>20</v>
      </c>
      <c r="B94" s="7">
        <v>84</v>
      </c>
      <c r="C94" s="7" t="s">
        <v>276</v>
      </c>
      <c r="D94" s="7" t="s">
        <v>277</v>
      </c>
      <c r="E94" s="7" t="s">
        <v>255</v>
      </c>
      <c r="F94" s="7" t="s">
        <v>275</v>
      </c>
      <c r="G94" s="41" t="str">
        <f t="shared" si="14"/>
        <v>X</v>
      </c>
      <c r="H94" s="41">
        <f>INDEX(환산공식!CI$16:CI$301,MATCH('배치점수 계산기'!$W94,환산공식!$A$16:$A$301,0))</f>
        <v>166.7</v>
      </c>
      <c r="I94" s="41" t="str">
        <f>CONCATENATE(ROUND(INDEX(환산공식!CJ$16:CJ$301,MATCH('배치점수 계산기'!$W94,환산공식!$A$16:$A$301,0)),1),"%")</f>
        <v>100%</v>
      </c>
      <c r="J94" s="41">
        <f>INDEX(환산공식!CK$16:CK$301,MATCH('배치점수 계산기'!$W94,환산공식!$A$16:$A$301,0))</f>
        <v>10</v>
      </c>
      <c r="K94" s="7">
        <f>INDEX(환산공식!$EF$16:$EF$301,MATCH('배치점수 계산기'!W94,환산공식!$A$16:$A$301,0))</f>
        <v>0</v>
      </c>
      <c r="L94" s="41" t="str">
        <f t="shared" si="12"/>
        <v>1% 이하</v>
      </c>
      <c r="M94" s="7">
        <v>720.16666666666674</v>
      </c>
      <c r="N94" s="7">
        <v>718.86079739904176</v>
      </c>
      <c r="O94" s="7">
        <v>714.16666666666652</v>
      </c>
      <c r="P94" s="7">
        <v>712.19434353918018</v>
      </c>
      <c r="Q94" s="7">
        <v>710.33333333333326</v>
      </c>
      <c r="R94" s="7">
        <f t="shared" si="13"/>
        <v>6</v>
      </c>
      <c r="T94" s="7">
        <f>COUNTIF($C$11:C94,C94)</f>
        <v>31</v>
      </c>
      <c r="U94" s="7" t="str">
        <f t="shared" si="15"/>
        <v>가31</v>
      </c>
      <c r="V94" s="7" t="str">
        <f>INDEX(환산공식!$C$16:$C$301,MATCH('배치점수 계산기'!W94,환산공식!$A$16:$A$301,0))</f>
        <v>연세대 통합</v>
      </c>
      <c r="W94" s="7">
        <f t="shared" si="16"/>
        <v>20</v>
      </c>
      <c r="X94" s="7">
        <f t="shared" si="17"/>
        <v>1</v>
      </c>
      <c r="Y94" s="7">
        <f>IFERROR(INDEX(환산공식!Q$16:Q$200,MATCH($A94,환산공식!$A$16:$A$200,0)),"")</f>
        <v>1.6666666666666665</v>
      </c>
      <c r="Z94" s="7">
        <f>IFERROR(INDEX(환산공식!R$16:R$200,MATCH($A94,환산공식!$A$16:$A$200,0)),"")</f>
        <v>1.6666666666666665</v>
      </c>
      <c r="AA94" s="7">
        <f>IFERROR(INDEX(환산공식!U$16:U$200,MATCH($A94,환산공식!$A$16:$A$200,0)),"")</f>
        <v>0.83333333333333326</v>
      </c>
      <c r="AB94" s="7">
        <f t="shared" si="18"/>
        <v>0.4</v>
      </c>
      <c r="AC94" s="7">
        <f t="shared" si="19"/>
        <v>0.4</v>
      </c>
      <c r="AD94" s="7">
        <f t="shared" si="20"/>
        <v>0.2</v>
      </c>
      <c r="AE94" s="7">
        <f>INDEX(환산공식!$AF$16:$AF$301,MATCH('배치점수 계산기'!W94,환산공식!$A$16:$A$301,0))</f>
        <v>1</v>
      </c>
      <c r="AF94" s="7">
        <f>INDEX(환산공식!$AP$16:$AP$301,MATCH('배치점수 계산기'!W94,환산공식!$A$16:$A$301,0))</f>
        <v>1</v>
      </c>
      <c r="AG94" s="7" t="str">
        <f t="shared" si="21"/>
        <v>표점</v>
      </c>
      <c r="AH94" s="7" t="str">
        <f t="shared" si="22"/>
        <v>표점</v>
      </c>
      <c r="BO94" s="210"/>
      <c r="BP94" s="210"/>
      <c r="BQ94" s="210"/>
      <c r="BR94" s="210"/>
      <c r="BS94" s="210"/>
      <c r="BT94" s="210"/>
      <c r="BU94" s="210"/>
      <c r="BV94" s="210"/>
      <c r="BW94" s="210"/>
      <c r="BX94" s="210"/>
      <c r="BY94" s="210"/>
      <c r="BZ94" s="210"/>
      <c r="CA94" s="210"/>
      <c r="CB94" s="210"/>
      <c r="CC94" s="210"/>
      <c r="EM94" s="120"/>
      <c r="ET94" s="210"/>
      <c r="EU94" s="210"/>
      <c r="EV94" s="210"/>
      <c r="EW94" s="210"/>
      <c r="EX94" s="210"/>
      <c r="EY94" s="210"/>
      <c r="EZ94" s="210"/>
      <c r="FA94" s="210"/>
      <c r="FB94" s="210"/>
      <c r="FC94" s="210"/>
      <c r="FD94" s="210"/>
      <c r="FE94" s="210"/>
      <c r="FF94" s="210"/>
      <c r="FG94" s="210"/>
      <c r="FH94" s="210"/>
      <c r="HR94" s="120"/>
      <c r="HY94" s="210"/>
      <c r="HZ94" s="210"/>
      <c r="IA94" s="210"/>
      <c r="IB94" s="210"/>
      <c r="IC94" s="210"/>
      <c r="ID94" s="210"/>
      <c r="IE94" s="210"/>
      <c r="IF94" s="210"/>
      <c r="IG94" s="210"/>
      <c r="IH94" s="210"/>
      <c r="II94" s="210"/>
      <c r="IJ94" s="210"/>
      <c r="IK94" s="210"/>
      <c r="IL94" s="210"/>
      <c r="IM94" s="210"/>
      <c r="KW94" s="120"/>
      <c r="LD94" s="210"/>
      <c r="LE94" s="210"/>
      <c r="LF94" s="210"/>
      <c r="LG94" s="210"/>
      <c r="LH94" s="210"/>
      <c r="LI94" s="210"/>
      <c r="LJ94" s="210"/>
      <c r="LK94" s="210"/>
      <c r="LL94" s="210"/>
      <c r="LM94" s="210"/>
      <c r="LN94" s="210"/>
      <c r="LO94" s="210"/>
      <c r="LP94" s="210"/>
      <c r="LQ94" s="210"/>
      <c r="LR94" s="210"/>
      <c r="OB94" s="120"/>
      <c r="OI94" s="210"/>
      <c r="OJ94" s="210"/>
      <c r="OK94" s="210"/>
      <c r="OL94" s="210"/>
      <c r="OM94" s="210"/>
      <c r="ON94" s="210"/>
      <c r="OO94" s="210"/>
      <c r="OP94" s="210"/>
      <c r="OQ94" s="210"/>
      <c r="OR94" s="210"/>
      <c r="OS94" s="210"/>
      <c r="OT94" s="210"/>
      <c r="OU94" s="210"/>
      <c r="OV94" s="210"/>
      <c r="OW94" s="210"/>
      <c r="RG94" s="120"/>
    </row>
    <row r="95" spans="1:475" x14ac:dyDescent="0.3">
      <c r="A95" s="7">
        <v>20</v>
      </c>
      <c r="B95" s="7">
        <v>85</v>
      </c>
      <c r="C95" s="7" t="s">
        <v>276</v>
      </c>
      <c r="D95" s="7" t="s">
        <v>277</v>
      </c>
      <c r="E95" s="7" t="s">
        <v>300</v>
      </c>
      <c r="F95" s="7" t="s">
        <v>275</v>
      </c>
      <c r="G95" s="41" t="str">
        <f t="shared" si="14"/>
        <v>X</v>
      </c>
      <c r="H95" s="41">
        <f>INDEX(환산공식!CI$16:CI$301,MATCH('배치점수 계산기'!$W95,환산공식!$A$16:$A$301,0))</f>
        <v>166.7</v>
      </c>
      <c r="I95" s="41" t="str">
        <f>CONCATENATE(ROUND(INDEX(환산공식!CJ$16:CJ$301,MATCH('배치점수 계산기'!$W95,환산공식!$A$16:$A$301,0)),1),"%")</f>
        <v>100%</v>
      </c>
      <c r="J95" s="41">
        <f>INDEX(환산공식!CK$16:CK$301,MATCH('배치점수 계산기'!$W95,환산공식!$A$16:$A$301,0))</f>
        <v>10</v>
      </c>
      <c r="K95" s="7">
        <f>INDEX(환산공식!$EF$16:$EF$301,MATCH('배치점수 계산기'!W95,환산공식!$A$16:$A$301,0))</f>
        <v>0</v>
      </c>
      <c r="L95" s="41" t="str">
        <f t="shared" si="12"/>
        <v>1% 이하</v>
      </c>
      <c r="M95" s="7">
        <v>716.83333333333326</v>
      </c>
      <c r="N95" s="7">
        <v>714.86093171445782</v>
      </c>
      <c r="O95" s="7">
        <v>712.19434353918018</v>
      </c>
      <c r="P95" s="7">
        <v>711</v>
      </c>
      <c r="Q95" s="7">
        <v>709.69441549418093</v>
      </c>
      <c r="R95" s="7">
        <f t="shared" si="13"/>
        <v>6</v>
      </c>
      <c r="T95" s="7">
        <f>COUNTIF($C$11:C95,C95)</f>
        <v>32</v>
      </c>
      <c r="U95" s="7" t="str">
        <f t="shared" si="15"/>
        <v>가32</v>
      </c>
      <c r="V95" s="7" t="str">
        <f>INDEX(환산공식!$C$16:$C$301,MATCH('배치점수 계산기'!W95,환산공식!$A$16:$A$301,0))</f>
        <v>연세대 통합</v>
      </c>
      <c r="W95" s="7">
        <f t="shared" si="16"/>
        <v>20</v>
      </c>
      <c r="X95" s="7">
        <f t="shared" si="17"/>
        <v>1</v>
      </c>
      <c r="Y95" s="7">
        <f>IFERROR(INDEX(환산공식!Q$16:Q$200,MATCH($A95,환산공식!$A$16:$A$200,0)),"")</f>
        <v>1.6666666666666665</v>
      </c>
      <c r="Z95" s="7">
        <f>IFERROR(INDEX(환산공식!R$16:R$200,MATCH($A95,환산공식!$A$16:$A$200,0)),"")</f>
        <v>1.6666666666666665</v>
      </c>
      <c r="AA95" s="7">
        <f>IFERROR(INDEX(환산공식!U$16:U$200,MATCH($A95,환산공식!$A$16:$A$200,0)),"")</f>
        <v>0.83333333333333326</v>
      </c>
      <c r="AB95" s="7">
        <f t="shared" si="18"/>
        <v>0.4</v>
      </c>
      <c r="AC95" s="7">
        <f t="shared" si="19"/>
        <v>0.4</v>
      </c>
      <c r="AD95" s="7">
        <f t="shared" si="20"/>
        <v>0.2</v>
      </c>
      <c r="AE95" s="7">
        <f>INDEX(환산공식!$AF$16:$AF$301,MATCH('배치점수 계산기'!W95,환산공식!$A$16:$A$301,0))</f>
        <v>1</v>
      </c>
      <c r="AF95" s="7">
        <f>INDEX(환산공식!$AP$16:$AP$301,MATCH('배치점수 계산기'!W95,환산공식!$A$16:$A$301,0))</f>
        <v>1</v>
      </c>
      <c r="AG95" s="7" t="str">
        <f t="shared" si="21"/>
        <v>표점</v>
      </c>
      <c r="AH95" s="7" t="str">
        <f t="shared" si="22"/>
        <v>표점</v>
      </c>
      <c r="BO95" s="210"/>
      <c r="BP95" s="210"/>
      <c r="BQ95" s="210"/>
      <c r="BR95" s="210"/>
      <c r="BS95" s="210"/>
      <c r="BT95" s="210"/>
      <c r="BU95" s="210"/>
      <c r="BV95" s="210"/>
      <c r="BW95" s="210"/>
      <c r="BX95" s="210"/>
      <c r="BY95" s="210"/>
      <c r="BZ95" s="210"/>
      <c r="CA95" s="210"/>
      <c r="CB95" s="210"/>
      <c r="CC95" s="210"/>
      <c r="EM95" s="120"/>
      <c r="ET95" s="210"/>
      <c r="EU95" s="210"/>
      <c r="EV95" s="210"/>
      <c r="EW95" s="210"/>
      <c r="EX95" s="210"/>
      <c r="EY95" s="210"/>
      <c r="EZ95" s="210"/>
      <c r="FA95" s="210"/>
      <c r="FB95" s="210"/>
      <c r="FC95" s="210"/>
      <c r="FD95" s="210"/>
      <c r="FE95" s="210"/>
      <c r="FF95" s="210"/>
      <c r="FG95" s="210"/>
      <c r="FH95" s="210"/>
      <c r="HR95" s="120"/>
      <c r="HY95" s="210"/>
      <c r="HZ95" s="210"/>
      <c r="IA95" s="210"/>
      <c r="IB95" s="210"/>
      <c r="IC95" s="210"/>
      <c r="ID95" s="210"/>
      <c r="IE95" s="210"/>
      <c r="IF95" s="210"/>
      <c r="IG95" s="210"/>
      <c r="IH95" s="210"/>
      <c r="II95" s="210"/>
      <c r="IJ95" s="210"/>
      <c r="IK95" s="210"/>
      <c r="IL95" s="210"/>
      <c r="IM95" s="210"/>
      <c r="KW95" s="120"/>
      <c r="LD95" s="210"/>
      <c r="LE95" s="210"/>
      <c r="LF95" s="210"/>
      <c r="LG95" s="210"/>
      <c r="LH95" s="210"/>
      <c r="LI95" s="210"/>
      <c r="LJ95" s="210"/>
      <c r="LK95" s="210"/>
      <c r="LL95" s="210"/>
      <c r="LM95" s="210"/>
      <c r="LN95" s="210"/>
      <c r="LO95" s="210"/>
      <c r="LP95" s="210"/>
      <c r="LQ95" s="210"/>
      <c r="LR95" s="210"/>
      <c r="OB95" s="120"/>
      <c r="OI95" s="210"/>
      <c r="OJ95" s="210"/>
      <c r="OK95" s="210"/>
      <c r="OL95" s="210"/>
      <c r="OM95" s="210"/>
      <c r="ON95" s="210"/>
      <c r="OO95" s="210"/>
      <c r="OP95" s="210"/>
      <c r="OQ95" s="210"/>
      <c r="OR95" s="210"/>
      <c r="OS95" s="210"/>
      <c r="OT95" s="210"/>
      <c r="OU95" s="210"/>
      <c r="OV95" s="210"/>
      <c r="OW95" s="210"/>
      <c r="RG95" s="120"/>
    </row>
    <row r="96" spans="1:475" x14ac:dyDescent="0.3">
      <c r="A96" s="7">
        <v>20</v>
      </c>
      <c r="B96" s="7">
        <v>86</v>
      </c>
      <c r="C96" s="7" t="s">
        <v>276</v>
      </c>
      <c r="D96" s="7" t="s">
        <v>277</v>
      </c>
      <c r="E96" s="7" t="s">
        <v>301</v>
      </c>
      <c r="F96" s="7" t="s">
        <v>275</v>
      </c>
      <c r="G96" s="41" t="str">
        <f t="shared" si="14"/>
        <v>X</v>
      </c>
      <c r="H96" s="41">
        <f>INDEX(환산공식!CI$16:CI$301,MATCH('배치점수 계산기'!$W96,환산공식!$A$16:$A$301,0))</f>
        <v>166.7</v>
      </c>
      <c r="I96" s="41" t="str">
        <f>CONCATENATE(ROUND(INDEX(환산공식!CJ$16:CJ$301,MATCH('배치점수 계산기'!$W96,환산공식!$A$16:$A$301,0)),1),"%")</f>
        <v>100%</v>
      </c>
      <c r="J96" s="41">
        <f>INDEX(환산공식!CK$16:CK$301,MATCH('배치점수 계산기'!$W96,환산공식!$A$16:$A$301,0))</f>
        <v>10</v>
      </c>
      <c r="K96" s="7">
        <f>INDEX(환산공식!$EF$16:$EF$301,MATCH('배치점수 계산기'!W96,환산공식!$A$16:$A$301,0))</f>
        <v>0</v>
      </c>
      <c r="L96" s="41" t="str">
        <f t="shared" si="12"/>
        <v>1% 이하</v>
      </c>
      <c r="M96" s="7">
        <v>716.83333333333326</v>
      </c>
      <c r="N96" s="7">
        <v>716.52752726960398</v>
      </c>
      <c r="O96" s="7">
        <v>711.63898995148975</v>
      </c>
      <c r="P96" s="7">
        <v>710.33333333333326</v>
      </c>
      <c r="Q96" s="7">
        <v>709.30559179059037</v>
      </c>
      <c r="R96" s="7">
        <f t="shared" si="13"/>
        <v>6</v>
      </c>
      <c r="T96" s="7">
        <f>COUNTIF($C$11:C96,C96)</f>
        <v>33</v>
      </c>
      <c r="U96" s="7" t="str">
        <f t="shared" si="15"/>
        <v>가33</v>
      </c>
      <c r="V96" s="7" t="str">
        <f>INDEX(환산공식!$C$16:$C$301,MATCH('배치점수 계산기'!W96,환산공식!$A$16:$A$301,0))</f>
        <v>연세대 통합</v>
      </c>
      <c r="W96" s="7">
        <f t="shared" si="16"/>
        <v>20</v>
      </c>
      <c r="X96" s="7">
        <f t="shared" si="17"/>
        <v>1</v>
      </c>
      <c r="Y96" s="7">
        <f>IFERROR(INDEX(환산공식!Q$16:Q$200,MATCH($A96,환산공식!$A$16:$A$200,0)),"")</f>
        <v>1.6666666666666665</v>
      </c>
      <c r="Z96" s="7">
        <f>IFERROR(INDEX(환산공식!R$16:R$200,MATCH($A96,환산공식!$A$16:$A$200,0)),"")</f>
        <v>1.6666666666666665</v>
      </c>
      <c r="AA96" s="7">
        <f>IFERROR(INDEX(환산공식!U$16:U$200,MATCH($A96,환산공식!$A$16:$A$200,0)),"")</f>
        <v>0.83333333333333326</v>
      </c>
      <c r="AB96" s="7">
        <f t="shared" si="18"/>
        <v>0.4</v>
      </c>
      <c r="AC96" s="7">
        <f t="shared" si="19"/>
        <v>0.4</v>
      </c>
      <c r="AD96" s="7">
        <f t="shared" si="20"/>
        <v>0.2</v>
      </c>
      <c r="AE96" s="7">
        <f>INDEX(환산공식!$AF$16:$AF$301,MATCH('배치점수 계산기'!W96,환산공식!$A$16:$A$301,0))</f>
        <v>1</v>
      </c>
      <c r="AF96" s="7">
        <f>INDEX(환산공식!$AP$16:$AP$301,MATCH('배치점수 계산기'!W96,환산공식!$A$16:$A$301,0))</f>
        <v>1</v>
      </c>
      <c r="AG96" s="7" t="str">
        <f t="shared" si="21"/>
        <v>표점</v>
      </c>
      <c r="AH96" s="7" t="str">
        <f t="shared" si="22"/>
        <v>표점</v>
      </c>
      <c r="BO96" s="210"/>
      <c r="BP96" s="210"/>
      <c r="BQ96" s="210"/>
      <c r="BR96" s="210"/>
      <c r="BS96" s="210"/>
      <c r="BT96" s="210"/>
      <c r="BU96" s="210"/>
      <c r="BV96" s="210"/>
      <c r="BW96" s="210"/>
      <c r="BX96" s="210"/>
      <c r="BY96" s="210"/>
      <c r="BZ96" s="210"/>
      <c r="CA96" s="210"/>
      <c r="CB96" s="210"/>
      <c r="CC96" s="210"/>
      <c r="EM96" s="120"/>
      <c r="ET96" s="210"/>
      <c r="EU96" s="210"/>
      <c r="EV96" s="210"/>
      <c r="EW96" s="210"/>
      <c r="EX96" s="210"/>
      <c r="EY96" s="210"/>
      <c r="EZ96" s="210"/>
      <c r="FA96" s="210"/>
      <c r="FB96" s="210"/>
      <c r="FC96" s="210"/>
      <c r="FD96" s="210"/>
      <c r="FE96" s="210"/>
      <c r="FF96" s="210"/>
      <c r="FG96" s="210"/>
      <c r="FH96" s="210"/>
      <c r="HR96" s="120"/>
      <c r="HY96" s="210"/>
      <c r="HZ96" s="210"/>
      <c r="IA96" s="210"/>
      <c r="IB96" s="210"/>
      <c r="IC96" s="210"/>
      <c r="ID96" s="210"/>
      <c r="IE96" s="210"/>
      <c r="IF96" s="210"/>
      <c r="IG96" s="210"/>
      <c r="IH96" s="210"/>
      <c r="II96" s="210"/>
      <c r="IJ96" s="210"/>
      <c r="IK96" s="210"/>
      <c r="IL96" s="210"/>
      <c r="IM96" s="210"/>
      <c r="KW96" s="120"/>
      <c r="LD96" s="210"/>
      <c r="LE96" s="210"/>
      <c r="LF96" s="210"/>
      <c r="LG96" s="210"/>
      <c r="LH96" s="210"/>
      <c r="LI96" s="210"/>
      <c r="LJ96" s="210"/>
      <c r="LK96" s="210"/>
      <c r="LL96" s="210"/>
      <c r="LM96" s="210"/>
      <c r="LN96" s="210"/>
      <c r="LO96" s="210"/>
      <c r="LP96" s="210"/>
      <c r="LQ96" s="210"/>
      <c r="LR96" s="210"/>
      <c r="OB96" s="120"/>
      <c r="OI96" s="210"/>
      <c r="OJ96" s="210"/>
      <c r="OK96" s="210"/>
      <c r="OL96" s="210"/>
      <c r="OM96" s="210"/>
      <c r="ON96" s="210"/>
      <c r="OO96" s="210"/>
      <c r="OP96" s="210"/>
      <c r="OQ96" s="210"/>
      <c r="OR96" s="210"/>
      <c r="OS96" s="210"/>
      <c r="OT96" s="210"/>
      <c r="OU96" s="210"/>
      <c r="OV96" s="210"/>
      <c r="OW96" s="210"/>
      <c r="RG96" s="120"/>
    </row>
    <row r="97" spans="1:475" x14ac:dyDescent="0.3">
      <c r="A97" s="7">
        <v>20</v>
      </c>
      <c r="B97" s="7">
        <v>87</v>
      </c>
      <c r="C97" s="7" t="s">
        <v>276</v>
      </c>
      <c r="D97" s="7" t="s">
        <v>277</v>
      </c>
      <c r="E97" s="7" t="s">
        <v>302</v>
      </c>
      <c r="F97" s="7" t="s">
        <v>275</v>
      </c>
      <c r="G97" s="41" t="str">
        <f t="shared" si="14"/>
        <v>X</v>
      </c>
      <c r="H97" s="41">
        <f>INDEX(환산공식!CI$16:CI$301,MATCH('배치점수 계산기'!$W97,환산공식!$A$16:$A$301,0))</f>
        <v>166.7</v>
      </c>
      <c r="I97" s="41" t="str">
        <f>CONCATENATE(ROUND(INDEX(환산공식!CJ$16:CJ$301,MATCH('배치점수 계산기'!$W97,환산공식!$A$16:$A$301,0)),1),"%")</f>
        <v>100%</v>
      </c>
      <c r="J97" s="41">
        <f>INDEX(환산공식!CK$16:CK$301,MATCH('배치점수 계산기'!$W97,환산공식!$A$16:$A$301,0))</f>
        <v>10</v>
      </c>
      <c r="K97" s="7">
        <f>INDEX(환산공식!$EF$16:$EF$301,MATCH('배치점수 계산기'!W97,환산공식!$A$16:$A$301,0))</f>
        <v>0</v>
      </c>
      <c r="L97" s="41" t="str">
        <f t="shared" si="12"/>
        <v>1% 이하</v>
      </c>
      <c r="M97" s="7">
        <v>716.83333333333326</v>
      </c>
      <c r="N97" s="7">
        <v>714.86093171445782</v>
      </c>
      <c r="O97" s="7">
        <v>711.63898995148975</v>
      </c>
      <c r="P97" s="7">
        <v>709.69441549418093</v>
      </c>
      <c r="Q97" s="7">
        <v>708.66666666666674</v>
      </c>
      <c r="R97" s="7">
        <f t="shared" si="13"/>
        <v>6</v>
      </c>
      <c r="T97" s="7">
        <f>COUNTIF($C$11:C97,C97)</f>
        <v>34</v>
      </c>
      <c r="U97" s="7" t="str">
        <f t="shared" si="15"/>
        <v>가34</v>
      </c>
      <c r="V97" s="7" t="str">
        <f>INDEX(환산공식!$C$16:$C$301,MATCH('배치점수 계산기'!W97,환산공식!$A$16:$A$301,0))</f>
        <v>연세대 통합</v>
      </c>
      <c r="W97" s="7">
        <f t="shared" si="16"/>
        <v>20</v>
      </c>
      <c r="X97" s="7">
        <f t="shared" si="17"/>
        <v>1</v>
      </c>
      <c r="Y97" s="7">
        <f>IFERROR(INDEX(환산공식!Q$16:Q$200,MATCH($A97,환산공식!$A$16:$A$200,0)),"")</f>
        <v>1.6666666666666665</v>
      </c>
      <c r="Z97" s="7">
        <f>IFERROR(INDEX(환산공식!R$16:R$200,MATCH($A97,환산공식!$A$16:$A$200,0)),"")</f>
        <v>1.6666666666666665</v>
      </c>
      <c r="AA97" s="7">
        <f>IFERROR(INDEX(환산공식!U$16:U$200,MATCH($A97,환산공식!$A$16:$A$200,0)),"")</f>
        <v>0.83333333333333326</v>
      </c>
      <c r="AB97" s="7">
        <f t="shared" si="18"/>
        <v>0.4</v>
      </c>
      <c r="AC97" s="7">
        <f t="shared" si="19"/>
        <v>0.4</v>
      </c>
      <c r="AD97" s="7">
        <f t="shared" si="20"/>
        <v>0.2</v>
      </c>
      <c r="AE97" s="7">
        <f>INDEX(환산공식!$AF$16:$AF$301,MATCH('배치점수 계산기'!W97,환산공식!$A$16:$A$301,0))</f>
        <v>1</v>
      </c>
      <c r="AF97" s="7">
        <f>INDEX(환산공식!$AP$16:$AP$301,MATCH('배치점수 계산기'!W97,환산공식!$A$16:$A$301,0))</f>
        <v>1</v>
      </c>
      <c r="AG97" s="7" t="str">
        <f t="shared" si="21"/>
        <v>표점</v>
      </c>
      <c r="AH97" s="7" t="str">
        <f t="shared" si="22"/>
        <v>표점</v>
      </c>
      <c r="BO97" s="210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  <c r="CA97" s="210"/>
      <c r="CB97" s="210"/>
      <c r="CC97" s="210"/>
      <c r="EM97" s="120"/>
      <c r="ET97" s="210"/>
      <c r="EU97" s="210"/>
      <c r="EV97" s="210"/>
      <c r="EW97" s="210"/>
      <c r="EX97" s="210"/>
      <c r="EY97" s="210"/>
      <c r="EZ97" s="210"/>
      <c r="FA97" s="210"/>
      <c r="FB97" s="210"/>
      <c r="FC97" s="210"/>
      <c r="FD97" s="210"/>
      <c r="FE97" s="210"/>
      <c r="FF97" s="210"/>
      <c r="FG97" s="210"/>
      <c r="FH97" s="210"/>
      <c r="HR97" s="120"/>
      <c r="HY97" s="210"/>
      <c r="HZ97" s="210"/>
      <c r="IA97" s="210"/>
      <c r="IB97" s="210"/>
      <c r="IC97" s="210"/>
      <c r="ID97" s="210"/>
      <c r="IE97" s="210"/>
      <c r="IF97" s="210"/>
      <c r="IG97" s="210"/>
      <c r="IH97" s="210"/>
      <c r="II97" s="210"/>
      <c r="IJ97" s="210"/>
      <c r="IK97" s="210"/>
      <c r="IL97" s="210"/>
      <c r="IM97" s="210"/>
      <c r="KW97" s="120"/>
      <c r="LD97" s="210"/>
      <c r="LE97" s="210"/>
      <c r="LF97" s="210"/>
      <c r="LG97" s="210"/>
      <c r="LH97" s="210"/>
      <c r="LI97" s="210"/>
      <c r="LJ97" s="210"/>
      <c r="LK97" s="210"/>
      <c r="LL97" s="210"/>
      <c r="LM97" s="210"/>
      <c r="LN97" s="210"/>
      <c r="LO97" s="210"/>
      <c r="LP97" s="210"/>
      <c r="LQ97" s="210"/>
      <c r="LR97" s="210"/>
      <c r="OB97" s="120"/>
      <c r="OI97" s="210"/>
      <c r="OJ97" s="210"/>
      <c r="OK97" s="210"/>
      <c r="OL97" s="210"/>
      <c r="OM97" s="210"/>
      <c r="ON97" s="210"/>
      <c r="OO97" s="210"/>
      <c r="OP97" s="210"/>
      <c r="OQ97" s="210"/>
      <c r="OR97" s="210"/>
      <c r="OS97" s="210"/>
      <c r="OT97" s="210"/>
      <c r="OU97" s="210"/>
      <c r="OV97" s="210"/>
      <c r="OW97" s="210"/>
      <c r="RG97" s="120"/>
    </row>
    <row r="98" spans="1:475" x14ac:dyDescent="0.3">
      <c r="A98" s="7">
        <v>20</v>
      </c>
      <c r="B98" s="7">
        <v>88</v>
      </c>
      <c r="C98" s="7" t="s">
        <v>276</v>
      </c>
      <c r="D98" s="7" t="s">
        <v>277</v>
      </c>
      <c r="E98" s="7" t="s">
        <v>273</v>
      </c>
      <c r="F98" s="7" t="s">
        <v>275</v>
      </c>
      <c r="G98" s="41" t="str">
        <f t="shared" si="14"/>
        <v>X</v>
      </c>
      <c r="H98" s="41">
        <f>INDEX(환산공식!CI$16:CI$301,MATCH('배치점수 계산기'!$W98,환산공식!$A$16:$A$301,0))</f>
        <v>166.7</v>
      </c>
      <c r="I98" s="41" t="str">
        <f>CONCATENATE(ROUND(INDEX(환산공식!CJ$16:CJ$301,MATCH('배치점수 계산기'!$W98,환산공식!$A$16:$A$301,0)),1),"%")</f>
        <v>100%</v>
      </c>
      <c r="J98" s="41">
        <f>INDEX(환산공식!CK$16:CK$301,MATCH('배치점수 계산기'!$W98,환산공식!$A$16:$A$301,0))</f>
        <v>10</v>
      </c>
      <c r="K98" s="7">
        <f>INDEX(환산공식!$EF$16:$EF$301,MATCH('배치점수 계산기'!W98,환산공식!$A$16:$A$301,0))</f>
        <v>0</v>
      </c>
      <c r="L98" s="41" t="str">
        <f t="shared" si="12"/>
        <v>1% 이하</v>
      </c>
      <c r="M98" s="7">
        <v>716.83333333333326</v>
      </c>
      <c r="N98" s="7">
        <v>715.66666666666652</v>
      </c>
      <c r="O98" s="7">
        <v>712.19434353918018</v>
      </c>
      <c r="P98" s="7">
        <v>710.33333333333326</v>
      </c>
      <c r="Q98" s="7">
        <v>709.30559179059037</v>
      </c>
      <c r="R98" s="7">
        <f t="shared" si="13"/>
        <v>6</v>
      </c>
      <c r="T98" s="7">
        <f>COUNTIF($C$11:C98,C98)</f>
        <v>35</v>
      </c>
      <c r="U98" s="7" t="str">
        <f t="shared" si="15"/>
        <v>가35</v>
      </c>
      <c r="V98" s="7" t="str">
        <f>INDEX(환산공식!$C$16:$C$301,MATCH('배치점수 계산기'!W98,환산공식!$A$16:$A$301,0))</f>
        <v>연세대 통합</v>
      </c>
      <c r="W98" s="7">
        <f t="shared" si="16"/>
        <v>20</v>
      </c>
      <c r="X98" s="7">
        <f t="shared" si="17"/>
        <v>1</v>
      </c>
      <c r="Y98" s="7">
        <f>IFERROR(INDEX(환산공식!Q$16:Q$200,MATCH($A98,환산공식!$A$16:$A$200,0)),"")</f>
        <v>1.6666666666666665</v>
      </c>
      <c r="Z98" s="7">
        <f>IFERROR(INDEX(환산공식!R$16:R$200,MATCH($A98,환산공식!$A$16:$A$200,0)),"")</f>
        <v>1.6666666666666665</v>
      </c>
      <c r="AA98" s="7">
        <f>IFERROR(INDEX(환산공식!U$16:U$200,MATCH($A98,환산공식!$A$16:$A$200,0)),"")</f>
        <v>0.83333333333333326</v>
      </c>
      <c r="AB98" s="7">
        <f t="shared" si="18"/>
        <v>0.4</v>
      </c>
      <c r="AC98" s="7">
        <f t="shared" si="19"/>
        <v>0.4</v>
      </c>
      <c r="AD98" s="7">
        <f t="shared" si="20"/>
        <v>0.2</v>
      </c>
      <c r="AE98" s="7">
        <f>INDEX(환산공식!$AF$16:$AF$301,MATCH('배치점수 계산기'!W98,환산공식!$A$16:$A$301,0))</f>
        <v>1</v>
      </c>
      <c r="AF98" s="7">
        <f>INDEX(환산공식!$AP$16:$AP$301,MATCH('배치점수 계산기'!W98,환산공식!$A$16:$A$301,0))</f>
        <v>1</v>
      </c>
      <c r="AG98" s="7" t="str">
        <f t="shared" si="21"/>
        <v>표점</v>
      </c>
      <c r="AH98" s="7" t="str">
        <f t="shared" si="22"/>
        <v>표점</v>
      </c>
      <c r="BO98" s="210"/>
      <c r="BP98" s="210"/>
      <c r="BQ98" s="210"/>
      <c r="BR98" s="210"/>
      <c r="BS98" s="210"/>
      <c r="BT98" s="210"/>
      <c r="BU98" s="210"/>
      <c r="BV98" s="210"/>
      <c r="BW98" s="210"/>
      <c r="BX98" s="210"/>
      <c r="BY98" s="210"/>
      <c r="BZ98" s="210"/>
      <c r="CA98" s="210"/>
      <c r="CB98" s="210"/>
      <c r="CC98" s="210"/>
      <c r="EM98" s="120"/>
      <c r="ET98" s="210"/>
      <c r="EU98" s="210"/>
      <c r="EV98" s="210"/>
      <c r="EW98" s="210"/>
      <c r="EX98" s="210"/>
      <c r="EY98" s="210"/>
      <c r="EZ98" s="210"/>
      <c r="FA98" s="210"/>
      <c r="FB98" s="210"/>
      <c r="FC98" s="210"/>
      <c r="FD98" s="210"/>
      <c r="FE98" s="210"/>
      <c r="FF98" s="210"/>
      <c r="FG98" s="210"/>
      <c r="FH98" s="210"/>
      <c r="HR98" s="120"/>
      <c r="HY98" s="210"/>
      <c r="HZ98" s="210"/>
      <c r="IA98" s="210"/>
      <c r="IB98" s="210"/>
      <c r="IC98" s="210"/>
      <c r="ID98" s="210"/>
      <c r="IE98" s="210"/>
      <c r="IF98" s="210"/>
      <c r="IG98" s="210"/>
      <c r="IH98" s="210"/>
      <c r="II98" s="210"/>
      <c r="IJ98" s="210"/>
      <c r="IK98" s="210"/>
      <c r="IL98" s="210"/>
      <c r="IM98" s="210"/>
      <c r="KW98" s="120"/>
      <c r="LD98" s="210"/>
      <c r="LE98" s="210"/>
      <c r="LF98" s="210"/>
      <c r="LG98" s="210"/>
      <c r="LH98" s="210"/>
      <c r="LI98" s="210"/>
      <c r="LJ98" s="210"/>
      <c r="LK98" s="210"/>
      <c r="LL98" s="210"/>
      <c r="LM98" s="210"/>
      <c r="LN98" s="210"/>
      <c r="LO98" s="210"/>
      <c r="LP98" s="210"/>
      <c r="LQ98" s="210"/>
      <c r="LR98" s="210"/>
      <c r="OB98" s="120"/>
      <c r="OI98" s="210"/>
      <c r="OJ98" s="210"/>
      <c r="OK98" s="210"/>
      <c r="OL98" s="210"/>
      <c r="OM98" s="210"/>
      <c r="ON98" s="210"/>
      <c r="OO98" s="210"/>
      <c r="OP98" s="210"/>
      <c r="OQ98" s="210"/>
      <c r="OR98" s="210"/>
      <c r="OS98" s="210"/>
      <c r="OT98" s="210"/>
      <c r="OU98" s="210"/>
      <c r="OV98" s="210"/>
      <c r="OW98" s="210"/>
      <c r="RG98" s="120"/>
    </row>
    <row r="99" spans="1:475" x14ac:dyDescent="0.3">
      <c r="A99" s="7">
        <v>20</v>
      </c>
      <c r="B99" s="7">
        <v>89</v>
      </c>
      <c r="C99" s="7" t="s">
        <v>276</v>
      </c>
      <c r="D99" s="7" t="s">
        <v>277</v>
      </c>
      <c r="E99" s="7" t="s">
        <v>264</v>
      </c>
      <c r="F99" s="7" t="s">
        <v>275</v>
      </c>
      <c r="G99" s="41" t="str">
        <f t="shared" si="14"/>
        <v>X</v>
      </c>
      <c r="H99" s="41">
        <f>INDEX(환산공식!CI$16:CI$301,MATCH('배치점수 계산기'!$W99,환산공식!$A$16:$A$301,0))</f>
        <v>166.7</v>
      </c>
      <c r="I99" s="41" t="str">
        <f>CONCATENATE(ROUND(INDEX(환산공식!CJ$16:CJ$301,MATCH('배치점수 계산기'!$W99,환산공식!$A$16:$A$301,0)),1),"%")</f>
        <v>100%</v>
      </c>
      <c r="J99" s="41">
        <f>INDEX(환산공식!CK$16:CK$301,MATCH('배치점수 계산기'!$W99,환산공식!$A$16:$A$301,0))</f>
        <v>10</v>
      </c>
      <c r="K99" s="7">
        <f>INDEX(환산공식!$EF$16:$EF$301,MATCH('배치점수 계산기'!W99,환산공식!$A$16:$A$301,0))</f>
        <v>0</v>
      </c>
      <c r="L99" s="41" t="str">
        <f t="shared" si="12"/>
        <v>1% 이하</v>
      </c>
      <c r="M99" s="7">
        <v>718.86079739904176</v>
      </c>
      <c r="N99" s="7">
        <v>716.52752726960398</v>
      </c>
      <c r="O99" s="7">
        <v>712.19434353918018</v>
      </c>
      <c r="P99" s="7">
        <v>711</v>
      </c>
      <c r="Q99" s="7">
        <v>710.16666666666674</v>
      </c>
      <c r="R99" s="7">
        <f t="shared" si="13"/>
        <v>6</v>
      </c>
      <c r="T99" s="7">
        <f>COUNTIF($C$11:C99,C99)</f>
        <v>36</v>
      </c>
      <c r="U99" s="7" t="str">
        <f t="shared" si="15"/>
        <v>가36</v>
      </c>
      <c r="V99" s="7" t="str">
        <f>INDEX(환산공식!$C$16:$C$301,MATCH('배치점수 계산기'!W99,환산공식!$A$16:$A$301,0))</f>
        <v>연세대 통합</v>
      </c>
      <c r="W99" s="7">
        <f t="shared" si="16"/>
        <v>20</v>
      </c>
      <c r="X99" s="7">
        <f t="shared" si="17"/>
        <v>1</v>
      </c>
      <c r="Y99" s="7">
        <f>IFERROR(INDEX(환산공식!Q$16:Q$200,MATCH($A99,환산공식!$A$16:$A$200,0)),"")</f>
        <v>1.6666666666666665</v>
      </c>
      <c r="Z99" s="7">
        <f>IFERROR(INDEX(환산공식!R$16:R$200,MATCH($A99,환산공식!$A$16:$A$200,0)),"")</f>
        <v>1.6666666666666665</v>
      </c>
      <c r="AA99" s="7">
        <f>IFERROR(INDEX(환산공식!U$16:U$200,MATCH($A99,환산공식!$A$16:$A$200,0)),"")</f>
        <v>0.83333333333333326</v>
      </c>
      <c r="AB99" s="7">
        <f t="shared" si="18"/>
        <v>0.4</v>
      </c>
      <c r="AC99" s="7">
        <f t="shared" si="19"/>
        <v>0.4</v>
      </c>
      <c r="AD99" s="7">
        <f t="shared" si="20"/>
        <v>0.2</v>
      </c>
      <c r="AE99" s="7">
        <f>INDEX(환산공식!$AF$16:$AF$301,MATCH('배치점수 계산기'!W99,환산공식!$A$16:$A$301,0))</f>
        <v>1</v>
      </c>
      <c r="AF99" s="7">
        <f>INDEX(환산공식!$AP$16:$AP$301,MATCH('배치점수 계산기'!W99,환산공식!$A$16:$A$301,0))</f>
        <v>1</v>
      </c>
      <c r="AG99" s="7" t="str">
        <f t="shared" si="21"/>
        <v>표점</v>
      </c>
      <c r="AH99" s="7" t="str">
        <f t="shared" si="22"/>
        <v>표점</v>
      </c>
      <c r="BO99" s="210"/>
      <c r="BP99" s="210"/>
      <c r="BQ99" s="210"/>
      <c r="BR99" s="210"/>
      <c r="BS99" s="210"/>
      <c r="BT99" s="210"/>
      <c r="BU99" s="210"/>
      <c r="BV99" s="210"/>
      <c r="BW99" s="210"/>
      <c r="BX99" s="210"/>
      <c r="BY99" s="210"/>
      <c r="BZ99" s="210"/>
      <c r="CA99" s="210"/>
      <c r="CB99" s="210"/>
      <c r="CC99" s="210"/>
      <c r="EM99" s="12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210"/>
      <c r="FG99" s="210"/>
      <c r="FH99" s="210"/>
      <c r="HR99" s="120"/>
      <c r="HY99" s="210"/>
      <c r="HZ99" s="210"/>
      <c r="IA99" s="210"/>
      <c r="IB99" s="210"/>
      <c r="IC99" s="210"/>
      <c r="ID99" s="210"/>
      <c r="IE99" s="210"/>
      <c r="IF99" s="210"/>
      <c r="IG99" s="210"/>
      <c r="IH99" s="210"/>
      <c r="II99" s="210"/>
      <c r="IJ99" s="210"/>
      <c r="IK99" s="210"/>
      <c r="IL99" s="210"/>
      <c r="IM99" s="210"/>
      <c r="KW99" s="120"/>
      <c r="LD99" s="210"/>
      <c r="LE99" s="210"/>
      <c r="LF99" s="210"/>
      <c r="LG99" s="210"/>
      <c r="LH99" s="210"/>
      <c r="LI99" s="210"/>
      <c r="LJ99" s="210"/>
      <c r="LK99" s="210"/>
      <c r="LL99" s="210"/>
      <c r="LM99" s="210"/>
      <c r="LN99" s="210"/>
      <c r="LO99" s="210"/>
      <c r="LP99" s="210"/>
      <c r="LQ99" s="210"/>
      <c r="LR99" s="210"/>
      <c r="OB99" s="120"/>
      <c r="OI99" s="210"/>
      <c r="OJ99" s="210"/>
      <c r="OK99" s="210"/>
      <c r="OL99" s="210"/>
      <c r="OM99" s="210"/>
      <c r="ON99" s="210"/>
      <c r="OO99" s="210"/>
      <c r="OP99" s="210"/>
      <c r="OQ99" s="210"/>
      <c r="OR99" s="210"/>
      <c r="OS99" s="210"/>
      <c r="OT99" s="210"/>
      <c r="OU99" s="210"/>
      <c r="OV99" s="210"/>
      <c r="OW99" s="210"/>
      <c r="RG99" s="120"/>
    </row>
    <row r="100" spans="1:475" x14ac:dyDescent="0.3">
      <c r="A100" s="7">
        <v>20</v>
      </c>
      <c r="B100" s="7">
        <v>90</v>
      </c>
      <c r="C100" s="7" t="s">
        <v>276</v>
      </c>
      <c r="D100" s="7" t="s">
        <v>277</v>
      </c>
      <c r="E100" s="7" t="s">
        <v>267</v>
      </c>
      <c r="F100" s="7" t="s">
        <v>275</v>
      </c>
      <c r="G100" s="41" t="str">
        <f t="shared" si="14"/>
        <v>X</v>
      </c>
      <c r="H100" s="41">
        <f>INDEX(환산공식!CI$16:CI$301,MATCH('배치점수 계산기'!$W100,환산공식!$A$16:$A$301,0))</f>
        <v>166.7</v>
      </c>
      <c r="I100" s="41" t="str">
        <f>CONCATENATE(ROUND(INDEX(환산공식!CJ$16:CJ$301,MATCH('배치점수 계산기'!$W100,환산공식!$A$16:$A$301,0)),1),"%")</f>
        <v>100%</v>
      </c>
      <c r="J100" s="41">
        <f>INDEX(환산공식!CK$16:CK$301,MATCH('배치점수 계산기'!$W100,환산공식!$A$16:$A$301,0))</f>
        <v>10</v>
      </c>
      <c r="K100" s="7">
        <f>INDEX(환산공식!$EF$16:$EF$301,MATCH('배치점수 계산기'!W100,환산공식!$A$16:$A$301,0))</f>
        <v>0</v>
      </c>
      <c r="L100" s="41" t="str">
        <f t="shared" si="12"/>
        <v>1% 이하</v>
      </c>
      <c r="M100" s="7">
        <v>720.16666666666674</v>
      </c>
      <c r="N100" s="7">
        <v>716.83333333333326</v>
      </c>
      <c r="O100" s="7">
        <v>713.33333333333326</v>
      </c>
      <c r="P100" s="7">
        <v>711</v>
      </c>
      <c r="Q100" s="7">
        <v>710.16666666666674</v>
      </c>
      <c r="R100" s="7">
        <f t="shared" si="13"/>
        <v>6</v>
      </c>
      <c r="T100" s="7">
        <f>COUNTIF($C$11:C100,C100)</f>
        <v>37</v>
      </c>
      <c r="U100" s="7" t="str">
        <f t="shared" si="15"/>
        <v>가37</v>
      </c>
      <c r="V100" s="7" t="str">
        <f>INDEX(환산공식!$C$16:$C$301,MATCH('배치점수 계산기'!W100,환산공식!$A$16:$A$301,0))</f>
        <v>연세대 통합</v>
      </c>
      <c r="W100" s="7">
        <f t="shared" si="16"/>
        <v>20</v>
      </c>
      <c r="X100" s="7">
        <f t="shared" si="17"/>
        <v>1</v>
      </c>
      <c r="Y100" s="7">
        <f>IFERROR(INDEX(환산공식!Q$16:Q$200,MATCH($A100,환산공식!$A$16:$A$200,0)),"")</f>
        <v>1.6666666666666665</v>
      </c>
      <c r="Z100" s="7">
        <f>IFERROR(INDEX(환산공식!R$16:R$200,MATCH($A100,환산공식!$A$16:$A$200,0)),"")</f>
        <v>1.6666666666666665</v>
      </c>
      <c r="AA100" s="7">
        <f>IFERROR(INDEX(환산공식!U$16:U$200,MATCH($A100,환산공식!$A$16:$A$200,0)),"")</f>
        <v>0.83333333333333326</v>
      </c>
      <c r="AB100" s="7">
        <f t="shared" si="18"/>
        <v>0.4</v>
      </c>
      <c r="AC100" s="7">
        <f t="shared" si="19"/>
        <v>0.4</v>
      </c>
      <c r="AD100" s="7">
        <f t="shared" si="20"/>
        <v>0.2</v>
      </c>
      <c r="AE100" s="7">
        <f>INDEX(환산공식!$AF$16:$AF$301,MATCH('배치점수 계산기'!W100,환산공식!$A$16:$A$301,0))</f>
        <v>1</v>
      </c>
      <c r="AF100" s="7">
        <f>INDEX(환산공식!$AP$16:$AP$301,MATCH('배치점수 계산기'!W100,환산공식!$A$16:$A$301,0))</f>
        <v>1</v>
      </c>
      <c r="AG100" s="7" t="str">
        <f t="shared" si="21"/>
        <v>표점</v>
      </c>
      <c r="AH100" s="7" t="str">
        <f t="shared" si="22"/>
        <v>표점</v>
      </c>
      <c r="BO100" s="210"/>
      <c r="BP100" s="210"/>
      <c r="BQ100" s="210"/>
      <c r="BR100" s="210"/>
      <c r="BS100" s="210"/>
      <c r="BT100" s="210"/>
      <c r="BU100" s="210"/>
      <c r="BV100" s="210"/>
      <c r="BW100" s="210"/>
      <c r="BX100" s="210"/>
      <c r="BY100" s="210"/>
      <c r="BZ100" s="210"/>
      <c r="CA100" s="210"/>
      <c r="CB100" s="210"/>
      <c r="CC100" s="210"/>
      <c r="EM100" s="120"/>
      <c r="ET100" s="210"/>
      <c r="EU100" s="210"/>
      <c r="EV100" s="210"/>
      <c r="EW100" s="210"/>
      <c r="EX100" s="210"/>
      <c r="EY100" s="210"/>
      <c r="EZ100" s="210"/>
      <c r="FA100" s="210"/>
      <c r="FB100" s="210"/>
      <c r="FC100" s="210"/>
      <c r="FD100" s="210"/>
      <c r="FE100" s="210"/>
      <c r="FF100" s="210"/>
      <c r="FG100" s="210"/>
      <c r="FH100" s="210"/>
      <c r="HR100" s="120"/>
      <c r="HY100" s="210"/>
      <c r="HZ100" s="210"/>
      <c r="IA100" s="210"/>
      <c r="IB100" s="210"/>
      <c r="IC100" s="210"/>
      <c r="ID100" s="210"/>
      <c r="IE100" s="210"/>
      <c r="IF100" s="210"/>
      <c r="IG100" s="210"/>
      <c r="IH100" s="210"/>
      <c r="II100" s="210"/>
      <c r="IJ100" s="210"/>
      <c r="IK100" s="210"/>
      <c r="IL100" s="210"/>
      <c r="IM100" s="210"/>
      <c r="KW100" s="120"/>
      <c r="LD100" s="210"/>
      <c r="LE100" s="210"/>
      <c r="LF100" s="210"/>
      <c r="LG100" s="210"/>
      <c r="LH100" s="210"/>
      <c r="LI100" s="210"/>
      <c r="LJ100" s="210"/>
      <c r="LK100" s="210"/>
      <c r="LL100" s="210"/>
      <c r="LM100" s="210"/>
      <c r="LN100" s="210"/>
      <c r="LO100" s="210"/>
      <c r="LP100" s="210"/>
      <c r="LQ100" s="210"/>
      <c r="LR100" s="210"/>
      <c r="OB100" s="120"/>
      <c r="OI100" s="210"/>
      <c r="OJ100" s="210"/>
      <c r="OK100" s="210"/>
      <c r="OL100" s="210"/>
      <c r="OM100" s="210"/>
      <c r="ON100" s="210"/>
      <c r="OO100" s="210"/>
      <c r="OP100" s="210"/>
      <c r="OQ100" s="210"/>
      <c r="OR100" s="210"/>
      <c r="OS100" s="210"/>
      <c r="OT100" s="210"/>
      <c r="OU100" s="210"/>
      <c r="OV100" s="210"/>
      <c r="OW100" s="210"/>
      <c r="RG100" s="120"/>
    </row>
    <row r="101" spans="1:475" x14ac:dyDescent="0.3">
      <c r="A101" s="7">
        <v>20</v>
      </c>
      <c r="B101" s="7">
        <v>91</v>
      </c>
      <c r="C101" s="7" t="s">
        <v>276</v>
      </c>
      <c r="D101" s="7" t="s">
        <v>277</v>
      </c>
      <c r="E101" s="7" t="s">
        <v>303</v>
      </c>
      <c r="F101" s="7" t="s">
        <v>275</v>
      </c>
      <c r="G101" s="41" t="str">
        <f t="shared" si="14"/>
        <v>X</v>
      </c>
      <c r="H101" s="41">
        <f>INDEX(환산공식!CI$16:CI$301,MATCH('배치점수 계산기'!$W101,환산공식!$A$16:$A$301,0))</f>
        <v>166.7</v>
      </c>
      <c r="I101" s="41" t="str">
        <f>CONCATENATE(ROUND(INDEX(환산공식!CJ$16:CJ$301,MATCH('배치점수 계산기'!$W101,환산공식!$A$16:$A$301,0)),1),"%")</f>
        <v>100%</v>
      </c>
      <c r="J101" s="41">
        <f>INDEX(환산공식!CK$16:CK$301,MATCH('배치점수 계산기'!$W101,환산공식!$A$16:$A$301,0))</f>
        <v>10</v>
      </c>
      <c r="K101" s="7">
        <f>INDEX(환산공식!$EF$16:$EF$301,MATCH('배치점수 계산기'!W101,환산공식!$A$16:$A$301,0))</f>
        <v>0</v>
      </c>
      <c r="L101" s="41" t="str">
        <f t="shared" si="12"/>
        <v>1% 이하</v>
      </c>
      <c r="M101" s="7">
        <v>716.83333333333326</v>
      </c>
      <c r="N101" s="7">
        <v>714.86093171445782</v>
      </c>
      <c r="O101" s="7">
        <v>711.63898995148975</v>
      </c>
      <c r="P101" s="7">
        <v>709.69441549418093</v>
      </c>
      <c r="Q101" s="7">
        <v>708.16666666666652</v>
      </c>
      <c r="R101" s="7">
        <f t="shared" si="13"/>
        <v>6</v>
      </c>
      <c r="T101" s="7">
        <f>COUNTIF($C$11:C101,C101)</f>
        <v>38</v>
      </c>
      <c r="U101" s="7" t="str">
        <f t="shared" si="15"/>
        <v>가38</v>
      </c>
      <c r="V101" s="7" t="str">
        <f>INDEX(환산공식!$C$16:$C$301,MATCH('배치점수 계산기'!W101,환산공식!$A$16:$A$301,0))</f>
        <v>연세대 통합</v>
      </c>
      <c r="W101" s="7">
        <f t="shared" si="16"/>
        <v>20</v>
      </c>
      <c r="X101" s="7">
        <f t="shared" si="17"/>
        <v>1</v>
      </c>
      <c r="Y101" s="7">
        <f>IFERROR(INDEX(환산공식!Q$16:Q$200,MATCH($A101,환산공식!$A$16:$A$200,0)),"")</f>
        <v>1.6666666666666665</v>
      </c>
      <c r="Z101" s="7">
        <f>IFERROR(INDEX(환산공식!R$16:R$200,MATCH($A101,환산공식!$A$16:$A$200,0)),"")</f>
        <v>1.6666666666666665</v>
      </c>
      <c r="AA101" s="7">
        <f>IFERROR(INDEX(환산공식!U$16:U$200,MATCH($A101,환산공식!$A$16:$A$200,0)),"")</f>
        <v>0.83333333333333326</v>
      </c>
      <c r="AB101" s="7">
        <f t="shared" si="18"/>
        <v>0.4</v>
      </c>
      <c r="AC101" s="7">
        <f t="shared" si="19"/>
        <v>0.4</v>
      </c>
      <c r="AD101" s="7">
        <f t="shared" si="20"/>
        <v>0.2</v>
      </c>
      <c r="AE101" s="7">
        <f>INDEX(환산공식!$AF$16:$AF$301,MATCH('배치점수 계산기'!W101,환산공식!$A$16:$A$301,0))</f>
        <v>1</v>
      </c>
      <c r="AF101" s="7">
        <f>INDEX(환산공식!$AP$16:$AP$301,MATCH('배치점수 계산기'!W101,환산공식!$A$16:$A$301,0))</f>
        <v>1</v>
      </c>
      <c r="AG101" s="7" t="str">
        <f t="shared" si="21"/>
        <v>표점</v>
      </c>
      <c r="AH101" s="7" t="str">
        <f t="shared" si="22"/>
        <v>표점</v>
      </c>
      <c r="BO101" s="210"/>
      <c r="BP101" s="210"/>
      <c r="BQ101" s="210"/>
      <c r="BR101" s="210"/>
      <c r="BS101" s="210"/>
      <c r="BT101" s="210"/>
      <c r="BU101" s="210"/>
      <c r="BV101" s="210"/>
      <c r="BW101" s="210"/>
      <c r="BX101" s="210"/>
      <c r="BY101" s="210"/>
      <c r="BZ101" s="210"/>
      <c r="CA101" s="210"/>
      <c r="CB101" s="210"/>
      <c r="CC101" s="210"/>
      <c r="EM101" s="120"/>
      <c r="ET101" s="210"/>
      <c r="EU101" s="210"/>
      <c r="EV101" s="210"/>
      <c r="EW101" s="210"/>
      <c r="EX101" s="210"/>
      <c r="EY101" s="210"/>
      <c r="EZ101" s="210"/>
      <c r="FA101" s="210"/>
      <c r="FB101" s="210"/>
      <c r="FC101" s="210"/>
      <c r="FD101" s="210"/>
      <c r="FE101" s="210"/>
      <c r="FF101" s="210"/>
      <c r="FG101" s="210"/>
      <c r="FH101" s="210"/>
      <c r="HR101" s="120"/>
      <c r="HY101" s="210"/>
      <c r="HZ101" s="210"/>
      <c r="IA101" s="210"/>
      <c r="IB101" s="210"/>
      <c r="IC101" s="210"/>
      <c r="ID101" s="210"/>
      <c r="IE101" s="210"/>
      <c r="IF101" s="210"/>
      <c r="IG101" s="210"/>
      <c r="IH101" s="210"/>
      <c r="II101" s="210"/>
      <c r="IJ101" s="210"/>
      <c r="IK101" s="210"/>
      <c r="IL101" s="210"/>
      <c r="IM101" s="210"/>
      <c r="KW101" s="120"/>
      <c r="LD101" s="210"/>
      <c r="LE101" s="210"/>
      <c r="LF101" s="210"/>
      <c r="LG101" s="210"/>
      <c r="LH101" s="210"/>
      <c r="LI101" s="210"/>
      <c r="LJ101" s="210"/>
      <c r="LK101" s="210"/>
      <c r="LL101" s="210"/>
      <c r="LM101" s="210"/>
      <c r="LN101" s="210"/>
      <c r="LO101" s="210"/>
      <c r="LP101" s="210"/>
      <c r="LQ101" s="210"/>
      <c r="LR101" s="210"/>
      <c r="OB101" s="120"/>
      <c r="OI101" s="210"/>
      <c r="OJ101" s="210"/>
      <c r="OK101" s="210"/>
      <c r="OL101" s="210"/>
      <c r="OM101" s="210"/>
      <c r="ON101" s="210"/>
      <c r="OO101" s="210"/>
      <c r="OP101" s="210"/>
      <c r="OQ101" s="210"/>
      <c r="OR101" s="210"/>
      <c r="OS101" s="210"/>
      <c r="OT101" s="210"/>
      <c r="OU101" s="210"/>
      <c r="OV101" s="210"/>
      <c r="OW101" s="210"/>
      <c r="RG101" s="120"/>
    </row>
    <row r="102" spans="1:475" x14ac:dyDescent="0.3">
      <c r="A102" s="7">
        <v>20</v>
      </c>
      <c r="B102" s="7">
        <v>92</v>
      </c>
      <c r="C102" s="7" t="s">
        <v>276</v>
      </c>
      <c r="D102" s="7" t="s">
        <v>277</v>
      </c>
      <c r="E102" s="7" t="s">
        <v>305</v>
      </c>
      <c r="F102" s="7" t="s">
        <v>275</v>
      </c>
      <c r="G102" s="41" t="str">
        <f t="shared" si="14"/>
        <v>X</v>
      </c>
      <c r="H102" s="41">
        <f>INDEX(환산공식!CI$16:CI$301,MATCH('배치점수 계산기'!$W102,환산공식!$A$16:$A$301,0))</f>
        <v>166.7</v>
      </c>
      <c r="I102" s="41" t="str">
        <f>CONCATENATE(ROUND(INDEX(환산공식!CJ$16:CJ$301,MATCH('배치점수 계산기'!$W102,환산공식!$A$16:$A$301,0)),1),"%")</f>
        <v>100%</v>
      </c>
      <c r="J102" s="41">
        <f>INDEX(환산공식!CK$16:CK$301,MATCH('배치점수 계산기'!$W102,환산공식!$A$16:$A$301,0))</f>
        <v>10</v>
      </c>
      <c r="K102" s="7">
        <f>INDEX(환산공식!$EF$16:$EF$301,MATCH('배치점수 계산기'!W102,환산공식!$A$16:$A$301,0))</f>
        <v>0</v>
      </c>
      <c r="L102" s="41" t="str">
        <f t="shared" si="12"/>
        <v>1% 이하</v>
      </c>
      <c r="M102" s="7">
        <v>714.86093171445782</v>
      </c>
      <c r="N102" s="7">
        <v>713.66666666666652</v>
      </c>
      <c r="O102" s="7">
        <v>711.63898995148975</v>
      </c>
      <c r="P102" s="7">
        <v>710.33333333333326</v>
      </c>
      <c r="Q102" s="7">
        <v>709.30559179059037</v>
      </c>
      <c r="R102" s="7">
        <f t="shared" si="13"/>
        <v>6</v>
      </c>
      <c r="T102" s="7">
        <f>COUNTIF($C$11:C102,C102)</f>
        <v>39</v>
      </c>
      <c r="U102" s="7" t="str">
        <f t="shared" si="15"/>
        <v>가39</v>
      </c>
      <c r="V102" s="7" t="str">
        <f>INDEX(환산공식!$C$16:$C$301,MATCH('배치점수 계산기'!W102,환산공식!$A$16:$A$301,0))</f>
        <v>연세대 통합</v>
      </c>
      <c r="W102" s="7">
        <f t="shared" si="16"/>
        <v>20</v>
      </c>
      <c r="X102" s="7">
        <f t="shared" si="17"/>
        <v>1</v>
      </c>
      <c r="Y102" s="7">
        <f>IFERROR(INDEX(환산공식!Q$16:Q$200,MATCH($A102,환산공식!$A$16:$A$200,0)),"")</f>
        <v>1.6666666666666665</v>
      </c>
      <c r="Z102" s="7">
        <f>IFERROR(INDEX(환산공식!R$16:R$200,MATCH($A102,환산공식!$A$16:$A$200,0)),"")</f>
        <v>1.6666666666666665</v>
      </c>
      <c r="AA102" s="7">
        <f>IFERROR(INDEX(환산공식!U$16:U$200,MATCH($A102,환산공식!$A$16:$A$200,0)),"")</f>
        <v>0.83333333333333326</v>
      </c>
      <c r="AB102" s="7">
        <f t="shared" si="18"/>
        <v>0.4</v>
      </c>
      <c r="AC102" s="7">
        <f t="shared" si="19"/>
        <v>0.4</v>
      </c>
      <c r="AD102" s="7">
        <f t="shared" si="20"/>
        <v>0.2</v>
      </c>
      <c r="AE102" s="7">
        <f>INDEX(환산공식!$AF$16:$AF$301,MATCH('배치점수 계산기'!W102,환산공식!$A$16:$A$301,0))</f>
        <v>1</v>
      </c>
      <c r="AF102" s="7">
        <f>INDEX(환산공식!$AP$16:$AP$301,MATCH('배치점수 계산기'!W102,환산공식!$A$16:$A$301,0))</f>
        <v>1</v>
      </c>
      <c r="AG102" s="7" t="str">
        <f t="shared" si="21"/>
        <v>표점</v>
      </c>
      <c r="AH102" s="7" t="str">
        <f t="shared" si="22"/>
        <v>표점</v>
      </c>
      <c r="BO102" s="210"/>
      <c r="BP102" s="210"/>
      <c r="BQ102" s="210"/>
      <c r="BR102" s="210"/>
      <c r="BS102" s="210"/>
      <c r="BT102" s="210"/>
      <c r="BU102" s="210"/>
      <c r="BV102" s="210"/>
      <c r="BW102" s="210"/>
      <c r="BX102" s="210"/>
      <c r="BY102" s="210"/>
      <c r="BZ102" s="210"/>
      <c r="CA102" s="210"/>
      <c r="CB102" s="210"/>
      <c r="CC102" s="210"/>
      <c r="EM102" s="120"/>
      <c r="ET102" s="210"/>
      <c r="EU102" s="210"/>
      <c r="EV102" s="210"/>
      <c r="EW102" s="210"/>
      <c r="EX102" s="210"/>
      <c r="EY102" s="210"/>
      <c r="EZ102" s="210"/>
      <c r="FA102" s="210"/>
      <c r="FB102" s="210"/>
      <c r="FC102" s="210"/>
      <c r="FD102" s="210"/>
      <c r="FE102" s="210"/>
      <c r="FF102" s="210"/>
      <c r="FG102" s="210"/>
      <c r="FH102" s="210"/>
      <c r="HR102" s="120"/>
      <c r="HY102" s="210"/>
      <c r="HZ102" s="210"/>
      <c r="IA102" s="210"/>
      <c r="IB102" s="210"/>
      <c r="IC102" s="210"/>
      <c r="ID102" s="210"/>
      <c r="IE102" s="210"/>
      <c r="IF102" s="210"/>
      <c r="IG102" s="210"/>
      <c r="IH102" s="210"/>
      <c r="II102" s="210"/>
      <c r="IJ102" s="210"/>
      <c r="IK102" s="210"/>
      <c r="IL102" s="210"/>
      <c r="IM102" s="210"/>
      <c r="KW102" s="120"/>
      <c r="LD102" s="210"/>
      <c r="LE102" s="210"/>
      <c r="LF102" s="210"/>
      <c r="LG102" s="210"/>
      <c r="LH102" s="210"/>
      <c r="LI102" s="210"/>
      <c r="LJ102" s="210"/>
      <c r="LK102" s="210"/>
      <c r="LL102" s="210"/>
      <c r="LM102" s="210"/>
      <c r="LN102" s="210"/>
      <c r="LO102" s="210"/>
      <c r="LP102" s="210"/>
      <c r="LQ102" s="210"/>
      <c r="LR102" s="210"/>
      <c r="OB102" s="120"/>
      <c r="OI102" s="210"/>
      <c r="OJ102" s="210"/>
      <c r="OK102" s="210"/>
      <c r="OL102" s="210"/>
      <c r="OM102" s="210"/>
      <c r="ON102" s="210"/>
      <c r="OO102" s="210"/>
      <c r="OP102" s="210"/>
      <c r="OQ102" s="210"/>
      <c r="OR102" s="210"/>
      <c r="OS102" s="210"/>
      <c r="OT102" s="210"/>
      <c r="OU102" s="210"/>
      <c r="OV102" s="210"/>
      <c r="OW102" s="210"/>
      <c r="RG102" s="120"/>
    </row>
    <row r="103" spans="1:475" x14ac:dyDescent="0.3">
      <c r="A103" s="7">
        <v>20</v>
      </c>
      <c r="B103" s="7">
        <v>93</v>
      </c>
      <c r="C103" s="7" t="s">
        <v>276</v>
      </c>
      <c r="D103" s="7" t="s">
        <v>277</v>
      </c>
      <c r="E103" s="7" t="s">
        <v>265</v>
      </c>
      <c r="F103" s="7" t="s">
        <v>275</v>
      </c>
      <c r="G103" s="41" t="str">
        <f t="shared" si="14"/>
        <v>X</v>
      </c>
      <c r="H103" s="41">
        <f>INDEX(환산공식!CI$16:CI$301,MATCH('배치점수 계산기'!$W103,환산공식!$A$16:$A$301,0))</f>
        <v>166.7</v>
      </c>
      <c r="I103" s="41" t="str">
        <f>CONCATENATE(ROUND(INDEX(환산공식!CJ$16:CJ$301,MATCH('배치점수 계산기'!$W103,환산공식!$A$16:$A$301,0)),1),"%")</f>
        <v>100%</v>
      </c>
      <c r="J103" s="41">
        <f>INDEX(환산공식!CK$16:CK$301,MATCH('배치점수 계산기'!$W103,환산공식!$A$16:$A$301,0))</f>
        <v>10</v>
      </c>
      <c r="K103" s="7">
        <f>INDEX(환산공식!$EF$16:$EF$301,MATCH('배치점수 계산기'!W103,환산공식!$A$16:$A$301,0))</f>
        <v>0</v>
      </c>
      <c r="L103" s="41" t="str">
        <f t="shared" si="12"/>
        <v>1% 이하</v>
      </c>
      <c r="M103" s="7">
        <v>716.83333333333326</v>
      </c>
      <c r="N103" s="7">
        <v>714</v>
      </c>
      <c r="O103" s="7">
        <v>711</v>
      </c>
      <c r="P103" s="7">
        <v>709.69441549418093</v>
      </c>
      <c r="Q103" s="7">
        <v>708.66666666666674</v>
      </c>
      <c r="R103" s="7">
        <f t="shared" si="13"/>
        <v>6</v>
      </c>
      <c r="T103" s="7">
        <f>COUNTIF($C$11:C103,C103)</f>
        <v>40</v>
      </c>
      <c r="U103" s="7" t="str">
        <f t="shared" si="15"/>
        <v>가40</v>
      </c>
      <c r="V103" s="7" t="str">
        <f>INDEX(환산공식!$C$16:$C$301,MATCH('배치점수 계산기'!W103,환산공식!$A$16:$A$301,0))</f>
        <v>연세대 통합</v>
      </c>
      <c r="W103" s="7">
        <f t="shared" si="16"/>
        <v>20</v>
      </c>
      <c r="X103" s="7">
        <f t="shared" si="17"/>
        <v>1</v>
      </c>
      <c r="Y103" s="7">
        <f>IFERROR(INDEX(환산공식!Q$16:Q$200,MATCH($A103,환산공식!$A$16:$A$200,0)),"")</f>
        <v>1.6666666666666665</v>
      </c>
      <c r="Z103" s="7">
        <f>IFERROR(INDEX(환산공식!R$16:R$200,MATCH($A103,환산공식!$A$16:$A$200,0)),"")</f>
        <v>1.6666666666666665</v>
      </c>
      <c r="AA103" s="7">
        <f>IFERROR(INDEX(환산공식!U$16:U$200,MATCH($A103,환산공식!$A$16:$A$200,0)),"")</f>
        <v>0.83333333333333326</v>
      </c>
      <c r="AB103" s="7">
        <f t="shared" si="18"/>
        <v>0.4</v>
      </c>
      <c r="AC103" s="7">
        <f t="shared" si="19"/>
        <v>0.4</v>
      </c>
      <c r="AD103" s="7">
        <f t="shared" si="20"/>
        <v>0.2</v>
      </c>
      <c r="AE103" s="7">
        <f>INDEX(환산공식!$AF$16:$AF$301,MATCH('배치점수 계산기'!W103,환산공식!$A$16:$A$301,0))</f>
        <v>1</v>
      </c>
      <c r="AF103" s="7">
        <f>INDEX(환산공식!$AP$16:$AP$301,MATCH('배치점수 계산기'!W103,환산공식!$A$16:$A$301,0))</f>
        <v>1</v>
      </c>
      <c r="AG103" s="7" t="str">
        <f t="shared" si="21"/>
        <v>표점</v>
      </c>
      <c r="AH103" s="7" t="str">
        <f t="shared" si="22"/>
        <v>표점</v>
      </c>
      <c r="BO103" s="210"/>
      <c r="BP103" s="210"/>
      <c r="BQ103" s="210"/>
      <c r="BR103" s="210"/>
      <c r="BS103" s="210"/>
      <c r="BT103" s="210"/>
      <c r="BU103" s="210"/>
      <c r="BV103" s="210"/>
      <c r="BW103" s="210"/>
      <c r="BX103" s="210"/>
      <c r="BY103" s="210"/>
      <c r="BZ103" s="210"/>
      <c r="CA103" s="210"/>
      <c r="CB103" s="210"/>
      <c r="CC103" s="210"/>
      <c r="EM103" s="120"/>
      <c r="ET103" s="210"/>
      <c r="EU103" s="210"/>
      <c r="EV103" s="210"/>
      <c r="EW103" s="210"/>
      <c r="EX103" s="210"/>
      <c r="EY103" s="210"/>
      <c r="EZ103" s="210"/>
      <c r="FA103" s="210"/>
      <c r="FB103" s="210"/>
      <c r="FC103" s="210"/>
      <c r="FD103" s="210"/>
      <c r="FE103" s="210"/>
      <c r="FF103" s="210"/>
      <c r="FG103" s="210"/>
      <c r="FH103" s="210"/>
      <c r="HR103" s="120"/>
      <c r="HY103" s="210"/>
      <c r="HZ103" s="210"/>
      <c r="IA103" s="210"/>
      <c r="IB103" s="210"/>
      <c r="IC103" s="210"/>
      <c r="ID103" s="210"/>
      <c r="IE103" s="210"/>
      <c r="IF103" s="210"/>
      <c r="IG103" s="210"/>
      <c r="IH103" s="210"/>
      <c r="II103" s="210"/>
      <c r="IJ103" s="210"/>
      <c r="IK103" s="210"/>
      <c r="IL103" s="210"/>
      <c r="IM103" s="210"/>
      <c r="KW103" s="120"/>
      <c r="LD103" s="210"/>
      <c r="LE103" s="210"/>
      <c r="LF103" s="210"/>
      <c r="LG103" s="210"/>
      <c r="LH103" s="210"/>
      <c r="LI103" s="210"/>
      <c r="LJ103" s="210"/>
      <c r="LK103" s="210"/>
      <c r="LL103" s="210"/>
      <c r="LM103" s="210"/>
      <c r="LN103" s="210"/>
      <c r="LO103" s="210"/>
      <c r="LP103" s="210"/>
      <c r="LQ103" s="210"/>
      <c r="LR103" s="210"/>
      <c r="OB103" s="120"/>
      <c r="OI103" s="210"/>
      <c r="OJ103" s="210"/>
      <c r="OK103" s="210"/>
      <c r="OL103" s="210"/>
      <c r="OM103" s="210"/>
      <c r="ON103" s="210"/>
      <c r="OO103" s="210"/>
      <c r="OP103" s="210"/>
      <c r="OQ103" s="210"/>
      <c r="OR103" s="210"/>
      <c r="OS103" s="210"/>
      <c r="OT103" s="210"/>
      <c r="OU103" s="210"/>
      <c r="OV103" s="210"/>
      <c r="OW103" s="210"/>
      <c r="RG103" s="120"/>
    </row>
    <row r="104" spans="1:475" x14ac:dyDescent="0.3">
      <c r="A104" s="7">
        <v>20</v>
      </c>
      <c r="B104" s="7">
        <v>94</v>
      </c>
      <c r="C104" s="7" t="s">
        <v>276</v>
      </c>
      <c r="D104" s="7" t="s">
        <v>277</v>
      </c>
      <c r="E104" s="7" t="s">
        <v>315</v>
      </c>
      <c r="F104" s="7" t="s">
        <v>275</v>
      </c>
      <c r="G104" s="41" t="str">
        <f t="shared" si="14"/>
        <v>X</v>
      </c>
      <c r="H104" s="41">
        <f>INDEX(환산공식!CI$16:CI$301,MATCH('배치점수 계산기'!$W104,환산공식!$A$16:$A$301,0))</f>
        <v>166.7</v>
      </c>
      <c r="I104" s="41" t="str">
        <f>CONCATENATE(ROUND(INDEX(환산공식!CJ$16:CJ$301,MATCH('배치점수 계산기'!$W104,환산공식!$A$16:$A$301,0)),1),"%")</f>
        <v>100%</v>
      </c>
      <c r="J104" s="41">
        <f>INDEX(환산공식!CK$16:CK$301,MATCH('배치점수 계산기'!$W104,환산공식!$A$16:$A$301,0))</f>
        <v>10</v>
      </c>
      <c r="K104" s="7">
        <f>INDEX(환산공식!$EF$16:$EF$301,MATCH('배치점수 계산기'!W104,환산공식!$A$16:$A$301,0))</f>
        <v>0</v>
      </c>
      <c r="L104" s="41" t="str">
        <f t="shared" si="12"/>
        <v>1% 이하</v>
      </c>
      <c r="M104" s="7">
        <v>715.66666666666652</v>
      </c>
      <c r="N104" s="7">
        <v>714</v>
      </c>
      <c r="O104" s="7">
        <v>712.19434353918018</v>
      </c>
      <c r="P104" s="7">
        <v>711</v>
      </c>
      <c r="Q104" s="7">
        <v>709.69441549418093</v>
      </c>
      <c r="R104" s="7">
        <f t="shared" si="13"/>
        <v>6</v>
      </c>
      <c r="T104" s="7">
        <f>COUNTIF($C$11:C104,C104)</f>
        <v>41</v>
      </c>
      <c r="U104" s="7" t="str">
        <f t="shared" si="15"/>
        <v>가41</v>
      </c>
      <c r="V104" s="7" t="str">
        <f>INDEX(환산공식!$C$16:$C$301,MATCH('배치점수 계산기'!W104,환산공식!$A$16:$A$301,0))</f>
        <v>연세대 통합</v>
      </c>
      <c r="W104" s="7">
        <f t="shared" si="16"/>
        <v>20</v>
      </c>
      <c r="X104" s="7">
        <f t="shared" si="17"/>
        <v>1</v>
      </c>
      <c r="Y104" s="7">
        <f>IFERROR(INDEX(환산공식!Q$16:Q$200,MATCH($A104,환산공식!$A$16:$A$200,0)),"")</f>
        <v>1.6666666666666665</v>
      </c>
      <c r="Z104" s="7">
        <f>IFERROR(INDEX(환산공식!R$16:R$200,MATCH($A104,환산공식!$A$16:$A$200,0)),"")</f>
        <v>1.6666666666666665</v>
      </c>
      <c r="AA104" s="7">
        <f>IFERROR(INDEX(환산공식!U$16:U$200,MATCH($A104,환산공식!$A$16:$A$200,0)),"")</f>
        <v>0.83333333333333326</v>
      </c>
      <c r="AB104" s="7">
        <f t="shared" si="18"/>
        <v>0.4</v>
      </c>
      <c r="AC104" s="7">
        <f t="shared" si="19"/>
        <v>0.4</v>
      </c>
      <c r="AD104" s="7">
        <f t="shared" si="20"/>
        <v>0.2</v>
      </c>
      <c r="AE104" s="7">
        <f>INDEX(환산공식!$AF$16:$AF$301,MATCH('배치점수 계산기'!W104,환산공식!$A$16:$A$301,0))</f>
        <v>1</v>
      </c>
      <c r="AF104" s="7">
        <f>INDEX(환산공식!$AP$16:$AP$301,MATCH('배치점수 계산기'!W104,환산공식!$A$16:$A$301,0))</f>
        <v>1</v>
      </c>
      <c r="AG104" s="7" t="str">
        <f t="shared" si="21"/>
        <v>표점</v>
      </c>
      <c r="AH104" s="7" t="str">
        <f t="shared" si="22"/>
        <v>표점</v>
      </c>
      <c r="BO104" s="210"/>
      <c r="BP104" s="210"/>
      <c r="BQ104" s="210"/>
      <c r="BR104" s="210"/>
      <c r="BS104" s="210"/>
      <c r="BT104" s="210"/>
      <c r="BU104" s="210"/>
      <c r="BV104" s="210"/>
      <c r="BW104" s="210"/>
      <c r="BX104" s="210"/>
      <c r="BY104" s="210"/>
      <c r="BZ104" s="210"/>
      <c r="CA104" s="210"/>
      <c r="CB104" s="210"/>
      <c r="CC104" s="210"/>
      <c r="EM104" s="120"/>
      <c r="ET104" s="210"/>
      <c r="EU104" s="210"/>
      <c r="EV104" s="210"/>
      <c r="EW104" s="210"/>
      <c r="EX104" s="210"/>
      <c r="EY104" s="210"/>
      <c r="EZ104" s="210"/>
      <c r="FA104" s="210"/>
      <c r="FB104" s="210"/>
      <c r="FC104" s="210"/>
      <c r="FD104" s="210"/>
      <c r="FE104" s="210"/>
      <c r="FF104" s="210"/>
      <c r="FG104" s="210"/>
      <c r="FH104" s="210"/>
      <c r="HR104" s="120"/>
      <c r="HY104" s="210"/>
      <c r="HZ104" s="210"/>
      <c r="IA104" s="210"/>
      <c r="IB104" s="210"/>
      <c r="IC104" s="210"/>
      <c r="ID104" s="210"/>
      <c r="IE104" s="210"/>
      <c r="IF104" s="210"/>
      <c r="IG104" s="210"/>
      <c r="IH104" s="210"/>
      <c r="II104" s="210"/>
      <c r="IJ104" s="210"/>
      <c r="IK104" s="210"/>
      <c r="IL104" s="210"/>
      <c r="IM104" s="210"/>
      <c r="KW104" s="120"/>
      <c r="LD104" s="210"/>
      <c r="LE104" s="210"/>
      <c r="LF104" s="210"/>
      <c r="LG104" s="210"/>
      <c r="LH104" s="210"/>
      <c r="LI104" s="210"/>
      <c r="LJ104" s="210"/>
      <c r="LK104" s="210"/>
      <c r="LL104" s="210"/>
      <c r="LM104" s="210"/>
      <c r="LN104" s="210"/>
      <c r="LO104" s="210"/>
      <c r="LP104" s="210"/>
      <c r="LQ104" s="210"/>
      <c r="LR104" s="210"/>
      <c r="OB104" s="120"/>
      <c r="OI104" s="210"/>
      <c r="OJ104" s="210"/>
      <c r="OK104" s="210"/>
      <c r="OL104" s="210"/>
      <c r="OM104" s="210"/>
      <c r="ON104" s="210"/>
      <c r="OO104" s="210"/>
      <c r="OP104" s="210"/>
      <c r="OQ104" s="210"/>
      <c r="OR104" s="210"/>
      <c r="OS104" s="210"/>
      <c r="OT104" s="210"/>
      <c r="OU104" s="210"/>
      <c r="OV104" s="210"/>
      <c r="OW104" s="210"/>
      <c r="RG104" s="120"/>
    </row>
    <row r="105" spans="1:475" x14ac:dyDescent="0.3">
      <c r="A105" s="7">
        <v>20</v>
      </c>
      <c r="B105" s="7">
        <v>95</v>
      </c>
      <c r="C105" s="7" t="s">
        <v>276</v>
      </c>
      <c r="D105" s="7" t="s">
        <v>277</v>
      </c>
      <c r="E105" s="7" t="s">
        <v>272</v>
      </c>
      <c r="F105" s="7" t="s">
        <v>275</v>
      </c>
      <c r="G105" s="41" t="str">
        <f t="shared" si="14"/>
        <v>X</v>
      </c>
      <c r="H105" s="41">
        <f>INDEX(환산공식!CI$16:CI$301,MATCH('배치점수 계산기'!$W105,환산공식!$A$16:$A$301,0))</f>
        <v>166.7</v>
      </c>
      <c r="I105" s="41" t="str">
        <f>CONCATENATE(ROUND(INDEX(환산공식!CJ$16:CJ$301,MATCH('배치점수 계산기'!$W105,환산공식!$A$16:$A$301,0)),1),"%")</f>
        <v>100%</v>
      </c>
      <c r="J105" s="41">
        <f>INDEX(환산공식!CK$16:CK$301,MATCH('배치점수 계산기'!$W105,환산공식!$A$16:$A$301,0))</f>
        <v>10</v>
      </c>
      <c r="K105" s="7">
        <f>INDEX(환산공식!$EF$16:$EF$301,MATCH('배치점수 계산기'!W105,환산공식!$A$16:$A$301,0))</f>
        <v>0</v>
      </c>
      <c r="L105" s="41" t="str">
        <f t="shared" si="12"/>
        <v>1% 이하</v>
      </c>
      <c r="M105" s="7">
        <v>715.66666666666652</v>
      </c>
      <c r="N105" s="7">
        <v>714</v>
      </c>
      <c r="O105" s="7">
        <v>712.19434353918018</v>
      </c>
      <c r="P105" s="7">
        <v>711</v>
      </c>
      <c r="Q105" s="7">
        <v>709.69441549418093</v>
      </c>
      <c r="R105" s="7">
        <f t="shared" si="13"/>
        <v>6</v>
      </c>
      <c r="T105" s="7">
        <f>COUNTIF($C$11:C105,C105)</f>
        <v>42</v>
      </c>
      <c r="U105" s="7" t="str">
        <f t="shared" si="15"/>
        <v>가42</v>
      </c>
      <c r="V105" s="7" t="str">
        <f>INDEX(환산공식!$C$16:$C$301,MATCH('배치점수 계산기'!W105,환산공식!$A$16:$A$301,0))</f>
        <v>연세대 통합</v>
      </c>
      <c r="W105" s="7">
        <f t="shared" si="16"/>
        <v>20</v>
      </c>
      <c r="X105" s="7">
        <f t="shared" si="17"/>
        <v>1</v>
      </c>
      <c r="Y105" s="7">
        <f>IFERROR(INDEX(환산공식!Q$16:Q$200,MATCH($A105,환산공식!$A$16:$A$200,0)),"")</f>
        <v>1.6666666666666665</v>
      </c>
      <c r="Z105" s="7">
        <f>IFERROR(INDEX(환산공식!R$16:R$200,MATCH($A105,환산공식!$A$16:$A$200,0)),"")</f>
        <v>1.6666666666666665</v>
      </c>
      <c r="AA105" s="7">
        <f>IFERROR(INDEX(환산공식!U$16:U$200,MATCH($A105,환산공식!$A$16:$A$200,0)),"")</f>
        <v>0.83333333333333326</v>
      </c>
      <c r="AB105" s="7">
        <f t="shared" si="18"/>
        <v>0.4</v>
      </c>
      <c r="AC105" s="7">
        <f t="shared" si="19"/>
        <v>0.4</v>
      </c>
      <c r="AD105" s="7">
        <f t="shared" si="20"/>
        <v>0.2</v>
      </c>
      <c r="AE105" s="7">
        <f>INDEX(환산공식!$AF$16:$AF$301,MATCH('배치점수 계산기'!W105,환산공식!$A$16:$A$301,0))</f>
        <v>1</v>
      </c>
      <c r="AF105" s="7">
        <f>INDEX(환산공식!$AP$16:$AP$301,MATCH('배치점수 계산기'!W105,환산공식!$A$16:$A$301,0))</f>
        <v>1</v>
      </c>
      <c r="AG105" s="7" t="str">
        <f t="shared" si="21"/>
        <v>표점</v>
      </c>
      <c r="AH105" s="7" t="str">
        <f t="shared" si="22"/>
        <v>표점</v>
      </c>
      <c r="BO105" s="210"/>
      <c r="BP105" s="210"/>
      <c r="BQ105" s="210"/>
      <c r="BR105" s="210"/>
      <c r="BS105" s="210"/>
      <c r="BT105" s="210"/>
      <c r="BU105" s="210"/>
      <c r="BV105" s="210"/>
      <c r="BW105" s="210"/>
      <c r="BX105" s="210"/>
      <c r="BY105" s="210"/>
      <c r="BZ105" s="210"/>
      <c r="CA105" s="210"/>
      <c r="CB105" s="210"/>
      <c r="CC105" s="210"/>
      <c r="EM105" s="120"/>
      <c r="ET105" s="210"/>
      <c r="EU105" s="210"/>
      <c r="EV105" s="210"/>
      <c r="EW105" s="210"/>
      <c r="EX105" s="210"/>
      <c r="EY105" s="210"/>
      <c r="EZ105" s="210"/>
      <c r="FA105" s="210"/>
      <c r="FB105" s="210"/>
      <c r="FC105" s="210"/>
      <c r="FD105" s="210"/>
      <c r="FE105" s="210"/>
      <c r="FF105" s="210"/>
      <c r="FG105" s="210"/>
      <c r="FH105" s="210"/>
      <c r="HR105" s="120"/>
      <c r="HY105" s="210"/>
      <c r="HZ105" s="210"/>
      <c r="IA105" s="210"/>
      <c r="IB105" s="210"/>
      <c r="IC105" s="210"/>
      <c r="ID105" s="210"/>
      <c r="IE105" s="210"/>
      <c r="IF105" s="210"/>
      <c r="IG105" s="210"/>
      <c r="IH105" s="210"/>
      <c r="II105" s="210"/>
      <c r="IJ105" s="210"/>
      <c r="IK105" s="210"/>
      <c r="IL105" s="210"/>
      <c r="IM105" s="210"/>
      <c r="KW105" s="120"/>
      <c r="LD105" s="210"/>
      <c r="LE105" s="210"/>
      <c r="LF105" s="210"/>
      <c r="LG105" s="210"/>
      <c r="LH105" s="210"/>
      <c r="LI105" s="210"/>
      <c r="LJ105" s="210"/>
      <c r="LK105" s="210"/>
      <c r="LL105" s="210"/>
      <c r="LM105" s="210"/>
      <c r="LN105" s="210"/>
      <c r="LO105" s="210"/>
      <c r="LP105" s="210"/>
      <c r="LQ105" s="210"/>
      <c r="LR105" s="210"/>
      <c r="OB105" s="120"/>
      <c r="OI105" s="210"/>
      <c r="OJ105" s="210"/>
      <c r="OK105" s="210"/>
      <c r="OL105" s="210"/>
      <c r="OM105" s="210"/>
      <c r="ON105" s="210"/>
      <c r="OO105" s="210"/>
      <c r="OP105" s="210"/>
      <c r="OQ105" s="210"/>
      <c r="OR105" s="210"/>
      <c r="OS105" s="210"/>
      <c r="OT105" s="210"/>
      <c r="OU105" s="210"/>
      <c r="OV105" s="210"/>
      <c r="OW105" s="210"/>
      <c r="RG105" s="120"/>
    </row>
    <row r="106" spans="1:475" x14ac:dyDescent="0.3">
      <c r="A106" s="7">
        <v>20</v>
      </c>
      <c r="B106" s="7">
        <v>96</v>
      </c>
      <c r="C106" s="7" t="s">
        <v>276</v>
      </c>
      <c r="D106" s="7" t="s">
        <v>277</v>
      </c>
      <c r="E106" s="7" t="s">
        <v>306</v>
      </c>
      <c r="F106" s="7" t="s">
        <v>275</v>
      </c>
      <c r="G106" s="41" t="str">
        <f t="shared" si="14"/>
        <v>X</v>
      </c>
      <c r="H106" s="41">
        <f>INDEX(환산공식!CI$16:CI$301,MATCH('배치점수 계산기'!$W106,환산공식!$A$16:$A$301,0))</f>
        <v>166.7</v>
      </c>
      <c r="I106" s="41" t="str">
        <f>CONCATENATE(ROUND(INDEX(환산공식!CJ$16:CJ$301,MATCH('배치점수 계산기'!$W106,환산공식!$A$16:$A$301,0)),1),"%")</f>
        <v>100%</v>
      </c>
      <c r="J106" s="41">
        <f>INDEX(환산공식!CK$16:CK$301,MATCH('배치점수 계산기'!$W106,환산공식!$A$16:$A$301,0))</f>
        <v>10</v>
      </c>
      <c r="K106" s="7">
        <f>INDEX(환산공식!$EF$16:$EF$301,MATCH('배치점수 계산기'!W106,환산공식!$A$16:$A$301,0))</f>
        <v>0</v>
      </c>
      <c r="L106" s="41" t="str">
        <f t="shared" si="12"/>
        <v>1% 이하</v>
      </c>
      <c r="M106" s="7">
        <v>715.5</v>
      </c>
      <c r="N106" s="7">
        <v>714.86093171445782</v>
      </c>
      <c r="O106" s="7">
        <v>711.63898995148975</v>
      </c>
      <c r="P106" s="7">
        <v>710.16666666666674</v>
      </c>
      <c r="Q106" s="7">
        <v>708.66666666666674</v>
      </c>
      <c r="R106" s="7">
        <f t="shared" si="13"/>
        <v>6</v>
      </c>
      <c r="T106" s="7">
        <f>COUNTIF($C$11:C106,C106)</f>
        <v>43</v>
      </c>
      <c r="U106" s="7" t="str">
        <f t="shared" si="15"/>
        <v>가43</v>
      </c>
      <c r="V106" s="7" t="str">
        <f>INDEX(환산공식!$C$16:$C$301,MATCH('배치점수 계산기'!W106,환산공식!$A$16:$A$301,0))</f>
        <v>연세대 통합</v>
      </c>
      <c r="W106" s="7">
        <f t="shared" si="16"/>
        <v>20</v>
      </c>
      <c r="X106" s="7">
        <f t="shared" si="17"/>
        <v>1</v>
      </c>
      <c r="Y106" s="7">
        <f>IFERROR(INDEX(환산공식!Q$16:Q$200,MATCH($A106,환산공식!$A$16:$A$200,0)),"")</f>
        <v>1.6666666666666665</v>
      </c>
      <c r="Z106" s="7">
        <f>IFERROR(INDEX(환산공식!R$16:R$200,MATCH($A106,환산공식!$A$16:$A$200,0)),"")</f>
        <v>1.6666666666666665</v>
      </c>
      <c r="AA106" s="7">
        <f>IFERROR(INDEX(환산공식!U$16:U$200,MATCH($A106,환산공식!$A$16:$A$200,0)),"")</f>
        <v>0.83333333333333326</v>
      </c>
      <c r="AB106" s="7">
        <f t="shared" si="18"/>
        <v>0.4</v>
      </c>
      <c r="AC106" s="7">
        <f t="shared" si="19"/>
        <v>0.4</v>
      </c>
      <c r="AD106" s="7">
        <f t="shared" si="20"/>
        <v>0.2</v>
      </c>
      <c r="AE106" s="7">
        <f>INDEX(환산공식!$AF$16:$AF$301,MATCH('배치점수 계산기'!W106,환산공식!$A$16:$A$301,0))</f>
        <v>1</v>
      </c>
      <c r="AF106" s="7">
        <f>INDEX(환산공식!$AP$16:$AP$301,MATCH('배치점수 계산기'!W106,환산공식!$A$16:$A$301,0))</f>
        <v>1</v>
      </c>
      <c r="AG106" s="7" t="str">
        <f t="shared" si="21"/>
        <v>표점</v>
      </c>
      <c r="AH106" s="7" t="str">
        <f t="shared" si="22"/>
        <v>표점</v>
      </c>
      <c r="BO106" s="210"/>
      <c r="BP106" s="210"/>
      <c r="BQ106" s="210"/>
      <c r="BR106" s="210"/>
      <c r="BS106" s="210"/>
      <c r="BT106" s="210"/>
      <c r="BU106" s="210"/>
      <c r="BV106" s="210"/>
      <c r="BW106" s="210"/>
      <c r="BX106" s="210"/>
      <c r="BY106" s="210"/>
      <c r="BZ106" s="210"/>
      <c r="CA106" s="210"/>
      <c r="CB106" s="210"/>
      <c r="CC106" s="210"/>
      <c r="EM106" s="120"/>
      <c r="ET106" s="210"/>
      <c r="EU106" s="210"/>
      <c r="EV106" s="210"/>
      <c r="EW106" s="210"/>
      <c r="EX106" s="210"/>
      <c r="EY106" s="210"/>
      <c r="EZ106" s="210"/>
      <c r="FA106" s="210"/>
      <c r="FB106" s="210"/>
      <c r="FC106" s="210"/>
      <c r="FD106" s="210"/>
      <c r="FE106" s="210"/>
      <c r="FF106" s="210"/>
      <c r="FG106" s="210"/>
      <c r="FH106" s="210"/>
      <c r="HR106" s="120"/>
      <c r="HY106" s="210"/>
      <c r="HZ106" s="210"/>
      <c r="IA106" s="210"/>
      <c r="IB106" s="210"/>
      <c r="IC106" s="210"/>
      <c r="ID106" s="210"/>
      <c r="IE106" s="210"/>
      <c r="IF106" s="210"/>
      <c r="IG106" s="210"/>
      <c r="IH106" s="210"/>
      <c r="II106" s="210"/>
      <c r="IJ106" s="210"/>
      <c r="IK106" s="210"/>
      <c r="IL106" s="210"/>
      <c r="IM106" s="210"/>
      <c r="KW106" s="120"/>
      <c r="LD106" s="210"/>
      <c r="LE106" s="210"/>
      <c r="LF106" s="210"/>
      <c r="LG106" s="210"/>
      <c r="LH106" s="210"/>
      <c r="LI106" s="210"/>
      <c r="LJ106" s="210"/>
      <c r="LK106" s="210"/>
      <c r="LL106" s="210"/>
      <c r="LM106" s="210"/>
      <c r="LN106" s="210"/>
      <c r="LO106" s="210"/>
      <c r="LP106" s="210"/>
      <c r="LQ106" s="210"/>
      <c r="LR106" s="210"/>
      <c r="OB106" s="120"/>
      <c r="OI106" s="210"/>
      <c r="OJ106" s="210"/>
      <c r="OK106" s="210"/>
      <c r="OL106" s="210"/>
      <c r="OM106" s="210"/>
      <c r="ON106" s="210"/>
      <c r="OO106" s="210"/>
      <c r="OP106" s="210"/>
      <c r="OQ106" s="210"/>
      <c r="OR106" s="210"/>
      <c r="OS106" s="210"/>
      <c r="OT106" s="210"/>
      <c r="OU106" s="210"/>
      <c r="OV106" s="210"/>
      <c r="OW106" s="210"/>
      <c r="RG106" s="120"/>
    </row>
    <row r="107" spans="1:475" x14ac:dyDescent="0.3">
      <c r="A107" s="7">
        <v>20</v>
      </c>
      <c r="B107" s="7">
        <v>97</v>
      </c>
      <c r="C107" s="7" t="s">
        <v>276</v>
      </c>
      <c r="D107" s="7" t="s">
        <v>277</v>
      </c>
      <c r="E107" s="7" t="s">
        <v>263</v>
      </c>
      <c r="F107" s="7" t="s">
        <v>275</v>
      </c>
      <c r="G107" s="41" t="str">
        <f t="shared" si="14"/>
        <v>X</v>
      </c>
      <c r="H107" s="41">
        <f>INDEX(환산공식!CI$16:CI$301,MATCH('배치점수 계산기'!$W107,환산공식!$A$16:$A$301,0))</f>
        <v>166.7</v>
      </c>
      <c r="I107" s="41" t="str">
        <f>CONCATENATE(ROUND(INDEX(환산공식!CJ$16:CJ$301,MATCH('배치점수 계산기'!$W107,환산공식!$A$16:$A$301,0)),1),"%")</f>
        <v>100%</v>
      </c>
      <c r="J107" s="41">
        <f>INDEX(환산공식!CK$16:CK$301,MATCH('배치점수 계산기'!$W107,환산공식!$A$16:$A$301,0))</f>
        <v>10</v>
      </c>
      <c r="K107" s="7">
        <f>INDEX(환산공식!$EF$16:$EF$301,MATCH('배치점수 계산기'!W107,환산공식!$A$16:$A$301,0))</f>
        <v>0</v>
      </c>
      <c r="L107" s="41" t="str">
        <f t="shared" si="12"/>
        <v>1% 이하</v>
      </c>
      <c r="M107" s="7">
        <v>720.36073410157906</v>
      </c>
      <c r="N107" s="7">
        <v>718.86079739904176</v>
      </c>
      <c r="O107" s="7">
        <v>713.33333333333326</v>
      </c>
      <c r="P107" s="7">
        <v>711.63898995148975</v>
      </c>
      <c r="Q107" s="7">
        <v>708.66666666666674</v>
      </c>
      <c r="R107" s="7">
        <f t="shared" si="13"/>
        <v>6</v>
      </c>
      <c r="T107" s="7">
        <f>COUNTIF($C$11:C107,C107)</f>
        <v>44</v>
      </c>
      <c r="U107" s="7" t="str">
        <f t="shared" si="15"/>
        <v>가44</v>
      </c>
      <c r="V107" s="7" t="str">
        <f>INDEX(환산공식!$C$16:$C$301,MATCH('배치점수 계산기'!W107,환산공식!$A$16:$A$301,0))</f>
        <v>연세대 통합</v>
      </c>
      <c r="W107" s="7">
        <f t="shared" si="16"/>
        <v>20</v>
      </c>
      <c r="X107" s="7">
        <f t="shared" si="17"/>
        <v>1</v>
      </c>
      <c r="Y107" s="7">
        <f>IFERROR(INDEX(환산공식!Q$16:Q$200,MATCH($A107,환산공식!$A$16:$A$200,0)),"")</f>
        <v>1.6666666666666665</v>
      </c>
      <c r="Z107" s="7">
        <f>IFERROR(INDEX(환산공식!R$16:R$200,MATCH($A107,환산공식!$A$16:$A$200,0)),"")</f>
        <v>1.6666666666666665</v>
      </c>
      <c r="AA107" s="7">
        <f>IFERROR(INDEX(환산공식!U$16:U$200,MATCH($A107,환산공식!$A$16:$A$200,0)),"")</f>
        <v>0.83333333333333326</v>
      </c>
      <c r="AB107" s="7">
        <f t="shared" si="18"/>
        <v>0.4</v>
      </c>
      <c r="AC107" s="7">
        <f t="shared" si="19"/>
        <v>0.4</v>
      </c>
      <c r="AD107" s="7">
        <f t="shared" si="20"/>
        <v>0.2</v>
      </c>
      <c r="AE107" s="7">
        <f>INDEX(환산공식!$AF$16:$AF$301,MATCH('배치점수 계산기'!W107,환산공식!$A$16:$A$301,0))</f>
        <v>1</v>
      </c>
      <c r="AF107" s="7">
        <f>INDEX(환산공식!$AP$16:$AP$301,MATCH('배치점수 계산기'!W107,환산공식!$A$16:$A$301,0))</f>
        <v>1</v>
      </c>
      <c r="AG107" s="7" t="str">
        <f t="shared" si="21"/>
        <v>표점</v>
      </c>
      <c r="AH107" s="7" t="str">
        <f t="shared" si="22"/>
        <v>표점</v>
      </c>
      <c r="BO107" s="210"/>
      <c r="BP107" s="210"/>
      <c r="BQ107" s="210"/>
      <c r="BR107" s="210"/>
      <c r="BS107" s="210"/>
      <c r="BT107" s="210"/>
      <c r="BU107" s="210"/>
      <c r="BV107" s="210"/>
      <c r="BW107" s="210"/>
      <c r="BX107" s="210"/>
      <c r="BY107" s="210"/>
      <c r="BZ107" s="210"/>
      <c r="CA107" s="210"/>
      <c r="CB107" s="210"/>
      <c r="CC107" s="210"/>
      <c r="EM107" s="120"/>
      <c r="ET107" s="210"/>
      <c r="EU107" s="210"/>
      <c r="EV107" s="210"/>
      <c r="EW107" s="210"/>
      <c r="EX107" s="210"/>
      <c r="EY107" s="210"/>
      <c r="EZ107" s="210"/>
      <c r="FA107" s="210"/>
      <c r="FB107" s="210"/>
      <c r="FC107" s="210"/>
      <c r="FD107" s="210"/>
      <c r="FE107" s="210"/>
      <c r="FF107" s="210"/>
      <c r="FG107" s="210"/>
      <c r="FH107" s="210"/>
      <c r="HR107" s="120"/>
      <c r="HY107" s="210"/>
      <c r="HZ107" s="210"/>
      <c r="IA107" s="210"/>
      <c r="IB107" s="210"/>
      <c r="IC107" s="210"/>
      <c r="ID107" s="210"/>
      <c r="IE107" s="210"/>
      <c r="IF107" s="210"/>
      <c r="IG107" s="210"/>
      <c r="IH107" s="210"/>
      <c r="II107" s="210"/>
      <c r="IJ107" s="210"/>
      <c r="IK107" s="210"/>
      <c r="IL107" s="210"/>
      <c r="IM107" s="210"/>
      <c r="KW107" s="120"/>
      <c r="LD107" s="210"/>
      <c r="LE107" s="210"/>
      <c r="LF107" s="210"/>
      <c r="LG107" s="210"/>
      <c r="LH107" s="210"/>
      <c r="LI107" s="210"/>
      <c r="LJ107" s="210"/>
      <c r="LK107" s="210"/>
      <c r="LL107" s="210"/>
      <c r="LM107" s="210"/>
      <c r="LN107" s="210"/>
      <c r="LO107" s="210"/>
      <c r="LP107" s="210"/>
      <c r="LQ107" s="210"/>
      <c r="LR107" s="210"/>
      <c r="OB107" s="120"/>
      <c r="OI107" s="210"/>
      <c r="OJ107" s="210"/>
      <c r="OK107" s="210"/>
      <c r="OL107" s="210"/>
      <c r="OM107" s="210"/>
      <c r="ON107" s="210"/>
      <c r="OO107" s="210"/>
      <c r="OP107" s="210"/>
      <c r="OQ107" s="210"/>
      <c r="OR107" s="210"/>
      <c r="OS107" s="210"/>
      <c r="OT107" s="210"/>
      <c r="OU107" s="210"/>
      <c r="OV107" s="210"/>
      <c r="OW107" s="210"/>
      <c r="RG107" s="120"/>
    </row>
    <row r="108" spans="1:475" x14ac:dyDescent="0.3">
      <c r="A108" s="7">
        <v>20</v>
      </c>
      <c r="B108" s="7">
        <v>98</v>
      </c>
      <c r="C108" s="7" t="s">
        <v>276</v>
      </c>
      <c r="D108" s="7" t="s">
        <v>277</v>
      </c>
      <c r="E108" s="7" t="s">
        <v>307</v>
      </c>
      <c r="F108" s="7" t="s">
        <v>275</v>
      </c>
      <c r="G108" s="41" t="str">
        <f t="shared" si="14"/>
        <v>X</v>
      </c>
      <c r="H108" s="41">
        <f>INDEX(환산공식!CI$16:CI$301,MATCH('배치점수 계산기'!$W108,환산공식!$A$16:$A$301,0))</f>
        <v>166.7</v>
      </c>
      <c r="I108" s="41" t="str">
        <f>CONCATENATE(ROUND(INDEX(환산공식!CJ$16:CJ$301,MATCH('배치점수 계산기'!$W108,환산공식!$A$16:$A$301,0)),1),"%")</f>
        <v>100%</v>
      </c>
      <c r="J108" s="41">
        <f>INDEX(환산공식!CK$16:CK$301,MATCH('배치점수 계산기'!$W108,환산공식!$A$16:$A$301,0))</f>
        <v>10</v>
      </c>
      <c r="K108" s="7">
        <f>INDEX(환산공식!$EF$16:$EF$301,MATCH('배치점수 계산기'!W108,환산공식!$A$16:$A$301,0))</f>
        <v>0</v>
      </c>
      <c r="L108" s="41" t="str">
        <f t="shared" si="12"/>
        <v>1% 이하</v>
      </c>
      <c r="M108" s="7">
        <v>712.19434353918018</v>
      </c>
      <c r="N108" s="7">
        <v>711.63898995148975</v>
      </c>
      <c r="O108" s="7">
        <v>709.69441549418093</v>
      </c>
      <c r="P108" s="7">
        <v>708.66666666666674</v>
      </c>
      <c r="Q108" s="7">
        <v>707.30554101221651</v>
      </c>
      <c r="R108" s="7">
        <f t="shared" si="13"/>
        <v>6</v>
      </c>
      <c r="T108" s="7">
        <f>COUNTIF($C$11:C108,C108)</f>
        <v>45</v>
      </c>
      <c r="U108" s="7" t="str">
        <f t="shared" si="15"/>
        <v>가45</v>
      </c>
      <c r="V108" s="7" t="str">
        <f>INDEX(환산공식!$C$16:$C$301,MATCH('배치점수 계산기'!W108,환산공식!$A$16:$A$301,0))</f>
        <v>연세대 통합</v>
      </c>
      <c r="W108" s="7">
        <f t="shared" si="16"/>
        <v>20</v>
      </c>
      <c r="X108" s="7">
        <f t="shared" si="17"/>
        <v>1</v>
      </c>
      <c r="Y108" s="7">
        <f>IFERROR(INDEX(환산공식!Q$16:Q$200,MATCH($A108,환산공식!$A$16:$A$200,0)),"")</f>
        <v>1.6666666666666665</v>
      </c>
      <c r="Z108" s="7">
        <f>IFERROR(INDEX(환산공식!R$16:R$200,MATCH($A108,환산공식!$A$16:$A$200,0)),"")</f>
        <v>1.6666666666666665</v>
      </c>
      <c r="AA108" s="7">
        <f>IFERROR(INDEX(환산공식!U$16:U$200,MATCH($A108,환산공식!$A$16:$A$200,0)),"")</f>
        <v>0.83333333333333326</v>
      </c>
      <c r="AB108" s="7">
        <f t="shared" si="18"/>
        <v>0.4</v>
      </c>
      <c r="AC108" s="7">
        <f t="shared" si="19"/>
        <v>0.4</v>
      </c>
      <c r="AD108" s="7">
        <f t="shared" si="20"/>
        <v>0.2</v>
      </c>
      <c r="AE108" s="7">
        <f>INDEX(환산공식!$AF$16:$AF$301,MATCH('배치점수 계산기'!W108,환산공식!$A$16:$A$301,0))</f>
        <v>1</v>
      </c>
      <c r="AF108" s="7">
        <f>INDEX(환산공식!$AP$16:$AP$301,MATCH('배치점수 계산기'!W108,환산공식!$A$16:$A$301,0))</f>
        <v>1</v>
      </c>
      <c r="AG108" s="7" t="str">
        <f t="shared" si="21"/>
        <v>표점</v>
      </c>
      <c r="AH108" s="7" t="str">
        <f t="shared" si="22"/>
        <v>표점</v>
      </c>
      <c r="BO108" s="210"/>
      <c r="BP108" s="210"/>
      <c r="BQ108" s="210"/>
      <c r="BR108" s="210"/>
      <c r="BS108" s="210"/>
      <c r="BT108" s="210"/>
      <c r="BU108" s="210"/>
      <c r="BV108" s="210"/>
      <c r="BW108" s="210"/>
      <c r="BX108" s="210"/>
      <c r="BY108" s="210"/>
      <c r="BZ108" s="210"/>
      <c r="CA108" s="210"/>
      <c r="CB108" s="210"/>
      <c r="CC108" s="210"/>
      <c r="EM108" s="120"/>
      <c r="ET108" s="210"/>
      <c r="EU108" s="210"/>
      <c r="EV108" s="210"/>
      <c r="EW108" s="210"/>
      <c r="EX108" s="210"/>
      <c r="EY108" s="210"/>
      <c r="EZ108" s="210"/>
      <c r="FA108" s="210"/>
      <c r="FB108" s="210"/>
      <c r="FC108" s="210"/>
      <c r="FD108" s="210"/>
      <c r="FE108" s="210"/>
      <c r="FF108" s="210"/>
      <c r="FG108" s="210"/>
      <c r="FH108" s="210"/>
      <c r="HR108" s="120"/>
      <c r="HY108" s="210"/>
      <c r="HZ108" s="210"/>
      <c r="IA108" s="210"/>
      <c r="IB108" s="210"/>
      <c r="IC108" s="210"/>
      <c r="ID108" s="210"/>
      <c r="IE108" s="210"/>
      <c r="IF108" s="210"/>
      <c r="IG108" s="210"/>
      <c r="IH108" s="210"/>
      <c r="II108" s="210"/>
      <c r="IJ108" s="210"/>
      <c r="IK108" s="210"/>
      <c r="IL108" s="210"/>
      <c r="IM108" s="210"/>
      <c r="KW108" s="120"/>
      <c r="LD108" s="210"/>
      <c r="LE108" s="210"/>
      <c r="LF108" s="210"/>
      <c r="LG108" s="210"/>
      <c r="LH108" s="210"/>
      <c r="LI108" s="210"/>
      <c r="LJ108" s="210"/>
      <c r="LK108" s="210"/>
      <c r="LL108" s="210"/>
      <c r="LM108" s="210"/>
      <c r="LN108" s="210"/>
      <c r="LO108" s="210"/>
      <c r="LP108" s="210"/>
      <c r="LQ108" s="210"/>
      <c r="LR108" s="210"/>
      <c r="OB108" s="120"/>
      <c r="OI108" s="210"/>
      <c r="OJ108" s="210"/>
      <c r="OK108" s="210"/>
      <c r="OL108" s="210"/>
      <c r="OM108" s="210"/>
      <c r="ON108" s="210"/>
      <c r="OO108" s="210"/>
      <c r="OP108" s="210"/>
      <c r="OQ108" s="210"/>
      <c r="OR108" s="210"/>
      <c r="OS108" s="210"/>
      <c r="OT108" s="210"/>
      <c r="OU108" s="210"/>
      <c r="OV108" s="210"/>
      <c r="OW108" s="210"/>
      <c r="RG108" s="120"/>
    </row>
    <row r="109" spans="1:475" x14ac:dyDescent="0.3">
      <c r="A109" s="7">
        <v>20</v>
      </c>
      <c r="B109" s="7">
        <v>99</v>
      </c>
      <c r="C109" s="7" t="s">
        <v>276</v>
      </c>
      <c r="D109" s="7" t="s">
        <v>277</v>
      </c>
      <c r="E109" s="7" t="s">
        <v>308</v>
      </c>
      <c r="F109" s="7" t="s">
        <v>275</v>
      </c>
      <c r="G109" s="41" t="str">
        <f t="shared" si="14"/>
        <v>X</v>
      </c>
      <c r="H109" s="41">
        <f>INDEX(환산공식!CI$16:CI$301,MATCH('배치점수 계산기'!$W109,환산공식!$A$16:$A$301,0))</f>
        <v>166.7</v>
      </c>
      <c r="I109" s="41" t="str">
        <f>CONCATENATE(ROUND(INDEX(환산공식!CJ$16:CJ$301,MATCH('배치점수 계산기'!$W109,환산공식!$A$16:$A$301,0)),1),"%")</f>
        <v>100%</v>
      </c>
      <c r="J109" s="41">
        <f>INDEX(환산공식!CK$16:CK$301,MATCH('배치점수 계산기'!$W109,환산공식!$A$16:$A$301,0))</f>
        <v>10</v>
      </c>
      <c r="K109" s="7">
        <f>INDEX(환산공식!$EF$16:$EF$301,MATCH('배치점수 계산기'!W109,환산공식!$A$16:$A$301,0))</f>
        <v>0</v>
      </c>
      <c r="L109" s="41" t="str">
        <f t="shared" si="12"/>
        <v>1% 이하</v>
      </c>
      <c r="M109" s="7">
        <v>712.97234465474025</v>
      </c>
      <c r="N109" s="7">
        <v>711</v>
      </c>
      <c r="O109" s="7">
        <v>709.5</v>
      </c>
      <c r="P109" s="7">
        <v>708.66666666666674</v>
      </c>
      <c r="Q109" s="7">
        <v>707.30554101221651</v>
      </c>
      <c r="R109" s="7">
        <f t="shared" si="13"/>
        <v>6</v>
      </c>
      <c r="T109" s="7">
        <f>COUNTIF($C$11:C109,C109)</f>
        <v>46</v>
      </c>
      <c r="U109" s="7" t="str">
        <f t="shared" si="15"/>
        <v>가46</v>
      </c>
      <c r="V109" s="7" t="str">
        <f>INDEX(환산공식!$C$16:$C$301,MATCH('배치점수 계산기'!W109,환산공식!$A$16:$A$301,0))</f>
        <v>연세대 통합</v>
      </c>
      <c r="W109" s="7">
        <f t="shared" si="16"/>
        <v>20</v>
      </c>
      <c r="X109" s="7">
        <f t="shared" si="17"/>
        <v>1</v>
      </c>
      <c r="Y109" s="7">
        <f>IFERROR(INDEX(환산공식!Q$16:Q$200,MATCH($A109,환산공식!$A$16:$A$200,0)),"")</f>
        <v>1.6666666666666665</v>
      </c>
      <c r="Z109" s="7">
        <f>IFERROR(INDEX(환산공식!R$16:R$200,MATCH($A109,환산공식!$A$16:$A$200,0)),"")</f>
        <v>1.6666666666666665</v>
      </c>
      <c r="AA109" s="7">
        <f>IFERROR(INDEX(환산공식!U$16:U$200,MATCH($A109,환산공식!$A$16:$A$200,0)),"")</f>
        <v>0.83333333333333326</v>
      </c>
      <c r="AB109" s="7">
        <f t="shared" si="18"/>
        <v>0.4</v>
      </c>
      <c r="AC109" s="7">
        <f t="shared" si="19"/>
        <v>0.4</v>
      </c>
      <c r="AD109" s="7">
        <f t="shared" si="20"/>
        <v>0.2</v>
      </c>
      <c r="AE109" s="7">
        <f>INDEX(환산공식!$AF$16:$AF$301,MATCH('배치점수 계산기'!W109,환산공식!$A$16:$A$301,0))</f>
        <v>1</v>
      </c>
      <c r="AF109" s="7">
        <f>INDEX(환산공식!$AP$16:$AP$301,MATCH('배치점수 계산기'!W109,환산공식!$A$16:$A$301,0))</f>
        <v>1</v>
      </c>
      <c r="AG109" s="7" t="str">
        <f t="shared" si="21"/>
        <v>표점</v>
      </c>
      <c r="AH109" s="7" t="str">
        <f t="shared" si="22"/>
        <v>표점</v>
      </c>
      <c r="BO109" s="210"/>
      <c r="BP109" s="210"/>
      <c r="BQ109" s="210"/>
      <c r="BR109" s="210"/>
      <c r="BS109" s="210"/>
      <c r="BT109" s="210"/>
      <c r="BU109" s="210"/>
      <c r="BV109" s="210"/>
      <c r="BW109" s="210"/>
      <c r="BX109" s="210"/>
      <c r="BY109" s="210"/>
      <c r="BZ109" s="210"/>
      <c r="CA109" s="210"/>
      <c r="CB109" s="210"/>
      <c r="CC109" s="210"/>
      <c r="EM109" s="120"/>
      <c r="ET109" s="210"/>
      <c r="EU109" s="210"/>
      <c r="EV109" s="210"/>
      <c r="EW109" s="210"/>
      <c r="EX109" s="210"/>
      <c r="EY109" s="210"/>
      <c r="EZ109" s="210"/>
      <c r="FA109" s="210"/>
      <c r="FB109" s="210"/>
      <c r="FC109" s="210"/>
      <c r="FD109" s="210"/>
      <c r="FE109" s="210"/>
      <c r="FF109" s="210"/>
      <c r="FG109" s="210"/>
      <c r="FH109" s="210"/>
      <c r="HR109" s="120"/>
      <c r="HY109" s="210"/>
      <c r="HZ109" s="210"/>
      <c r="IA109" s="210"/>
      <c r="IB109" s="210"/>
      <c r="IC109" s="210"/>
      <c r="ID109" s="210"/>
      <c r="IE109" s="210"/>
      <c r="IF109" s="210"/>
      <c r="IG109" s="210"/>
      <c r="IH109" s="210"/>
      <c r="II109" s="210"/>
      <c r="IJ109" s="210"/>
      <c r="IK109" s="210"/>
      <c r="IL109" s="210"/>
      <c r="IM109" s="210"/>
      <c r="KW109" s="120"/>
      <c r="LD109" s="210"/>
      <c r="LE109" s="210"/>
      <c r="LF109" s="210"/>
      <c r="LG109" s="210"/>
      <c r="LH109" s="210"/>
      <c r="LI109" s="210"/>
      <c r="LJ109" s="210"/>
      <c r="LK109" s="210"/>
      <c r="LL109" s="210"/>
      <c r="LM109" s="210"/>
      <c r="LN109" s="210"/>
      <c r="LO109" s="210"/>
      <c r="LP109" s="210"/>
      <c r="LQ109" s="210"/>
      <c r="LR109" s="210"/>
      <c r="OB109" s="120"/>
      <c r="OI109" s="210"/>
      <c r="OJ109" s="210"/>
      <c r="OK109" s="210"/>
      <c r="OL109" s="210"/>
      <c r="OM109" s="210"/>
      <c r="ON109" s="210"/>
      <c r="OO109" s="210"/>
      <c r="OP109" s="210"/>
      <c r="OQ109" s="210"/>
      <c r="OR109" s="210"/>
      <c r="OS109" s="210"/>
      <c r="OT109" s="210"/>
      <c r="OU109" s="210"/>
      <c r="OV109" s="210"/>
      <c r="OW109" s="210"/>
      <c r="RG109" s="120"/>
    </row>
    <row r="110" spans="1:475" x14ac:dyDescent="0.3">
      <c r="A110" s="7">
        <v>20</v>
      </c>
      <c r="B110" s="7">
        <v>100</v>
      </c>
      <c r="C110" s="7" t="s">
        <v>276</v>
      </c>
      <c r="D110" s="7" t="s">
        <v>277</v>
      </c>
      <c r="E110" s="7" t="s">
        <v>309</v>
      </c>
      <c r="F110" s="7" t="s">
        <v>275</v>
      </c>
      <c r="G110" s="41" t="str">
        <f t="shared" si="14"/>
        <v>X</v>
      </c>
      <c r="H110" s="41">
        <f>INDEX(환산공식!CI$16:CI$301,MATCH('배치점수 계산기'!$W110,환산공식!$A$16:$A$301,0))</f>
        <v>166.7</v>
      </c>
      <c r="I110" s="41" t="str">
        <f>CONCATENATE(ROUND(INDEX(환산공식!CJ$16:CJ$301,MATCH('배치점수 계산기'!$W110,환산공식!$A$16:$A$301,0)),1),"%")</f>
        <v>100%</v>
      </c>
      <c r="J110" s="41">
        <f>INDEX(환산공식!CK$16:CK$301,MATCH('배치점수 계산기'!$W110,환산공식!$A$16:$A$301,0))</f>
        <v>10</v>
      </c>
      <c r="K110" s="7">
        <f>INDEX(환산공식!$EF$16:$EF$301,MATCH('배치점수 계산기'!W110,환산공식!$A$16:$A$301,0))</f>
        <v>0</v>
      </c>
      <c r="L110" s="41" t="str">
        <f t="shared" si="12"/>
        <v>1% 이하</v>
      </c>
      <c r="M110" s="7">
        <v>712.97234465474025</v>
      </c>
      <c r="N110" s="7">
        <v>711</v>
      </c>
      <c r="O110" s="7">
        <v>709.5</v>
      </c>
      <c r="P110" s="7">
        <v>708.66666666666674</v>
      </c>
      <c r="Q110" s="7">
        <v>707.30554101221651</v>
      </c>
      <c r="R110" s="7">
        <f t="shared" si="13"/>
        <v>6</v>
      </c>
      <c r="T110" s="7">
        <f>COUNTIF($C$11:C110,C110)</f>
        <v>47</v>
      </c>
      <c r="U110" s="7" t="str">
        <f t="shared" si="15"/>
        <v>가47</v>
      </c>
      <c r="V110" s="7" t="str">
        <f>INDEX(환산공식!$C$16:$C$301,MATCH('배치점수 계산기'!W110,환산공식!$A$16:$A$301,0))</f>
        <v>연세대 통합</v>
      </c>
      <c r="W110" s="7">
        <f t="shared" si="16"/>
        <v>20</v>
      </c>
      <c r="X110" s="7">
        <f t="shared" si="17"/>
        <v>1</v>
      </c>
      <c r="Y110" s="7">
        <f>IFERROR(INDEX(환산공식!Q$16:Q$200,MATCH($A110,환산공식!$A$16:$A$200,0)),"")</f>
        <v>1.6666666666666665</v>
      </c>
      <c r="Z110" s="7">
        <f>IFERROR(INDEX(환산공식!R$16:R$200,MATCH($A110,환산공식!$A$16:$A$200,0)),"")</f>
        <v>1.6666666666666665</v>
      </c>
      <c r="AA110" s="7">
        <f>IFERROR(INDEX(환산공식!U$16:U$200,MATCH($A110,환산공식!$A$16:$A$200,0)),"")</f>
        <v>0.83333333333333326</v>
      </c>
      <c r="AB110" s="7">
        <f t="shared" si="18"/>
        <v>0.4</v>
      </c>
      <c r="AC110" s="7">
        <f t="shared" si="19"/>
        <v>0.4</v>
      </c>
      <c r="AD110" s="7">
        <f t="shared" si="20"/>
        <v>0.2</v>
      </c>
      <c r="AE110" s="7">
        <f>INDEX(환산공식!$AF$16:$AF$301,MATCH('배치점수 계산기'!W110,환산공식!$A$16:$A$301,0))</f>
        <v>1</v>
      </c>
      <c r="AF110" s="7">
        <f>INDEX(환산공식!$AP$16:$AP$301,MATCH('배치점수 계산기'!W110,환산공식!$A$16:$A$301,0))</f>
        <v>1</v>
      </c>
      <c r="AG110" s="7" t="str">
        <f t="shared" si="21"/>
        <v>표점</v>
      </c>
      <c r="AH110" s="7" t="str">
        <f t="shared" si="22"/>
        <v>표점</v>
      </c>
      <c r="BO110" s="210"/>
      <c r="BP110" s="210"/>
      <c r="BQ110" s="210"/>
      <c r="BR110" s="210"/>
      <c r="BS110" s="210"/>
      <c r="BT110" s="210"/>
      <c r="BU110" s="210"/>
      <c r="BV110" s="210"/>
      <c r="BW110" s="210"/>
      <c r="BX110" s="210"/>
      <c r="BY110" s="210"/>
      <c r="BZ110" s="210"/>
      <c r="CA110" s="210"/>
      <c r="CB110" s="210"/>
      <c r="CC110" s="210"/>
      <c r="EM110" s="120"/>
      <c r="ET110" s="210"/>
      <c r="EU110" s="210"/>
      <c r="EV110" s="210"/>
      <c r="EW110" s="210"/>
      <c r="EX110" s="210"/>
      <c r="EY110" s="210"/>
      <c r="EZ110" s="210"/>
      <c r="FA110" s="210"/>
      <c r="FB110" s="210"/>
      <c r="FC110" s="210"/>
      <c r="FD110" s="210"/>
      <c r="FE110" s="210"/>
      <c r="FF110" s="210"/>
      <c r="FG110" s="210"/>
      <c r="FH110" s="210"/>
      <c r="HR110" s="120"/>
      <c r="HY110" s="210"/>
      <c r="HZ110" s="210"/>
      <c r="IA110" s="210"/>
      <c r="IB110" s="210"/>
      <c r="IC110" s="210"/>
      <c r="ID110" s="210"/>
      <c r="IE110" s="210"/>
      <c r="IF110" s="210"/>
      <c r="IG110" s="210"/>
      <c r="IH110" s="210"/>
      <c r="II110" s="210"/>
      <c r="IJ110" s="210"/>
      <c r="IK110" s="210"/>
      <c r="IL110" s="210"/>
      <c r="IM110" s="210"/>
      <c r="KW110" s="120"/>
      <c r="LD110" s="210"/>
      <c r="LE110" s="210"/>
      <c r="LF110" s="210"/>
      <c r="LG110" s="210"/>
      <c r="LH110" s="210"/>
      <c r="LI110" s="210"/>
      <c r="LJ110" s="210"/>
      <c r="LK110" s="210"/>
      <c r="LL110" s="210"/>
      <c r="LM110" s="210"/>
      <c r="LN110" s="210"/>
      <c r="LO110" s="210"/>
      <c r="LP110" s="210"/>
      <c r="LQ110" s="210"/>
      <c r="LR110" s="210"/>
      <c r="OB110" s="120"/>
      <c r="OI110" s="210"/>
      <c r="OJ110" s="210"/>
      <c r="OK110" s="210"/>
      <c r="OL110" s="210"/>
      <c r="OM110" s="210"/>
      <c r="ON110" s="210"/>
      <c r="OO110" s="210"/>
      <c r="OP110" s="210"/>
      <c r="OQ110" s="210"/>
      <c r="OR110" s="210"/>
      <c r="OS110" s="210"/>
      <c r="OT110" s="210"/>
      <c r="OU110" s="210"/>
      <c r="OV110" s="210"/>
      <c r="OW110" s="210"/>
      <c r="RG110" s="120"/>
    </row>
    <row r="111" spans="1:475" x14ac:dyDescent="0.3">
      <c r="A111" s="7">
        <v>20</v>
      </c>
      <c r="B111" s="7">
        <v>101</v>
      </c>
      <c r="C111" s="7" t="s">
        <v>276</v>
      </c>
      <c r="D111" s="7" t="s">
        <v>277</v>
      </c>
      <c r="E111" s="7" t="s">
        <v>310</v>
      </c>
      <c r="F111" s="7" t="s">
        <v>275</v>
      </c>
      <c r="G111" s="41" t="str">
        <f t="shared" si="14"/>
        <v>X</v>
      </c>
      <c r="H111" s="41">
        <f>INDEX(환산공식!CI$16:CI$301,MATCH('배치점수 계산기'!$W111,환산공식!$A$16:$A$301,0))</f>
        <v>166.7</v>
      </c>
      <c r="I111" s="41" t="str">
        <f>CONCATENATE(ROUND(INDEX(환산공식!CJ$16:CJ$301,MATCH('배치점수 계산기'!$W111,환산공식!$A$16:$A$301,0)),1),"%")</f>
        <v>100%</v>
      </c>
      <c r="J111" s="41">
        <f>INDEX(환산공식!CK$16:CK$301,MATCH('배치점수 계산기'!$W111,환산공식!$A$16:$A$301,0))</f>
        <v>10</v>
      </c>
      <c r="K111" s="7">
        <f>INDEX(환산공식!$EF$16:$EF$301,MATCH('배치점수 계산기'!W111,환산공식!$A$16:$A$301,0))</f>
        <v>0</v>
      </c>
      <c r="L111" s="41" t="str">
        <f t="shared" si="12"/>
        <v>1% 이하</v>
      </c>
      <c r="M111" s="7">
        <v>712.97234465474025</v>
      </c>
      <c r="N111" s="7">
        <v>710.83333333333326</v>
      </c>
      <c r="O111" s="7">
        <v>709.30559179059037</v>
      </c>
      <c r="P111" s="7">
        <v>708.66666666666674</v>
      </c>
      <c r="Q111" s="7">
        <v>706.33333333333326</v>
      </c>
      <c r="R111" s="7">
        <f t="shared" si="13"/>
        <v>6</v>
      </c>
      <c r="T111" s="7">
        <f>COUNTIF($C$11:C111,C111)</f>
        <v>48</v>
      </c>
      <c r="U111" s="7" t="str">
        <f t="shared" si="15"/>
        <v>가48</v>
      </c>
      <c r="V111" s="7" t="str">
        <f>INDEX(환산공식!$C$16:$C$301,MATCH('배치점수 계산기'!W111,환산공식!$A$16:$A$301,0))</f>
        <v>연세대 통합</v>
      </c>
      <c r="W111" s="7">
        <f t="shared" si="16"/>
        <v>20</v>
      </c>
      <c r="X111" s="7">
        <f t="shared" si="17"/>
        <v>1</v>
      </c>
      <c r="Y111" s="7">
        <f>IFERROR(INDEX(환산공식!Q$16:Q$200,MATCH($A111,환산공식!$A$16:$A$200,0)),"")</f>
        <v>1.6666666666666665</v>
      </c>
      <c r="Z111" s="7">
        <f>IFERROR(INDEX(환산공식!R$16:R$200,MATCH($A111,환산공식!$A$16:$A$200,0)),"")</f>
        <v>1.6666666666666665</v>
      </c>
      <c r="AA111" s="7">
        <f>IFERROR(INDEX(환산공식!U$16:U$200,MATCH($A111,환산공식!$A$16:$A$200,0)),"")</f>
        <v>0.83333333333333326</v>
      </c>
      <c r="AB111" s="7">
        <f t="shared" si="18"/>
        <v>0.4</v>
      </c>
      <c r="AC111" s="7">
        <f t="shared" si="19"/>
        <v>0.4</v>
      </c>
      <c r="AD111" s="7">
        <f t="shared" si="20"/>
        <v>0.2</v>
      </c>
      <c r="AE111" s="7">
        <f>INDEX(환산공식!$AF$16:$AF$301,MATCH('배치점수 계산기'!W111,환산공식!$A$16:$A$301,0))</f>
        <v>1</v>
      </c>
      <c r="AF111" s="7">
        <f>INDEX(환산공식!$AP$16:$AP$301,MATCH('배치점수 계산기'!W111,환산공식!$A$16:$A$301,0))</f>
        <v>1</v>
      </c>
      <c r="AG111" s="7" t="str">
        <f t="shared" si="21"/>
        <v>표점</v>
      </c>
      <c r="AH111" s="7" t="str">
        <f t="shared" si="22"/>
        <v>표점</v>
      </c>
      <c r="BO111" s="210"/>
      <c r="BP111" s="210"/>
      <c r="BQ111" s="210"/>
      <c r="BR111" s="210"/>
      <c r="BS111" s="210"/>
      <c r="BT111" s="210"/>
      <c r="BU111" s="210"/>
      <c r="BV111" s="210"/>
      <c r="BW111" s="210"/>
      <c r="BX111" s="210"/>
      <c r="BY111" s="210"/>
      <c r="BZ111" s="210"/>
      <c r="CA111" s="210"/>
      <c r="CB111" s="210"/>
      <c r="CC111" s="210"/>
      <c r="EM111" s="120"/>
      <c r="ET111" s="210"/>
      <c r="EU111" s="210"/>
      <c r="EV111" s="210"/>
      <c r="EW111" s="210"/>
      <c r="EX111" s="210"/>
      <c r="EY111" s="210"/>
      <c r="EZ111" s="210"/>
      <c r="FA111" s="210"/>
      <c r="FB111" s="210"/>
      <c r="FC111" s="210"/>
      <c r="FD111" s="210"/>
      <c r="FE111" s="210"/>
      <c r="FF111" s="210"/>
      <c r="FG111" s="210"/>
      <c r="FH111" s="210"/>
      <c r="HR111" s="120"/>
      <c r="HY111" s="210"/>
      <c r="HZ111" s="210"/>
      <c r="IA111" s="210"/>
      <c r="IB111" s="210"/>
      <c r="IC111" s="210"/>
      <c r="ID111" s="210"/>
      <c r="IE111" s="210"/>
      <c r="IF111" s="210"/>
      <c r="IG111" s="210"/>
      <c r="IH111" s="210"/>
      <c r="II111" s="210"/>
      <c r="IJ111" s="210"/>
      <c r="IK111" s="210"/>
      <c r="IL111" s="210"/>
      <c r="IM111" s="210"/>
      <c r="KW111" s="120"/>
      <c r="LD111" s="210"/>
      <c r="LE111" s="210"/>
      <c r="LF111" s="210"/>
      <c r="LG111" s="210"/>
      <c r="LH111" s="210"/>
      <c r="LI111" s="210"/>
      <c r="LJ111" s="210"/>
      <c r="LK111" s="210"/>
      <c r="LL111" s="210"/>
      <c r="LM111" s="210"/>
      <c r="LN111" s="210"/>
      <c r="LO111" s="210"/>
      <c r="LP111" s="210"/>
      <c r="LQ111" s="210"/>
      <c r="LR111" s="210"/>
      <c r="OB111" s="120"/>
      <c r="OI111" s="210"/>
      <c r="OJ111" s="210"/>
      <c r="OK111" s="210"/>
      <c r="OL111" s="210"/>
      <c r="OM111" s="210"/>
      <c r="ON111" s="210"/>
      <c r="OO111" s="210"/>
      <c r="OP111" s="210"/>
      <c r="OQ111" s="210"/>
      <c r="OR111" s="210"/>
      <c r="OS111" s="210"/>
      <c r="OT111" s="210"/>
      <c r="OU111" s="210"/>
      <c r="OV111" s="210"/>
      <c r="OW111" s="210"/>
      <c r="RG111" s="120"/>
    </row>
    <row r="112" spans="1:475" x14ac:dyDescent="0.3">
      <c r="A112" s="7">
        <v>20</v>
      </c>
      <c r="B112" s="7">
        <v>102</v>
      </c>
      <c r="C112" s="7" t="s">
        <v>276</v>
      </c>
      <c r="D112" s="7" t="s">
        <v>277</v>
      </c>
      <c r="E112" s="7" t="s">
        <v>311</v>
      </c>
      <c r="F112" s="7" t="s">
        <v>275</v>
      </c>
      <c r="G112" s="41" t="str">
        <f t="shared" si="14"/>
        <v>X</v>
      </c>
      <c r="H112" s="41">
        <f>INDEX(환산공식!CI$16:CI$301,MATCH('배치점수 계산기'!$W112,환산공식!$A$16:$A$301,0))</f>
        <v>166.7</v>
      </c>
      <c r="I112" s="41" t="str">
        <f>CONCATENATE(ROUND(INDEX(환산공식!CJ$16:CJ$301,MATCH('배치점수 계산기'!$W112,환산공식!$A$16:$A$301,0)),1),"%")</f>
        <v>100%</v>
      </c>
      <c r="J112" s="41">
        <f>INDEX(환산공식!CK$16:CK$301,MATCH('배치점수 계산기'!$W112,환산공식!$A$16:$A$301,0))</f>
        <v>10</v>
      </c>
      <c r="K112" s="7">
        <f>INDEX(환산공식!$EF$16:$EF$301,MATCH('배치점수 계산기'!W112,환산공식!$A$16:$A$301,0))</f>
        <v>0</v>
      </c>
      <c r="L112" s="41" t="str">
        <f t="shared" si="12"/>
        <v>1% 이하</v>
      </c>
      <c r="M112" s="7">
        <v>714</v>
      </c>
      <c r="N112" s="7">
        <v>711.63898995148975</v>
      </c>
      <c r="O112" s="7">
        <v>709.69441549418093</v>
      </c>
      <c r="P112" s="7">
        <v>708.66666666666674</v>
      </c>
      <c r="Q112" s="7">
        <v>707.30554101221651</v>
      </c>
      <c r="R112" s="7">
        <f t="shared" si="13"/>
        <v>6</v>
      </c>
      <c r="T112" s="7">
        <f>COUNTIF($C$11:C112,C112)</f>
        <v>49</v>
      </c>
      <c r="U112" s="7" t="str">
        <f t="shared" si="15"/>
        <v>가49</v>
      </c>
      <c r="V112" s="7" t="str">
        <f>INDEX(환산공식!$C$16:$C$301,MATCH('배치점수 계산기'!W112,환산공식!$A$16:$A$301,0))</f>
        <v>연세대 통합</v>
      </c>
      <c r="W112" s="7">
        <f t="shared" si="16"/>
        <v>20</v>
      </c>
      <c r="X112" s="7">
        <f t="shared" si="17"/>
        <v>1</v>
      </c>
      <c r="Y112" s="7">
        <f>IFERROR(INDEX(환산공식!Q$16:Q$200,MATCH($A112,환산공식!$A$16:$A$200,0)),"")</f>
        <v>1.6666666666666665</v>
      </c>
      <c r="Z112" s="7">
        <f>IFERROR(INDEX(환산공식!R$16:R$200,MATCH($A112,환산공식!$A$16:$A$200,0)),"")</f>
        <v>1.6666666666666665</v>
      </c>
      <c r="AA112" s="7">
        <f>IFERROR(INDEX(환산공식!U$16:U$200,MATCH($A112,환산공식!$A$16:$A$200,0)),"")</f>
        <v>0.83333333333333326</v>
      </c>
      <c r="AB112" s="7">
        <f t="shared" si="18"/>
        <v>0.4</v>
      </c>
      <c r="AC112" s="7">
        <f t="shared" si="19"/>
        <v>0.4</v>
      </c>
      <c r="AD112" s="7">
        <f t="shared" si="20"/>
        <v>0.2</v>
      </c>
      <c r="AE112" s="7">
        <f>INDEX(환산공식!$AF$16:$AF$301,MATCH('배치점수 계산기'!W112,환산공식!$A$16:$A$301,0))</f>
        <v>1</v>
      </c>
      <c r="AF112" s="7">
        <f>INDEX(환산공식!$AP$16:$AP$301,MATCH('배치점수 계산기'!W112,환산공식!$A$16:$A$301,0))</f>
        <v>1</v>
      </c>
      <c r="AG112" s="7" t="str">
        <f t="shared" si="21"/>
        <v>표점</v>
      </c>
      <c r="AH112" s="7" t="str">
        <f t="shared" si="22"/>
        <v>표점</v>
      </c>
      <c r="BO112" s="210"/>
      <c r="BP112" s="210"/>
      <c r="BQ112" s="210"/>
      <c r="BR112" s="210"/>
      <c r="BS112" s="210"/>
      <c r="BT112" s="210"/>
      <c r="BU112" s="210"/>
      <c r="BV112" s="210"/>
      <c r="BW112" s="210"/>
      <c r="BX112" s="210"/>
      <c r="BY112" s="210"/>
      <c r="BZ112" s="210"/>
      <c r="CA112" s="210"/>
      <c r="CB112" s="210"/>
      <c r="CC112" s="210"/>
      <c r="EM112" s="120"/>
      <c r="ET112" s="210"/>
      <c r="EU112" s="210"/>
      <c r="EV112" s="210"/>
      <c r="EW112" s="210"/>
      <c r="EX112" s="210"/>
      <c r="EY112" s="210"/>
      <c r="EZ112" s="210"/>
      <c r="FA112" s="210"/>
      <c r="FB112" s="210"/>
      <c r="FC112" s="210"/>
      <c r="FD112" s="210"/>
      <c r="FE112" s="210"/>
      <c r="FF112" s="210"/>
      <c r="FG112" s="210"/>
      <c r="FH112" s="210"/>
      <c r="HR112" s="120"/>
      <c r="HY112" s="210"/>
      <c r="HZ112" s="210"/>
      <c r="IA112" s="210"/>
      <c r="IB112" s="210"/>
      <c r="IC112" s="210"/>
      <c r="ID112" s="210"/>
      <c r="IE112" s="210"/>
      <c r="IF112" s="210"/>
      <c r="IG112" s="210"/>
      <c r="IH112" s="210"/>
      <c r="II112" s="210"/>
      <c r="IJ112" s="210"/>
      <c r="IK112" s="210"/>
      <c r="IL112" s="210"/>
      <c r="IM112" s="210"/>
      <c r="KW112" s="120"/>
      <c r="LD112" s="210"/>
      <c r="LE112" s="210"/>
      <c r="LF112" s="210"/>
      <c r="LG112" s="210"/>
      <c r="LH112" s="210"/>
      <c r="LI112" s="210"/>
      <c r="LJ112" s="210"/>
      <c r="LK112" s="210"/>
      <c r="LL112" s="210"/>
      <c r="LM112" s="210"/>
      <c r="LN112" s="210"/>
      <c r="LO112" s="210"/>
      <c r="LP112" s="210"/>
      <c r="LQ112" s="210"/>
      <c r="LR112" s="210"/>
      <c r="OB112" s="120"/>
      <c r="OI112" s="210"/>
      <c r="OJ112" s="210"/>
      <c r="OK112" s="210"/>
      <c r="OL112" s="210"/>
      <c r="OM112" s="210"/>
      <c r="ON112" s="210"/>
      <c r="OO112" s="210"/>
      <c r="OP112" s="210"/>
      <c r="OQ112" s="210"/>
      <c r="OR112" s="210"/>
      <c r="OS112" s="210"/>
      <c r="OT112" s="210"/>
      <c r="OU112" s="210"/>
      <c r="OV112" s="210"/>
      <c r="OW112" s="210"/>
      <c r="RG112" s="120"/>
    </row>
    <row r="113" spans="1:475" x14ac:dyDescent="0.3">
      <c r="A113" s="7">
        <v>20</v>
      </c>
      <c r="B113" s="7">
        <v>103</v>
      </c>
      <c r="C113" s="7" t="s">
        <v>276</v>
      </c>
      <c r="D113" s="7" t="s">
        <v>277</v>
      </c>
      <c r="E113" s="7" t="s">
        <v>312</v>
      </c>
      <c r="F113" s="7" t="s">
        <v>275</v>
      </c>
      <c r="G113" s="41" t="str">
        <f t="shared" si="14"/>
        <v>X</v>
      </c>
      <c r="H113" s="41">
        <f>INDEX(환산공식!CI$16:CI$301,MATCH('배치점수 계산기'!$W113,환산공식!$A$16:$A$301,0))</f>
        <v>166.7</v>
      </c>
      <c r="I113" s="41" t="str">
        <f>CONCATENATE(ROUND(INDEX(환산공식!CJ$16:CJ$301,MATCH('배치점수 계산기'!$W113,환산공식!$A$16:$A$301,0)),1),"%")</f>
        <v>100%</v>
      </c>
      <c r="J113" s="41">
        <f>INDEX(환산공식!CK$16:CK$301,MATCH('배치점수 계산기'!$W113,환산공식!$A$16:$A$301,0))</f>
        <v>10</v>
      </c>
      <c r="K113" s="7">
        <f>INDEX(환산공식!$EF$16:$EF$301,MATCH('배치점수 계산기'!W113,환산공식!$A$16:$A$301,0))</f>
        <v>0</v>
      </c>
      <c r="L113" s="41" t="str">
        <f t="shared" si="12"/>
        <v>1% 이하</v>
      </c>
      <c r="M113" s="7">
        <v>712.19434353918018</v>
      </c>
      <c r="N113" s="7">
        <v>711</v>
      </c>
      <c r="O113" s="7">
        <v>709.69441549418093</v>
      </c>
      <c r="P113" s="7">
        <v>708.66666666666674</v>
      </c>
      <c r="Q113" s="7">
        <v>706</v>
      </c>
      <c r="R113" s="7">
        <f t="shared" si="13"/>
        <v>6</v>
      </c>
      <c r="T113" s="7">
        <f>COUNTIF($C$11:C113,C113)</f>
        <v>50</v>
      </c>
      <c r="U113" s="7" t="str">
        <f t="shared" si="15"/>
        <v>가50</v>
      </c>
      <c r="V113" s="7" t="str">
        <f>INDEX(환산공식!$C$16:$C$301,MATCH('배치점수 계산기'!W113,환산공식!$A$16:$A$301,0))</f>
        <v>연세대 통합</v>
      </c>
      <c r="W113" s="7">
        <f t="shared" si="16"/>
        <v>20</v>
      </c>
      <c r="X113" s="7">
        <f t="shared" si="17"/>
        <v>1</v>
      </c>
      <c r="Y113" s="7">
        <f>IFERROR(INDEX(환산공식!Q$16:Q$200,MATCH($A113,환산공식!$A$16:$A$200,0)),"")</f>
        <v>1.6666666666666665</v>
      </c>
      <c r="Z113" s="7">
        <f>IFERROR(INDEX(환산공식!R$16:R$200,MATCH($A113,환산공식!$A$16:$A$200,0)),"")</f>
        <v>1.6666666666666665</v>
      </c>
      <c r="AA113" s="7">
        <f>IFERROR(INDEX(환산공식!U$16:U$200,MATCH($A113,환산공식!$A$16:$A$200,0)),"")</f>
        <v>0.83333333333333326</v>
      </c>
      <c r="AB113" s="7">
        <f t="shared" si="18"/>
        <v>0.4</v>
      </c>
      <c r="AC113" s="7">
        <f t="shared" si="19"/>
        <v>0.4</v>
      </c>
      <c r="AD113" s="7">
        <f t="shared" si="20"/>
        <v>0.2</v>
      </c>
      <c r="AE113" s="7">
        <f>INDEX(환산공식!$AF$16:$AF$301,MATCH('배치점수 계산기'!W113,환산공식!$A$16:$A$301,0))</f>
        <v>1</v>
      </c>
      <c r="AF113" s="7">
        <f>INDEX(환산공식!$AP$16:$AP$301,MATCH('배치점수 계산기'!W113,환산공식!$A$16:$A$301,0))</f>
        <v>1</v>
      </c>
      <c r="AG113" s="7" t="str">
        <f t="shared" si="21"/>
        <v>표점</v>
      </c>
      <c r="AH113" s="7" t="str">
        <f t="shared" si="22"/>
        <v>표점</v>
      </c>
      <c r="BO113" s="210"/>
      <c r="BP113" s="210"/>
      <c r="BQ113" s="210"/>
      <c r="BR113" s="210"/>
      <c r="BS113" s="210"/>
      <c r="BT113" s="210"/>
      <c r="BU113" s="210"/>
      <c r="BV113" s="210"/>
      <c r="BW113" s="210"/>
      <c r="BX113" s="210"/>
      <c r="BY113" s="210"/>
      <c r="BZ113" s="210"/>
      <c r="CA113" s="210"/>
      <c r="CB113" s="210"/>
      <c r="CC113" s="210"/>
      <c r="EM113" s="120"/>
      <c r="ET113" s="210"/>
      <c r="EU113" s="210"/>
      <c r="EV113" s="210"/>
      <c r="EW113" s="210"/>
      <c r="EX113" s="210"/>
      <c r="EY113" s="210"/>
      <c r="EZ113" s="210"/>
      <c r="FA113" s="210"/>
      <c r="FB113" s="210"/>
      <c r="FC113" s="210"/>
      <c r="FD113" s="210"/>
      <c r="FE113" s="210"/>
      <c r="FF113" s="210"/>
      <c r="FG113" s="210"/>
      <c r="FH113" s="210"/>
      <c r="HR113" s="120"/>
      <c r="HY113" s="210"/>
      <c r="HZ113" s="210"/>
      <c r="IA113" s="210"/>
      <c r="IB113" s="210"/>
      <c r="IC113" s="210"/>
      <c r="ID113" s="210"/>
      <c r="IE113" s="210"/>
      <c r="IF113" s="210"/>
      <c r="IG113" s="210"/>
      <c r="IH113" s="210"/>
      <c r="II113" s="210"/>
      <c r="IJ113" s="210"/>
      <c r="IK113" s="210"/>
      <c r="IL113" s="210"/>
      <c r="IM113" s="210"/>
      <c r="KW113" s="120"/>
      <c r="LD113" s="210"/>
      <c r="LE113" s="210"/>
      <c r="LF113" s="210"/>
      <c r="LG113" s="210"/>
      <c r="LH113" s="210"/>
      <c r="LI113" s="210"/>
      <c r="LJ113" s="210"/>
      <c r="LK113" s="210"/>
      <c r="LL113" s="210"/>
      <c r="LM113" s="210"/>
      <c r="LN113" s="210"/>
      <c r="LO113" s="210"/>
      <c r="LP113" s="210"/>
      <c r="LQ113" s="210"/>
      <c r="LR113" s="210"/>
      <c r="OB113" s="120"/>
      <c r="OI113" s="210"/>
      <c r="OJ113" s="210"/>
      <c r="OK113" s="210"/>
      <c r="OL113" s="210"/>
      <c r="OM113" s="210"/>
      <c r="ON113" s="210"/>
      <c r="OO113" s="210"/>
      <c r="OP113" s="210"/>
      <c r="OQ113" s="210"/>
      <c r="OR113" s="210"/>
      <c r="OS113" s="210"/>
      <c r="OT113" s="210"/>
      <c r="OU113" s="210"/>
      <c r="OV113" s="210"/>
      <c r="OW113" s="210"/>
      <c r="RG113" s="120"/>
    </row>
    <row r="114" spans="1:475" x14ac:dyDescent="0.3">
      <c r="A114" s="7">
        <v>20</v>
      </c>
      <c r="B114" s="7">
        <v>104</v>
      </c>
      <c r="C114" s="7" t="s">
        <v>276</v>
      </c>
      <c r="D114" s="7" t="s">
        <v>277</v>
      </c>
      <c r="E114" s="7" t="s">
        <v>313</v>
      </c>
      <c r="F114" s="7" t="s">
        <v>275</v>
      </c>
      <c r="G114" s="41" t="str">
        <f t="shared" si="14"/>
        <v>X</v>
      </c>
      <c r="H114" s="41">
        <f>INDEX(환산공식!CI$16:CI$301,MATCH('배치점수 계산기'!$W114,환산공식!$A$16:$A$301,0))</f>
        <v>166.7</v>
      </c>
      <c r="I114" s="41" t="str">
        <f>CONCATENATE(ROUND(INDEX(환산공식!CJ$16:CJ$301,MATCH('배치점수 계산기'!$W114,환산공식!$A$16:$A$301,0)),1),"%")</f>
        <v>100%</v>
      </c>
      <c r="J114" s="41">
        <f>INDEX(환산공식!CK$16:CK$301,MATCH('배치점수 계산기'!$W114,환산공식!$A$16:$A$301,0))</f>
        <v>10</v>
      </c>
      <c r="K114" s="7">
        <f>INDEX(환산공식!$EF$16:$EF$301,MATCH('배치점수 계산기'!W114,환산공식!$A$16:$A$301,0))</f>
        <v>0</v>
      </c>
      <c r="L114" s="41" t="str">
        <f t="shared" si="12"/>
        <v>1% 이하</v>
      </c>
      <c r="M114" s="7">
        <v>712.97234465474025</v>
      </c>
      <c r="N114" s="7">
        <v>711.63898995148975</v>
      </c>
      <c r="O114" s="7">
        <v>710.16666666666674</v>
      </c>
      <c r="P114" s="7">
        <v>708.66666666666674</v>
      </c>
      <c r="Q114" s="7">
        <v>706</v>
      </c>
      <c r="R114" s="7">
        <f t="shared" si="13"/>
        <v>6</v>
      </c>
      <c r="T114" s="7">
        <f>COUNTIF($C$11:C114,C114)</f>
        <v>51</v>
      </c>
      <c r="U114" s="7" t="str">
        <f t="shared" si="15"/>
        <v>가51</v>
      </c>
      <c r="V114" s="7" t="str">
        <f>INDEX(환산공식!$C$16:$C$301,MATCH('배치점수 계산기'!W114,환산공식!$A$16:$A$301,0))</f>
        <v>연세대 통합</v>
      </c>
      <c r="W114" s="7">
        <f t="shared" si="16"/>
        <v>20</v>
      </c>
      <c r="X114" s="7">
        <f t="shared" si="17"/>
        <v>1</v>
      </c>
      <c r="Y114" s="7">
        <f>IFERROR(INDEX(환산공식!Q$16:Q$200,MATCH($A114,환산공식!$A$16:$A$200,0)),"")</f>
        <v>1.6666666666666665</v>
      </c>
      <c r="Z114" s="7">
        <f>IFERROR(INDEX(환산공식!R$16:R$200,MATCH($A114,환산공식!$A$16:$A$200,0)),"")</f>
        <v>1.6666666666666665</v>
      </c>
      <c r="AA114" s="7">
        <f>IFERROR(INDEX(환산공식!U$16:U$200,MATCH($A114,환산공식!$A$16:$A$200,0)),"")</f>
        <v>0.83333333333333326</v>
      </c>
      <c r="AB114" s="7">
        <f t="shared" si="18"/>
        <v>0.4</v>
      </c>
      <c r="AC114" s="7">
        <f t="shared" si="19"/>
        <v>0.4</v>
      </c>
      <c r="AD114" s="7">
        <f t="shared" si="20"/>
        <v>0.2</v>
      </c>
      <c r="AE114" s="7">
        <f>INDEX(환산공식!$AF$16:$AF$301,MATCH('배치점수 계산기'!W114,환산공식!$A$16:$A$301,0))</f>
        <v>1</v>
      </c>
      <c r="AF114" s="7">
        <f>INDEX(환산공식!$AP$16:$AP$301,MATCH('배치점수 계산기'!W114,환산공식!$A$16:$A$301,0))</f>
        <v>1</v>
      </c>
      <c r="AG114" s="7" t="str">
        <f t="shared" si="21"/>
        <v>표점</v>
      </c>
      <c r="AH114" s="7" t="str">
        <f t="shared" si="22"/>
        <v>표점</v>
      </c>
      <c r="BO114" s="210"/>
      <c r="BP114" s="210"/>
      <c r="BQ114" s="210"/>
      <c r="BR114" s="210"/>
      <c r="BS114" s="210"/>
      <c r="BT114" s="210"/>
      <c r="BU114" s="210"/>
      <c r="BV114" s="210"/>
      <c r="BW114" s="210"/>
      <c r="BX114" s="210"/>
      <c r="BY114" s="210"/>
      <c r="BZ114" s="210"/>
      <c r="CA114" s="210"/>
      <c r="CB114" s="210"/>
      <c r="CC114" s="210"/>
      <c r="EM114" s="120"/>
      <c r="ET114" s="210"/>
      <c r="EU114" s="210"/>
      <c r="EV114" s="210"/>
      <c r="EW114" s="210"/>
      <c r="EX114" s="210"/>
      <c r="EY114" s="210"/>
      <c r="EZ114" s="210"/>
      <c r="FA114" s="210"/>
      <c r="FB114" s="210"/>
      <c r="FC114" s="210"/>
      <c r="FD114" s="210"/>
      <c r="FE114" s="210"/>
      <c r="FF114" s="210"/>
      <c r="FG114" s="210"/>
      <c r="FH114" s="210"/>
      <c r="HR114" s="120"/>
      <c r="HY114" s="210"/>
      <c r="HZ114" s="210"/>
      <c r="IA114" s="210"/>
      <c r="IB114" s="210"/>
      <c r="IC114" s="210"/>
      <c r="ID114" s="210"/>
      <c r="IE114" s="210"/>
      <c r="IF114" s="210"/>
      <c r="IG114" s="210"/>
      <c r="IH114" s="210"/>
      <c r="II114" s="210"/>
      <c r="IJ114" s="210"/>
      <c r="IK114" s="210"/>
      <c r="IL114" s="210"/>
      <c r="IM114" s="210"/>
      <c r="KW114" s="120"/>
      <c r="LD114" s="210"/>
      <c r="LE114" s="210"/>
      <c r="LF114" s="210"/>
      <c r="LG114" s="210"/>
      <c r="LH114" s="210"/>
      <c r="LI114" s="210"/>
      <c r="LJ114" s="210"/>
      <c r="LK114" s="210"/>
      <c r="LL114" s="210"/>
      <c r="LM114" s="210"/>
      <c r="LN114" s="210"/>
      <c r="LO114" s="210"/>
      <c r="LP114" s="210"/>
      <c r="LQ114" s="210"/>
      <c r="LR114" s="210"/>
      <c r="OB114" s="120"/>
      <c r="OI114" s="210"/>
      <c r="OJ114" s="210"/>
      <c r="OK114" s="210"/>
      <c r="OL114" s="210"/>
      <c r="OM114" s="210"/>
      <c r="ON114" s="210"/>
      <c r="OO114" s="210"/>
      <c r="OP114" s="210"/>
      <c r="OQ114" s="210"/>
      <c r="OR114" s="210"/>
      <c r="OS114" s="210"/>
      <c r="OT114" s="210"/>
      <c r="OU114" s="210"/>
      <c r="OV114" s="210"/>
      <c r="OW114" s="210"/>
      <c r="RG114" s="120"/>
    </row>
    <row r="115" spans="1:475" x14ac:dyDescent="0.3">
      <c r="A115" s="7">
        <v>20</v>
      </c>
      <c r="B115" s="7">
        <v>105</v>
      </c>
      <c r="C115" s="7" t="s">
        <v>276</v>
      </c>
      <c r="D115" s="7" t="s">
        <v>277</v>
      </c>
      <c r="E115" s="7" t="s">
        <v>314</v>
      </c>
      <c r="F115" s="7" t="s">
        <v>275</v>
      </c>
      <c r="G115" s="41" t="str">
        <f t="shared" si="14"/>
        <v>X</v>
      </c>
      <c r="H115" s="41">
        <f>INDEX(환산공식!CI$16:CI$301,MATCH('배치점수 계산기'!$W115,환산공식!$A$16:$A$301,0))</f>
        <v>166.7</v>
      </c>
      <c r="I115" s="41" t="str">
        <f>CONCATENATE(ROUND(INDEX(환산공식!CJ$16:CJ$301,MATCH('배치점수 계산기'!$W115,환산공식!$A$16:$A$301,0)),1),"%")</f>
        <v>100%</v>
      </c>
      <c r="J115" s="41">
        <f>INDEX(환산공식!CK$16:CK$301,MATCH('배치점수 계산기'!$W115,환산공식!$A$16:$A$301,0))</f>
        <v>10</v>
      </c>
      <c r="K115" s="7">
        <f>INDEX(환산공식!$EF$16:$EF$301,MATCH('배치점수 계산기'!W115,환산공식!$A$16:$A$301,0))</f>
        <v>0</v>
      </c>
      <c r="L115" s="41" t="str">
        <f t="shared" si="12"/>
        <v>1% 이하</v>
      </c>
      <c r="M115" s="7">
        <v>709.69441549418093</v>
      </c>
      <c r="N115" s="7">
        <v>708.66666666666674</v>
      </c>
      <c r="O115" s="7">
        <v>706</v>
      </c>
      <c r="P115" s="7">
        <v>703.86122807017546</v>
      </c>
      <c r="Q115" s="7">
        <v>698</v>
      </c>
      <c r="R115" s="7">
        <f t="shared" si="13"/>
        <v>6</v>
      </c>
      <c r="T115" s="7">
        <f>COUNTIF($C$11:C115,C115)</f>
        <v>52</v>
      </c>
      <c r="U115" s="7" t="str">
        <f t="shared" si="15"/>
        <v>가52</v>
      </c>
      <c r="V115" s="7" t="str">
        <f>INDEX(환산공식!$C$16:$C$301,MATCH('배치점수 계산기'!W115,환산공식!$A$16:$A$301,0))</f>
        <v>연세대 통합</v>
      </c>
      <c r="W115" s="7">
        <f t="shared" si="16"/>
        <v>20</v>
      </c>
      <c r="X115" s="7">
        <f t="shared" si="17"/>
        <v>1</v>
      </c>
      <c r="Y115" s="7">
        <f>IFERROR(INDEX(환산공식!Q$16:Q$200,MATCH($A115,환산공식!$A$16:$A$200,0)),"")</f>
        <v>1.6666666666666665</v>
      </c>
      <c r="Z115" s="7">
        <f>IFERROR(INDEX(환산공식!R$16:R$200,MATCH($A115,환산공식!$A$16:$A$200,0)),"")</f>
        <v>1.6666666666666665</v>
      </c>
      <c r="AA115" s="7">
        <f>IFERROR(INDEX(환산공식!U$16:U$200,MATCH($A115,환산공식!$A$16:$A$200,0)),"")</f>
        <v>0.83333333333333326</v>
      </c>
      <c r="AB115" s="7">
        <f t="shared" si="18"/>
        <v>0.4</v>
      </c>
      <c r="AC115" s="7">
        <f t="shared" si="19"/>
        <v>0.4</v>
      </c>
      <c r="AD115" s="7">
        <f t="shared" si="20"/>
        <v>0.2</v>
      </c>
      <c r="AE115" s="7">
        <f>INDEX(환산공식!$AF$16:$AF$301,MATCH('배치점수 계산기'!W115,환산공식!$A$16:$A$301,0))</f>
        <v>1</v>
      </c>
      <c r="AF115" s="7">
        <f>INDEX(환산공식!$AP$16:$AP$301,MATCH('배치점수 계산기'!W115,환산공식!$A$16:$A$301,0))</f>
        <v>1</v>
      </c>
      <c r="AG115" s="7" t="str">
        <f t="shared" si="21"/>
        <v>표점</v>
      </c>
      <c r="AH115" s="7" t="str">
        <f t="shared" si="22"/>
        <v>표점</v>
      </c>
      <c r="BO115" s="210"/>
      <c r="BP115" s="210"/>
      <c r="BQ115" s="210"/>
      <c r="BR115" s="210"/>
      <c r="BS115" s="210"/>
      <c r="BT115" s="210"/>
      <c r="BU115" s="210"/>
      <c r="BV115" s="210"/>
      <c r="BW115" s="210"/>
      <c r="BX115" s="210"/>
      <c r="BY115" s="210"/>
      <c r="BZ115" s="210"/>
      <c r="CA115" s="210"/>
      <c r="CB115" s="210"/>
      <c r="CC115" s="210"/>
      <c r="EM115" s="120"/>
      <c r="ET115" s="210"/>
      <c r="EU115" s="210"/>
      <c r="EV115" s="210"/>
      <c r="EW115" s="210"/>
      <c r="EX115" s="210"/>
      <c r="EY115" s="210"/>
      <c r="EZ115" s="210"/>
      <c r="FA115" s="210"/>
      <c r="FB115" s="210"/>
      <c r="FC115" s="210"/>
      <c r="FD115" s="210"/>
      <c r="FE115" s="210"/>
      <c r="FF115" s="210"/>
      <c r="FG115" s="210"/>
      <c r="FH115" s="210"/>
      <c r="HR115" s="120"/>
      <c r="HY115" s="210"/>
      <c r="HZ115" s="210"/>
      <c r="IA115" s="210"/>
      <c r="IB115" s="210"/>
      <c r="IC115" s="210"/>
      <c r="ID115" s="210"/>
      <c r="IE115" s="210"/>
      <c r="IF115" s="210"/>
      <c r="IG115" s="210"/>
      <c r="IH115" s="210"/>
      <c r="II115" s="210"/>
      <c r="IJ115" s="210"/>
      <c r="IK115" s="210"/>
      <c r="IL115" s="210"/>
      <c r="IM115" s="210"/>
      <c r="KW115" s="120"/>
      <c r="LD115" s="210"/>
      <c r="LE115" s="210"/>
      <c r="LF115" s="210"/>
      <c r="LG115" s="210"/>
      <c r="LH115" s="210"/>
      <c r="LI115" s="210"/>
      <c r="LJ115" s="210"/>
      <c r="LK115" s="210"/>
      <c r="LL115" s="210"/>
      <c r="LM115" s="210"/>
      <c r="LN115" s="210"/>
      <c r="LO115" s="210"/>
      <c r="LP115" s="210"/>
      <c r="LQ115" s="210"/>
      <c r="LR115" s="210"/>
      <c r="OB115" s="120"/>
      <c r="OI115" s="210"/>
      <c r="OJ115" s="210"/>
      <c r="OK115" s="210"/>
      <c r="OL115" s="210"/>
      <c r="OM115" s="210"/>
      <c r="ON115" s="210"/>
      <c r="OO115" s="210"/>
      <c r="OP115" s="210"/>
      <c r="OQ115" s="210"/>
      <c r="OR115" s="210"/>
      <c r="OS115" s="210"/>
      <c r="OT115" s="210"/>
      <c r="OU115" s="210"/>
      <c r="OV115" s="210"/>
      <c r="OW115" s="210"/>
      <c r="RG115" s="120"/>
    </row>
    <row r="116" spans="1:475" x14ac:dyDescent="0.3">
      <c r="A116" s="7">
        <v>23</v>
      </c>
      <c r="B116" s="7">
        <v>106</v>
      </c>
      <c r="C116" s="7" t="s">
        <v>276</v>
      </c>
      <c r="D116" s="7" t="s">
        <v>317</v>
      </c>
      <c r="E116" s="7" t="s">
        <v>318</v>
      </c>
      <c r="F116" s="7" t="s">
        <v>274</v>
      </c>
      <c r="G116" s="41" t="str">
        <f t="shared" si="14"/>
        <v>X</v>
      </c>
      <c r="H116" s="41">
        <f>INDEX(환산공식!CI$16:CI$301,MATCH('배치점수 계산기'!$W116,환산공식!$A$16:$A$301,0))</f>
        <v>0</v>
      </c>
      <c r="I116" s="41" t="e">
        <f>CONCATENATE(ROUND(INDEX(환산공식!CJ$16:CJ$301,MATCH('배치점수 계산기'!$W116,환산공식!$A$16:$A$301,0)),1),"%")</f>
        <v>#DIV/0!</v>
      </c>
      <c r="J116" s="41">
        <f>INDEX(환산공식!CK$16:CK$301,MATCH('배치점수 계산기'!$W116,환산공식!$A$16:$A$301,0))</f>
        <v>10</v>
      </c>
      <c r="K116" s="7">
        <f>INDEX(환산공식!$EF$16:$EF$301,MATCH('배치점수 계산기'!W116,환산공식!$A$16:$A$301,0))</f>
        <v>0</v>
      </c>
      <c r="L116" s="41" t="str">
        <f t="shared" si="12"/>
        <v>1% 이하</v>
      </c>
      <c r="M116" s="7">
        <v>691.97681673599209</v>
      </c>
      <c r="N116" s="7">
        <v>683.23309352517992</v>
      </c>
      <c r="O116" s="7">
        <v>678.01562500000011</v>
      </c>
      <c r="P116" s="7">
        <v>671.52408459595961</v>
      </c>
      <c r="Q116" s="7">
        <v>660.16250000000002</v>
      </c>
      <c r="R116" s="7">
        <f t="shared" si="13"/>
        <v>6</v>
      </c>
      <c r="T116" s="7">
        <f>COUNTIF($C$11:C116,C116)</f>
        <v>53</v>
      </c>
      <c r="U116" s="7" t="str">
        <f t="shared" si="15"/>
        <v>가53</v>
      </c>
      <c r="V116" s="7" t="str">
        <f>INDEX(환산공식!$C$16:$C$301,MATCH('배치점수 계산기'!W116,환산공식!$A$16:$A$301,0))</f>
        <v>고려대 자연</v>
      </c>
      <c r="W116" s="7">
        <f t="shared" si="16"/>
        <v>23</v>
      </c>
      <c r="X116" s="7">
        <f t="shared" si="17"/>
        <v>1</v>
      </c>
      <c r="Y116" s="7">
        <f>IFERROR(INDEX(환산공식!Q$16:Q$200,MATCH($A116,환산공식!$A$16:$A$200,0)),"")</f>
        <v>1.5625</v>
      </c>
      <c r="Z116" s="7">
        <f>IFERROR(INDEX(환산공식!R$16:R$200,MATCH($A116,환산공식!$A$16:$A$200,0)),"")</f>
        <v>1.875</v>
      </c>
      <c r="AA116" s="7">
        <f>IFERROR(INDEX(환산공식!U$16:U$200,MATCH($A116,환산공식!$A$16:$A$200,0)),"")</f>
        <v>1.5625</v>
      </c>
      <c r="AB116" s="7">
        <f t="shared" si="18"/>
        <v>0.3125</v>
      </c>
      <c r="AC116" s="7">
        <f t="shared" si="19"/>
        <v>0.375</v>
      </c>
      <c r="AD116" s="7">
        <f t="shared" si="20"/>
        <v>0.3125</v>
      </c>
      <c r="AE116" s="7">
        <f>INDEX(환산공식!$AF$16:$AF$301,MATCH('배치점수 계산기'!W116,환산공식!$A$16:$A$301,0))</f>
        <v>1</v>
      </c>
      <c r="AF116" s="7">
        <f>INDEX(환산공식!$AP$16:$AP$301,MATCH('배치점수 계산기'!W116,환산공식!$A$16:$A$301,0))</f>
        <v>4</v>
      </c>
      <c r="AG116" s="7" t="str">
        <f t="shared" si="21"/>
        <v>표점</v>
      </c>
      <c r="AH116" s="7" t="str">
        <f t="shared" si="22"/>
        <v>변표</v>
      </c>
      <c r="BO116" s="210"/>
      <c r="BP116" s="210"/>
      <c r="BQ116" s="210"/>
      <c r="BR116" s="210"/>
      <c r="BS116" s="210"/>
      <c r="BT116" s="210"/>
      <c r="BU116" s="210"/>
      <c r="BV116" s="210"/>
      <c r="BW116" s="210"/>
      <c r="BX116" s="210"/>
      <c r="BY116" s="210"/>
      <c r="BZ116" s="210"/>
      <c r="CA116" s="210"/>
      <c r="CB116" s="210"/>
      <c r="CC116" s="210"/>
      <c r="EM116" s="120"/>
      <c r="ET116" s="210"/>
      <c r="EU116" s="210"/>
      <c r="EV116" s="210"/>
      <c r="EW116" s="210"/>
      <c r="EX116" s="210"/>
      <c r="EY116" s="210"/>
      <c r="EZ116" s="210"/>
      <c r="FA116" s="210"/>
      <c r="FB116" s="210"/>
      <c r="FC116" s="210"/>
      <c r="FD116" s="210"/>
      <c r="FE116" s="210"/>
      <c r="FF116" s="210"/>
      <c r="FG116" s="210"/>
      <c r="FH116" s="210"/>
      <c r="HR116" s="120"/>
      <c r="HY116" s="210"/>
      <c r="HZ116" s="210"/>
      <c r="IA116" s="210"/>
      <c r="IB116" s="210"/>
      <c r="IC116" s="210"/>
      <c r="ID116" s="210"/>
      <c r="IE116" s="210"/>
      <c r="IF116" s="210"/>
      <c r="IG116" s="210"/>
      <c r="IH116" s="210"/>
      <c r="II116" s="210"/>
      <c r="IJ116" s="210"/>
      <c r="IK116" s="210"/>
      <c r="IL116" s="210"/>
      <c r="IM116" s="210"/>
      <c r="KW116" s="120"/>
      <c r="LD116" s="210"/>
      <c r="LE116" s="210"/>
      <c r="LF116" s="210"/>
      <c r="LG116" s="210"/>
      <c r="LH116" s="210"/>
      <c r="LI116" s="210"/>
      <c r="LJ116" s="210"/>
      <c r="LK116" s="210"/>
      <c r="LL116" s="210"/>
      <c r="LM116" s="210"/>
      <c r="LN116" s="210"/>
      <c r="LO116" s="210"/>
      <c r="LP116" s="210"/>
      <c r="LQ116" s="210"/>
      <c r="LR116" s="210"/>
      <c r="OB116" s="120"/>
      <c r="OI116" s="210"/>
      <c r="OJ116" s="210"/>
      <c r="OK116" s="210"/>
      <c r="OL116" s="210"/>
      <c r="OM116" s="210"/>
      <c r="ON116" s="210"/>
      <c r="OO116" s="210"/>
      <c r="OP116" s="210"/>
      <c r="OQ116" s="210"/>
      <c r="OR116" s="210"/>
      <c r="OS116" s="210"/>
      <c r="OT116" s="210"/>
      <c r="OU116" s="210"/>
      <c r="OV116" s="210"/>
      <c r="OW116" s="210"/>
      <c r="RG116" s="120"/>
    </row>
    <row r="117" spans="1:475" x14ac:dyDescent="0.3">
      <c r="A117" s="7">
        <v>23</v>
      </c>
      <c r="B117" s="7">
        <v>107</v>
      </c>
      <c r="C117" s="7" t="s">
        <v>276</v>
      </c>
      <c r="D117" s="7" t="s">
        <v>317</v>
      </c>
      <c r="E117" s="7" t="s">
        <v>285</v>
      </c>
      <c r="F117" s="7" t="s">
        <v>274</v>
      </c>
      <c r="G117" s="41" t="str">
        <f t="shared" si="14"/>
        <v>X</v>
      </c>
      <c r="H117" s="41">
        <f>INDEX(환산공식!CI$16:CI$301,MATCH('배치점수 계산기'!$W117,환산공식!$A$16:$A$301,0))</f>
        <v>0</v>
      </c>
      <c r="I117" s="41" t="e">
        <f>CONCATENATE(ROUND(INDEX(환산공식!CJ$16:CJ$301,MATCH('배치점수 계산기'!$W117,환산공식!$A$16:$A$301,0)),1),"%")</f>
        <v>#DIV/0!</v>
      </c>
      <c r="J117" s="41">
        <f>INDEX(환산공식!CK$16:CK$301,MATCH('배치점수 계산기'!$W117,환산공식!$A$16:$A$301,0))</f>
        <v>10</v>
      </c>
      <c r="K117" s="7">
        <f>INDEX(환산공식!$EF$16:$EF$301,MATCH('배치점수 계산기'!W117,환산공식!$A$16:$A$301,0))</f>
        <v>0</v>
      </c>
      <c r="L117" s="41" t="str">
        <f t="shared" si="12"/>
        <v>1% 이하</v>
      </c>
      <c r="M117" s="7">
        <v>680.49251837319389</v>
      </c>
      <c r="N117" s="7">
        <v>678.01562500000011</v>
      </c>
      <c r="O117" s="7">
        <v>673.046875</v>
      </c>
      <c r="P117" s="7">
        <v>669.60223530901726</v>
      </c>
      <c r="Q117" s="7">
        <v>668.00852272727263</v>
      </c>
      <c r="R117" s="7">
        <f t="shared" si="13"/>
        <v>6</v>
      </c>
      <c r="T117" s="7">
        <f>COUNTIF($C$11:C117,C117)</f>
        <v>54</v>
      </c>
      <c r="U117" s="7" t="str">
        <f t="shared" si="15"/>
        <v>가54</v>
      </c>
      <c r="V117" s="7" t="str">
        <f>INDEX(환산공식!$C$16:$C$301,MATCH('배치점수 계산기'!W117,환산공식!$A$16:$A$301,0))</f>
        <v>고려대 자연</v>
      </c>
      <c r="W117" s="7">
        <f t="shared" si="16"/>
        <v>23</v>
      </c>
      <c r="X117" s="7">
        <f t="shared" si="17"/>
        <v>1</v>
      </c>
      <c r="Y117" s="7">
        <f>IFERROR(INDEX(환산공식!Q$16:Q$200,MATCH($A117,환산공식!$A$16:$A$200,0)),"")</f>
        <v>1.5625</v>
      </c>
      <c r="Z117" s="7">
        <f>IFERROR(INDEX(환산공식!R$16:R$200,MATCH($A117,환산공식!$A$16:$A$200,0)),"")</f>
        <v>1.875</v>
      </c>
      <c r="AA117" s="7">
        <f>IFERROR(INDEX(환산공식!U$16:U$200,MATCH($A117,환산공식!$A$16:$A$200,0)),"")</f>
        <v>1.5625</v>
      </c>
      <c r="AB117" s="7">
        <f t="shared" si="18"/>
        <v>0.3125</v>
      </c>
      <c r="AC117" s="7">
        <f t="shared" si="19"/>
        <v>0.375</v>
      </c>
      <c r="AD117" s="7">
        <f t="shared" si="20"/>
        <v>0.3125</v>
      </c>
      <c r="AE117" s="7">
        <f>INDEX(환산공식!$AF$16:$AF$301,MATCH('배치점수 계산기'!W117,환산공식!$A$16:$A$301,0))</f>
        <v>1</v>
      </c>
      <c r="AF117" s="7">
        <f>INDEX(환산공식!$AP$16:$AP$301,MATCH('배치점수 계산기'!W117,환산공식!$A$16:$A$301,0))</f>
        <v>4</v>
      </c>
      <c r="AG117" s="7" t="str">
        <f t="shared" si="21"/>
        <v>표점</v>
      </c>
      <c r="AH117" s="7" t="str">
        <f t="shared" si="22"/>
        <v>변표</v>
      </c>
      <c r="BO117" s="210"/>
      <c r="BP117" s="210"/>
      <c r="BQ117" s="210"/>
      <c r="BR117" s="210"/>
      <c r="BS117" s="210"/>
      <c r="BT117" s="210"/>
      <c r="BU117" s="210"/>
      <c r="BV117" s="210"/>
      <c r="BW117" s="210"/>
      <c r="BX117" s="210"/>
      <c r="BY117" s="210"/>
      <c r="BZ117" s="210"/>
      <c r="CA117" s="210"/>
      <c r="CB117" s="210"/>
      <c r="CC117" s="210"/>
      <c r="EM117" s="120"/>
      <c r="ET117" s="210"/>
      <c r="EU117" s="210"/>
      <c r="EV117" s="210"/>
      <c r="EW117" s="210"/>
      <c r="EX117" s="210"/>
      <c r="EY117" s="210"/>
      <c r="EZ117" s="210"/>
      <c r="FA117" s="210"/>
      <c r="FB117" s="210"/>
      <c r="FC117" s="210"/>
      <c r="FD117" s="210"/>
      <c r="FE117" s="210"/>
      <c r="FF117" s="210"/>
      <c r="FG117" s="210"/>
      <c r="FH117" s="210"/>
      <c r="HR117" s="120"/>
      <c r="HY117" s="210"/>
      <c r="HZ117" s="210"/>
      <c r="IA117" s="210"/>
      <c r="IB117" s="210"/>
      <c r="IC117" s="210"/>
      <c r="ID117" s="210"/>
      <c r="IE117" s="210"/>
      <c r="IF117" s="210"/>
      <c r="IG117" s="210"/>
      <c r="IH117" s="210"/>
      <c r="II117" s="210"/>
      <c r="IJ117" s="210"/>
      <c r="IK117" s="210"/>
      <c r="IL117" s="210"/>
      <c r="IM117" s="210"/>
      <c r="KW117" s="120"/>
      <c r="LD117" s="210"/>
      <c r="LE117" s="210"/>
      <c r="LF117" s="210"/>
      <c r="LG117" s="210"/>
      <c r="LH117" s="210"/>
      <c r="LI117" s="210"/>
      <c r="LJ117" s="210"/>
      <c r="LK117" s="210"/>
      <c r="LL117" s="210"/>
      <c r="LM117" s="210"/>
      <c r="LN117" s="210"/>
      <c r="LO117" s="210"/>
      <c r="LP117" s="210"/>
      <c r="LQ117" s="210"/>
      <c r="LR117" s="210"/>
      <c r="OB117" s="120"/>
      <c r="OI117" s="210"/>
      <c r="OJ117" s="210"/>
      <c r="OK117" s="210"/>
      <c r="OL117" s="210"/>
      <c r="OM117" s="210"/>
      <c r="ON117" s="210"/>
      <c r="OO117" s="210"/>
      <c r="OP117" s="210"/>
      <c r="OQ117" s="210"/>
      <c r="OR117" s="210"/>
      <c r="OS117" s="210"/>
      <c r="OT117" s="210"/>
      <c r="OU117" s="210"/>
      <c r="OV117" s="210"/>
      <c r="OW117" s="210"/>
      <c r="RG117" s="120"/>
    </row>
    <row r="118" spans="1:475" x14ac:dyDescent="0.3">
      <c r="A118" s="7">
        <v>23</v>
      </c>
      <c r="B118" s="7">
        <v>108</v>
      </c>
      <c r="C118" s="7" t="s">
        <v>276</v>
      </c>
      <c r="D118" s="7" t="s">
        <v>317</v>
      </c>
      <c r="E118" s="7" t="s">
        <v>746</v>
      </c>
      <c r="F118" s="7" t="s">
        <v>274</v>
      </c>
      <c r="G118" s="41" t="str">
        <f t="shared" si="14"/>
        <v>X</v>
      </c>
      <c r="H118" s="41">
        <f>INDEX(환산공식!CI$16:CI$301,MATCH('배치점수 계산기'!$W118,환산공식!$A$16:$A$301,0))</f>
        <v>0</v>
      </c>
      <c r="I118" s="41" t="e">
        <f>CONCATENATE(ROUND(INDEX(환산공식!CJ$16:CJ$301,MATCH('배치점수 계산기'!$W118,환산공식!$A$16:$A$301,0)),1),"%")</f>
        <v>#DIV/0!</v>
      </c>
      <c r="J118" s="41">
        <f>INDEX(환산공식!CK$16:CK$301,MATCH('배치점수 계산기'!$W118,환산공식!$A$16:$A$301,0))</f>
        <v>10</v>
      </c>
      <c r="K118" s="7">
        <f>INDEX(환산공식!$EF$16:$EF$301,MATCH('배치점수 계산기'!W118,환산공식!$A$16:$A$301,0))</f>
        <v>0</v>
      </c>
      <c r="L118" s="41" t="str">
        <f t="shared" si="12"/>
        <v>1% 이하</v>
      </c>
      <c r="M118" s="7">
        <v>680.49251837319389</v>
      </c>
      <c r="N118" s="7">
        <v>678.01562500000011</v>
      </c>
      <c r="O118" s="7">
        <v>671.796875</v>
      </c>
      <c r="P118" s="7">
        <v>668.32100253807107</v>
      </c>
      <c r="Q118" s="7">
        <v>666.359375</v>
      </c>
      <c r="R118" s="7">
        <f t="shared" si="13"/>
        <v>6</v>
      </c>
      <c r="T118" s="7">
        <f>COUNTIF($C$11:C118,C118)</f>
        <v>55</v>
      </c>
      <c r="U118" s="7" t="str">
        <f t="shared" si="15"/>
        <v>가55</v>
      </c>
      <c r="V118" s="7" t="str">
        <f>INDEX(환산공식!$C$16:$C$301,MATCH('배치점수 계산기'!W118,환산공식!$A$16:$A$301,0))</f>
        <v>고려대 자연</v>
      </c>
      <c r="W118" s="7">
        <f t="shared" si="16"/>
        <v>23</v>
      </c>
      <c r="X118" s="7">
        <f t="shared" si="17"/>
        <v>1</v>
      </c>
      <c r="Y118" s="7">
        <f>IFERROR(INDEX(환산공식!Q$16:Q$200,MATCH($A118,환산공식!$A$16:$A$200,0)),"")</f>
        <v>1.5625</v>
      </c>
      <c r="Z118" s="7">
        <f>IFERROR(INDEX(환산공식!R$16:R$200,MATCH($A118,환산공식!$A$16:$A$200,0)),"")</f>
        <v>1.875</v>
      </c>
      <c r="AA118" s="7">
        <f>IFERROR(INDEX(환산공식!U$16:U$200,MATCH($A118,환산공식!$A$16:$A$200,0)),"")</f>
        <v>1.5625</v>
      </c>
      <c r="AB118" s="7">
        <f t="shared" si="18"/>
        <v>0.3125</v>
      </c>
      <c r="AC118" s="7">
        <f t="shared" si="19"/>
        <v>0.375</v>
      </c>
      <c r="AD118" s="7">
        <f t="shared" si="20"/>
        <v>0.3125</v>
      </c>
      <c r="AE118" s="7">
        <f>INDEX(환산공식!$AF$16:$AF$301,MATCH('배치점수 계산기'!W118,환산공식!$A$16:$A$301,0))</f>
        <v>1</v>
      </c>
      <c r="AF118" s="7">
        <f>INDEX(환산공식!$AP$16:$AP$301,MATCH('배치점수 계산기'!W118,환산공식!$A$16:$A$301,0))</f>
        <v>4</v>
      </c>
      <c r="AG118" s="7" t="str">
        <f t="shared" si="21"/>
        <v>표점</v>
      </c>
      <c r="AH118" s="7" t="str">
        <f t="shared" si="22"/>
        <v>변표</v>
      </c>
      <c r="BO118" s="210"/>
      <c r="BP118" s="210"/>
      <c r="BQ118" s="210"/>
      <c r="BR118" s="210"/>
      <c r="BS118" s="210"/>
      <c r="BT118" s="210"/>
      <c r="BU118" s="210"/>
      <c r="BV118" s="210"/>
      <c r="BW118" s="210"/>
      <c r="BX118" s="210"/>
      <c r="BY118" s="210"/>
      <c r="BZ118" s="210"/>
      <c r="CA118" s="210"/>
      <c r="CB118" s="210"/>
      <c r="CC118" s="210"/>
      <c r="EM118" s="120"/>
      <c r="ET118" s="210"/>
      <c r="EU118" s="210"/>
      <c r="EV118" s="210"/>
      <c r="EW118" s="210"/>
      <c r="EX118" s="210"/>
      <c r="EY118" s="210"/>
      <c r="EZ118" s="210"/>
      <c r="FA118" s="210"/>
      <c r="FB118" s="210"/>
      <c r="FC118" s="210"/>
      <c r="FD118" s="210"/>
      <c r="FE118" s="210"/>
      <c r="FF118" s="210"/>
      <c r="FG118" s="210"/>
      <c r="FH118" s="210"/>
      <c r="HR118" s="120"/>
      <c r="HY118" s="210"/>
      <c r="HZ118" s="210"/>
      <c r="IA118" s="210"/>
      <c r="IB118" s="210"/>
      <c r="IC118" s="210"/>
      <c r="ID118" s="210"/>
      <c r="IE118" s="210"/>
      <c r="IF118" s="210"/>
      <c r="IG118" s="210"/>
      <c r="IH118" s="210"/>
      <c r="II118" s="210"/>
      <c r="IJ118" s="210"/>
      <c r="IK118" s="210"/>
      <c r="IL118" s="210"/>
      <c r="IM118" s="210"/>
      <c r="KW118" s="120"/>
      <c r="LD118" s="210"/>
      <c r="LE118" s="210"/>
      <c r="LF118" s="210"/>
      <c r="LG118" s="210"/>
      <c r="LH118" s="210"/>
      <c r="LI118" s="210"/>
      <c r="LJ118" s="210"/>
      <c r="LK118" s="210"/>
      <c r="LL118" s="210"/>
      <c r="LM118" s="210"/>
      <c r="LN118" s="210"/>
      <c r="LO118" s="210"/>
      <c r="LP118" s="210"/>
      <c r="LQ118" s="210"/>
      <c r="LR118" s="210"/>
      <c r="OB118" s="120"/>
      <c r="OI118" s="210"/>
      <c r="OJ118" s="210"/>
      <c r="OK118" s="210"/>
      <c r="OL118" s="210"/>
      <c r="OM118" s="210"/>
      <c r="ON118" s="210"/>
      <c r="OO118" s="210"/>
      <c r="OP118" s="210"/>
      <c r="OQ118" s="210"/>
      <c r="OR118" s="210"/>
      <c r="OS118" s="210"/>
      <c r="OT118" s="210"/>
      <c r="OU118" s="210"/>
      <c r="OV118" s="210"/>
      <c r="OW118" s="210"/>
      <c r="RG118" s="120"/>
    </row>
    <row r="119" spans="1:475" x14ac:dyDescent="0.3">
      <c r="A119" s="7">
        <v>23</v>
      </c>
      <c r="B119" s="7">
        <v>109</v>
      </c>
      <c r="C119" s="7" t="s">
        <v>276</v>
      </c>
      <c r="D119" s="7" t="s">
        <v>317</v>
      </c>
      <c r="E119" s="7" t="s">
        <v>279</v>
      </c>
      <c r="F119" s="7" t="s">
        <v>274</v>
      </c>
      <c r="G119" s="41" t="str">
        <f t="shared" si="14"/>
        <v>X</v>
      </c>
      <c r="H119" s="41">
        <f>INDEX(환산공식!CI$16:CI$301,MATCH('배치점수 계산기'!$W119,환산공식!$A$16:$A$301,0))</f>
        <v>0</v>
      </c>
      <c r="I119" s="41" t="e">
        <f>CONCATENATE(ROUND(INDEX(환산공식!CJ$16:CJ$301,MATCH('배치점수 계산기'!$W119,환산공식!$A$16:$A$301,0)),1),"%")</f>
        <v>#DIV/0!</v>
      </c>
      <c r="J119" s="41">
        <f>INDEX(환산공식!CK$16:CK$301,MATCH('배치점수 계산기'!$W119,환산공식!$A$16:$A$301,0))</f>
        <v>10</v>
      </c>
      <c r="K119" s="7">
        <f>INDEX(환산공식!$EF$16:$EF$301,MATCH('배치점수 계산기'!W119,환산공식!$A$16:$A$301,0))</f>
        <v>0</v>
      </c>
      <c r="L119" s="41" t="str">
        <f t="shared" si="12"/>
        <v>1% 이하</v>
      </c>
      <c r="M119" s="7">
        <v>678.01562500000011</v>
      </c>
      <c r="N119" s="7">
        <v>674.140625</v>
      </c>
      <c r="O119" s="7">
        <v>670.671875</v>
      </c>
      <c r="P119" s="7">
        <v>667.453125</v>
      </c>
      <c r="Q119" s="7">
        <v>665.37656249999998</v>
      </c>
      <c r="R119" s="7">
        <f t="shared" si="13"/>
        <v>6</v>
      </c>
      <c r="T119" s="7">
        <f>COUNTIF($C$11:C119,C119)</f>
        <v>56</v>
      </c>
      <c r="U119" s="7" t="str">
        <f t="shared" si="15"/>
        <v>가56</v>
      </c>
      <c r="V119" s="7" t="str">
        <f>INDEX(환산공식!$C$16:$C$301,MATCH('배치점수 계산기'!W119,환산공식!$A$16:$A$301,0))</f>
        <v>고려대 자연</v>
      </c>
      <c r="W119" s="7">
        <f t="shared" si="16"/>
        <v>23</v>
      </c>
      <c r="X119" s="7">
        <f t="shared" si="17"/>
        <v>1</v>
      </c>
      <c r="Y119" s="7">
        <f>IFERROR(INDEX(환산공식!Q$16:Q$200,MATCH($A119,환산공식!$A$16:$A$200,0)),"")</f>
        <v>1.5625</v>
      </c>
      <c r="Z119" s="7">
        <f>IFERROR(INDEX(환산공식!R$16:R$200,MATCH($A119,환산공식!$A$16:$A$200,0)),"")</f>
        <v>1.875</v>
      </c>
      <c r="AA119" s="7">
        <f>IFERROR(INDEX(환산공식!U$16:U$200,MATCH($A119,환산공식!$A$16:$A$200,0)),"")</f>
        <v>1.5625</v>
      </c>
      <c r="AB119" s="7">
        <f t="shared" si="18"/>
        <v>0.3125</v>
      </c>
      <c r="AC119" s="7">
        <f t="shared" si="19"/>
        <v>0.375</v>
      </c>
      <c r="AD119" s="7">
        <f t="shared" si="20"/>
        <v>0.3125</v>
      </c>
      <c r="AE119" s="7">
        <f>INDEX(환산공식!$AF$16:$AF$301,MATCH('배치점수 계산기'!W119,환산공식!$A$16:$A$301,0))</f>
        <v>1</v>
      </c>
      <c r="AF119" s="7">
        <f>INDEX(환산공식!$AP$16:$AP$301,MATCH('배치점수 계산기'!W119,환산공식!$A$16:$A$301,0))</f>
        <v>4</v>
      </c>
      <c r="AG119" s="7" t="str">
        <f t="shared" si="21"/>
        <v>표점</v>
      </c>
      <c r="AH119" s="7" t="str">
        <f t="shared" si="22"/>
        <v>변표</v>
      </c>
      <c r="BO119" s="210"/>
      <c r="BP119" s="210"/>
      <c r="BQ119" s="210"/>
      <c r="BR119" s="210"/>
      <c r="BS119" s="210"/>
      <c r="BT119" s="210"/>
      <c r="BU119" s="210"/>
      <c r="BV119" s="210"/>
      <c r="BW119" s="210"/>
      <c r="BX119" s="210"/>
      <c r="BY119" s="210"/>
      <c r="BZ119" s="210"/>
      <c r="CA119" s="210"/>
      <c r="CB119" s="210"/>
      <c r="CC119" s="210"/>
      <c r="EM119" s="120"/>
      <c r="ET119" s="210"/>
      <c r="EU119" s="210"/>
      <c r="EV119" s="210"/>
      <c r="EW119" s="210"/>
      <c r="EX119" s="210"/>
      <c r="EY119" s="210"/>
      <c r="EZ119" s="210"/>
      <c r="FA119" s="210"/>
      <c r="FB119" s="210"/>
      <c r="FC119" s="210"/>
      <c r="FD119" s="210"/>
      <c r="FE119" s="210"/>
      <c r="FF119" s="210"/>
      <c r="FG119" s="210"/>
      <c r="FH119" s="210"/>
      <c r="HR119" s="120"/>
      <c r="HY119" s="210"/>
      <c r="HZ119" s="210"/>
      <c r="IA119" s="210"/>
      <c r="IB119" s="210"/>
      <c r="IC119" s="210"/>
      <c r="ID119" s="210"/>
      <c r="IE119" s="210"/>
      <c r="IF119" s="210"/>
      <c r="IG119" s="210"/>
      <c r="IH119" s="210"/>
      <c r="II119" s="210"/>
      <c r="IJ119" s="210"/>
      <c r="IK119" s="210"/>
      <c r="IL119" s="210"/>
      <c r="IM119" s="210"/>
      <c r="KW119" s="120"/>
      <c r="LD119" s="210"/>
      <c r="LE119" s="210"/>
      <c r="LF119" s="210"/>
      <c r="LG119" s="210"/>
      <c r="LH119" s="210"/>
      <c r="LI119" s="210"/>
      <c r="LJ119" s="210"/>
      <c r="LK119" s="210"/>
      <c r="LL119" s="210"/>
      <c r="LM119" s="210"/>
      <c r="LN119" s="210"/>
      <c r="LO119" s="210"/>
      <c r="LP119" s="210"/>
      <c r="LQ119" s="210"/>
      <c r="LR119" s="210"/>
      <c r="OB119" s="120"/>
      <c r="OI119" s="210"/>
      <c r="OJ119" s="210"/>
      <c r="OK119" s="210"/>
      <c r="OL119" s="210"/>
      <c r="OM119" s="210"/>
      <c r="ON119" s="210"/>
      <c r="OO119" s="210"/>
      <c r="OP119" s="210"/>
      <c r="OQ119" s="210"/>
      <c r="OR119" s="210"/>
      <c r="OS119" s="210"/>
      <c r="OT119" s="210"/>
      <c r="OU119" s="210"/>
      <c r="OV119" s="210"/>
      <c r="OW119" s="210"/>
      <c r="RG119" s="120"/>
    </row>
    <row r="120" spans="1:475" x14ac:dyDescent="0.3">
      <c r="A120" s="7">
        <v>23</v>
      </c>
      <c r="B120" s="7">
        <v>110</v>
      </c>
      <c r="C120" s="7" t="s">
        <v>276</v>
      </c>
      <c r="D120" s="7" t="s">
        <v>317</v>
      </c>
      <c r="E120" s="7" t="s">
        <v>281</v>
      </c>
      <c r="F120" s="7" t="s">
        <v>274</v>
      </c>
      <c r="G120" s="41" t="str">
        <f t="shared" si="14"/>
        <v>X</v>
      </c>
      <c r="H120" s="41">
        <f>INDEX(환산공식!CI$16:CI$301,MATCH('배치점수 계산기'!$W120,환산공식!$A$16:$A$301,0))</f>
        <v>0</v>
      </c>
      <c r="I120" s="41" t="e">
        <f>CONCATENATE(ROUND(INDEX(환산공식!CJ$16:CJ$301,MATCH('배치점수 계산기'!$W120,환산공식!$A$16:$A$301,0)),1),"%")</f>
        <v>#DIV/0!</v>
      </c>
      <c r="J120" s="41">
        <f>INDEX(환산공식!CK$16:CK$301,MATCH('배치점수 계산기'!$W120,환산공식!$A$16:$A$301,0))</f>
        <v>10</v>
      </c>
      <c r="K120" s="7">
        <f>INDEX(환산공식!$EF$16:$EF$301,MATCH('배치점수 계산기'!W120,환산공식!$A$16:$A$301,0))</f>
        <v>0</v>
      </c>
      <c r="L120" s="41" t="str">
        <f t="shared" si="12"/>
        <v>1% 이하</v>
      </c>
      <c r="M120" s="7">
        <v>673.046875</v>
      </c>
      <c r="N120" s="7">
        <v>671.52408459595961</v>
      </c>
      <c r="O120" s="7">
        <v>668.92187500000011</v>
      </c>
      <c r="P120" s="7">
        <v>666.359375</v>
      </c>
      <c r="Q120" s="7">
        <v>664.32731481481483</v>
      </c>
      <c r="R120" s="7">
        <f t="shared" si="13"/>
        <v>6</v>
      </c>
      <c r="T120" s="7">
        <f>COUNTIF($C$11:C120,C120)</f>
        <v>57</v>
      </c>
      <c r="U120" s="7" t="str">
        <f t="shared" si="15"/>
        <v>가57</v>
      </c>
      <c r="V120" s="7" t="str">
        <f>INDEX(환산공식!$C$16:$C$301,MATCH('배치점수 계산기'!W120,환산공식!$A$16:$A$301,0))</f>
        <v>고려대 자연</v>
      </c>
      <c r="W120" s="7">
        <f t="shared" si="16"/>
        <v>23</v>
      </c>
      <c r="X120" s="7">
        <f t="shared" si="17"/>
        <v>1</v>
      </c>
      <c r="Y120" s="7">
        <f>IFERROR(INDEX(환산공식!Q$16:Q$200,MATCH($A120,환산공식!$A$16:$A$200,0)),"")</f>
        <v>1.5625</v>
      </c>
      <c r="Z120" s="7">
        <f>IFERROR(INDEX(환산공식!R$16:R$200,MATCH($A120,환산공식!$A$16:$A$200,0)),"")</f>
        <v>1.875</v>
      </c>
      <c r="AA120" s="7">
        <f>IFERROR(INDEX(환산공식!U$16:U$200,MATCH($A120,환산공식!$A$16:$A$200,0)),"")</f>
        <v>1.5625</v>
      </c>
      <c r="AB120" s="7">
        <f t="shared" si="18"/>
        <v>0.3125</v>
      </c>
      <c r="AC120" s="7">
        <f t="shared" si="19"/>
        <v>0.375</v>
      </c>
      <c r="AD120" s="7">
        <f t="shared" si="20"/>
        <v>0.3125</v>
      </c>
      <c r="AE120" s="7">
        <f>INDEX(환산공식!$AF$16:$AF$301,MATCH('배치점수 계산기'!W120,환산공식!$A$16:$A$301,0))</f>
        <v>1</v>
      </c>
      <c r="AF120" s="7">
        <f>INDEX(환산공식!$AP$16:$AP$301,MATCH('배치점수 계산기'!W120,환산공식!$A$16:$A$301,0))</f>
        <v>4</v>
      </c>
      <c r="AG120" s="7" t="str">
        <f t="shared" si="21"/>
        <v>표점</v>
      </c>
      <c r="AH120" s="7" t="str">
        <f t="shared" si="22"/>
        <v>변표</v>
      </c>
      <c r="BO120" s="210"/>
      <c r="BP120" s="210"/>
      <c r="BQ120" s="210"/>
      <c r="BR120" s="210"/>
      <c r="BS120" s="210"/>
      <c r="BT120" s="210"/>
      <c r="BU120" s="210"/>
      <c r="BV120" s="210"/>
      <c r="BW120" s="210"/>
      <c r="BX120" s="210"/>
      <c r="BY120" s="210"/>
      <c r="BZ120" s="210"/>
      <c r="CA120" s="210"/>
      <c r="CB120" s="210"/>
      <c r="CC120" s="210"/>
      <c r="EM120" s="120"/>
      <c r="ET120" s="210"/>
      <c r="EU120" s="210"/>
      <c r="EV120" s="210"/>
      <c r="EW120" s="210"/>
      <c r="EX120" s="210"/>
      <c r="EY120" s="210"/>
      <c r="EZ120" s="210"/>
      <c r="FA120" s="210"/>
      <c r="FB120" s="210"/>
      <c r="FC120" s="210"/>
      <c r="FD120" s="210"/>
      <c r="FE120" s="210"/>
      <c r="FF120" s="210"/>
      <c r="FG120" s="210"/>
      <c r="FH120" s="210"/>
      <c r="HR120" s="120"/>
      <c r="HY120" s="210"/>
      <c r="HZ120" s="210"/>
      <c r="IA120" s="210"/>
      <c r="IB120" s="210"/>
      <c r="IC120" s="210"/>
      <c r="ID120" s="210"/>
      <c r="IE120" s="210"/>
      <c r="IF120" s="210"/>
      <c r="IG120" s="210"/>
      <c r="IH120" s="210"/>
      <c r="II120" s="210"/>
      <c r="IJ120" s="210"/>
      <c r="IK120" s="210"/>
      <c r="IL120" s="210"/>
      <c r="IM120" s="210"/>
      <c r="KW120" s="120"/>
      <c r="LD120" s="210"/>
      <c r="LE120" s="210"/>
      <c r="LF120" s="210"/>
      <c r="LG120" s="210"/>
      <c r="LH120" s="210"/>
      <c r="LI120" s="210"/>
      <c r="LJ120" s="210"/>
      <c r="LK120" s="210"/>
      <c r="LL120" s="210"/>
      <c r="LM120" s="210"/>
      <c r="LN120" s="210"/>
      <c r="LO120" s="210"/>
      <c r="LP120" s="210"/>
      <c r="LQ120" s="210"/>
      <c r="LR120" s="210"/>
      <c r="OB120" s="120"/>
      <c r="OI120" s="210"/>
      <c r="OJ120" s="210"/>
      <c r="OK120" s="210"/>
      <c r="OL120" s="210"/>
      <c r="OM120" s="210"/>
      <c r="ON120" s="210"/>
      <c r="OO120" s="210"/>
      <c r="OP120" s="210"/>
      <c r="OQ120" s="210"/>
      <c r="OR120" s="210"/>
      <c r="OS120" s="210"/>
      <c r="OT120" s="210"/>
      <c r="OU120" s="210"/>
      <c r="OV120" s="210"/>
      <c r="OW120" s="210"/>
      <c r="RG120" s="120"/>
    </row>
    <row r="121" spans="1:475" x14ac:dyDescent="0.3">
      <c r="A121" s="7">
        <v>23</v>
      </c>
      <c r="B121" s="7">
        <v>111</v>
      </c>
      <c r="C121" s="7" t="s">
        <v>276</v>
      </c>
      <c r="D121" s="7" t="s">
        <v>317</v>
      </c>
      <c r="E121" s="7" t="s">
        <v>280</v>
      </c>
      <c r="F121" s="7" t="s">
        <v>274</v>
      </c>
      <c r="G121" s="41" t="str">
        <f t="shared" si="14"/>
        <v>X</v>
      </c>
      <c r="H121" s="41">
        <f>INDEX(환산공식!CI$16:CI$301,MATCH('배치점수 계산기'!$W121,환산공식!$A$16:$A$301,0))</f>
        <v>0</v>
      </c>
      <c r="I121" s="41" t="e">
        <f>CONCATENATE(ROUND(INDEX(환산공식!CJ$16:CJ$301,MATCH('배치점수 계산기'!$W121,환산공식!$A$16:$A$301,0)),1),"%")</f>
        <v>#DIV/0!</v>
      </c>
      <c r="J121" s="41">
        <f>INDEX(환산공식!CK$16:CK$301,MATCH('배치점수 계산기'!$W121,환산공식!$A$16:$A$301,0))</f>
        <v>10</v>
      </c>
      <c r="K121" s="7">
        <f>INDEX(환산공식!$EF$16:$EF$301,MATCH('배치점수 계산기'!W121,환산공식!$A$16:$A$301,0))</f>
        <v>0</v>
      </c>
      <c r="L121" s="41" t="str">
        <f t="shared" si="12"/>
        <v>1% 이하</v>
      </c>
      <c r="M121" s="7">
        <v>670.99288049658833</v>
      </c>
      <c r="N121" s="7">
        <v>669.60223530901726</v>
      </c>
      <c r="O121" s="7">
        <v>667.453125</v>
      </c>
      <c r="P121" s="7">
        <v>665.53281249999998</v>
      </c>
      <c r="Q121" s="7">
        <v>663.79611132413083</v>
      </c>
      <c r="R121" s="7">
        <f t="shared" si="13"/>
        <v>6</v>
      </c>
      <c r="T121" s="7">
        <f>COUNTIF($C$11:C121,C121)</f>
        <v>58</v>
      </c>
      <c r="U121" s="7" t="str">
        <f t="shared" si="15"/>
        <v>가58</v>
      </c>
      <c r="V121" s="7" t="str">
        <f>INDEX(환산공식!$C$16:$C$301,MATCH('배치점수 계산기'!W121,환산공식!$A$16:$A$301,0))</f>
        <v>고려대 자연</v>
      </c>
      <c r="W121" s="7">
        <f t="shared" si="16"/>
        <v>23</v>
      </c>
      <c r="X121" s="7">
        <f t="shared" si="17"/>
        <v>1</v>
      </c>
      <c r="Y121" s="7">
        <f>IFERROR(INDEX(환산공식!Q$16:Q$200,MATCH($A121,환산공식!$A$16:$A$200,0)),"")</f>
        <v>1.5625</v>
      </c>
      <c r="Z121" s="7">
        <f>IFERROR(INDEX(환산공식!R$16:R$200,MATCH($A121,환산공식!$A$16:$A$200,0)),"")</f>
        <v>1.875</v>
      </c>
      <c r="AA121" s="7">
        <f>IFERROR(INDEX(환산공식!U$16:U$200,MATCH($A121,환산공식!$A$16:$A$200,0)),"")</f>
        <v>1.5625</v>
      </c>
      <c r="AB121" s="7">
        <f t="shared" si="18"/>
        <v>0.3125</v>
      </c>
      <c r="AC121" s="7">
        <f t="shared" si="19"/>
        <v>0.375</v>
      </c>
      <c r="AD121" s="7">
        <f t="shared" si="20"/>
        <v>0.3125</v>
      </c>
      <c r="AE121" s="7">
        <f>INDEX(환산공식!$AF$16:$AF$301,MATCH('배치점수 계산기'!W121,환산공식!$A$16:$A$301,0))</f>
        <v>1</v>
      </c>
      <c r="AF121" s="7">
        <f>INDEX(환산공식!$AP$16:$AP$301,MATCH('배치점수 계산기'!W121,환산공식!$A$16:$A$301,0))</f>
        <v>4</v>
      </c>
      <c r="AG121" s="7" t="str">
        <f t="shared" si="21"/>
        <v>표점</v>
      </c>
      <c r="AH121" s="7" t="str">
        <f t="shared" si="22"/>
        <v>변표</v>
      </c>
      <c r="BO121" s="210"/>
      <c r="BP121" s="210"/>
      <c r="BQ121" s="210"/>
      <c r="BR121" s="210"/>
      <c r="BS121" s="210"/>
      <c r="BT121" s="210"/>
      <c r="BU121" s="210"/>
      <c r="BV121" s="210"/>
      <c r="BW121" s="210"/>
      <c r="BX121" s="210"/>
      <c r="BY121" s="210"/>
      <c r="BZ121" s="210"/>
      <c r="CA121" s="210"/>
      <c r="CB121" s="210"/>
      <c r="CC121" s="210"/>
      <c r="EM121" s="120"/>
      <c r="ET121" s="210"/>
      <c r="EU121" s="210"/>
      <c r="EV121" s="210"/>
      <c r="EW121" s="210"/>
      <c r="EX121" s="210"/>
      <c r="EY121" s="210"/>
      <c r="EZ121" s="210"/>
      <c r="FA121" s="210"/>
      <c r="FB121" s="210"/>
      <c r="FC121" s="210"/>
      <c r="FD121" s="210"/>
      <c r="FE121" s="210"/>
      <c r="FF121" s="210"/>
      <c r="FG121" s="210"/>
      <c r="FH121" s="210"/>
      <c r="HR121" s="120"/>
      <c r="HY121" s="210"/>
      <c r="HZ121" s="210"/>
      <c r="IA121" s="210"/>
      <c r="IB121" s="210"/>
      <c r="IC121" s="210"/>
      <c r="ID121" s="210"/>
      <c r="IE121" s="210"/>
      <c r="IF121" s="210"/>
      <c r="IG121" s="210"/>
      <c r="IH121" s="210"/>
      <c r="II121" s="210"/>
      <c r="IJ121" s="210"/>
      <c r="IK121" s="210"/>
      <c r="IL121" s="210"/>
      <c r="IM121" s="210"/>
      <c r="KW121" s="120"/>
      <c r="LD121" s="210"/>
      <c r="LE121" s="210"/>
      <c r="LF121" s="210"/>
      <c r="LG121" s="210"/>
      <c r="LH121" s="210"/>
      <c r="LI121" s="210"/>
      <c r="LJ121" s="210"/>
      <c r="LK121" s="210"/>
      <c r="LL121" s="210"/>
      <c r="LM121" s="210"/>
      <c r="LN121" s="210"/>
      <c r="LO121" s="210"/>
      <c r="LP121" s="210"/>
      <c r="LQ121" s="210"/>
      <c r="LR121" s="210"/>
      <c r="OB121" s="120"/>
      <c r="OI121" s="210"/>
      <c r="OJ121" s="210"/>
      <c r="OK121" s="210"/>
      <c r="OL121" s="210"/>
      <c r="OM121" s="210"/>
      <c r="ON121" s="210"/>
      <c r="OO121" s="210"/>
      <c r="OP121" s="210"/>
      <c r="OQ121" s="210"/>
      <c r="OR121" s="210"/>
      <c r="OS121" s="210"/>
      <c r="OT121" s="210"/>
      <c r="OU121" s="210"/>
      <c r="OV121" s="210"/>
      <c r="OW121" s="210"/>
      <c r="RG121" s="120"/>
    </row>
    <row r="122" spans="1:475" x14ac:dyDescent="0.3">
      <c r="A122" s="7">
        <v>23</v>
      </c>
      <c r="B122" s="7">
        <v>112</v>
      </c>
      <c r="C122" s="7" t="s">
        <v>276</v>
      </c>
      <c r="D122" s="7" t="s">
        <v>317</v>
      </c>
      <c r="E122" s="7" t="s">
        <v>282</v>
      </c>
      <c r="F122" s="7" t="s">
        <v>274</v>
      </c>
      <c r="G122" s="41" t="str">
        <f t="shared" si="14"/>
        <v>X</v>
      </c>
      <c r="H122" s="41">
        <f>INDEX(환산공식!CI$16:CI$301,MATCH('배치점수 계산기'!$W122,환산공식!$A$16:$A$301,0))</f>
        <v>0</v>
      </c>
      <c r="I122" s="41" t="e">
        <f>CONCATENATE(ROUND(INDEX(환산공식!CJ$16:CJ$301,MATCH('배치점수 계산기'!$W122,환산공식!$A$16:$A$301,0)),1),"%")</f>
        <v>#DIV/0!</v>
      </c>
      <c r="J122" s="41">
        <f>INDEX(환산공식!CK$16:CK$301,MATCH('배치점수 계산기'!$W122,환산공식!$A$16:$A$301,0))</f>
        <v>10</v>
      </c>
      <c r="K122" s="7">
        <f>INDEX(환산공식!$EF$16:$EF$301,MATCH('배치점수 계산기'!W122,환산공식!$A$16:$A$301,0))</f>
        <v>0</v>
      </c>
      <c r="L122" s="41" t="str">
        <f t="shared" si="12"/>
        <v>1% 이하</v>
      </c>
      <c r="M122" s="7">
        <v>673.671875</v>
      </c>
      <c r="N122" s="7">
        <v>671.796875</v>
      </c>
      <c r="O122" s="7">
        <v>668.32100253807107</v>
      </c>
      <c r="P122" s="7">
        <v>666.359375</v>
      </c>
      <c r="Q122" s="7">
        <v>665.23749999999984</v>
      </c>
      <c r="R122" s="7">
        <f t="shared" si="13"/>
        <v>6</v>
      </c>
      <c r="T122" s="7">
        <f>COUNTIF($C$11:C122,C122)</f>
        <v>59</v>
      </c>
      <c r="U122" s="7" t="str">
        <f t="shared" si="15"/>
        <v>가59</v>
      </c>
      <c r="V122" s="7" t="str">
        <f>INDEX(환산공식!$C$16:$C$301,MATCH('배치점수 계산기'!W122,환산공식!$A$16:$A$301,0))</f>
        <v>고려대 자연</v>
      </c>
      <c r="W122" s="7">
        <f t="shared" si="16"/>
        <v>23</v>
      </c>
      <c r="X122" s="7">
        <f t="shared" si="17"/>
        <v>1</v>
      </c>
      <c r="Y122" s="7">
        <f>IFERROR(INDEX(환산공식!Q$16:Q$200,MATCH($A122,환산공식!$A$16:$A$200,0)),"")</f>
        <v>1.5625</v>
      </c>
      <c r="Z122" s="7">
        <f>IFERROR(INDEX(환산공식!R$16:R$200,MATCH($A122,환산공식!$A$16:$A$200,0)),"")</f>
        <v>1.875</v>
      </c>
      <c r="AA122" s="7">
        <f>IFERROR(INDEX(환산공식!U$16:U$200,MATCH($A122,환산공식!$A$16:$A$200,0)),"")</f>
        <v>1.5625</v>
      </c>
      <c r="AB122" s="7">
        <f t="shared" si="18"/>
        <v>0.3125</v>
      </c>
      <c r="AC122" s="7">
        <f t="shared" si="19"/>
        <v>0.375</v>
      </c>
      <c r="AD122" s="7">
        <f t="shared" si="20"/>
        <v>0.3125</v>
      </c>
      <c r="AE122" s="7">
        <f>INDEX(환산공식!$AF$16:$AF$301,MATCH('배치점수 계산기'!W122,환산공식!$A$16:$A$301,0))</f>
        <v>1</v>
      </c>
      <c r="AF122" s="7">
        <f>INDEX(환산공식!$AP$16:$AP$301,MATCH('배치점수 계산기'!W122,환산공식!$A$16:$A$301,0))</f>
        <v>4</v>
      </c>
      <c r="AG122" s="7" t="str">
        <f t="shared" si="21"/>
        <v>표점</v>
      </c>
      <c r="AH122" s="7" t="str">
        <f t="shared" si="22"/>
        <v>변표</v>
      </c>
      <c r="BO122" s="210"/>
      <c r="BP122" s="210"/>
      <c r="BQ122" s="210"/>
      <c r="BR122" s="210"/>
      <c r="BS122" s="210"/>
      <c r="BT122" s="210"/>
      <c r="BU122" s="210"/>
      <c r="BV122" s="210"/>
      <c r="BW122" s="210"/>
      <c r="BX122" s="210"/>
      <c r="BY122" s="210"/>
      <c r="BZ122" s="210"/>
      <c r="CA122" s="210"/>
      <c r="CB122" s="210"/>
      <c r="CC122" s="210"/>
      <c r="EM122" s="120"/>
      <c r="ET122" s="210"/>
      <c r="EU122" s="210"/>
      <c r="EV122" s="210"/>
      <c r="EW122" s="210"/>
      <c r="EX122" s="210"/>
      <c r="EY122" s="210"/>
      <c r="EZ122" s="210"/>
      <c r="FA122" s="210"/>
      <c r="FB122" s="210"/>
      <c r="FC122" s="210"/>
      <c r="FD122" s="210"/>
      <c r="FE122" s="210"/>
      <c r="FF122" s="210"/>
      <c r="FG122" s="210"/>
      <c r="FH122" s="210"/>
      <c r="HR122" s="120"/>
      <c r="HY122" s="210"/>
      <c r="HZ122" s="210"/>
      <c r="IA122" s="210"/>
      <c r="IB122" s="210"/>
      <c r="IC122" s="210"/>
      <c r="ID122" s="210"/>
      <c r="IE122" s="210"/>
      <c r="IF122" s="210"/>
      <c r="IG122" s="210"/>
      <c r="IH122" s="210"/>
      <c r="II122" s="210"/>
      <c r="IJ122" s="210"/>
      <c r="IK122" s="210"/>
      <c r="IL122" s="210"/>
      <c r="IM122" s="210"/>
      <c r="KW122" s="120"/>
      <c r="LD122" s="210"/>
      <c r="LE122" s="210"/>
      <c r="LF122" s="210"/>
      <c r="LG122" s="210"/>
      <c r="LH122" s="210"/>
      <c r="LI122" s="210"/>
      <c r="LJ122" s="210"/>
      <c r="LK122" s="210"/>
      <c r="LL122" s="210"/>
      <c r="LM122" s="210"/>
      <c r="LN122" s="210"/>
      <c r="LO122" s="210"/>
      <c r="LP122" s="210"/>
      <c r="LQ122" s="210"/>
      <c r="LR122" s="210"/>
      <c r="OB122" s="120"/>
      <c r="OI122" s="210"/>
      <c r="OJ122" s="210"/>
      <c r="OK122" s="210"/>
      <c r="OL122" s="210"/>
      <c r="OM122" s="210"/>
      <c r="ON122" s="210"/>
      <c r="OO122" s="210"/>
      <c r="OP122" s="210"/>
      <c r="OQ122" s="210"/>
      <c r="OR122" s="210"/>
      <c r="OS122" s="210"/>
      <c r="OT122" s="210"/>
      <c r="OU122" s="210"/>
      <c r="OV122" s="210"/>
      <c r="OW122" s="210"/>
      <c r="RG122" s="120"/>
    </row>
    <row r="123" spans="1:475" x14ac:dyDescent="0.3">
      <c r="A123" s="7">
        <v>23</v>
      </c>
      <c r="B123" s="7">
        <v>113</v>
      </c>
      <c r="C123" s="7" t="s">
        <v>276</v>
      </c>
      <c r="D123" s="7" t="s">
        <v>317</v>
      </c>
      <c r="E123" s="7" t="s">
        <v>319</v>
      </c>
      <c r="F123" s="7" t="s">
        <v>274</v>
      </c>
      <c r="G123" s="41" t="str">
        <f t="shared" si="14"/>
        <v>X</v>
      </c>
      <c r="H123" s="41">
        <f>INDEX(환산공식!CI$16:CI$301,MATCH('배치점수 계산기'!$W123,환산공식!$A$16:$A$301,0))</f>
        <v>0</v>
      </c>
      <c r="I123" s="41" t="e">
        <f>CONCATENATE(ROUND(INDEX(환산공식!CJ$16:CJ$301,MATCH('배치점수 계산기'!$W123,환산공식!$A$16:$A$301,0)),1),"%")</f>
        <v>#DIV/0!</v>
      </c>
      <c r="J123" s="41">
        <f>INDEX(환산공식!CK$16:CK$301,MATCH('배치점수 계산기'!$W123,환산공식!$A$16:$A$301,0))</f>
        <v>10</v>
      </c>
      <c r="K123" s="7">
        <f>INDEX(환산공식!$EF$16:$EF$301,MATCH('배치점수 계산기'!W123,환산공식!$A$16:$A$301,0))</f>
        <v>0</v>
      </c>
      <c r="L123" s="41" t="str">
        <f t="shared" si="12"/>
        <v>1% 이하</v>
      </c>
      <c r="M123" s="7">
        <v>674.140625</v>
      </c>
      <c r="N123" s="7">
        <v>671.52408459595961</v>
      </c>
      <c r="O123" s="7">
        <v>668.92187500000011</v>
      </c>
      <c r="P123" s="7">
        <v>666.359375</v>
      </c>
      <c r="Q123" s="7">
        <v>663.79611132413083</v>
      </c>
      <c r="R123" s="7">
        <f t="shared" si="13"/>
        <v>6</v>
      </c>
      <c r="T123" s="7">
        <f>COUNTIF($C$11:C123,C123)</f>
        <v>60</v>
      </c>
      <c r="U123" s="7" t="str">
        <f t="shared" si="15"/>
        <v>가60</v>
      </c>
      <c r="V123" s="7" t="str">
        <f>INDEX(환산공식!$C$16:$C$301,MATCH('배치점수 계산기'!W123,환산공식!$A$16:$A$301,0))</f>
        <v>고려대 자연</v>
      </c>
      <c r="W123" s="7">
        <f t="shared" si="16"/>
        <v>23</v>
      </c>
      <c r="X123" s="7">
        <f t="shared" si="17"/>
        <v>1</v>
      </c>
      <c r="Y123" s="7">
        <f>IFERROR(INDEX(환산공식!Q$16:Q$200,MATCH($A123,환산공식!$A$16:$A$200,0)),"")</f>
        <v>1.5625</v>
      </c>
      <c r="Z123" s="7">
        <f>IFERROR(INDEX(환산공식!R$16:R$200,MATCH($A123,환산공식!$A$16:$A$200,0)),"")</f>
        <v>1.875</v>
      </c>
      <c r="AA123" s="7">
        <f>IFERROR(INDEX(환산공식!U$16:U$200,MATCH($A123,환산공식!$A$16:$A$200,0)),"")</f>
        <v>1.5625</v>
      </c>
      <c r="AB123" s="7">
        <f t="shared" si="18"/>
        <v>0.3125</v>
      </c>
      <c r="AC123" s="7">
        <f t="shared" si="19"/>
        <v>0.375</v>
      </c>
      <c r="AD123" s="7">
        <f t="shared" si="20"/>
        <v>0.3125</v>
      </c>
      <c r="AE123" s="7">
        <f>INDEX(환산공식!$AF$16:$AF$301,MATCH('배치점수 계산기'!W123,환산공식!$A$16:$A$301,0))</f>
        <v>1</v>
      </c>
      <c r="AF123" s="7">
        <f>INDEX(환산공식!$AP$16:$AP$301,MATCH('배치점수 계산기'!W123,환산공식!$A$16:$A$301,0))</f>
        <v>4</v>
      </c>
      <c r="AG123" s="7" t="str">
        <f t="shared" si="21"/>
        <v>표점</v>
      </c>
      <c r="AH123" s="7" t="str">
        <f t="shared" si="22"/>
        <v>변표</v>
      </c>
      <c r="BO123" s="210"/>
      <c r="BP123" s="210"/>
      <c r="BQ123" s="210"/>
      <c r="BR123" s="210"/>
      <c r="BS123" s="210"/>
      <c r="BT123" s="210"/>
      <c r="BU123" s="210"/>
      <c r="BV123" s="210"/>
      <c r="BW123" s="210"/>
      <c r="BX123" s="210"/>
      <c r="BY123" s="210"/>
      <c r="BZ123" s="210"/>
      <c r="CA123" s="210"/>
      <c r="CB123" s="210"/>
      <c r="CC123" s="210"/>
      <c r="EM123" s="120"/>
      <c r="ET123" s="210"/>
      <c r="EU123" s="210"/>
      <c r="EV123" s="210"/>
      <c r="EW123" s="210"/>
      <c r="EX123" s="210"/>
      <c r="EY123" s="210"/>
      <c r="EZ123" s="210"/>
      <c r="FA123" s="210"/>
      <c r="FB123" s="210"/>
      <c r="FC123" s="210"/>
      <c r="FD123" s="210"/>
      <c r="FE123" s="210"/>
      <c r="FF123" s="210"/>
      <c r="FG123" s="210"/>
      <c r="FH123" s="210"/>
      <c r="HR123" s="120"/>
      <c r="HY123" s="210"/>
      <c r="HZ123" s="210"/>
      <c r="IA123" s="210"/>
      <c r="IB123" s="210"/>
      <c r="IC123" s="210"/>
      <c r="ID123" s="210"/>
      <c r="IE123" s="210"/>
      <c r="IF123" s="210"/>
      <c r="IG123" s="210"/>
      <c r="IH123" s="210"/>
      <c r="II123" s="210"/>
      <c r="IJ123" s="210"/>
      <c r="IK123" s="210"/>
      <c r="IL123" s="210"/>
      <c r="IM123" s="210"/>
      <c r="KW123" s="120"/>
      <c r="LD123" s="210"/>
      <c r="LE123" s="210"/>
      <c r="LF123" s="210"/>
      <c r="LG123" s="210"/>
      <c r="LH123" s="210"/>
      <c r="LI123" s="210"/>
      <c r="LJ123" s="210"/>
      <c r="LK123" s="210"/>
      <c r="LL123" s="210"/>
      <c r="LM123" s="210"/>
      <c r="LN123" s="210"/>
      <c r="LO123" s="210"/>
      <c r="LP123" s="210"/>
      <c r="LQ123" s="210"/>
      <c r="LR123" s="210"/>
      <c r="OB123" s="120"/>
      <c r="OI123" s="210"/>
      <c r="OJ123" s="210"/>
      <c r="OK123" s="210"/>
      <c r="OL123" s="210"/>
      <c r="OM123" s="210"/>
      <c r="ON123" s="210"/>
      <c r="OO123" s="210"/>
      <c r="OP123" s="210"/>
      <c r="OQ123" s="210"/>
      <c r="OR123" s="210"/>
      <c r="OS123" s="210"/>
      <c r="OT123" s="210"/>
      <c r="OU123" s="210"/>
      <c r="OV123" s="210"/>
      <c r="OW123" s="210"/>
      <c r="RG123" s="120"/>
    </row>
    <row r="124" spans="1:475" x14ac:dyDescent="0.3">
      <c r="A124" s="7">
        <v>23</v>
      </c>
      <c r="B124" s="7">
        <v>114</v>
      </c>
      <c r="C124" s="7" t="s">
        <v>276</v>
      </c>
      <c r="D124" s="7" t="s">
        <v>317</v>
      </c>
      <c r="E124" s="7" t="s">
        <v>320</v>
      </c>
      <c r="F124" s="7" t="s">
        <v>274</v>
      </c>
      <c r="G124" s="41" t="str">
        <f t="shared" si="14"/>
        <v>X</v>
      </c>
      <c r="H124" s="41">
        <f>INDEX(환산공식!CI$16:CI$301,MATCH('배치점수 계산기'!$W124,환산공식!$A$16:$A$301,0))</f>
        <v>0</v>
      </c>
      <c r="I124" s="41" t="e">
        <f>CONCATENATE(ROUND(INDEX(환산공식!CJ$16:CJ$301,MATCH('배치점수 계산기'!$W124,환산공식!$A$16:$A$301,0)),1),"%")</f>
        <v>#DIV/0!</v>
      </c>
      <c r="J124" s="41">
        <f>INDEX(환산공식!CK$16:CK$301,MATCH('배치점수 계산기'!$W124,환산공식!$A$16:$A$301,0))</f>
        <v>10</v>
      </c>
      <c r="K124" s="7">
        <f>INDEX(환산공식!$EF$16:$EF$301,MATCH('배치점수 계산기'!W124,환산공식!$A$16:$A$301,0))</f>
        <v>0</v>
      </c>
      <c r="L124" s="41" t="str">
        <f t="shared" si="12"/>
        <v>1% 이하</v>
      </c>
      <c r="M124" s="7">
        <v>673.86782625786157</v>
      </c>
      <c r="N124" s="7">
        <v>670.671875</v>
      </c>
      <c r="O124" s="7">
        <v>668.00852272727263</v>
      </c>
      <c r="P124" s="7">
        <v>665.37656249999998</v>
      </c>
      <c r="Q124" s="7">
        <v>663.79611132413083</v>
      </c>
      <c r="R124" s="7">
        <f t="shared" si="13"/>
        <v>6</v>
      </c>
      <c r="T124" s="7">
        <f>COUNTIF($C$11:C124,C124)</f>
        <v>61</v>
      </c>
      <c r="U124" s="7" t="str">
        <f t="shared" si="15"/>
        <v>가61</v>
      </c>
      <c r="V124" s="7" t="str">
        <f>INDEX(환산공식!$C$16:$C$301,MATCH('배치점수 계산기'!W124,환산공식!$A$16:$A$301,0))</f>
        <v>고려대 자연</v>
      </c>
      <c r="W124" s="7">
        <f t="shared" si="16"/>
        <v>23</v>
      </c>
      <c r="X124" s="7">
        <f t="shared" si="17"/>
        <v>1</v>
      </c>
      <c r="Y124" s="7">
        <f>IFERROR(INDEX(환산공식!Q$16:Q$200,MATCH($A124,환산공식!$A$16:$A$200,0)),"")</f>
        <v>1.5625</v>
      </c>
      <c r="Z124" s="7">
        <f>IFERROR(INDEX(환산공식!R$16:R$200,MATCH($A124,환산공식!$A$16:$A$200,0)),"")</f>
        <v>1.875</v>
      </c>
      <c r="AA124" s="7">
        <f>IFERROR(INDEX(환산공식!U$16:U$200,MATCH($A124,환산공식!$A$16:$A$200,0)),"")</f>
        <v>1.5625</v>
      </c>
      <c r="AB124" s="7">
        <f t="shared" si="18"/>
        <v>0.3125</v>
      </c>
      <c r="AC124" s="7">
        <f t="shared" si="19"/>
        <v>0.375</v>
      </c>
      <c r="AD124" s="7">
        <f t="shared" si="20"/>
        <v>0.3125</v>
      </c>
      <c r="AE124" s="7">
        <f>INDEX(환산공식!$AF$16:$AF$301,MATCH('배치점수 계산기'!W124,환산공식!$A$16:$A$301,0))</f>
        <v>1</v>
      </c>
      <c r="AF124" s="7">
        <f>INDEX(환산공식!$AP$16:$AP$301,MATCH('배치점수 계산기'!W124,환산공식!$A$16:$A$301,0))</f>
        <v>4</v>
      </c>
      <c r="AG124" s="7" t="str">
        <f t="shared" si="21"/>
        <v>표점</v>
      </c>
      <c r="AH124" s="7" t="str">
        <f t="shared" si="22"/>
        <v>변표</v>
      </c>
      <c r="BO124" s="210"/>
      <c r="BP124" s="210"/>
      <c r="BQ124" s="210"/>
      <c r="BR124" s="210"/>
      <c r="BS124" s="210"/>
      <c r="BT124" s="210"/>
      <c r="BU124" s="210"/>
      <c r="BV124" s="210"/>
      <c r="BW124" s="210"/>
      <c r="BX124" s="210"/>
      <c r="BY124" s="210"/>
      <c r="BZ124" s="210"/>
      <c r="CA124" s="210"/>
      <c r="CB124" s="210"/>
      <c r="CC124" s="210"/>
      <c r="EM124" s="120"/>
      <c r="ET124" s="210"/>
      <c r="EU124" s="210"/>
      <c r="EV124" s="210"/>
      <c r="EW124" s="210"/>
      <c r="EX124" s="210"/>
      <c r="EY124" s="210"/>
      <c r="EZ124" s="210"/>
      <c r="FA124" s="210"/>
      <c r="FB124" s="210"/>
      <c r="FC124" s="210"/>
      <c r="FD124" s="210"/>
      <c r="FE124" s="210"/>
      <c r="FF124" s="210"/>
      <c r="FG124" s="210"/>
      <c r="FH124" s="210"/>
      <c r="HR124" s="120"/>
      <c r="HY124" s="210"/>
      <c r="HZ124" s="210"/>
      <c r="IA124" s="210"/>
      <c r="IB124" s="210"/>
      <c r="IC124" s="210"/>
      <c r="ID124" s="210"/>
      <c r="IE124" s="210"/>
      <c r="IF124" s="210"/>
      <c r="IG124" s="210"/>
      <c r="IH124" s="210"/>
      <c r="II124" s="210"/>
      <c r="IJ124" s="210"/>
      <c r="IK124" s="210"/>
      <c r="IL124" s="210"/>
      <c r="IM124" s="210"/>
      <c r="KW124" s="120"/>
      <c r="LD124" s="210"/>
      <c r="LE124" s="210"/>
      <c r="LF124" s="210"/>
      <c r="LG124" s="210"/>
      <c r="LH124" s="210"/>
      <c r="LI124" s="210"/>
      <c r="LJ124" s="210"/>
      <c r="LK124" s="210"/>
      <c r="LL124" s="210"/>
      <c r="LM124" s="210"/>
      <c r="LN124" s="210"/>
      <c r="LO124" s="210"/>
      <c r="LP124" s="210"/>
      <c r="LQ124" s="210"/>
      <c r="LR124" s="210"/>
      <c r="OB124" s="120"/>
      <c r="OI124" s="210"/>
      <c r="OJ124" s="210"/>
      <c r="OK124" s="210"/>
      <c r="OL124" s="210"/>
      <c r="OM124" s="210"/>
      <c r="ON124" s="210"/>
      <c r="OO124" s="210"/>
      <c r="OP124" s="210"/>
      <c r="OQ124" s="210"/>
      <c r="OR124" s="210"/>
      <c r="OS124" s="210"/>
      <c r="OT124" s="210"/>
      <c r="OU124" s="210"/>
      <c r="OV124" s="210"/>
      <c r="OW124" s="210"/>
      <c r="RG124" s="120"/>
    </row>
    <row r="125" spans="1:475" x14ac:dyDescent="0.3">
      <c r="A125" s="7">
        <v>23</v>
      </c>
      <c r="B125" s="7">
        <v>115</v>
      </c>
      <c r="C125" s="7" t="s">
        <v>276</v>
      </c>
      <c r="D125" s="7" t="s">
        <v>317</v>
      </c>
      <c r="E125" s="7" t="s">
        <v>321</v>
      </c>
      <c r="F125" s="7" t="s">
        <v>274</v>
      </c>
      <c r="G125" s="41" t="str">
        <f t="shared" si="14"/>
        <v>X</v>
      </c>
      <c r="H125" s="41">
        <f>INDEX(환산공식!CI$16:CI$301,MATCH('배치점수 계산기'!$W125,환산공식!$A$16:$A$301,0))</f>
        <v>0</v>
      </c>
      <c r="I125" s="41" t="e">
        <f>CONCATENATE(ROUND(INDEX(환산공식!CJ$16:CJ$301,MATCH('배치점수 계산기'!$W125,환산공식!$A$16:$A$301,0)),1),"%")</f>
        <v>#DIV/0!</v>
      </c>
      <c r="J125" s="41">
        <f>INDEX(환산공식!CK$16:CK$301,MATCH('배치점수 계산기'!$W125,환산공식!$A$16:$A$301,0))</f>
        <v>10</v>
      </c>
      <c r="K125" s="7">
        <f>INDEX(환산공식!$EF$16:$EF$301,MATCH('배치점수 계산기'!W125,환산공식!$A$16:$A$301,0))</f>
        <v>0</v>
      </c>
      <c r="L125" s="41" t="str">
        <f t="shared" si="12"/>
        <v>1% 이하</v>
      </c>
      <c r="M125" s="7">
        <v>669.60223530901726</v>
      </c>
      <c r="N125" s="7">
        <v>668.32100253807107</v>
      </c>
      <c r="O125" s="7">
        <v>667.15625</v>
      </c>
      <c r="P125" s="7">
        <v>665.37656249999998</v>
      </c>
      <c r="Q125" s="7">
        <v>663.46250000000009</v>
      </c>
      <c r="R125" s="7">
        <f t="shared" si="13"/>
        <v>6</v>
      </c>
      <c r="T125" s="7">
        <f>COUNTIF($C$11:C125,C125)</f>
        <v>62</v>
      </c>
      <c r="U125" s="7" t="str">
        <f t="shared" si="15"/>
        <v>가62</v>
      </c>
      <c r="V125" s="7" t="str">
        <f>INDEX(환산공식!$C$16:$C$301,MATCH('배치점수 계산기'!W125,환산공식!$A$16:$A$301,0))</f>
        <v>고려대 자연</v>
      </c>
      <c r="W125" s="7">
        <f t="shared" si="16"/>
        <v>23</v>
      </c>
      <c r="X125" s="7">
        <f t="shared" si="17"/>
        <v>1</v>
      </c>
      <c r="Y125" s="7">
        <f>IFERROR(INDEX(환산공식!Q$16:Q$200,MATCH($A125,환산공식!$A$16:$A$200,0)),"")</f>
        <v>1.5625</v>
      </c>
      <c r="Z125" s="7">
        <f>IFERROR(INDEX(환산공식!R$16:R$200,MATCH($A125,환산공식!$A$16:$A$200,0)),"")</f>
        <v>1.875</v>
      </c>
      <c r="AA125" s="7">
        <f>IFERROR(INDEX(환산공식!U$16:U$200,MATCH($A125,환산공식!$A$16:$A$200,0)),"")</f>
        <v>1.5625</v>
      </c>
      <c r="AB125" s="7">
        <f t="shared" si="18"/>
        <v>0.3125</v>
      </c>
      <c r="AC125" s="7">
        <f t="shared" si="19"/>
        <v>0.375</v>
      </c>
      <c r="AD125" s="7">
        <f t="shared" si="20"/>
        <v>0.3125</v>
      </c>
      <c r="AE125" s="7">
        <f>INDEX(환산공식!$AF$16:$AF$301,MATCH('배치점수 계산기'!W125,환산공식!$A$16:$A$301,0))</f>
        <v>1</v>
      </c>
      <c r="AF125" s="7">
        <f>INDEX(환산공식!$AP$16:$AP$301,MATCH('배치점수 계산기'!W125,환산공식!$A$16:$A$301,0))</f>
        <v>4</v>
      </c>
      <c r="AG125" s="7" t="str">
        <f t="shared" si="21"/>
        <v>표점</v>
      </c>
      <c r="AH125" s="7" t="str">
        <f t="shared" si="22"/>
        <v>변표</v>
      </c>
      <c r="BO125" s="210"/>
      <c r="BP125" s="210"/>
      <c r="BQ125" s="210"/>
      <c r="BR125" s="210"/>
      <c r="BS125" s="210"/>
      <c r="BT125" s="210"/>
      <c r="BU125" s="210"/>
      <c r="BV125" s="210"/>
      <c r="BW125" s="210"/>
      <c r="BX125" s="210"/>
      <c r="BY125" s="210"/>
      <c r="BZ125" s="210"/>
      <c r="CA125" s="210"/>
      <c r="CB125" s="210"/>
      <c r="CC125" s="210"/>
      <c r="EM125" s="120"/>
      <c r="ET125" s="210"/>
      <c r="EU125" s="210"/>
      <c r="EV125" s="210"/>
      <c r="EW125" s="210"/>
      <c r="EX125" s="210"/>
      <c r="EY125" s="210"/>
      <c r="EZ125" s="210"/>
      <c r="FA125" s="210"/>
      <c r="FB125" s="210"/>
      <c r="FC125" s="210"/>
      <c r="FD125" s="210"/>
      <c r="FE125" s="210"/>
      <c r="FF125" s="210"/>
      <c r="FG125" s="210"/>
      <c r="FH125" s="210"/>
      <c r="HR125" s="120"/>
      <c r="HY125" s="210"/>
      <c r="HZ125" s="210"/>
      <c r="IA125" s="210"/>
      <c r="IB125" s="210"/>
      <c r="IC125" s="210"/>
      <c r="ID125" s="210"/>
      <c r="IE125" s="210"/>
      <c r="IF125" s="210"/>
      <c r="IG125" s="210"/>
      <c r="IH125" s="210"/>
      <c r="II125" s="210"/>
      <c r="IJ125" s="210"/>
      <c r="IK125" s="210"/>
      <c r="IL125" s="210"/>
      <c r="IM125" s="210"/>
      <c r="KW125" s="120"/>
      <c r="LD125" s="210"/>
      <c r="LE125" s="210"/>
      <c r="LF125" s="210"/>
      <c r="LG125" s="210"/>
      <c r="LH125" s="210"/>
      <c r="LI125" s="210"/>
      <c r="LJ125" s="210"/>
      <c r="LK125" s="210"/>
      <c r="LL125" s="210"/>
      <c r="LM125" s="210"/>
      <c r="LN125" s="210"/>
      <c r="LO125" s="210"/>
      <c r="LP125" s="210"/>
      <c r="LQ125" s="210"/>
      <c r="LR125" s="210"/>
      <c r="OB125" s="120"/>
      <c r="OI125" s="210"/>
      <c r="OJ125" s="210"/>
      <c r="OK125" s="210"/>
      <c r="OL125" s="210"/>
      <c r="OM125" s="210"/>
      <c r="ON125" s="210"/>
      <c r="OO125" s="210"/>
      <c r="OP125" s="210"/>
      <c r="OQ125" s="210"/>
      <c r="OR125" s="210"/>
      <c r="OS125" s="210"/>
      <c r="OT125" s="210"/>
      <c r="OU125" s="210"/>
      <c r="OV125" s="210"/>
      <c r="OW125" s="210"/>
      <c r="RG125" s="120"/>
    </row>
    <row r="126" spans="1:475" x14ac:dyDescent="0.3">
      <c r="A126" s="7">
        <v>23</v>
      </c>
      <c r="B126" s="7">
        <v>116</v>
      </c>
      <c r="C126" s="7" t="s">
        <v>276</v>
      </c>
      <c r="D126" s="7" t="s">
        <v>317</v>
      </c>
      <c r="E126" s="7" t="s">
        <v>322</v>
      </c>
      <c r="F126" s="7" t="s">
        <v>274</v>
      </c>
      <c r="G126" s="41" t="str">
        <f t="shared" si="14"/>
        <v>X</v>
      </c>
      <c r="H126" s="41">
        <f>INDEX(환산공식!CI$16:CI$301,MATCH('배치점수 계산기'!$W126,환산공식!$A$16:$A$301,0))</f>
        <v>0</v>
      </c>
      <c r="I126" s="41" t="e">
        <f>CONCATENATE(ROUND(INDEX(환산공식!CJ$16:CJ$301,MATCH('배치점수 계산기'!$W126,환산공식!$A$16:$A$301,0)),1),"%")</f>
        <v>#DIV/0!</v>
      </c>
      <c r="J126" s="41">
        <f>INDEX(환산공식!CK$16:CK$301,MATCH('배치점수 계산기'!$W126,환산공식!$A$16:$A$301,0))</f>
        <v>10</v>
      </c>
      <c r="K126" s="7">
        <f>INDEX(환산공식!$EF$16:$EF$301,MATCH('배치점수 계산기'!W126,환산공식!$A$16:$A$301,0))</f>
        <v>0</v>
      </c>
      <c r="L126" s="41" t="str">
        <f t="shared" si="12"/>
        <v>1% 이하</v>
      </c>
      <c r="M126" s="7">
        <v>670.015625</v>
      </c>
      <c r="N126" s="7">
        <v>668.32100253807107</v>
      </c>
      <c r="O126" s="7">
        <v>666.8125</v>
      </c>
      <c r="P126" s="7">
        <v>665.23749999999984</v>
      </c>
      <c r="Q126" s="7">
        <v>661.17500000000007</v>
      </c>
      <c r="R126" s="7">
        <f t="shared" si="13"/>
        <v>6</v>
      </c>
      <c r="T126" s="7">
        <f>COUNTIF($C$11:C126,C126)</f>
        <v>63</v>
      </c>
      <c r="U126" s="7" t="str">
        <f t="shared" si="15"/>
        <v>가63</v>
      </c>
      <c r="V126" s="7" t="str">
        <f>INDEX(환산공식!$C$16:$C$301,MATCH('배치점수 계산기'!W126,환산공식!$A$16:$A$301,0))</f>
        <v>고려대 자연</v>
      </c>
      <c r="W126" s="7">
        <f t="shared" si="16"/>
        <v>23</v>
      </c>
      <c r="X126" s="7">
        <f t="shared" si="17"/>
        <v>1</v>
      </c>
      <c r="Y126" s="7">
        <f>IFERROR(INDEX(환산공식!Q$16:Q$200,MATCH($A126,환산공식!$A$16:$A$200,0)),"")</f>
        <v>1.5625</v>
      </c>
      <c r="Z126" s="7">
        <f>IFERROR(INDEX(환산공식!R$16:R$200,MATCH($A126,환산공식!$A$16:$A$200,0)),"")</f>
        <v>1.875</v>
      </c>
      <c r="AA126" s="7">
        <f>IFERROR(INDEX(환산공식!U$16:U$200,MATCH($A126,환산공식!$A$16:$A$200,0)),"")</f>
        <v>1.5625</v>
      </c>
      <c r="AB126" s="7">
        <f t="shared" si="18"/>
        <v>0.3125</v>
      </c>
      <c r="AC126" s="7">
        <f t="shared" si="19"/>
        <v>0.375</v>
      </c>
      <c r="AD126" s="7">
        <f t="shared" si="20"/>
        <v>0.3125</v>
      </c>
      <c r="AE126" s="7">
        <f>INDEX(환산공식!$AF$16:$AF$301,MATCH('배치점수 계산기'!W126,환산공식!$A$16:$A$301,0))</f>
        <v>1</v>
      </c>
      <c r="AF126" s="7">
        <f>INDEX(환산공식!$AP$16:$AP$301,MATCH('배치점수 계산기'!W126,환산공식!$A$16:$A$301,0))</f>
        <v>4</v>
      </c>
      <c r="AG126" s="7" t="str">
        <f t="shared" si="21"/>
        <v>표점</v>
      </c>
      <c r="AH126" s="7" t="str">
        <f t="shared" si="22"/>
        <v>변표</v>
      </c>
      <c r="BO126" s="210"/>
      <c r="BP126" s="210"/>
      <c r="BQ126" s="210"/>
      <c r="BR126" s="210"/>
      <c r="BS126" s="210"/>
      <c r="BT126" s="210"/>
      <c r="BU126" s="210"/>
      <c r="BV126" s="210"/>
      <c r="BW126" s="210"/>
      <c r="BX126" s="210"/>
      <c r="BY126" s="210"/>
      <c r="BZ126" s="210"/>
      <c r="CA126" s="210"/>
      <c r="CB126" s="210"/>
      <c r="CC126" s="210"/>
      <c r="EM126" s="120"/>
      <c r="ET126" s="210"/>
      <c r="EU126" s="210"/>
      <c r="EV126" s="210"/>
      <c r="EW126" s="210"/>
      <c r="EX126" s="210"/>
      <c r="EY126" s="210"/>
      <c r="EZ126" s="210"/>
      <c r="FA126" s="210"/>
      <c r="FB126" s="210"/>
      <c r="FC126" s="210"/>
      <c r="FD126" s="210"/>
      <c r="FE126" s="210"/>
      <c r="FF126" s="210"/>
      <c r="FG126" s="210"/>
      <c r="FH126" s="210"/>
      <c r="HR126" s="120"/>
      <c r="HY126" s="210"/>
      <c r="HZ126" s="210"/>
      <c r="IA126" s="210"/>
      <c r="IB126" s="210"/>
      <c r="IC126" s="210"/>
      <c r="ID126" s="210"/>
      <c r="IE126" s="210"/>
      <c r="IF126" s="210"/>
      <c r="IG126" s="210"/>
      <c r="IH126" s="210"/>
      <c r="II126" s="210"/>
      <c r="IJ126" s="210"/>
      <c r="IK126" s="210"/>
      <c r="IL126" s="210"/>
      <c r="IM126" s="210"/>
      <c r="KW126" s="120"/>
      <c r="LD126" s="210"/>
      <c r="LE126" s="210"/>
      <c r="LF126" s="210"/>
      <c r="LG126" s="210"/>
      <c r="LH126" s="210"/>
      <c r="LI126" s="210"/>
      <c r="LJ126" s="210"/>
      <c r="LK126" s="210"/>
      <c r="LL126" s="210"/>
      <c r="LM126" s="210"/>
      <c r="LN126" s="210"/>
      <c r="LO126" s="210"/>
      <c r="LP126" s="210"/>
      <c r="LQ126" s="210"/>
      <c r="LR126" s="210"/>
      <c r="OB126" s="120"/>
      <c r="OI126" s="210"/>
      <c r="OJ126" s="210"/>
      <c r="OK126" s="210"/>
      <c r="OL126" s="210"/>
      <c r="OM126" s="210"/>
      <c r="ON126" s="210"/>
      <c r="OO126" s="210"/>
      <c r="OP126" s="210"/>
      <c r="OQ126" s="210"/>
      <c r="OR126" s="210"/>
      <c r="OS126" s="210"/>
      <c r="OT126" s="210"/>
      <c r="OU126" s="210"/>
      <c r="OV126" s="210"/>
      <c r="OW126" s="210"/>
      <c r="RG126" s="120"/>
    </row>
    <row r="127" spans="1:475" x14ac:dyDescent="0.3">
      <c r="A127" s="7">
        <v>23</v>
      </c>
      <c r="B127" s="7">
        <v>117</v>
      </c>
      <c r="C127" s="7" t="s">
        <v>276</v>
      </c>
      <c r="D127" s="7" t="s">
        <v>317</v>
      </c>
      <c r="E127" s="7" t="s">
        <v>323</v>
      </c>
      <c r="F127" s="7" t="s">
        <v>274</v>
      </c>
      <c r="G127" s="41" t="str">
        <f t="shared" si="14"/>
        <v>X</v>
      </c>
      <c r="H127" s="41">
        <f>INDEX(환산공식!CI$16:CI$301,MATCH('배치점수 계산기'!$W127,환산공식!$A$16:$A$301,0))</f>
        <v>0</v>
      </c>
      <c r="I127" s="41" t="e">
        <f>CONCATENATE(ROUND(INDEX(환산공식!CJ$16:CJ$301,MATCH('배치점수 계산기'!$W127,환산공식!$A$16:$A$301,0)),1),"%")</f>
        <v>#DIV/0!</v>
      </c>
      <c r="J127" s="41">
        <f>INDEX(환산공식!CK$16:CK$301,MATCH('배치점수 계산기'!$W127,환산공식!$A$16:$A$301,0))</f>
        <v>10</v>
      </c>
      <c r="K127" s="7">
        <f>INDEX(환산공식!$EF$16:$EF$301,MATCH('배치점수 계산기'!W127,환산공식!$A$16:$A$301,0))</f>
        <v>0</v>
      </c>
      <c r="L127" s="41" t="str">
        <f t="shared" si="12"/>
        <v>1% 이하</v>
      </c>
      <c r="M127" s="7">
        <v>669.25851336796757</v>
      </c>
      <c r="N127" s="7">
        <v>667.453125</v>
      </c>
      <c r="O127" s="7">
        <v>665.53281249999998</v>
      </c>
      <c r="P127" s="7">
        <v>664.32731481481483</v>
      </c>
      <c r="Q127" s="7">
        <v>661.17500000000007</v>
      </c>
      <c r="R127" s="7">
        <f t="shared" si="13"/>
        <v>6</v>
      </c>
      <c r="T127" s="7">
        <f>COUNTIF($C$11:C127,C127)</f>
        <v>64</v>
      </c>
      <c r="U127" s="7" t="str">
        <f t="shared" si="15"/>
        <v>가64</v>
      </c>
      <c r="V127" s="7" t="str">
        <f>INDEX(환산공식!$C$16:$C$301,MATCH('배치점수 계산기'!W127,환산공식!$A$16:$A$301,0))</f>
        <v>고려대 자연</v>
      </c>
      <c r="W127" s="7">
        <f t="shared" si="16"/>
        <v>23</v>
      </c>
      <c r="X127" s="7">
        <f t="shared" si="17"/>
        <v>1</v>
      </c>
      <c r="Y127" s="7">
        <f>IFERROR(INDEX(환산공식!Q$16:Q$200,MATCH($A127,환산공식!$A$16:$A$200,0)),"")</f>
        <v>1.5625</v>
      </c>
      <c r="Z127" s="7">
        <f>IFERROR(INDEX(환산공식!R$16:R$200,MATCH($A127,환산공식!$A$16:$A$200,0)),"")</f>
        <v>1.875</v>
      </c>
      <c r="AA127" s="7">
        <f>IFERROR(INDEX(환산공식!U$16:U$200,MATCH($A127,환산공식!$A$16:$A$200,0)),"")</f>
        <v>1.5625</v>
      </c>
      <c r="AB127" s="7">
        <f t="shared" si="18"/>
        <v>0.3125</v>
      </c>
      <c r="AC127" s="7">
        <f t="shared" si="19"/>
        <v>0.375</v>
      </c>
      <c r="AD127" s="7">
        <f t="shared" si="20"/>
        <v>0.3125</v>
      </c>
      <c r="AE127" s="7">
        <f>INDEX(환산공식!$AF$16:$AF$301,MATCH('배치점수 계산기'!W127,환산공식!$A$16:$A$301,0))</f>
        <v>1</v>
      </c>
      <c r="AF127" s="7">
        <f>INDEX(환산공식!$AP$16:$AP$301,MATCH('배치점수 계산기'!W127,환산공식!$A$16:$A$301,0))</f>
        <v>4</v>
      </c>
      <c r="AG127" s="7" t="str">
        <f t="shared" si="21"/>
        <v>표점</v>
      </c>
      <c r="AH127" s="7" t="str">
        <f t="shared" si="22"/>
        <v>변표</v>
      </c>
      <c r="BO127" s="210"/>
      <c r="BP127" s="210"/>
      <c r="BQ127" s="210"/>
      <c r="BR127" s="210"/>
      <c r="BS127" s="210"/>
      <c r="BT127" s="210"/>
      <c r="BU127" s="210"/>
      <c r="BV127" s="210"/>
      <c r="BW127" s="210"/>
      <c r="BX127" s="210"/>
      <c r="BY127" s="210"/>
      <c r="BZ127" s="210"/>
      <c r="CA127" s="210"/>
      <c r="CB127" s="210"/>
      <c r="CC127" s="210"/>
      <c r="EM127" s="120"/>
      <c r="ET127" s="210"/>
      <c r="EU127" s="210"/>
      <c r="EV127" s="210"/>
      <c r="EW127" s="210"/>
      <c r="EX127" s="210"/>
      <c r="EY127" s="210"/>
      <c r="EZ127" s="210"/>
      <c r="FA127" s="210"/>
      <c r="FB127" s="210"/>
      <c r="FC127" s="210"/>
      <c r="FD127" s="210"/>
      <c r="FE127" s="210"/>
      <c r="FF127" s="210"/>
      <c r="FG127" s="210"/>
      <c r="FH127" s="210"/>
      <c r="HR127" s="120"/>
      <c r="HY127" s="210"/>
      <c r="HZ127" s="210"/>
      <c r="IA127" s="210"/>
      <c r="IB127" s="210"/>
      <c r="IC127" s="210"/>
      <c r="ID127" s="210"/>
      <c r="IE127" s="210"/>
      <c r="IF127" s="210"/>
      <c r="IG127" s="210"/>
      <c r="IH127" s="210"/>
      <c r="II127" s="210"/>
      <c r="IJ127" s="210"/>
      <c r="IK127" s="210"/>
      <c r="IL127" s="210"/>
      <c r="IM127" s="210"/>
      <c r="KW127" s="120"/>
      <c r="LD127" s="210"/>
      <c r="LE127" s="210"/>
      <c r="LF127" s="210"/>
      <c r="LG127" s="210"/>
      <c r="LH127" s="210"/>
      <c r="LI127" s="210"/>
      <c r="LJ127" s="210"/>
      <c r="LK127" s="210"/>
      <c r="LL127" s="210"/>
      <c r="LM127" s="210"/>
      <c r="LN127" s="210"/>
      <c r="LO127" s="210"/>
      <c r="LP127" s="210"/>
      <c r="LQ127" s="210"/>
      <c r="LR127" s="210"/>
      <c r="OB127" s="120"/>
      <c r="OI127" s="210"/>
      <c r="OJ127" s="210"/>
      <c r="OK127" s="210"/>
      <c r="OL127" s="210"/>
      <c r="OM127" s="210"/>
      <c r="ON127" s="210"/>
      <c r="OO127" s="210"/>
      <c r="OP127" s="210"/>
      <c r="OQ127" s="210"/>
      <c r="OR127" s="210"/>
      <c r="OS127" s="210"/>
      <c r="OT127" s="210"/>
      <c r="OU127" s="210"/>
      <c r="OV127" s="210"/>
      <c r="OW127" s="210"/>
      <c r="RG127" s="120"/>
    </row>
    <row r="128" spans="1:475" x14ac:dyDescent="0.3">
      <c r="A128" s="7">
        <v>23</v>
      </c>
      <c r="B128" s="7">
        <v>118</v>
      </c>
      <c r="C128" s="7" t="s">
        <v>276</v>
      </c>
      <c r="D128" s="7" t="s">
        <v>317</v>
      </c>
      <c r="E128" s="7" t="s">
        <v>286</v>
      </c>
      <c r="F128" s="7" t="s">
        <v>274</v>
      </c>
      <c r="G128" s="41" t="str">
        <f t="shared" si="14"/>
        <v>X</v>
      </c>
      <c r="H128" s="41">
        <f>INDEX(환산공식!CI$16:CI$301,MATCH('배치점수 계산기'!$W128,환산공식!$A$16:$A$301,0))</f>
        <v>0</v>
      </c>
      <c r="I128" s="41" t="e">
        <f>CONCATENATE(ROUND(INDEX(환산공식!CJ$16:CJ$301,MATCH('배치점수 계산기'!$W128,환산공식!$A$16:$A$301,0)),1),"%")</f>
        <v>#DIV/0!</v>
      </c>
      <c r="J128" s="41">
        <f>INDEX(환산공식!CK$16:CK$301,MATCH('배치점수 계산기'!$W128,환산공식!$A$16:$A$301,0))</f>
        <v>10</v>
      </c>
      <c r="K128" s="7">
        <f>INDEX(환산공식!$EF$16:$EF$301,MATCH('배치점수 계산기'!W128,환산공식!$A$16:$A$301,0))</f>
        <v>0</v>
      </c>
      <c r="L128" s="41" t="str">
        <f t="shared" si="12"/>
        <v>1% 이하</v>
      </c>
      <c r="M128" s="7">
        <v>671.52408459595961</v>
      </c>
      <c r="N128" s="7">
        <v>669.60223530901726</v>
      </c>
      <c r="O128" s="7">
        <v>666.8125</v>
      </c>
      <c r="P128" s="7">
        <v>665.23749999999984</v>
      </c>
      <c r="Q128" s="7">
        <v>662.48125000000016</v>
      </c>
      <c r="R128" s="7">
        <f t="shared" si="13"/>
        <v>6</v>
      </c>
      <c r="T128" s="7">
        <f>COUNTIF($C$11:C128,C128)</f>
        <v>65</v>
      </c>
      <c r="U128" s="7" t="str">
        <f t="shared" si="15"/>
        <v>가65</v>
      </c>
      <c r="V128" s="7" t="str">
        <f>INDEX(환산공식!$C$16:$C$301,MATCH('배치점수 계산기'!W128,환산공식!$A$16:$A$301,0))</f>
        <v>고려대 자연</v>
      </c>
      <c r="W128" s="7">
        <f t="shared" si="16"/>
        <v>23</v>
      </c>
      <c r="X128" s="7">
        <f t="shared" si="17"/>
        <v>1</v>
      </c>
      <c r="Y128" s="7">
        <f>IFERROR(INDEX(환산공식!Q$16:Q$200,MATCH($A128,환산공식!$A$16:$A$200,0)),"")</f>
        <v>1.5625</v>
      </c>
      <c r="Z128" s="7">
        <f>IFERROR(INDEX(환산공식!R$16:R$200,MATCH($A128,환산공식!$A$16:$A$200,0)),"")</f>
        <v>1.875</v>
      </c>
      <c r="AA128" s="7">
        <f>IFERROR(INDEX(환산공식!U$16:U$200,MATCH($A128,환산공식!$A$16:$A$200,0)),"")</f>
        <v>1.5625</v>
      </c>
      <c r="AB128" s="7">
        <f t="shared" si="18"/>
        <v>0.3125</v>
      </c>
      <c r="AC128" s="7">
        <f t="shared" si="19"/>
        <v>0.375</v>
      </c>
      <c r="AD128" s="7">
        <f t="shared" si="20"/>
        <v>0.3125</v>
      </c>
      <c r="AE128" s="7">
        <f>INDEX(환산공식!$AF$16:$AF$301,MATCH('배치점수 계산기'!W128,환산공식!$A$16:$A$301,0))</f>
        <v>1</v>
      </c>
      <c r="AF128" s="7">
        <f>INDEX(환산공식!$AP$16:$AP$301,MATCH('배치점수 계산기'!W128,환산공식!$A$16:$A$301,0))</f>
        <v>4</v>
      </c>
      <c r="AG128" s="7" t="str">
        <f t="shared" si="21"/>
        <v>표점</v>
      </c>
      <c r="AH128" s="7" t="str">
        <f t="shared" si="22"/>
        <v>변표</v>
      </c>
      <c r="BO128" s="210"/>
      <c r="BP128" s="210"/>
      <c r="BQ128" s="210"/>
      <c r="BR128" s="210"/>
      <c r="BS128" s="210"/>
      <c r="BT128" s="210"/>
      <c r="BU128" s="210"/>
      <c r="BV128" s="210"/>
      <c r="BW128" s="210"/>
      <c r="BX128" s="210"/>
      <c r="BY128" s="210"/>
      <c r="BZ128" s="210"/>
      <c r="CA128" s="210"/>
      <c r="CB128" s="210"/>
      <c r="CC128" s="210"/>
      <c r="EM128" s="120"/>
      <c r="ET128" s="210"/>
      <c r="EU128" s="210"/>
      <c r="EV128" s="210"/>
      <c r="EW128" s="210"/>
      <c r="EX128" s="210"/>
      <c r="EY128" s="210"/>
      <c r="EZ128" s="210"/>
      <c r="FA128" s="210"/>
      <c r="FB128" s="210"/>
      <c r="FC128" s="210"/>
      <c r="FD128" s="210"/>
      <c r="FE128" s="210"/>
      <c r="FF128" s="210"/>
      <c r="FG128" s="210"/>
      <c r="FH128" s="210"/>
      <c r="HR128" s="120"/>
      <c r="HY128" s="210"/>
      <c r="HZ128" s="210"/>
      <c r="IA128" s="210"/>
      <c r="IB128" s="210"/>
      <c r="IC128" s="210"/>
      <c r="ID128" s="210"/>
      <c r="IE128" s="210"/>
      <c r="IF128" s="210"/>
      <c r="IG128" s="210"/>
      <c r="IH128" s="210"/>
      <c r="II128" s="210"/>
      <c r="IJ128" s="210"/>
      <c r="IK128" s="210"/>
      <c r="IL128" s="210"/>
      <c r="IM128" s="210"/>
      <c r="KW128" s="120"/>
      <c r="LD128" s="210"/>
      <c r="LE128" s="210"/>
      <c r="LF128" s="210"/>
      <c r="LG128" s="210"/>
      <c r="LH128" s="210"/>
      <c r="LI128" s="210"/>
      <c r="LJ128" s="210"/>
      <c r="LK128" s="210"/>
      <c r="LL128" s="210"/>
      <c r="LM128" s="210"/>
      <c r="LN128" s="210"/>
      <c r="LO128" s="210"/>
      <c r="LP128" s="210"/>
      <c r="LQ128" s="210"/>
      <c r="LR128" s="210"/>
      <c r="OB128" s="120"/>
      <c r="OI128" s="210"/>
      <c r="OJ128" s="210"/>
      <c r="OK128" s="210"/>
      <c r="OL128" s="210"/>
      <c r="OM128" s="210"/>
      <c r="ON128" s="210"/>
      <c r="OO128" s="210"/>
      <c r="OP128" s="210"/>
      <c r="OQ128" s="210"/>
      <c r="OR128" s="210"/>
      <c r="OS128" s="210"/>
      <c r="OT128" s="210"/>
      <c r="OU128" s="210"/>
      <c r="OV128" s="210"/>
      <c r="OW128" s="210"/>
      <c r="RG128" s="120"/>
    </row>
    <row r="129" spans="1:475" x14ac:dyDescent="0.3">
      <c r="A129" s="7">
        <v>23</v>
      </c>
      <c r="B129" s="7">
        <v>119</v>
      </c>
      <c r="C129" s="7" t="s">
        <v>276</v>
      </c>
      <c r="D129" s="7" t="s">
        <v>317</v>
      </c>
      <c r="E129" s="7" t="s">
        <v>253</v>
      </c>
      <c r="F129" s="7" t="s">
        <v>274</v>
      </c>
      <c r="G129" s="41" t="str">
        <f t="shared" si="14"/>
        <v>X</v>
      </c>
      <c r="H129" s="41">
        <f>INDEX(환산공식!CI$16:CI$301,MATCH('배치점수 계산기'!$W129,환산공식!$A$16:$A$301,0))</f>
        <v>0</v>
      </c>
      <c r="I129" s="41" t="e">
        <f>CONCATENATE(ROUND(INDEX(환산공식!CJ$16:CJ$301,MATCH('배치점수 계산기'!$W129,환산공식!$A$16:$A$301,0)),1),"%")</f>
        <v>#DIV/0!</v>
      </c>
      <c r="J129" s="41">
        <f>INDEX(환산공식!CK$16:CK$301,MATCH('배치점수 계산기'!$W129,환산공식!$A$16:$A$301,0))</f>
        <v>10</v>
      </c>
      <c r="K129" s="7">
        <f>INDEX(환산공식!$EF$16:$EF$301,MATCH('배치점수 계산기'!W129,환산공식!$A$16:$A$301,0))</f>
        <v>0</v>
      </c>
      <c r="L129" s="41" t="str">
        <f t="shared" si="12"/>
        <v>1% 이하</v>
      </c>
      <c r="M129" s="7">
        <v>668.00852272727263</v>
      </c>
      <c r="N129" s="7">
        <v>666.203125</v>
      </c>
      <c r="O129" s="7">
        <v>664.62108437579775</v>
      </c>
      <c r="P129" s="7">
        <v>662.93125000000009</v>
      </c>
      <c r="Q129" s="7">
        <v>661.01875000000007</v>
      </c>
      <c r="R129" s="7">
        <f t="shared" si="13"/>
        <v>6</v>
      </c>
      <c r="T129" s="7">
        <f>COUNTIF($C$11:C129,C129)</f>
        <v>66</v>
      </c>
      <c r="U129" s="7" t="str">
        <f t="shared" si="15"/>
        <v>가66</v>
      </c>
      <c r="V129" s="7" t="str">
        <f>INDEX(환산공식!$C$16:$C$301,MATCH('배치점수 계산기'!W129,환산공식!$A$16:$A$301,0))</f>
        <v>고려대 자연</v>
      </c>
      <c r="W129" s="7">
        <f t="shared" si="16"/>
        <v>23</v>
      </c>
      <c r="X129" s="7">
        <f t="shared" si="17"/>
        <v>1</v>
      </c>
      <c r="Y129" s="7">
        <f>IFERROR(INDEX(환산공식!Q$16:Q$200,MATCH($A129,환산공식!$A$16:$A$200,0)),"")</f>
        <v>1.5625</v>
      </c>
      <c r="Z129" s="7">
        <f>IFERROR(INDEX(환산공식!R$16:R$200,MATCH($A129,환산공식!$A$16:$A$200,0)),"")</f>
        <v>1.875</v>
      </c>
      <c r="AA129" s="7">
        <f>IFERROR(INDEX(환산공식!U$16:U$200,MATCH($A129,환산공식!$A$16:$A$200,0)),"")</f>
        <v>1.5625</v>
      </c>
      <c r="AB129" s="7">
        <f t="shared" si="18"/>
        <v>0.3125</v>
      </c>
      <c r="AC129" s="7">
        <f t="shared" si="19"/>
        <v>0.375</v>
      </c>
      <c r="AD129" s="7">
        <f t="shared" si="20"/>
        <v>0.3125</v>
      </c>
      <c r="AE129" s="7">
        <f>INDEX(환산공식!$AF$16:$AF$301,MATCH('배치점수 계산기'!W129,환산공식!$A$16:$A$301,0))</f>
        <v>1</v>
      </c>
      <c r="AF129" s="7">
        <f>INDEX(환산공식!$AP$16:$AP$301,MATCH('배치점수 계산기'!W129,환산공식!$A$16:$A$301,0))</f>
        <v>4</v>
      </c>
      <c r="AG129" s="7" t="str">
        <f t="shared" si="21"/>
        <v>표점</v>
      </c>
      <c r="AH129" s="7" t="str">
        <f t="shared" si="22"/>
        <v>변표</v>
      </c>
      <c r="BO129" s="210"/>
      <c r="BP129" s="210"/>
      <c r="BQ129" s="210"/>
      <c r="BR129" s="210"/>
      <c r="BS129" s="210"/>
      <c r="BT129" s="210"/>
      <c r="BU129" s="210"/>
      <c r="BV129" s="210"/>
      <c r="BW129" s="210"/>
      <c r="BX129" s="210"/>
      <c r="BY129" s="210"/>
      <c r="BZ129" s="210"/>
      <c r="CA129" s="210"/>
      <c r="CB129" s="210"/>
      <c r="CC129" s="210"/>
      <c r="EM129" s="120"/>
      <c r="ET129" s="210"/>
      <c r="EU129" s="210"/>
      <c r="EV129" s="210"/>
      <c r="EW129" s="210"/>
      <c r="EX129" s="210"/>
      <c r="EY129" s="210"/>
      <c r="EZ129" s="210"/>
      <c r="FA129" s="210"/>
      <c r="FB129" s="210"/>
      <c r="FC129" s="210"/>
      <c r="FD129" s="210"/>
      <c r="FE129" s="210"/>
      <c r="FF129" s="210"/>
      <c r="FG129" s="210"/>
      <c r="FH129" s="210"/>
      <c r="HR129" s="120"/>
      <c r="HY129" s="210"/>
      <c r="HZ129" s="210"/>
      <c r="IA129" s="210"/>
      <c r="IB129" s="210"/>
      <c r="IC129" s="210"/>
      <c r="ID129" s="210"/>
      <c r="IE129" s="210"/>
      <c r="IF129" s="210"/>
      <c r="IG129" s="210"/>
      <c r="IH129" s="210"/>
      <c r="II129" s="210"/>
      <c r="IJ129" s="210"/>
      <c r="IK129" s="210"/>
      <c r="IL129" s="210"/>
      <c r="IM129" s="210"/>
      <c r="KW129" s="120"/>
      <c r="LD129" s="210"/>
      <c r="LE129" s="210"/>
      <c r="LF129" s="210"/>
      <c r="LG129" s="210"/>
      <c r="LH129" s="210"/>
      <c r="LI129" s="210"/>
      <c r="LJ129" s="210"/>
      <c r="LK129" s="210"/>
      <c r="LL129" s="210"/>
      <c r="LM129" s="210"/>
      <c r="LN129" s="210"/>
      <c r="LO129" s="210"/>
      <c r="LP129" s="210"/>
      <c r="LQ129" s="210"/>
      <c r="LR129" s="210"/>
      <c r="OB129" s="120"/>
      <c r="OI129" s="210"/>
      <c r="OJ129" s="210"/>
      <c r="OK129" s="210"/>
      <c r="OL129" s="210"/>
      <c r="OM129" s="210"/>
      <c r="ON129" s="210"/>
      <c r="OO129" s="210"/>
      <c r="OP129" s="210"/>
      <c r="OQ129" s="210"/>
      <c r="OR129" s="210"/>
      <c r="OS129" s="210"/>
      <c r="OT129" s="210"/>
      <c r="OU129" s="210"/>
      <c r="OV129" s="210"/>
      <c r="OW129" s="210"/>
      <c r="RG129" s="120"/>
    </row>
    <row r="130" spans="1:475" x14ac:dyDescent="0.3">
      <c r="A130" s="7">
        <v>23</v>
      </c>
      <c r="B130" s="7">
        <v>120</v>
      </c>
      <c r="C130" s="7" t="s">
        <v>276</v>
      </c>
      <c r="D130" s="7" t="s">
        <v>317</v>
      </c>
      <c r="E130" s="7" t="s">
        <v>292</v>
      </c>
      <c r="F130" s="7" t="s">
        <v>274</v>
      </c>
      <c r="G130" s="41" t="str">
        <f t="shared" si="14"/>
        <v>X</v>
      </c>
      <c r="H130" s="41">
        <f>INDEX(환산공식!CI$16:CI$301,MATCH('배치점수 계산기'!$W130,환산공식!$A$16:$A$301,0))</f>
        <v>0</v>
      </c>
      <c r="I130" s="41" t="e">
        <f>CONCATENATE(ROUND(INDEX(환산공식!CJ$16:CJ$301,MATCH('배치점수 계산기'!$W130,환산공식!$A$16:$A$301,0)),1),"%")</f>
        <v>#DIV/0!</v>
      </c>
      <c r="J130" s="41">
        <f>INDEX(환산공식!CK$16:CK$301,MATCH('배치점수 계산기'!$W130,환산공식!$A$16:$A$301,0))</f>
        <v>10</v>
      </c>
      <c r="K130" s="7">
        <f>INDEX(환산공식!$EF$16:$EF$301,MATCH('배치점수 계산기'!W130,환산공식!$A$16:$A$301,0))</f>
        <v>0</v>
      </c>
      <c r="L130" s="41" t="str">
        <f t="shared" si="12"/>
        <v>1% 이하</v>
      </c>
      <c r="M130" s="7">
        <v>668.32100253807107</v>
      </c>
      <c r="N130" s="7">
        <v>667.15625</v>
      </c>
      <c r="O130" s="7">
        <v>665.53281249999998</v>
      </c>
      <c r="P130" s="7">
        <v>664.32731481481483</v>
      </c>
      <c r="Q130" s="7">
        <v>661.88363782051283</v>
      </c>
      <c r="R130" s="7">
        <f t="shared" si="13"/>
        <v>6</v>
      </c>
      <c r="T130" s="7">
        <f>COUNTIF($C$11:C130,C130)</f>
        <v>67</v>
      </c>
      <c r="U130" s="7" t="str">
        <f t="shared" si="15"/>
        <v>가67</v>
      </c>
      <c r="V130" s="7" t="str">
        <f>INDEX(환산공식!$C$16:$C$301,MATCH('배치점수 계산기'!W130,환산공식!$A$16:$A$301,0))</f>
        <v>고려대 자연</v>
      </c>
      <c r="W130" s="7">
        <f t="shared" si="16"/>
        <v>23</v>
      </c>
      <c r="X130" s="7">
        <f t="shared" si="17"/>
        <v>1</v>
      </c>
      <c r="Y130" s="7">
        <f>IFERROR(INDEX(환산공식!Q$16:Q$200,MATCH($A130,환산공식!$A$16:$A$200,0)),"")</f>
        <v>1.5625</v>
      </c>
      <c r="Z130" s="7">
        <f>IFERROR(INDEX(환산공식!R$16:R$200,MATCH($A130,환산공식!$A$16:$A$200,0)),"")</f>
        <v>1.875</v>
      </c>
      <c r="AA130" s="7">
        <f>IFERROR(INDEX(환산공식!U$16:U$200,MATCH($A130,환산공식!$A$16:$A$200,0)),"")</f>
        <v>1.5625</v>
      </c>
      <c r="AB130" s="7">
        <f t="shared" si="18"/>
        <v>0.3125</v>
      </c>
      <c r="AC130" s="7">
        <f t="shared" si="19"/>
        <v>0.375</v>
      </c>
      <c r="AD130" s="7">
        <f t="shared" si="20"/>
        <v>0.3125</v>
      </c>
      <c r="AE130" s="7">
        <f>INDEX(환산공식!$AF$16:$AF$301,MATCH('배치점수 계산기'!W130,환산공식!$A$16:$A$301,0))</f>
        <v>1</v>
      </c>
      <c r="AF130" s="7">
        <f>INDEX(환산공식!$AP$16:$AP$301,MATCH('배치점수 계산기'!W130,환산공식!$A$16:$A$301,0))</f>
        <v>4</v>
      </c>
      <c r="AG130" s="7" t="str">
        <f t="shared" si="21"/>
        <v>표점</v>
      </c>
      <c r="AH130" s="7" t="str">
        <f t="shared" si="22"/>
        <v>변표</v>
      </c>
      <c r="BO130" s="210"/>
      <c r="BP130" s="210"/>
      <c r="BQ130" s="210"/>
      <c r="BR130" s="210"/>
      <c r="BS130" s="210"/>
      <c r="BT130" s="210"/>
      <c r="BU130" s="210"/>
      <c r="BV130" s="210"/>
      <c r="BW130" s="210"/>
      <c r="BX130" s="210"/>
      <c r="BY130" s="210"/>
      <c r="BZ130" s="210"/>
      <c r="CA130" s="210"/>
      <c r="CB130" s="210"/>
      <c r="CC130" s="210"/>
      <c r="EM130" s="120"/>
      <c r="ET130" s="210"/>
      <c r="EU130" s="210"/>
      <c r="EV130" s="210"/>
      <c r="EW130" s="210"/>
      <c r="EX130" s="210"/>
      <c r="EY130" s="210"/>
      <c r="EZ130" s="210"/>
      <c r="FA130" s="210"/>
      <c r="FB130" s="210"/>
      <c r="FC130" s="210"/>
      <c r="FD130" s="210"/>
      <c r="FE130" s="210"/>
      <c r="FF130" s="210"/>
      <c r="FG130" s="210"/>
      <c r="FH130" s="210"/>
      <c r="HR130" s="120"/>
      <c r="HY130" s="210"/>
      <c r="HZ130" s="210"/>
      <c r="IA130" s="210"/>
      <c r="IB130" s="210"/>
      <c r="IC130" s="210"/>
      <c r="ID130" s="210"/>
      <c r="IE130" s="210"/>
      <c r="IF130" s="210"/>
      <c r="IG130" s="210"/>
      <c r="IH130" s="210"/>
      <c r="II130" s="210"/>
      <c r="IJ130" s="210"/>
      <c r="IK130" s="210"/>
      <c r="IL130" s="210"/>
      <c r="IM130" s="210"/>
      <c r="KW130" s="120"/>
      <c r="LD130" s="210"/>
      <c r="LE130" s="210"/>
      <c r="LF130" s="210"/>
      <c r="LG130" s="210"/>
      <c r="LH130" s="210"/>
      <c r="LI130" s="210"/>
      <c r="LJ130" s="210"/>
      <c r="LK130" s="210"/>
      <c r="LL130" s="210"/>
      <c r="LM130" s="210"/>
      <c r="LN130" s="210"/>
      <c r="LO130" s="210"/>
      <c r="LP130" s="210"/>
      <c r="LQ130" s="210"/>
      <c r="LR130" s="210"/>
      <c r="OB130" s="120"/>
      <c r="OI130" s="210"/>
      <c r="OJ130" s="210"/>
      <c r="OK130" s="210"/>
      <c r="OL130" s="210"/>
      <c r="OM130" s="210"/>
      <c r="ON130" s="210"/>
      <c r="OO130" s="210"/>
      <c r="OP130" s="210"/>
      <c r="OQ130" s="210"/>
      <c r="OR130" s="210"/>
      <c r="OS130" s="210"/>
      <c r="OT130" s="210"/>
      <c r="OU130" s="210"/>
      <c r="OV130" s="210"/>
      <c r="OW130" s="210"/>
      <c r="RG130" s="120"/>
    </row>
    <row r="131" spans="1:475" x14ac:dyDescent="0.3">
      <c r="A131" s="7">
        <v>23</v>
      </c>
      <c r="B131" s="7">
        <v>121</v>
      </c>
      <c r="C131" s="7" t="s">
        <v>276</v>
      </c>
      <c r="D131" s="7" t="s">
        <v>317</v>
      </c>
      <c r="E131" s="7" t="s">
        <v>256</v>
      </c>
      <c r="F131" s="7" t="s">
        <v>274</v>
      </c>
      <c r="G131" s="41" t="str">
        <f t="shared" si="14"/>
        <v>X</v>
      </c>
      <c r="H131" s="41">
        <f>INDEX(환산공식!CI$16:CI$301,MATCH('배치점수 계산기'!$W131,환산공식!$A$16:$A$301,0))</f>
        <v>0</v>
      </c>
      <c r="I131" s="41" t="e">
        <f>CONCATENATE(ROUND(INDEX(환산공식!CJ$16:CJ$301,MATCH('배치점수 계산기'!$W131,환산공식!$A$16:$A$301,0)),1),"%")</f>
        <v>#DIV/0!</v>
      </c>
      <c r="J131" s="41">
        <f>INDEX(환산공식!CK$16:CK$301,MATCH('배치점수 계산기'!$W131,환산공식!$A$16:$A$301,0))</f>
        <v>10</v>
      </c>
      <c r="K131" s="7">
        <f>INDEX(환산공식!$EF$16:$EF$301,MATCH('배치점수 계산기'!W131,환산공식!$A$16:$A$301,0))</f>
        <v>0</v>
      </c>
      <c r="L131" s="41" t="str">
        <f t="shared" si="12"/>
        <v>1% 이하</v>
      </c>
      <c r="M131" s="7">
        <v>667.453125</v>
      </c>
      <c r="N131" s="7">
        <v>666.359375</v>
      </c>
      <c r="O131" s="7">
        <v>665.23749999999984</v>
      </c>
      <c r="P131" s="7">
        <v>663.46250000000009</v>
      </c>
      <c r="Q131" s="7">
        <v>661.17500000000007</v>
      </c>
      <c r="R131" s="7">
        <f t="shared" si="13"/>
        <v>6</v>
      </c>
      <c r="T131" s="7">
        <f>COUNTIF($C$11:C131,C131)</f>
        <v>68</v>
      </c>
      <c r="U131" s="7" t="str">
        <f t="shared" si="15"/>
        <v>가68</v>
      </c>
      <c r="V131" s="7" t="str">
        <f>INDEX(환산공식!$C$16:$C$301,MATCH('배치점수 계산기'!W131,환산공식!$A$16:$A$301,0))</f>
        <v>고려대 자연</v>
      </c>
      <c r="W131" s="7">
        <f t="shared" si="16"/>
        <v>23</v>
      </c>
      <c r="X131" s="7">
        <f t="shared" si="17"/>
        <v>1</v>
      </c>
      <c r="Y131" s="7">
        <f>IFERROR(INDEX(환산공식!Q$16:Q$200,MATCH($A131,환산공식!$A$16:$A$200,0)),"")</f>
        <v>1.5625</v>
      </c>
      <c r="Z131" s="7">
        <f>IFERROR(INDEX(환산공식!R$16:R$200,MATCH($A131,환산공식!$A$16:$A$200,0)),"")</f>
        <v>1.875</v>
      </c>
      <c r="AA131" s="7">
        <f>IFERROR(INDEX(환산공식!U$16:U$200,MATCH($A131,환산공식!$A$16:$A$200,0)),"")</f>
        <v>1.5625</v>
      </c>
      <c r="AB131" s="7">
        <f t="shared" si="18"/>
        <v>0.3125</v>
      </c>
      <c r="AC131" s="7">
        <f t="shared" si="19"/>
        <v>0.375</v>
      </c>
      <c r="AD131" s="7">
        <f t="shared" si="20"/>
        <v>0.3125</v>
      </c>
      <c r="AE131" s="7">
        <f>INDEX(환산공식!$AF$16:$AF$301,MATCH('배치점수 계산기'!W131,환산공식!$A$16:$A$301,0))</f>
        <v>1</v>
      </c>
      <c r="AF131" s="7">
        <f>INDEX(환산공식!$AP$16:$AP$301,MATCH('배치점수 계산기'!W131,환산공식!$A$16:$A$301,0))</f>
        <v>4</v>
      </c>
      <c r="AG131" s="7" t="str">
        <f t="shared" si="21"/>
        <v>표점</v>
      </c>
      <c r="AH131" s="7" t="str">
        <f t="shared" si="22"/>
        <v>변표</v>
      </c>
      <c r="BO131" s="210"/>
      <c r="BP131" s="210"/>
      <c r="BQ131" s="210"/>
      <c r="BR131" s="210"/>
      <c r="BS131" s="210"/>
      <c r="BT131" s="210"/>
      <c r="BU131" s="210"/>
      <c r="BV131" s="210"/>
      <c r="BW131" s="210"/>
      <c r="BX131" s="210"/>
      <c r="BY131" s="210"/>
      <c r="BZ131" s="210"/>
      <c r="CA131" s="210"/>
      <c r="CB131" s="210"/>
      <c r="CC131" s="210"/>
      <c r="EM131" s="120"/>
      <c r="ET131" s="210"/>
      <c r="EU131" s="210"/>
      <c r="EV131" s="210"/>
      <c r="EW131" s="210"/>
      <c r="EX131" s="210"/>
      <c r="EY131" s="210"/>
      <c r="EZ131" s="210"/>
      <c r="FA131" s="210"/>
      <c r="FB131" s="210"/>
      <c r="FC131" s="210"/>
      <c r="FD131" s="210"/>
      <c r="FE131" s="210"/>
      <c r="FF131" s="210"/>
      <c r="FG131" s="210"/>
      <c r="FH131" s="210"/>
      <c r="HR131" s="120"/>
      <c r="HY131" s="210"/>
      <c r="HZ131" s="210"/>
      <c r="IA131" s="210"/>
      <c r="IB131" s="210"/>
      <c r="IC131" s="210"/>
      <c r="ID131" s="210"/>
      <c r="IE131" s="210"/>
      <c r="IF131" s="210"/>
      <c r="IG131" s="210"/>
      <c r="IH131" s="210"/>
      <c r="II131" s="210"/>
      <c r="IJ131" s="210"/>
      <c r="IK131" s="210"/>
      <c r="IL131" s="210"/>
      <c r="IM131" s="210"/>
      <c r="KW131" s="120"/>
      <c r="LD131" s="210"/>
      <c r="LE131" s="210"/>
      <c r="LF131" s="210"/>
      <c r="LG131" s="210"/>
      <c r="LH131" s="210"/>
      <c r="LI131" s="210"/>
      <c r="LJ131" s="210"/>
      <c r="LK131" s="210"/>
      <c r="LL131" s="210"/>
      <c r="LM131" s="210"/>
      <c r="LN131" s="210"/>
      <c r="LO131" s="210"/>
      <c r="LP131" s="210"/>
      <c r="LQ131" s="210"/>
      <c r="LR131" s="210"/>
      <c r="OB131" s="120"/>
      <c r="OI131" s="210"/>
      <c r="OJ131" s="210"/>
      <c r="OK131" s="210"/>
      <c r="OL131" s="210"/>
      <c r="OM131" s="210"/>
      <c r="ON131" s="210"/>
      <c r="OO131" s="210"/>
      <c r="OP131" s="210"/>
      <c r="OQ131" s="210"/>
      <c r="OR131" s="210"/>
      <c r="OS131" s="210"/>
      <c r="OT131" s="210"/>
      <c r="OU131" s="210"/>
      <c r="OV131" s="210"/>
      <c r="OW131" s="210"/>
      <c r="RG131" s="120"/>
    </row>
    <row r="132" spans="1:475" x14ac:dyDescent="0.3">
      <c r="A132" s="7">
        <v>23</v>
      </c>
      <c r="B132" s="7">
        <v>122</v>
      </c>
      <c r="C132" s="7" t="s">
        <v>276</v>
      </c>
      <c r="D132" s="7" t="s">
        <v>317</v>
      </c>
      <c r="E132" s="7" t="s">
        <v>324</v>
      </c>
      <c r="F132" s="7" t="s">
        <v>274</v>
      </c>
      <c r="G132" s="41" t="str">
        <f t="shared" si="14"/>
        <v>X</v>
      </c>
      <c r="H132" s="41">
        <f>INDEX(환산공식!CI$16:CI$301,MATCH('배치점수 계산기'!$W132,환산공식!$A$16:$A$301,0))</f>
        <v>0</v>
      </c>
      <c r="I132" s="41" t="e">
        <f>CONCATENATE(ROUND(INDEX(환산공식!CJ$16:CJ$301,MATCH('배치점수 계산기'!$W132,환산공식!$A$16:$A$301,0)),1),"%")</f>
        <v>#DIV/0!</v>
      </c>
      <c r="J132" s="41">
        <f>INDEX(환산공식!CK$16:CK$301,MATCH('배치점수 계산기'!$W132,환산공식!$A$16:$A$301,0))</f>
        <v>10</v>
      </c>
      <c r="K132" s="7">
        <f>INDEX(환산공식!$EF$16:$EF$301,MATCH('배치점수 계산기'!W132,환산공식!$A$16:$A$301,0))</f>
        <v>0</v>
      </c>
      <c r="L132" s="41" t="str">
        <f t="shared" si="12"/>
        <v>1% 이하</v>
      </c>
      <c r="M132" s="7">
        <v>667.453125</v>
      </c>
      <c r="N132" s="7">
        <v>666.203125</v>
      </c>
      <c r="O132" s="7">
        <v>664.62108437579775</v>
      </c>
      <c r="P132" s="7">
        <v>662.93125000000009</v>
      </c>
      <c r="Q132" s="7">
        <v>661.17500000000007</v>
      </c>
      <c r="R132" s="7">
        <f t="shared" si="13"/>
        <v>6</v>
      </c>
      <c r="T132" s="7">
        <f>COUNTIF($C$11:C132,C132)</f>
        <v>69</v>
      </c>
      <c r="U132" s="7" t="str">
        <f t="shared" si="15"/>
        <v>가69</v>
      </c>
      <c r="V132" s="7" t="str">
        <f>INDEX(환산공식!$C$16:$C$301,MATCH('배치점수 계산기'!W132,환산공식!$A$16:$A$301,0))</f>
        <v>고려대 자연</v>
      </c>
      <c r="W132" s="7">
        <f t="shared" si="16"/>
        <v>23</v>
      </c>
      <c r="X132" s="7">
        <f t="shared" si="17"/>
        <v>1</v>
      </c>
      <c r="Y132" s="7">
        <f>IFERROR(INDEX(환산공식!Q$16:Q$200,MATCH($A132,환산공식!$A$16:$A$200,0)),"")</f>
        <v>1.5625</v>
      </c>
      <c r="Z132" s="7">
        <f>IFERROR(INDEX(환산공식!R$16:R$200,MATCH($A132,환산공식!$A$16:$A$200,0)),"")</f>
        <v>1.875</v>
      </c>
      <c r="AA132" s="7">
        <f>IFERROR(INDEX(환산공식!U$16:U$200,MATCH($A132,환산공식!$A$16:$A$200,0)),"")</f>
        <v>1.5625</v>
      </c>
      <c r="AB132" s="7">
        <f t="shared" si="18"/>
        <v>0.3125</v>
      </c>
      <c r="AC132" s="7">
        <f t="shared" si="19"/>
        <v>0.375</v>
      </c>
      <c r="AD132" s="7">
        <f t="shared" si="20"/>
        <v>0.3125</v>
      </c>
      <c r="AE132" s="7">
        <f>INDEX(환산공식!$AF$16:$AF$301,MATCH('배치점수 계산기'!W132,환산공식!$A$16:$A$301,0))</f>
        <v>1</v>
      </c>
      <c r="AF132" s="7">
        <f>INDEX(환산공식!$AP$16:$AP$301,MATCH('배치점수 계산기'!W132,환산공식!$A$16:$A$301,0))</f>
        <v>4</v>
      </c>
      <c r="AG132" s="7" t="str">
        <f t="shared" si="21"/>
        <v>표점</v>
      </c>
      <c r="AH132" s="7" t="str">
        <f t="shared" si="22"/>
        <v>변표</v>
      </c>
      <c r="BO132" s="210"/>
      <c r="BP132" s="210"/>
      <c r="BQ132" s="210"/>
      <c r="BR132" s="210"/>
      <c r="BS132" s="210"/>
      <c r="BT132" s="210"/>
      <c r="BU132" s="210"/>
      <c r="BV132" s="210"/>
      <c r="BW132" s="210"/>
      <c r="BX132" s="210"/>
      <c r="BY132" s="210"/>
      <c r="BZ132" s="210"/>
      <c r="CA132" s="210"/>
      <c r="CB132" s="210"/>
      <c r="CC132" s="210"/>
      <c r="EM132" s="120"/>
      <c r="ET132" s="210"/>
      <c r="EU132" s="210"/>
      <c r="EV132" s="210"/>
      <c r="EW132" s="210"/>
      <c r="EX132" s="210"/>
      <c r="EY132" s="210"/>
      <c r="EZ132" s="210"/>
      <c r="FA132" s="210"/>
      <c r="FB132" s="210"/>
      <c r="FC132" s="210"/>
      <c r="FD132" s="210"/>
      <c r="FE132" s="210"/>
      <c r="FF132" s="210"/>
      <c r="FG132" s="210"/>
      <c r="FH132" s="210"/>
      <c r="HR132" s="120"/>
      <c r="HY132" s="210"/>
      <c r="HZ132" s="210"/>
      <c r="IA132" s="210"/>
      <c r="IB132" s="210"/>
      <c r="IC132" s="210"/>
      <c r="ID132" s="210"/>
      <c r="IE132" s="210"/>
      <c r="IF132" s="210"/>
      <c r="IG132" s="210"/>
      <c r="IH132" s="210"/>
      <c r="II132" s="210"/>
      <c r="IJ132" s="210"/>
      <c r="IK132" s="210"/>
      <c r="IL132" s="210"/>
      <c r="IM132" s="210"/>
      <c r="KW132" s="120"/>
      <c r="LD132" s="210"/>
      <c r="LE132" s="210"/>
      <c r="LF132" s="210"/>
      <c r="LG132" s="210"/>
      <c r="LH132" s="210"/>
      <c r="LI132" s="210"/>
      <c r="LJ132" s="210"/>
      <c r="LK132" s="210"/>
      <c r="LL132" s="210"/>
      <c r="LM132" s="210"/>
      <c r="LN132" s="210"/>
      <c r="LO132" s="210"/>
      <c r="LP132" s="210"/>
      <c r="LQ132" s="210"/>
      <c r="LR132" s="210"/>
      <c r="OB132" s="120"/>
      <c r="OI132" s="210"/>
      <c r="OJ132" s="210"/>
      <c r="OK132" s="210"/>
      <c r="OL132" s="210"/>
      <c r="OM132" s="210"/>
      <c r="ON132" s="210"/>
      <c r="OO132" s="210"/>
      <c r="OP132" s="210"/>
      <c r="OQ132" s="210"/>
      <c r="OR132" s="210"/>
      <c r="OS132" s="210"/>
      <c r="OT132" s="210"/>
      <c r="OU132" s="210"/>
      <c r="OV132" s="210"/>
      <c r="OW132" s="210"/>
      <c r="RG132" s="120"/>
    </row>
    <row r="133" spans="1:475" x14ac:dyDescent="0.3">
      <c r="A133" s="7">
        <v>23</v>
      </c>
      <c r="B133" s="7">
        <v>123</v>
      </c>
      <c r="C133" s="7" t="s">
        <v>276</v>
      </c>
      <c r="D133" s="7" t="s">
        <v>317</v>
      </c>
      <c r="E133" s="7" t="s">
        <v>258</v>
      </c>
      <c r="F133" s="7" t="s">
        <v>274</v>
      </c>
      <c r="G133" s="41" t="str">
        <f t="shared" si="14"/>
        <v>X</v>
      </c>
      <c r="H133" s="41">
        <f>INDEX(환산공식!CI$16:CI$301,MATCH('배치점수 계산기'!$W133,환산공식!$A$16:$A$301,0))</f>
        <v>0</v>
      </c>
      <c r="I133" s="41" t="e">
        <f>CONCATENATE(ROUND(INDEX(환산공식!CJ$16:CJ$301,MATCH('배치점수 계산기'!$W133,환산공식!$A$16:$A$301,0)),1),"%")</f>
        <v>#DIV/0!</v>
      </c>
      <c r="J133" s="41">
        <f>INDEX(환산공식!CK$16:CK$301,MATCH('배치점수 계산기'!$W133,환산공식!$A$16:$A$301,0))</f>
        <v>10</v>
      </c>
      <c r="K133" s="7">
        <f>INDEX(환산공식!$EF$16:$EF$301,MATCH('배치점수 계산기'!W133,환산공식!$A$16:$A$301,0))</f>
        <v>0</v>
      </c>
      <c r="L133" s="41" t="str">
        <f t="shared" si="12"/>
        <v>1% 이하</v>
      </c>
      <c r="M133" s="7">
        <v>668.32100253807107</v>
      </c>
      <c r="N133" s="7">
        <v>667.15625</v>
      </c>
      <c r="O133" s="7">
        <v>665.53281249999998</v>
      </c>
      <c r="P133" s="7">
        <v>664.32731481481483</v>
      </c>
      <c r="Q133" s="7">
        <v>661.17500000000007</v>
      </c>
      <c r="R133" s="7">
        <f t="shared" si="13"/>
        <v>6</v>
      </c>
      <c r="T133" s="7">
        <f>COUNTIF($C$11:C133,C133)</f>
        <v>70</v>
      </c>
      <c r="U133" s="7" t="str">
        <f t="shared" si="15"/>
        <v>가70</v>
      </c>
      <c r="V133" s="7" t="str">
        <f>INDEX(환산공식!$C$16:$C$301,MATCH('배치점수 계산기'!W133,환산공식!$A$16:$A$301,0))</f>
        <v>고려대 자연</v>
      </c>
      <c r="W133" s="7">
        <f t="shared" si="16"/>
        <v>23</v>
      </c>
      <c r="X133" s="7">
        <f t="shared" si="17"/>
        <v>1</v>
      </c>
      <c r="Y133" s="7">
        <f>IFERROR(INDEX(환산공식!Q$16:Q$200,MATCH($A133,환산공식!$A$16:$A$200,0)),"")</f>
        <v>1.5625</v>
      </c>
      <c r="Z133" s="7">
        <f>IFERROR(INDEX(환산공식!R$16:R$200,MATCH($A133,환산공식!$A$16:$A$200,0)),"")</f>
        <v>1.875</v>
      </c>
      <c r="AA133" s="7">
        <f>IFERROR(INDEX(환산공식!U$16:U$200,MATCH($A133,환산공식!$A$16:$A$200,0)),"")</f>
        <v>1.5625</v>
      </c>
      <c r="AB133" s="7">
        <f t="shared" si="18"/>
        <v>0.3125</v>
      </c>
      <c r="AC133" s="7">
        <f t="shared" si="19"/>
        <v>0.375</v>
      </c>
      <c r="AD133" s="7">
        <f t="shared" si="20"/>
        <v>0.3125</v>
      </c>
      <c r="AE133" s="7">
        <f>INDEX(환산공식!$AF$16:$AF$301,MATCH('배치점수 계산기'!W133,환산공식!$A$16:$A$301,0))</f>
        <v>1</v>
      </c>
      <c r="AF133" s="7">
        <f>INDEX(환산공식!$AP$16:$AP$301,MATCH('배치점수 계산기'!W133,환산공식!$A$16:$A$301,0))</f>
        <v>4</v>
      </c>
      <c r="AG133" s="7" t="str">
        <f t="shared" si="21"/>
        <v>표점</v>
      </c>
      <c r="AH133" s="7" t="str">
        <f t="shared" si="22"/>
        <v>변표</v>
      </c>
      <c r="BO133" s="210"/>
      <c r="BP133" s="210"/>
      <c r="BQ133" s="210"/>
      <c r="BR133" s="210"/>
      <c r="BS133" s="210"/>
      <c r="BT133" s="210"/>
      <c r="BU133" s="210"/>
      <c r="BV133" s="210"/>
      <c r="BW133" s="210"/>
      <c r="BX133" s="210"/>
      <c r="BY133" s="210"/>
      <c r="BZ133" s="210"/>
      <c r="CA133" s="210"/>
      <c r="CB133" s="210"/>
      <c r="CC133" s="210"/>
      <c r="EM133" s="120"/>
      <c r="ET133" s="210"/>
      <c r="EU133" s="210"/>
      <c r="EV133" s="210"/>
      <c r="EW133" s="210"/>
      <c r="EX133" s="210"/>
      <c r="EY133" s="210"/>
      <c r="EZ133" s="210"/>
      <c r="FA133" s="210"/>
      <c r="FB133" s="210"/>
      <c r="FC133" s="210"/>
      <c r="FD133" s="210"/>
      <c r="FE133" s="210"/>
      <c r="FF133" s="210"/>
      <c r="FG133" s="210"/>
      <c r="FH133" s="210"/>
      <c r="HR133" s="120"/>
      <c r="HY133" s="210"/>
      <c r="HZ133" s="210"/>
      <c r="IA133" s="210"/>
      <c r="IB133" s="210"/>
      <c r="IC133" s="210"/>
      <c r="ID133" s="210"/>
      <c r="IE133" s="210"/>
      <c r="IF133" s="210"/>
      <c r="IG133" s="210"/>
      <c r="IH133" s="210"/>
      <c r="II133" s="210"/>
      <c r="IJ133" s="210"/>
      <c r="IK133" s="210"/>
      <c r="IL133" s="210"/>
      <c r="IM133" s="210"/>
      <c r="KW133" s="120"/>
      <c r="LD133" s="210"/>
      <c r="LE133" s="210"/>
      <c r="LF133" s="210"/>
      <c r="LG133" s="210"/>
      <c r="LH133" s="210"/>
      <c r="LI133" s="210"/>
      <c r="LJ133" s="210"/>
      <c r="LK133" s="210"/>
      <c r="LL133" s="210"/>
      <c r="LM133" s="210"/>
      <c r="LN133" s="210"/>
      <c r="LO133" s="210"/>
      <c r="LP133" s="210"/>
      <c r="LQ133" s="210"/>
      <c r="LR133" s="210"/>
      <c r="OB133" s="120"/>
      <c r="OI133" s="210"/>
      <c r="OJ133" s="210"/>
      <c r="OK133" s="210"/>
      <c r="OL133" s="210"/>
      <c r="OM133" s="210"/>
      <c r="ON133" s="210"/>
      <c r="OO133" s="210"/>
      <c r="OP133" s="210"/>
      <c r="OQ133" s="210"/>
      <c r="OR133" s="210"/>
      <c r="OS133" s="210"/>
      <c r="OT133" s="210"/>
      <c r="OU133" s="210"/>
      <c r="OV133" s="210"/>
      <c r="OW133" s="210"/>
      <c r="RG133" s="120"/>
    </row>
    <row r="134" spans="1:475" x14ac:dyDescent="0.3">
      <c r="A134" s="7">
        <v>23</v>
      </c>
      <c r="B134" s="7">
        <v>124</v>
      </c>
      <c r="C134" s="7" t="s">
        <v>276</v>
      </c>
      <c r="D134" s="7" t="s">
        <v>317</v>
      </c>
      <c r="E134" s="7" t="s">
        <v>325</v>
      </c>
      <c r="F134" s="7" t="s">
        <v>274</v>
      </c>
      <c r="G134" s="41" t="str">
        <f t="shared" si="14"/>
        <v>X</v>
      </c>
      <c r="H134" s="41">
        <f>INDEX(환산공식!CI$16:CI$301,MATCH('배치점수 계산기'!$W134,환산공식!$A$16:$A$301,0))</f>
        <v>0</v>
      </c>
      <c r="I134" s="41" t="e">
        <f>CONCATENATE(ROUND(INDEX(환산공식!CJ$16:CJ$301,MATCH('배치점수 계산기'!$W134,환산공식!$A$16:$A$301,0)),1),"%")</f>
        <v>#DIV/0!</v>
      </c>
      <c r="J134" s="41">
        <f>INDEX(환산공식!CK$16:CK$301,MATCH('배치점수 계산기'!$W134,환산공식!$A$16:$A$301,0))</f>
        <v>10</v>
      </c>
      <c r="K134" s="7">
        <f>INDEX(환산공식!$EF$16:$EF$301,MATCH('배치점수 계산기'!W134,환산공식!$A$16:$A$301,0))</f>
        <v>0</v>
      </c>
      <c r="L134" s="41" t="str">
        <f t="shared" si="12"/>
        <v>1% 이하</v>
      </c>
      <c r="M134" s="7">
        <v>666.359375</v>
      </c>
      <c r="N134" s="7">
        <v>665.23749999999984</v>
      </c>
      <c r="O134" s="7">
        <v>663.46250000000009</v>
      </c>
      <c r="P134" s="7">
        <v>661.43362843212742</v>
      </c>
      <c r="Q134" s="7">
        <v>660.16250000000002</v>
      </c>
      <c r="R134" s="7">
        <f t="shared" si="13"/>
        <v>6</v>
      </c>
      <c r="T134" s="7">
        <f>COUNTIF($C$11:C134,C134)</f>
        <v>71</v>
      </c>
      <c r="U134" s="7" t="str">
        <f t="shared" si="15"/>
        <v>가71</v>
      </c>
      <c r="V134" s="7" t="str">
        <f>INDEX(환산공식!$C$16:$C$301,MATCH('배치점수 계산기'!W134,환산공식!$A$16:$A$301,0))</f>
        <v>고려대 자연</v>
      </c>
      <c r="W134" s="7">
        <f t="shared" si="16"/>
        <v>23</v>
      </c>
      <c r="X134" s="7">
        <f t="shared" si="17"/>
        <v>1</v>
      </c>
      <c r="Y134" s="7">
        <f>IFERROR(INDEX(환산공식!Q$16:Q$200,MATCH($A134,환산공식!$A$16:$A$200,0)),"")</f>
        <v>1.5625</v>
      </c>
      <c r="Z134" s="7">
        <f>IFERROR(INDEX(환산공식!R$16:R$200,MATCH($A134,환산공식!$A$16:$A$200,0)),"")</f>
        <v>1.875</v>
      </c>
      <c r="AA134" s="7">
        <f>IFERROR(INDEX(환산공식!U$16:U$200,MATCH($A134,환산공식!$A$16:$A$200,0)),"")</f>
        <v>1.5625</v>
      </c>
      <c r="AB134" s="7">
        <f t="shared" si="18"/>
        <v>0.3125</v>
      </c>
      <c r="AC134" s="7">
        <f t="shared" si="19"/>
        <v>0.375</v>
      </c>
      <c r="AD134" s="7">
        <f t="shared" si="20"/>
        <v>0.3125</v>
      </c>
      <c r="AE134" s="7">
        <f>INDEX(환산공식!$AF$16:$AF$301,MATCH('배치점수 계산기'!W134,환산공식!$A$16:$A$301,0))</f>
        <v>1</v>
      </c>
      <c r="AF134" s="7">
        <f>INDEX(환산공식!$AP$16:$AP$301,MATCH('배치점수 계산기'!W134,환산공식!$A$16:$A$301,0))</f>
        <v>4</v>
      </c>
      <c r="AG134" s="7" t="str">
        <f t="shared" si="21"/>
        <v>표점</v>
      </c>
      <c r="AH134" s="7" t="str">
        <f t="shared" si="22"/>
        <v>변표</v>
      </c>
      <c r="BO134" s="210"/>
      <c r="BP134" s="210"/>
      <c r="BQ134" s="210"/>
      <c r="BR134" s="210"/>
      <c r="BS134" s="210"/>
      <c r="BT134" s="210"/>
      <c r="BU134" s="210"/>
      <c r="BV134" s="210"/>
      <c r="BW134" s="210"/>
      <c r="BX134" s="210"/>
      <c r="BY134" s="210"/>
      <c r="BZ134" s="210"/>
      <c r="CA134" s="210"/>
      <c r="CB134" s="210"/>
      <c r="CC134" s="210"/>
      <c r="EM134" s="120"/>
      <c r="ET134" s="210"/>
      <c r="EU134" s="210"/>
      <c r="EV134" s="210"/>
      <c r="EW134" s="210"/>
      <c r="EX134" s="210"/>
      <c r="EY134" s="210"/>
      <c r="EZ134" s="210"/>
      <c r="FA134" s="210"/>
      <c r="FB134" s="210"/>
      <c r="FC134" s="210"/>
      <c r="FD134" s="210"/>
      <c r="FE134" s="210"/>
      <c r="FF134" s="210"/>
      <c r="FG134" s="210"/>
      <c r="FH134" s="210"/>
      <c r="HR134" s="120"/>
      <c r="HY134" s="210"/>
      <c r="HZ134" s="210"/>
      <c r="IA134" s="210"/>
      <c r="IB134" s="210"/>
      <c r="IC134" s="210"/>
      <c r="ID134" s="210"/>
      <c r="IE134" s="210"/>
      <c r="IF134" s="210"/>
      <c r="IG134" s="210"/>
      <c r="IH134" s="210"/>
      <c r="II134" s="210"/>
      <c r="IJ134" s="210"/>
      <c r="IK134" s="210"/>
      <c r="IL134" s="210"/>
      <c r="IM134" s="210"/>
      <c r="KW134" s="120"/>
      <c r="LD134" s="210"/>
      <c r="LE134" s="210"/>
      <c r="LF134" s="210"/>
      <c r="LG134" s="210"/>
      <c r="LH134" s="210"/>
      <c r="LI134" s="210"/>
      <c r="LJ134" s="210"/>
      <c r="LK134" s="210"/>
      <c r="LL134" s="210"/>
      <c r="LM134" s="210"/>
      <c r="LN134" s="210"/>
      <c r="LO134" s="210"/>
      <c r="LP134" s="210"/>
      <c r="LQ134" s="210"/>
      <c r="LR134" s="210"/>
      <c r="OB134" s="120"/>
      <c r="OI134" s="210"/>
      <c r="OJ134" s="210"/>
      <c r="OK134" s="210"/>
      <c r="OL134" s="210"/>
      <c r="OM134" s="210"/>
      <c r="ON134" s="210"/>
      <c r="OO134" s="210"/>
      <c r="OP134" s="210"/>
      <c r="OQ134" s="210"/>
      <c r="OR134" s="210"/>
      <c r="OS134" s="210"/>
      <c r="OT134" s="210"/>
      <c r="OU134" s="210"/>
      <c r="OV134" s="210"/>
      <c r="OW134" s="210"/>
      <c r="RG134" s="120"/>
    </row>
    <row r="135" spans="1:475" x14ac:dyDescent="0.3">
      <c r="A135" s="7">
        <v>23</v>
      </c>
      <c r="B135" s="7">
        <v>125</v>
      </c>
      <c r="C135" s="7" t="s">
        <v>276</v>
      </c>
      <c r="D135" s="7" t="s">
        <v>317</v>
      </c>
      <c r="E135" s="7" t="s">
        <v>252</v>
      </c>
      <c r="F135" s="7" t="s">
        <v>274</v>
      </c>
      <c r="G135" s="41" t="str">
        <f t="shared" si="14"/>
        <v>X</v>
      </c>
      <c r="H135" s="41">
        <f>INDEX(환산공식!CI$16:CI$301,MATCH('배치점수 계산기'!$W135,환산공식!$A$16:$A$301,0))</f>
        <v>0</v>
      </c>
      <c r="I135" s="41" t="e">
        <f>CONCATENATE(ROUND(INDEX(환산공식!CJ$16:CJ$301,MATCH('배치점수 계산기'!$W135,환산공식!$A$16:$A$301,0)),1),"%")</f>
        <v>#DIV/0!</v>
      </c>
      <c r="J135" s="41">
        <f>INDEX(환산공식!CK$16:CK$301,MATCH('배치점수 계산기'!$W135,환산공식!$A$16:$A$301,0))</f>
        <v>10</v>
      </c>
      <c r="K135" s="7">
        <f>INDEX(환산공식!$EF$16:$EF$301,MATCH('배치점수 계산기'!W135,환산공식!$A$16:$A$301,0))</f>
        <v>0</v>
      </c>
      <c r="L135" s="41" t="str">
        <f t="shared" si="12"/>
        <v>1% 이하</v>
      </c>
      <c r="M135" s="7">
        <v>667.453125</v>
      </c>
      <c r="N135" s="7">
        <v>666.203125</v>
      </c>
      <c r="O135" s="7">
        <v>664.32731481481483</v>
      </c>
      <c r="P135" s="7">
        <v>662.63750000000005</v>
      </c>
      <c r="Q135" s="7">
        <v>660.16250000000002</v>
      </c>
      <c r="R135" s="7">
        <f t="shared" si="13"/>
        <v>6</v>
      </c>
      <c r="T135" s="7">
        <f>COUNTIF($C$11:C135,C135)</f>
        <v>72</v>
      </c>
      <c r="U135" s="7" t="str">
        <f t="shared" si="15"/>
        <v>가72</v>
      </c>
      <c r="V135" s="7" t="str">
        <f>INDEX(환산공식!$C$16:$C$301,MATCH('배치점수 계산기'!W135,환산공식!$A$16:$A$301,0))</f>
        <v>고려대 자연</v>
      </c>
      <c r="W135" s="7">
        <f t="shared" si="16"/>
        <v>23</v>
      </c>
      <c r="X135" s="7">
        <f t="shared" si="17"/>
        <v>1</v>
      </c>
      <c r="Y135" s="7">
        <f>IFERROR(INDEX(환산공식!Q$16:Q$200,MATCH($A135,환산공식!$A$16:$A$200,0)),"")</f>
        <v>1.5625</v>
      </c>
      <c r="Z135" s="7">
        <f>IFERROR(INDEX(환산공식!R$16:R$200,MATCH($A135,환산공식!$A$16:$A$200,0)),"")</f>
        <v>1.875</v>
      </c>
      <c r="AA135" s="7">
        <f>IFERROR(INDEX(환산공식!U$16:U$200,MATCH($A135,환산공식!$A$16:$A$200,0)),"")</f>
        <v>1.5625</v>
      </c>
      <c r="AB135" s="7">
        <f t="shared" si="18"/>
        <v>0.3125</v>
      </c>
      <c r="AC135" s="7">
        <f t="shared" si="19"/>
        <v>0.375</v>
      </c>
      <c r="AD135" s="7">
        <f t="shared" si="20"/>
        <v>0.3125</v>
      </c>
      <c r="AE135" s="7">
        <f>INDEX(환산공식!$AF$16:$AF$301,MATCH('배치점수 계산기'!W135,환산공식!$A$16:$A$301,0))</f>
        <v>1</v>
      </c>
      <c r="AF135" s="7">
        <f>INDEX(환산공식!$AP$16:$AP$301,MATCH('배치점수 계산기'!W135,환산공식!$A$16:$A$301,0))</f>
        <v>4</v>
      </c>
      <c r="AG135" s="7" t="str">
        <f t="shared" si="21"/>
        <v>표점</v>
      </c>
      <c r="AH135" s="7" t="str">
        <f t="shared" si="22"/>
        <v>변표</v>
      </c>
      <c r="BO135" s="210"/>
      <c r="BP135" s="210"/>
      <c r="BQ135" s="210"/>
      <c r="BR135" s="210"/>
      <c r="BS135" s="210"/>
      <c r="BT135" s="210"/>
      <c r="BU135" s="210"/>
      <c r="BV135" s="210"/>
      <c r="BW135" s="210"/>
      <c r="BX135" s="210"/>
      <c r="BY135" s="210"/>
      <c r="BZ135" s="210"/>
      <c r="CA135" s="210"/>
      <c r="CB135" s="210"/>
      <c r="CC135" s="210"/>
      <c r="EM135" s="120"/>
      <c r="ET135" s="210"/>
      <c r="EU135" s="210"/>
      <c r="EV135" s="210"/>
      <c r="EW135" s="210"/>
      <c r="EX135" s="210"/>
      <c r="EY135" s="210"/>
      <c r="EZ135" s="210"/>
      <c r="FA135" s="210"/>
      <c r="FB135" s="210"/>
      <c r="FC135" s="210"/>
      <c r="FD135" s="210"/>
      <c r="FE135" s="210"/>
      <c r="FF135" s="210"/>
      <c r="FG135" s="210"/>
      <c r="FH135" s="210"/>
      <c r="HR135" s="120"/>
      <c r="HY135" s="210"/>
      <c r="HZ135" s="210"/>
      <c r="IA135" s="210"/>
      <c r="IB135" s="210"/>
      <c r="IC135" s="210"/>
      <c r="ID135" s="210"/>
      <c r="IE135" s="210"/>
      <c r="IF135" s="210"/>
      <c r="IG135" s="210"/>
      <c r="IH135" s="210"/>
      <c r="II135" s="210"/>
      <c r="IJ135" s="210"/>
      <c r="IK135" s="210"/>
      <c r="IL135" s="210"/>
      <c r="IM135" s="210"/>
      <c r="KW135" s="120"/>
      <c r="LD135" s="210"/>
      <c r="LE135" s="210"/>
      <c r="LF135" s="210"/>
      <c r="LG135" s="210"/>
      <c r="LH135" s="210"/>
      <c r="LI135" s="210"/>
      <c r="LJ135" s="210"/>
      <c r="LK135" s="210"/>
      <c r="LL135" s="210"/>
      <c r="LM135" s="210"/>
      <c r="LN135" s="210"/>
      <c r="LO135" s="210"/>
      <c r="LP135" s="210"/>
      <c r="LQ135" s="210"/>
      <c r="LR135" s="210"/>
      <c r="OB135" s="120"/>
      <c r="OI135" s="210"/>
      <c r="OJ135" s="210"/>
      <c r="OK135" s="210"/>
      <c r="OL135" s="210"/>
      <c r="OM135" s="210"/>
      <c r="ON135" s="210"/>
      <c r="OO135" s="210"/>
      <c r="OP135" s="210"/>
      <c r="OQ135" s="210"/>
      <c r="OR135" s="210"/>
      <c r="OS135" s="210"/>
      <c r="OT135" s="210"/>
      <c r="OU135" s="210"/>
      <c r="OV135" s="210"/>
      <c r="OW135" s="210"/>
      <c r="RG135" s="120"/>
    </row>
    <row r="136" spans="1:475" x14ac:dyDescent="0.3">
      <c r="A136" s="7">
        <v>23</v>
      </c>
      <c r="B136" s="7">
        <v>126</v>
      </c>
      <c r="C136" s="7" t="s">
        <v>276</v>
      </c>
      <c r="D136" s="7" t="s">
        <v>317</v>
      </c>
      <c r="E136" s="7" t="s">
        <v>254</v>
      </c>
      <c r="F136" s="7" t="s">
        <v>274</v>
      </c>
      <c r="G136" s="41" t="str">
        <f t="shared" si="14"/>
        <v>X</v>
      </c>
      <c r="H136" s="41">
        <f>INDEX(환산공식!CI$16:CI$301,MATCH('배치점수 계산기'!$W136,환산공식!$A$16:$A$301,0))</f>
        <v>0</v>
      </c>
      <c r="I136" s="41" t="e">
        <f>CONCATENATE(ROUND(INDEX(환산공식!CJ$16:CJ$301,MATCH('배치점수 계산기'!$W136,환산공식!$A$16:$A$301,0)),1),"%")</f>
        <v>#DIV/0!</v>
      </c>
      <c r="J136" s="41">
        <f>INDEX(환산공식!CK$16:CK$301,MATCH('배치점수 계산기'!$W136,환산공식!$A$16:$A$301,0))</f>
        <v>10</v>
      </c>
      <c r="K136" s="7">
        <f>INDEX(환산공식!$EF$16:$EF$301,MATCH('배치점수 계산기'!W136,환산공식!$A$16:$A$301,0))</f>
        <v>0</v>
      </c>
      <c r="L136" s="41" t="str">
        <f t="shared" si="12"/>
        <v>1% 이하</v>
      </c>
      <c r="M136" s="7">
        <v>666.203125</v>
      </c>
      <c r="N136" s="7">
        <v>664.32731481481483</v>
      </c>
      <c r="O136" s="7">
        <v>662.93125000000009</v>
      </c>
      <c r="P136" s="7">
        <v>661.43362843212742</v>
      </c>
      <c r="Q136" s="7">
        <v>660.16250000000002</v>
      </c>
      <c r="R136" s="7">
        <f t="shared" si="13"/>
        <v>6</v>
      </c>
      <c r="T136" s="7">
        <f>COUNTIF($C$11:C136,C136)</f>
        <v>73</v>
      </c>
      <c r="U136" s="7" t="str">
        <f t="shared" si="15"/>
        <v>가73</v>
      </c>
      <c r="V136" s="7" t="str">
        <f>INDEX(환산공식!$C$16:$C$301,MATCH('배치점수 계산기'!W136,환산공식!$A$16:$A$301,0))</f>
        <v>고려대 자연</v>
      </c>
      <c r="W136" s="7">
        <f t="shared" si="16"/>
        <v>23</v>
      </c>
      <c r="X136" s="7">
        <f t="shared" si="17"/>
        <v>1</v>
      </c>
      <c r="Y136" s="7">
        <f>IFERROR(INDEX(환산공식!Q$16:Q$200,MATCH($A136,환산공식!$A$16:$A$200,0)),"")</f>
        <v>1.5625</v>
      </c>
      <c r="Z136" s="7">
        <f>IFERROR(INDEX(환산공식!R$16:R$200,MATCH($A136,환산공식!$A$16:$A$200,0)),"")</f>
        <v>1.875</v>
      </c>
      <c r="AA136" s="7">
        <f>IFERROR(INDEX(환산공식!U$16:U$200,MATCH($A136,환산공식!$A$16:$A$200,0)),"")</f>
        <v>1.5625</v>
      </c>
      <c r="AB136" s="7">
        <f t="shared" si="18"/>
        <v>0.3125</v>
      </c>
      <c r="AC136" s="7">
        <f t="shared" si="19"/>
        <v>0.375</v>
      </c>
      <c r="AD136" s="7">
        <f t="shared" si="20"/>
        <v>0.3125</v>
      </c>
      <c r="AE136" s="7">
        <f>INDEX(환산공식!$AF$16:$AF$301,MATCH('배치점수 계산기'!W136,환산공식!$A$16:$A$301,0))</f>
        <v>1</v>
      </c>
      <c r="AF136" s="7">
        <f>INDEX(환산공식!$AP$16:$AP$301,MATCH('배치점수 계산기'!W136,환산공식!$A$16:$A$301,0))</f>
        <v>4</v>
      </c>
      <c r="AG136" s="7" t="str">
        <f t="shared" si="21"/>
        <v>표점</v>
      </c>
      <c r="AH136" s="7" t="str">
        <f t="shared" si="22"/>
        <v>변표</v>
      </c>
      <c r="BO136" s="210"/>
      <c r="BP136" s="210"/>
      <c r="BQ136" s="210"/>
      <c r="BR136" s="210"/>
      <c r="BS136" s="210"/>
      <c r="BT136" s="210"/>
      <c r="BU136" s="210"/>
      <c r="BV136" s="210"/>
      <c r="BW136" s="210"/>
      <c r="BX136" s="210"/>
      <c r="BY136" s="210"/>
      <c r="BZ136" s="210"/>
      <c r="CA136" s="210"/>
      <c r="CB136" s="210"/>
      <c r="CC136" s="210"/>
      <c r="EM136" s="120"/>
      <c r="ET136" s="210"/>
      <c r="EU136" s="210"/>
      <c r="EV136" s="210"/>
      <c r="EW136" s="210"/>
      <c r="EX136" s="210"/>
      <c r="EY136" s="210"/>
      <c r="EZ136" s="210"/>
      <c r="FA136" s="210"/>
      <c r="FB136" s="210"/>
      <c r="FC136" s="210"/>
      <c r="FD136" s="210"/>
      <c r="FE136" s="210"/>
      <c r="FF136" s="210"/>
      <c r="FG136" s="210"/>
      <c r="FH136" s="210"/>
      <c r="HR136" s="120"/>
      <c r="HY136" s="210"/>
      <c r="HZ136" s="210"/>
      <c r="IA136" s="210"/>
      <c r="IB136" s="210"/>
      <c r="IC136" s="210"/>
      <c r="ID136" s="210"/>
      <c r="IE136" s="210"/>
      <c r="IF136" s="210"/>
      <c r="IG136" s="210"/>
      <c r="IH136" s="210"/>
      <c r="II136" s="210"/>
      <c r="IJ136" s="210"/>
      <c r="IK136" s="210"/>
      <c r="IL136" s="210"/>
      <c r="IM136" s="210"/>
      <c r="KW136" s="120"/>
      <c r="LD136" s="210"/>
      <c r="LE136" s="210"/>
      <c r="LF136" s="210"/>
      <c r="LG136" s="210"/>
      <c r="LH136" s="210"/>
      <c r="LI136" s="210"/>
      <c r="LJ136" s="210"/>
      <c r="LK136" s="210"/>
      <c r="LL136" s="210"/>
      <c r="LM136" s="210"/>
      <c r="LN136" s="210"/>
      <c r="LO136" s="210"/>
      <c r="LP136" s="210"/>
      <c r="LQ136" s="210"/>
      <c r="LR136" s="210"/>
      <c r="OB136" s="120"/>
      <c r="OI136" s="210"/>
      <c r="OJ136" s="210"/>
      <c r="OK136" s="210"/>
      <c r="OL136" s="210"/>
      <c r="OM136" s="210"/>
      <c r="ON136" s="210"/>
      <c r="OO136" s="210"/>
      <c r="OP136" s="210"/>
      <c r="OQ136" s="210"/>
      <c r="OR136" s="210"/>
      <c r="OS136" s="210"/>
      <c r="OT136" s="210"/>
      <c r="OU136" s="210"/>
      <c r="OV136" s="210"/>
      <c r="OW136" s="210"/>
      <c r="RG136" s="120"/>
    </row>
    <row r="137" spans="1:475" x14ac:dyDescent="0.3">
      <c r="A137" s="7">
        <v>23</v>
      </c>
      <c r="B137" s="7">
        <v>127</v>
      </c>
      <c r="C137" s="7" t="s">
        <v>276</v>
      </c>
      <c r="D137" s="7" t="s">
        <v>317</v>
      </c>
      <c r="E137" s="7" t="s">
        <v>326</v>
      </c>
      <c r="F137" s="7" t="s">
        <v>274</v>
      </c>
      <c r="G137" s="41" t="str">
        <f t="shared" si="14"/>
        <v>X</v>
      </c>
      <c r="H137" s="41">
        <f>INDEX(환산공식!CI$16:CI$301,MATCH('배치점수 계산기'!$W137,환산공식!$A$16:$A$301,0))</f>
        <v>0</v>
      </c>
      <c r="I137" s="41" t="e">
        <f>CONCATENATE(ROUND(INDEX(환산공식!CJ$16:CJ$301,MATCH('배치점수 계산기'!$W137,환산공식!$A$16:$A$301,0)),1),"%")</f>
        <v>#DIV/0!</v>
      </c>
      <c r="J137" s="41">
        <f>INDEX(환산공식!CK$16:CK$301,MATCH('배치점수 계산기'!$W137,환산공식!$A$16:$A$301,0))</f>
        <v>10</v>
      </c>
      <c r="K137" s="7">
        <f>INDEX(환산공식!$EF$16:$EF$301,MATCH('배치점수 계산기'!W137,환산공식!$A$16:$A$301,0))</f>
        <v>0</v>
      </c>
      <c r="L137" s="41" t="str">
        <f t="shared" si="12"/>
        <v>1% 이하</v>
      </c>
      <c r="M137" s="7">
        <v>666.359375</v>
      </c>
      <c r="N137" s="7">
        <v>663.79611132413083</v>
      </c>
      <c r="O137" s="7">
        <v>662.63750000000005</v>
      </c>
      <c r="P137" s="7">
        <v>661.43362843212742</v>
      </c>
      <c r="Q137" s="7">
        <v>660.16250000000002</v>
      </c>
      <c r="R137" s="7">
        <f t="shared" si="13"/>
        <v>6</v>
      </c>
      <c r="T137" s="7">
        <f>COUNTIF($C$11:C137,C137)</f>
        <v>74</v>
      </c>
      <c r="U137" s="7" t="str">
        <f t="shared" si="15"/>
        <v>가74</v>
      </c>
      <c r="V137" s="7" t="str">
        <f>INDEX(환산공식!$C$16:$C$301,MATCH('배치점수 계산기'!W137,환산공식!$A$16:$A$301,0))</f>
        <v>고려대 자연</v>
      </c>
      <c r="W137" s="7">
        <f t="shared" si="16"/>
        <v>23</v>
      </c>
      <c r="X137" s="7">
        <f t="shared" si="17"/>
        <v>1</v>
      </c>
      <c r="Y137" s="7">
        <f>IFERROR(INDEX(환산공식!Q$16:Q$200,MATCH($A137,환산공식!$A$16:$A$200,0)),"")</f>
        <v>1.5625</v>
      </c>
      <c r="Z137" s="7">
        <f>IFERROR(INDEX(환산공식!R$16:R$200,MATCH($A137,환산공식!$A$16:$A$200,0)),"")</f>
        <v>1.875</v>
      </c>
      <c r="AA137" s="7">
        <f>IFERROR(INDEX(환산공식!U$16:U$200,MATCH($A137,환산공식!$A$16:$A$200,0)),"")</f>
        <v>1.5625</v>
      </c>
      <c r="AB137" s="7">
        <f t="shared" si="18"/>
        <v>0.3125</v>
      </c>
      <c r="AC137" s="7">
        <f t="shared" si="19"/>
        <v>0.375</v>
      </c>
      <c r="AD137" s="7">
        <f t="shared" si="20"/>
        <v>0.3125</v>
      </c>
      <c r="AE137" s="7">
        <f>INDEX(환산공식!$AF$16:$AF$301,MATCH('배치점수 계산기'!W137,환산공식!$A$16:$A$301,0))</f>
        <v>1</v>
      </c>
      <c r="AF137" s="7">
        <f>INDEX(환산공식!$AP$16:$AP$301,MATCH('배치점수 계산기'!W137,환산공식!$A$16:$A$301,0))</f>
        <v>4</v>
      </c>
      <c r="AG137" s="7" t="str">
        <f t="shared" si="21"/>
        <v>표점</v>
      </c>
      <c r="AH137" s="7" t="str">
        <f t="shared" si="22"/>
        <v>변표</v>
      </c>
      <c r="BO137" s="210"/>
      <c r="BP137" s="210"/>
      <c r="BQ137" s="210"/>
      <c r="BR137" s="210"/>
      <c r="BS137" s="210"/>
      <c r="BT137" s="210"/>
      <c r="BU137" s="210"/>
      <c r="BV137" s="210"/>
      <c r="BW137" s="210"/>
      <c r="BX137" s="210"/>
      <c r="BY137" s="210"/>
      <c r="BZ137" s="210"/>
      <c r="CA137" s="210"/>
      <c r="CB137" s="210"/>
      <c r="CC137" s="210"/>
      <c r="EM137" s="120"/>
      <c r="ET137" s="210"/>
      <c r="EU137" s="210"/>
      <c r="EV137" s="210"/>
      <c r="EW137" s="210"/>
      <c r="EX137" s="210"/>
      <c r="EY137" s="210"/>
      <c r="EZ137" s="210"/>
      <c r="FA137" s="210"/>
      <c r="FB137" s="210"/>
      <c r="FC137" s="210"/>
      <c r="FD137" s="210"/>
      <c r="FE137" s="210"/>
      <c r="FF137" s="210"/>
      <c r="FG137" s="210"/>
      <c r="FH137" s="210"/>
      <c r="HR137" s="120"/>
      <c r="HY137" s="210"/>
      <c r="HZ137" s="210"/>
      <c r="IA137" s="210"/>
      <c r="IB137" s="210"/>
      <c r="IC137" s="210"/>
      <c r="ID137" s="210"/>
      <c r="IE137" s="210"/>
      <c r="IF137" s="210"/>
      <c r="IG137" s="210"/>
      <c r="IH137" s="210"/>
      <c r="II137" s="210"/>
      <c r="IJ137" s="210"/>
      <c r="IK137" s="210"/>
      <c r="IL137" s="210"/>
      <c r="IM137" s="210"/>
      <c r="KW137" s="120"/>
      <c r="LD137" s="210"/>
      <c r="LE137" s="210"/>
      <c r="LF137" s="210"/>
      <c r="LG137" s="210"/>
      <c r="LH137" s="210"/>
      <c r="LI137" s="210"/>
      <c r="LJ137" s="210"/>
      <c r="LK137" s="210"/>
      <c r="LL137" s="210"/>
      <c r="LM137" s="210"/>
      <c r="LN137" s="210"/>
      <c r="LO137" s="210"/>
      <c r="LP137" s="210"/>
      <c r="LQ137" s="210"/>
      <c r="LR137" s="210"/>
      <c r="OB137" s="120"/>
      <c r="OI137" s="210"/>
      <c r="OJ137" s="210"/>
      <c r="OK137" s="210"/>
      <c r="OL137" s="210"/>
      <c r="OM137" s="210"/>
      <c r="ON137" s="210"/>
      <c r="OO137" s="210"/>
      <c r="OP137" s="210"/>
      <c r="OQ137" s="210"/>
      <c r="OR137" s="210"/>
      <c r="OS137" s="210"/>
      <c r="OT137" s="210"/>
      <c r="OU137" s="210"/>
      <c r="OV137" s="210"/>
      <c r="OW137" s="210"/>
      <c r="RG137" s="120"/>
    </row>
    <row r="138" spans="1:475" x14ac:dyDescent="0.3">
      <c r="A138" s="7">
        <v>23</v>
      </c>
      <c r="B138" s="7">
        <v>128</v>
      </c>
      <c r="C138" s="7" t="s">
        <v>276</v>
      </c>
      <c r="D138" s="7" t="s">
        <v>317</v>
      </c>
      <c r="E138" s="7" t="s">
        <v>327</v>
      </c>
      <c r="F138" s="7" t="s">
        <v>274</v>
      </c>
      <c r="G138" s="41" t="str">
        <f t="shared" si="14"/>
        <v>X</v>
      </c>
      <c r="H138" s="41">
        <f>INDEX(환산공식!CI$16:CI$301,MATCH('배치점수 계산기'!$W138,환산공식!$A$16:$A$301,0))</f>
        <v>0</v>
      </c>
      <c r="I138" s="41" t="e">
        <f>CONCATENATE(ROUND(INDEX(환산공식!CJ$16:CJ$301,MATCH('배치점수 계산기'!$W138,환산공식!$A$16:$A$301,0)),1),"%")</f>
        <v>#DIV/0!</v>
      </c>
      <c r="J138" s="41">
        <f>INDEX(환산공식!CK$16:CK$301,MATCH('배치점수 계산기'!$W138,환산공식!$A$16:$A$301,0))</f>
        <v>10</v>
      </c>
      <c r="K138" s="7">
        <f>INDEX(환산공식!$EF$16:$EF$301,MATCH('배치점수 계산기'!W138,환산공식!$A$16:$A$301,0))</f>
        <v>0</v>
      </c>
      <c r="L138" s="41" t="str">
        <f t="shared" si="12"/>
        <v>1% 이하</v>
      </c>
      <c r="M138" s="7">
        <v>666.359375</v>
      </c>
      <c r="N138" s="7">
        <v>663.79611132413083</v>
      </c>
      <c r="O138" s="7">
        <v>662.63750000000005</v>
      </c>
      <c r="P138" s="7">
        <v>661.43362843212742</v>
      </c>
      <c r="Q138" s="7">
        <v>660.16250000000002</v>
      </c>
      <c r="R138" s="7">
        <f t="shared" si="13"/>
        <v>6</v>
      </c>
      <c r="T138" s="7">
        <f>COUNTIF($C$11:C138,C138)</f>
        <v>75</v>
      </c>
      <c r="U138" s="7" t="str">
        <f t="shared" si="15"/>
        <v>가75</v>
      </c>
      <c r="V138" s="7" t="str">
        <f>INDEX(환산공식!$C$16:$C$301,MATCH('배치점수 계산기'!W138,환산공식!$A$16:$A$301,0))</f>
        <v>고려대 자연</v>
      </c>
      <c r="W138" s="7">
        <f t="shared" si="16"/>
        <v>23</v>
      </c>
      <c r="X138" s="7">
        <f t="shared" si="17"/>
        <v>1</v>
      </c>
      <c r="Y138" s="7">
        <f>IFERROR(INDEX(환산공식!Q$16:Q$200,MATCH($A138,환산공식!$A$16:$A$200,0)),"")</f>
        <v>1.5625</v>
      </c>
      <c r="Z138" s="7">
        <f>IFERROR(INDEX(환산공식!R$16:R$200,MATCH($A138,환산공식!$A$16:$A$200,0)),"")</f>
        <v>1.875</v>
      </c>
      <c r="AA138" s="7">
        <f>IFERROR(INDEX(환산공식!U$16:U$200,MATCH($A138,환산공식!$A$16:$A$200,0)),"")</f>
        <v>1.5625</v>
      </c>
      <c r="AB138" s="7">
        <f t="shared" si="18"/>
        <v>0.3125</v>
      </c>
      <c r="AC138" s="7">
        <f t="shared" si="19"/>
        <v>0.375</v>
      </c>
      <c r="AD138" s="7">
        <f t="shared" si="20"/>
        <v>0.3125</v>
      </c>
      <c r="AE138" s="7">
        <f>INDEX(환산공식!$AF$16:$AF$301,MATCH('배치점수 계산기'!W138,환산공식!$A$16:$A$301,0))</f>
        <v>1</v>
      </c>
      <c r="AF138" s="7">
        <f>INDEX(환산공식!$AP$16:$AP$301,MATCH('배치점수 계산기'!W138,환산공식!$A$16:$A$301,0))</f>
        <v>4</v>
      </c>
      <c r="AG138" s="7" t="str">
        <f t="shared" si="21"/>
        <v>표점</v>
      </c>
      <c r="AH138" s="7" t="str">
        <f t="shared" si="22"/>
        <v>변표</v>
      </c>
      <c r="BO138" s="210"/>
      <c r="BP138" s="210"/>
      <c r="BQ138" s="210"/>
      <c r="BR138" s="210"/>
      <c r="BS138" s="210"/>
      <c r="BT138" s="210"/>
      <c r="BU138" s="210"/>
      <c r="BV138" s="210"/>
      <c r="BW138" s="210"/>
      <c r="BX138" s="210"/>
      <c r="BY138" s="210"/>
      <c r="BZ138" s="210"/>
      <c r="CA138" s="210"/>
      <c r="CB138" s="210"/>
      <c r="CC138" s="210"/>
      <c r="EM138" s="120"/>
      <c r="ET138" s="210"/>
      <c r="EU138" s="210"/>
      <c r="EV138" s="210"/>
      <c r="EW138" s="210"/>
      <c r="EX138" s="210"/>
      <c r="EY138" s="210"/>
      <c r="EZ138" s="210"/>
      <c r="FA138" s="210"/>
      <c r="FB138" s="210"/>
      <c r="FC138" s="210"/>
      <c r="FD138" s="210"/>
      <c r="FE138" s="210"/>
      <c r="FF138" s="210"/>
      <c r="FG138" s="210"/>
      <c r="FH138" s="210"/>
      <c r="HR138" s="120"/>
      <c r="HY138" s="210"/>
      <c r="HZ138" s="210"/>
      <c r="IA138" s="210"/>
      <c r="IB138" s="210"/>
      <c r="IC138" s="210"/>
      <c r="ID138" s="210"/>
      <c r="IE138" s="210"/>
      <c r="IF138" s="210"/>
      <c r="IG138" s="210"/>
      <c r="IH138" s="210"/>
      <c r="II138" s="210"/>
      <c r="IJ138" s="210"/>
      <c r="IK138" s="210"/>
      <c r="IL138" s="210"/>
      <c r="IM138" s="210"/>
      <c r="KW138" s="120"/>
      <c r="LD138" s="210"/>
      <c r="LE138" s="210"/>
      <c r="LF138" s="210"/>
      <c r="LG138" s="210"/>
      <c r="LH138" s="210"/>
      <c r="LI138" s="210"/>
      <c r="LJ138" s="210"/>
      <c r="LK138" s="210"/>
      <c r="LL138" s="210"/>
      <c r="LM138" s="210"/>
      <c r="LN138" s="210"/>
      <c r="LO138" s="210"/>
      <c r="LP138" s="210"/>
      <c r="LQ138" s="210"/>
      <c r="LR138" s="210"/>
      <c r="OB138" s="120"/>
      <c r="OI138" s="210"/>
      <c r="OJ138" s="210"/>
      <c r="OK138" s="210"/>
      <c r="OL138" s="210"/>
      <c r="OM138" s="210"/>
      <c r="ON138" s="210"/>
      <c r="OO138" s="210"/>
      <c r="OP138" s="210"/>
      <c r="OQ138" s="210"/>
      <c r="OR138" s="210"/>
      <c r="OS138" s="210"/>
      <c r="OT138" s="210"/>
      <c r="OU138" s="210"/>
      <c r="OV138" s="210"/>
      <c r="OW138" s="210"/>
      <c r="RG138" s="120"/>
    </row>
    <row r="139" spans="1:475" x14ac:dyDescent="0.3">
      <c r="A139" s="7">
        <v>23</v>
      </c>
      <c r="B139" s="7">
        <v>129</v>
      </c>
      <c r="C139" s="7" t="s">
        <v>276</v>
      </c>
      <c r="D139" s="7" t="s">
        <v>317</v>
      </c>
      <c r="E139" s="7" t="s">
        <v>328</v>
      </c>
      <c r="F139" s="7" t="s">
        <v>274</v>
      </c>
      <c r="G139" s="41" t="str">
        <f t="shared" si="14"/>
        <v>X</v>
      </c>
      <c r="H139" s="41">
        <f>INDEX(환산공식!CI$16:CI$301,MATCH('배치점수 계산기'!$W139,환산공식!$A$16:$A$301,0))</f>
        <v>0</v>
      </c>
      <c r="I139" s="41" t="e">
        <f>CONCATENATE(ROUND(INDEX(환산공식!CJ$16:CJ$301,MATCH('배치점수 계산기'!$W139,환산공식!$A$16:$A$301,0)),1),"%")</f>
        <v>#DIV/0!</v>
      </c>
      <c r="J139" s="41">
        <f>INDEX(환산공식!CK$16:CK$301,MATCH('배치점수 계산기'!$W139,환산공식!$A$16:$A$301,0))</f>
        <v>10</v>
      </c>
      <c r="K139" s="7">
        <f>INDEX(환산공식!$EF$16:$EF$301,MATCH('배치점수 계산기'!W139,환산공식!$A$16:$A$301,0))</f>
        <v>0</v>
      </c>
      <c r="L139" s="41" t="str">
        <f t="shared" ref="L139:L202" si="23">IF(K139&gt;M139,"90% 이상",IF(K139&gt;N139,CONCATENATE(ROUND(((K139-N139)/(M139-N139))*20+70,0),"%"),IF(K139&gt;O139,CONCATENATE(ROUND(((K139-O139)/(N139-O139))*30+40,0),"%"),IF(K139&gt;P139,CONCATENATE(ROUND(((K139-P139)/(O139-P139))*30+10,0),"%"),IF(K139&gt;Q139,CONCATENATE(ROUND(((K139-Q139)/(P139-Q139))*9+1,0),"%"),"1% 이하")))))</f>
        <v>1% 이하</v>
      </c>
      <c r="M139" s="7">
        <v>666.8125</v>
      </c>
      <c r="N139" s="7">
        <v>665.53281249999998</v>
      </c>
      <c r="O139" s="7">
        <v>663.79611132413083</v>
      </c>
      <c r="P139" s="7">
        <v>662.63750000000005</v>
      </c>
      <c r="Q139" s="7">
        <v>661.43362843212742</v>
      </c>
      <c r="R139" s="7">
        <f t="shared" ref="R139:R202" si="24">IF(K139&gt;M139,1,IF(K139&gt;N139,2,IF(K139&gt;O139,3,IF(K139&gt;P139,4,IF(K139&gt;=Q139,5,IF(K139&lt;Q139,6))))))</f>
        <v>6</v>
      </c>
      <c r="T139" s="7">
        <f>COUNTIF($C$11:C139,C139)</f>
        <v>76</v>
      </c>
      <c r="U139" s="7" t="str">
        <f t="shared" si="15"/>
        <v>가76</v>
      </c>
      <c r="V139" s="7" t="str">
        <f>INDEX(환산공식!$C$16:$C$301,MATCH('배치점수 계산기'!W139,환산공식!$A$16:$A$301,0))</f>
        <v>고려대 자연</v>
      </c>
      <c r="W139" s="7">
        <f t="shared" si="16"/>
        <v>23</v>
      </c>
      <c r="X139" s="7">
        <f t="shared" si="17"/>
        <v>1</v>
      </c>
      <c r="Y139" s="7">
        <f>IFERROR(INDEX(환산공식!Q$16:Q$200,MATCH($A139,환산공식!$A$16:$A$200,0)),"")</f>
        <v>1.5625</v>
      </c>
      <c r="Z139" s="7">
        <f>IFERROR(INDEX(환산공식!R$16:R$200,MATCH($A139,환산공식!$A$16:$A$200,0)),"")</f>
        <v>1.875</v>
      </c>
      <c r="AA139" s="7">
        <f>IFERROR(INDEX(환산공식!U$16:U$200,MATCH($A139,환산공식!$A$16:$A$200,0)),"")</f>
        <v>1.5625</v>
      </c>
      <c r="AB139" s="7">
        <f t="shared" si="18"/>
        <v>0.3125</v>
      </c>
      <c r="AC139" s="7">
        <f t="shared" si="19"/>
        <v>0.375</v>
      </c>
      <c r="AD139" s="7">
        <f t="shared" si="20"/>
        <v>0.3125</v>
      </c>
      <c r="AE139" s="7">
        <f>INDEX(환산공식!$AF$16:$AF$301,MATCH('배치점수 계산기'!W139,환산공식!$A$16:$A$301,0))</f>
        <v>1</v>
      </c>
      <c r="AF139" s="7">
        <f>INDEX(환산공식!$AP$16:$AP$301,MATCH('배치점수 계산기'!W139,환산공식!$A$16:$A$301,0))</f>
        <v>4</v>
      </c>
      <c r="AG139" s="7" t="str">
        <f t="shared" si="21"/>
        <v>표점</v>
      </c>
      <c r="AH139" s="7" t="str">
        <f t="shared" si="22"/>
        <v>변표</v>
      </c>
      <c r="BO139" s="210"/>
      <c r="BP139" s="210"/>
      <c r="BQ139" s="210"/>
      <c r="BR139" s="210"/>
      <c r="BS139" s="210"/>
      <c r="BT139" s="210"/>
      <c r="BU139" s="210"/>
      <c r="BV139" s="210"/>
      <c r="BW139" s="210"/>
      <c r="BX139" s="210"/>
      <c r="BY139" s="210"/>
      <c r="BZ139" s="210"/>
      <c r="CA139" s="210"/>
      <c r="CB139" s="210"/>
      <c r="CC139" s="210"/>
      <c r="EM139" s="120"/>
      <c r="ET139" s="210"/>
      <c r="EU139" s="210"/>
      <c r="EV139" s="210"/>
      <c r="EW139" s="210"/>
      <c r="EX139" s="210"/>
      <c r="EY139" s="210"/>
      <c r="EZ139" s="210"/>
      <c r="FA139" s="210"/>
      <c r="FB139" s="210"/>
      <c r="FC139" s="210"/>
      <c r="FD139" s="210"/>
      <c r="FE139" s="210"/>
      <c r="FF139" s="210"/>
      <c r="FG139" s="210"/>
      <c r="FH139" s="210"/>
      <c r="HR139" s="120"/>
      <c r="HY139" s="210"/>
      <c r="HZ139" s="210"/>
      <c r="IA139" s="210"/>
      <c r="IB139" s="210"/>
      <c r="IC139" s="210"/>
      <c r="ID139" s="210"/>
      <c r="IE139" s="210"/>
      <c r="IF139" s="210"/>
      <c r="IG139" s="210"/>
      <c r="IH139" s="210"/>
      <c r="II139" s="210"/>
      <c r="IJ139" s="210"/>
      <c r="IK139" s="210"/>
      <c r="IL139" s="210"/>
      <c r="IM139" s="210"/>
      <c r="KW139" s="120"/>
      <c r="LD139" s="210"/>
      <c r="LE139" s="210"/>
      <c r="LF139" s="210"/>
      <c r="LG139" s="210"/>
      <c r="LH139" s="210"/>
      <c r="LI139" s="210"/>
      <c r="LJ139" s="210"/>
      <c r="LK139" s="210"/>
      <c r="LL139" s="210"/>
      <c r="LM139" s="210"/>
      <c r="LN139" s="210"/>
      <c r="LO139" s="210"/>
      <c r="LP139" s="210"/>
      <c r="LQ139" s="210"/>
      <c r="LR139" s="210"/>
      <c r="OB139" s="120"/>
      <c r="OI139" s="210"/>
      <c r="OJ139" s="210"/>
      <c r="OK139" s="210"/>
      <c r="OL139" s="210"/>
      <c r="OM139" s="210"/>
      <c r="ON139" s="210"/>
      <c r="OO139" s="210"/>
      <c r="OP139" s="210"/>
      <c r="OQ139" s="210"/>
      <c r="OR139" s="210"/>
      <c r="OS139" s="210"/>
      <c r="OT139" s="210"/>
      <c r="OU139" s="210"/>
      <c r="OV139" s="210"/>
      <c r="OW139" s="210"/>
      <c r="RG139" s="120"/>
    </row>
    <row r="140" spans="1:475" x14ac:dyDescent="0.3">
      <c r="A140" s="7">
        <v>23</v>
      </c>
      <c r="B140" s="7">
        <v>130</v>
      </c>
      <c r="C140" s="7" t="s">
        <v>276</v>
      </c>
      <c r="D140" s="7" t="s">
        <v>317</v>
      </c>
      <c r="E140" s="7" t="s">
        <v>329</v>
      </c>
      <c r="F140" s="7" t="s">
        <v>274</v>
      </c>
      <c r="G140" s="41" t="str">
        <f t="shared" ref="G140:G203" si="25">IFERROR(IF(BJ140=0,"X","O"),"")</f>
        <v>X</v>
      </c>
      <c r="H140" s="41">
        <f>INDEX(환산공식!CI$16:CI$301,MATCH('배치점수 계산기'!$W140,환산공식!$A$16:$A$301,0))</f>
        <v>0</v>
      </c>
      <c r="I140" s="41" t="e">
        <f>CONCATENATE(ROUND(INDEX(환산공식!CJ$16:CJ$301,MATCH('배치점수 계산기'!$W140,환산공식!$A$16:$A$301,0)),1),"%")</f>
        <v>#DIV/0!</v>
      </c>
      <c r="J140" s="41">
        <f>INDEX(환산공식!CK$16:CK$301,MATCH('배치점수 계산기'!$W140,환산공식!$A$16:$A$301,0))</f>
        <v>10</v>
      </c>
      <c r="K140" s="7">
        <f>INDEX(환산공식!$EF$16:$EF$301,MATCH('배치점수 계산기'!W140,환산공식!$A$16:$A$301,0))</f>
        <v>0</v>
      </c>
      <c r="L140" s="41" t="str">
        <f t="shared" si="23"/>
        <v>1% 이하</v>
      </c>
      <c r="M140" s="7">
        <v>668.32100253807107</v>
      </c>
      <c r="N140" s="7">
        <v>667.453125</v>
      </c>
      <c r="O140" s="7">
        <v>665.53281249999998</v>
      </c>
      <c r="P140" s="7">
        <v>664.32731481481483</v>
      </c>
      <c r="Q140" s="7">
        <v>661.17500000000007</v>
      </c>
      <c r="R140" s="7">
        <f t="shared" si="24"/>
        <v>6</v>
      </c>
      <c r="T140" s="7">
        <f>COUNTIF($C$11:C140,C140)</f>
        <v>77</v>
      </c>
      <c r="U140" s="7" t="str">
        <f t="shared" ref="U140:U203" si="26">CONCATENATE(C140,T140)</f>
        <v>가77</v>
      </c>
      <c r="V140" s="7" t="str">
        <f>INDEX(환산공식!$C$16:$C$301,MATCH('배치점수 계산기'!W140,환산공식!$A$16:$A$301,0))</f>
        <v>고려대 자연</v>
      </c>
      <c r="W140" s="7">
        <f t="shared" ref="W140:W203" si="27">A140</f>
        <v>23</v>
      </c>
      <c r="X140" s="7">
        <f t="shared" ref="X140:X203" si="28">IF(OR(D140=0,D140=""),"",IF(LEFT(D140,1)=LEFT(V140,1),1,2))</f>
        <v>1</v>
      </c>
      <c r="Y140" s="7">
        <f>IFERROR(INDEX(환산공식!Q$16:Q$200,MATCH($A140,환산공식!$A$16:$A$200,0)),"")</f>
        <v>1.5625</v>
      </c>
      <c r="Z140" s="7">
        <f>IFERROR(INDEX(환산공식!R$16:R$200,MATCH($A140,환산공식!$A$16:$A$200,0)),"")</f>
        <v>1.875</v>
      </c>
      <c r="AA140" s="7">
        <f>IFERROR(INDEX(환산공식!U$16:U$200,MATCH($A140,환산공식!$A$16:$A$200,0)),"")</f>
        <v>1.5625</v>
      </c>
      <c r="AB140" s="7">
        <f t="shared" ref="AB140:AB203" si="29">Y140/($Y140+$Z140+$AA140)</f>
        <v>0.3125</v>
      </c>
      <c r="AC140" s="7">
        <f t="shared" ref="AC140:AC203" si="30">Z140/($Y140+$Z140+$AA140)</f>
        <v>0.375</v>
      </c>
      <c r="AD140" s="7">
        <f t="shared" ref="AD140:AD203" si="31">AA140/($Y140+$Z140+$AA140)</f>
        <v>0.3125</v>
      </c>
      <c r="AE140" s="7">
        <f>INDEX(환산공식!$AF$16:$AF$301,MATCH('배치점수 계산기'!W140,환산공식!$A$16:$A$301,0))</f>
        <v>1</v>
      </c>
      <c r="AF140" s="7">
        <f>INDEX(환산공식!$AP$16:$AP$301,MATCH('배치점수 계산기'!W140,환산공식!$A$16:$A$301,0))</f>
        <v>4</v>
      </c>
      <c r="AG140" s="7" t="str">
        <f t="shared" ref="AG140:AG203" si="32">IF(AE140=1,"표점",IF(AE140=12,"표점/만점",IF(AE140=2,"백분위")))</f>
        <v>표점</v>
      </c>
      <c r="AH140" s="7" t="str">
        <f t="shared" ref="AH140:AH203" si="33">IF(AF140=1,"표점",IF(AF140=12,"표점/만점",IF(AF140=2,"백분위",IF(AF140=4,"변표",IF(AF140=42,"변표/만점")))))</f>
        <v>변표</v>
      </c>
      <c r="BO140" s="210"/>
      <c r="BP140" s="210"/>
      <c r="BQ140" s="210"/>
      <c r="BR140" s="210"/>
      <c r="BS140" s="210"/>
      <c r="BT140" s="210"/>
      <c r="BU140" s="210"/>
      <c r="BV140" s="210"/>
      <c r="BW140" s="210"/>
      <c r="BX140" s="210"/>
      <c r="BY140" s="210"/>
      <c r="BZ140" s="210"/>
      <c r="CA140" s="210"/>
      <c r="CB140" s="210"/>
      <c r="CC140" s="210"/>
      <c r="EM140" s="120"/>
      <c r="ET140" s="210"/>
      <c r="EU140" s="210"/>
      <c r="EV140" s="210"/>
      <c r="EW140" s="210"/>
      <c r="EX140" s="210"/>
      <c r="EY140" s="210"/>
      <c r="EZ140" s="210"/>
      <c r="FA140" s="210"/>
      <c r="FB140" s="210"/>
      <c r="FC140" s="210"/>
      <c r="FD140" s="210"/>
      <c r="FE140" s="210"/>
      <c r="FF140" s="210"/>
      <c r="FG140" s="210"/>
      <c r="FH140" s="210"/>
      <c r="HR140" s="120"/>
      <c r="HY140" s="210"/>
      <c r="HZ140" s="210"/>
      <c r="IA140" s="210"/>
      <c r="IB140" s="210"/>
      <c r="IC140" s="210"/>
      <c r="ID140" s="210"/>
      <c r="IE140" s="210"/>
      <c r="IF140" s="210"/>
      <c r="IG140" s="210"/>
      <c r="IH140" s="210"/>
      <c r="II140" s="210"/>
      <c r="IJ140" s="210"/>
      <c r="IK140" s="210"/>
      <c r="IL140" s="210"/>
      <c r="IM140" s="210"/>
      <c r="KW140" s="120"/>
      <c r="LD140" s="210"/>
      <c r="LE140" s="210"/>
      <c r="LF140" s="210"/>
      <c r="LG140" s="210"/>
      <c r="LH140" s="210"/>
      <c r="LI140" s="210"/>
      <c r="LJ140" s="210"/>
      <c r="LK140" s="210"/>
      <c r="LL140" s="210"/>
      <c r="LM140" s="210"/>
      <c r="LN140" s="210"/>
      <c r="LO140" s="210"/>
      <c r="LP140" s="210"/>
      <c r="LQ140" s="210"/>
      <c r="LR140" s="210"/>
      <c r="OB140" s="120"/>
      <c r="OI140" s="210"/>
      <c r="OJ140" s="210"/>
      <c r="OK140" s="210"/>
      <c r="OL140" s="210"/>
      <c r="OM140" s="210"/>
      <c r="ON140" s="210"/>
      <c r="OO140" s="210"/>
      <c r="OP140" s="210"/>
      <c r="OQ140" s="210"/>
      <c r="OR140" s="210"/>
      <c r="OS140" s="210"/>
      <c r="OT140" s="210"/>
      <c r="OU140" s="210"/>
      <c r="OV140" s="210"/>
      <c r="OW140" s="210"/>
      <c r="RG140" s="120"/>
    </row>
    <row r="141" spans="1:475" x14ac:dyDescent="0.3">
      <c r="A141" s="7">
        <v>23</v>
      </c>
      <c r="B141" s="7">
        <v>131</v>
      </c>
      <c r="C141" s="7" t="s">
        <v>276</v>
      </c>
      <c r="D141" s="7" t="s">
        <v>317</v>
      </c>
      <c r="E141" s="7" t="s">
        <v>330</v>
      </c>
      <c r="F141" s="7" t="s">
        <v>274</v>
      </c>
      <c r="G141" s="41" t="str">
        <f t="shared" si="25"/>
        <v>X</v>
      </c>
      <c r="H141" s="41">
        <f>INDEX(환산공식!CI$16:CI$301,MATCH('배치점수 계산기'!$W141,환산공식!$A$16:$A$301,0))</f>
        <v>0</v>
      </c>
      <c r="I141" s="41" t="e">
        <f>CONCATENATE(ROUND(INDEX(환산공식!CJ$16:CJ$301,MATCH('배치점수 계산기'!$W141,환산공식!$A$16:$A$301,0)),1),"%")</f>
        <v>#DIV/0!</v>
      </c>
      <c r="J141" s="41">
        <f>INDEX(환산공식!CK$16:CK$301,MATCH('배치점수 계산기'!$W141,환산공식!$A$16:$A$301,0))</f>
        <v>10</v>
      </c>
      <c r="K141" s="7">
        <f>INDEX(환산공식!$EF$16:$EF$301,MATCH('배치점수 계산기'!W141,환산공식!$A$16:$A$301,0))</f>
        <v>0</v>
      </c>
      <c r="L141" s="41" t="str">
        <f t="shared" si="23"/>
        <v>1% 이하</v>
      </c>
      <c r="M141" s="7">
        <v>664.62108437579775</v>
      </c>
      <c r="N141" s="7">
        <v>663.46250000000009</v>
      </c>
      <c r="O141" s="7">
        <v>662.48125000000016</v>
      </c>
      <c r="P141" s="7">
        <v>661.01875000000007</v>
      </c>
      <c r="Q141" s="7">
        <v>659.59620110653634</v>
      </c>
      <c r="R141" s="7">
        <f t="shared" si="24"/>
        <v>6</v>
      </c>
      <c r="T141" s="7">
        <f>COUNTIF($C$11:C141,C141)</f>
        <v>78</v>
      </c>
      <c r="U141" s="7" t="str">
        <f t="shared" si="26"/>
        <v>가78</v>
      </c>
      <c r="V141" s="7" t="str">
        <f>INDEX(환산공식!$C$16:$C$301,MATCH('배치점수 계산기'!W141,환산공식!$A$16:$A$301,0))</f>
        <v>고려대 자연</v>
      </c>
      <c r="W141" s="7">
        <f t="shared" si="27"/>
        <v>23</v>
      </c>
      <c r="X141" s="7">
        <f t="shared" si="28"/>
        <v>1</v>
      </c>
      <c r="Y141" s="7">
        <f>IFERROR(INDEX(환산공식!Q$16:Q$200,MATCH($A141,환산공식!$A$16:$A$200,0)),"")</f>
        <v>1.5625</v>
      </c>
      <c r="Z141" s="7">
        <f>IFERROR(INDEX(환산공식!R$16:R$200,MATCH($A141,환산공식!$A$16:$A$200,0)),"")</f>
        <v>1.875</v>
      </c>
      <c r="AA141" s="7">
        <f>IFERROR(INDEX(환산공식!U$16:U$200,MATCH($A141,환산공식!$A$16:$A$200,0)),"")</f>
        <v>1.5625</v>
      </c>
      <c r="AB141" s="7">
        <f t="shared" si="29"/>
        <v>0.3125</v>
      </c>
      <c r="AC141" s="7">
        <f t="shared" si="30"/>
        <v>0.375</v>
      </c>
      <c r="AD141" s="7">
        <f t="shared" si="31"/>
        <v>0.3125</v>
      </c>
      <c r="AE141" s="7">
        <f>INDEX(환산공식!$AF$16:$AF$301,MATCH('배치점수 계산기'!W141,환산공식!$A$16:$A$301,0))</f>
        <v>1</v>
      </c>
      <c r="AF141" s="7">
        <f>INDEX(환산공식!$AP$16:$AP$301,MATCH('배치점수 계산기'!W141,환산공식!$A$16:$A$301,0))</f>
        <v>4</v>
      </c>
      <c r="AG141" s="7" t="str">
        <f t="shared" si="32"/>
        <v>표점</v>
      </c>
      <c r="AH141" s="7" t="str">
        <f t="shared" si="33"/>
        <v>변표</v>
      </c>
      <c r="BO141" s="210"/>
      <c r="BP141" s="210"/>
      <c r="BQ141" s="210"/>
      <c r="BR141" s="210"/>
      <c r="BS141" s="210"/>
      <c r="BT141" s="210"/>
      <c r="BU141" s="210"/>
      <c r="BV141" s="210"/>
      <c r="BW141" s="210"/>
      <c r="BX141" s="210"/>
      <c r="BY141" s="210"/>
      <c r="BZ141" s="210"/>
      <c r="CA141" s="210"/>
      <c r="CB141" s="210"/>
      <c r="CC141" s="210"/>
      <c r="EM141" s="120"/>
      <c r="ET141" s="210"/>
      <c r="EU141" s="210"/>
      <c r="EV141" s="210"/>
      <c r="EW141" s="210"/>
      <c r="EX141" s="210"/>
      <c r="EY141" s="210"/>
      <c r="EZ141" s="210"/>
      <c r="FA141" s="210"/>
      <c r="FB141" s="210"/>
      <c r="FC141" s="210"/>
      <c r="FD141" s="210"/>
      <c r="FE141" s="210"/>
      <c r="FF141" s="210"/>
      <c r="FG141" s="210"/>
      <c r="FH141" s="210"/>
      <c r="HR141" s="120"/>
      <c r="HY141" s="210"/>
      <c r="HZ141" s="210"/>
      <c r="IA141" s="210"/>
      <c r="IB141" s="210"/>
      <c r="IC141" s="210"/>
      <c r="ID141" s="210"/>
      <c r="IE141" s="210"/>
      <c r="IF141" s="210"/>
      <c r="IG141" s="210"/>
      <c r="IH141" s="210"/>
      <c r="II141" s="210"/>
      <c r="IJ141" s="210"/>
      <c r="IK141" s="210"/>
      <c r="IL141" s="210"/>
      <c r="IM141" s="210"/>
      <c r="KW141" s="120"/>
      <c r="LD141" s="210"/>
      <c r="LE141" s="210"/>
      <c r="LF141" s="210"/>
      <c r="LG141" s="210"/>
      <c r="LH141" s="210"/>
      <c r="LI141" s="210"/>
      <c r="LJ141" s="210"/>
      <c r="LK141" s="210"/>
      <c r="LL141" s="210"/>
      <c r="LM141" s="210"/>
      <c r="LN141" s="210"/>
      <c r="LO141" s="210"/>
      <c r="LP141" s="210"/>
      <c r="LQ141" s="210"/>
      <c r="LR141" s="210"/>
      <c r="OB141" s="120"/>
      <c r="OI141" s="210"/>
      <c r="OJ141" s="210"/>
      <c r="OK141" s="210"/>
      <c r="OL141" s="210"/>
      <c r="OM141" s="210"/>
      <c r="ON141" s="210"/>
      <c r="OO141" s="210"/>
      <c r="OP141" s="210"/>
      <c r="OQ141" s="210"/>
      <c r="OR141" s="210"/>
      <c r="OS141" s="210"/>
      <c r="OT141" s="210"/>
      <c r="OU141" s="210"/>
      <c r="OV141" s="210"/>
      <c r="OW141" s="210"/>
      <c r="RG141" s="120"/>
    </row>
    <row r="142" spans="1:475" x14ac:dyDescent="0.3">
      <c r="A142" s="7">
        <v>23</v>
      </c>
      <c r="B142" s="7">
        <v>132</v>
      </c>
      <c r="C142" s="7" t="s">
        <v>276</v>
      </c>
      <c r="D142" s="7" t="s">
        <v>317</v>
      </c>
      <c r="E142" s="7" t="s">
        <v>260</v>
      </c>
      <c r="F142" s="7" t="s">
        <v>274</v>
      </c>
      <c r="G142" s="41" t="str">
        <f t="shared" si="25"/>
        <v>X</v>
      </c>
      <c r="H142" s="41">
        <f>INDEX(환산공식!CI$16:CI$301,MATCH('배치점수 계산기'!$W142,환산공식!$A$16:$A$301,0))</f>
        <v>0</v>
      </c>
      <c r="I142" s="41" t="e">
        <f>CONCATENATE(ROUND(INDEX(환산공식!CJ$16:CJ$301,MATCH('배치점수 계산기'!$W142,환산공식!$A$16:$A$301,0)),1),"%")</f>
        <v>#DIV/0!</v>
      </c>
      <c r="J142" s="41">
        <f>INDEX(환산공식!CK$16:CK$301,MATCH('배치점수 계산기'!$W142,환산공식!$A$16:$A$301,0))</f>
        <v>10</v>
      </c>
      <c r="K142" s="7">
        <f>INDEX(환산공식!$EF$16:$EF$301,MATCH('배치점수 계산기'!W142,환산공식!$A$16:$A$301,0))</f>
        <v>0</v>
      </c>
      <c r="L142" s="41" t="str">
        <f t="shared" si="23"/>
        <v>1% 이하</v>
      </c>
      <c r="M142" s="7">
        <v>662.93125000000009</v>
      </c>
      <c r="N142" s="7">
        <v>661.88363782051283</v>
      </c>
      <c r="O142" s="7">
        <v>661.01875000000007</v>
      </c>
      <c r="P142" s="7">
        <v>659.8899707433128</v>
      </c>
      <c r="Q142" s="7">
        <v>658.51250000000016</v>
      </c>
      <c r="R142" s="7">
        <f t="shared" si="24"/>
        <v>6</v>
      </c>
      <c r="T142" s="7">
        <f>COUNTIF($C$11:C142,C142)</f>
        <v>79</v>
      </c>
      <c r="U142" s="7" t="str">
        <f t="shared" si="26"/>
        <v>가79</v>
      </c>
      <c r="V142" s="7" t="str">
        <f>INDEX(환산공식!$C$16:$C$301,MATCH('배치점수 계산기'!W142,환산공식!$A$16:$A$301,0))</f>
        <v>고려대 자연</v>
      </c>
      <c r="W142" s="7">
        <f t="shared" si="27"/>
        <v>23</v>
      </c>
      <c r="X142" s="7">
        <f t="shared" si="28"/>
        <v>1</v>
      </c>
      <c r="Y142" s="7">
        <f>IFERROR(INDEX(환산공식!Q$16:Q$200,MATCH($A142,환산공식!$A$16:$A$200,0)),"")</f>
        <v>1.5625</v>
      </c>
      <c r="Z142" s="7">
        <f>IFERROR(INDEX(환산공식!R$16:R$200,MATCH($A142,환산공식!$A$16:$A$200,0)),"")</f>
        <v>1.875</v>
      </c>
      <c r="AA142" s="7">
        <f>IFERROR(INDEX(환산공식!U$16:U$200,MATCH($A142,환산공식!$A$16:$A$200,0)),"")</f>
        <v>1.5625</v>
      </c>
      <c r="AB142" s="7">
        <f t="shared" si="29"/>
        <v>0.3125</v>
      </c>
      <c r="AC142" s="7">
        <f t="shared" si="30"/>
        <v>0.375</v>
      </c>
      <c r="AD142" s="7">
        <f t="shared" si="31"/>
        <v>0.3125</v>
      </c>
      <c r="AE142" s="7">
        <f>INDEX(환산공식!$AF$16:$AF$301,MATCH('배치점수 계산기'!W142,환산공식!$A$16:$A$301,0))</f>
        <v>1</v>
      </c>
      <c r="AF142" s="7">
        <f>INDEX(환산공식!$AP$16:$AP$301,MATCH('배치점수 계산기'!W142,환산공식!$A$16:$A$301,0))</f>
        <v>4</v>
      </c>
      <c r="AG142" s="7" t="str">
        <f t="shared" si="32"/>
        <v>표점</v>
      </c>
      <c r="AH142" s="7" t="str">
        <f t="shared" si="33"/>
        <v>변표</v>
      </c>
      <c r="BO142" s="210"/>
      <c r="BP142" s="210"/>
      <c r="BQ142" s="210"/>
      <c r="BR142" s="210"/>
      <c r="BS142" s="210"/>
      <c r="BT142" s="210"/>
      <c r="BU142" s="210"/>
      <c r="BV142" s="210"/>
      <c r="BW142" s="210"/>
      <c r="BX142" s="210"/>
      <c r="BY142" s="210"/>
      <c r="BZ142" s="210"/>
      <c r="CA142" s="210"/>
      <c r="CB142" s="210"/>
      <c r="CC142" s="210"/>
      <c r="EM142" s="120"/>
      <c r="ET142" s="210"/>
      <c r="EU142" s="210"/>
      <c r="EV142" s="210"/>
      <c r="EW142" s="210"/>
      <c r="EX142" s="210"/>
      <c r="EY142" s="210"/>
      <c r="EZ142" s="210"/>
      <c r="FA142" s="210"/>
      <c r="FB142" s="210"/>
      <c r="FC142" s="210"/>
      <c r="FD142" s="210"/>
      <c r="FE142" s="210"/>
      <c r="FF142" s="210"/>
      <c r="FG142" s="210"/>
      <c r="FH142" s="210"/>
      <c r="HR142" s="120"/>
      <c r="HY142" s="210"/>
      <c r="HZ142" s="210"/>
      <c r="IA142" s="210"/>
      <c r="IB142" s="210"/>
      <c r="IC142" s="210"/>
      <c r="ID142" s="210"/>
      <c r="IE142" s="210"/>
      <c r="IF142" s="210"/>
      <c r="IG142" s="210"/>
      <c r="IH142" s="210"/>
      <c r="II142" s="210"/>
      <c r="IJ142" s="210"/>
      <c r="IK142" s="210"/>
      <c r="IL142" s="210"/>
      <c r="IM142" s="210"/>
      <c r="KW142" s="120"/>
      <c r="LD142" s="210"/>
      <c r="LE142" s="210"/>
      <c r="LF142" s="210"/>
      <c r="LG142" s="210"/>
      <c r="LH142" s="210"/>
      <c r="LI142" s="210"/>
      <c r="LJ142" s="210"/>
      <c r="LK142" s="210"/>
      <c r="LL142" s="210"/>
      <c r="LM142" s="210"/>
      <c r="LN142" s="210"/>
      <c r="LO142" s="210"/>
      <c r="LP142" s="210"/>
      <c r="LQ142" s="210"/>
      <c r="LR142" s="210"/>
      <c r="OB142" s="120"/>
      <c r="OI142" s="210"/>
      <c r="OJ142" s="210"/>
      <c r="OK142" s="210"/>
      <c r="OL142" s="210"/>
      <c r="OM142" s="210"/>
      <c r="ON142" s="210"/>
      <c r="OO142" s="210"/>
      <c r="OP142" s="210"/>
      <c r="OQ142" s="210"/>
      <c r="OR142" s="210"/>
      <c r="OS142" s="210"/>
      <c r="OT142" s="210"/>
      <c r="OU142" s="210"/>
      <c r="OV142" s="210"/>
      <c r="OW142" s="210"/>
      <c r="RG142" s="120"/>
    </row>
    <row r="143" spans="1:475" x14ac:dyDescent="0.3">
      <c r="A143" s="7">
        <v>24</v>
      </c>
      <c r="B143" s="7">
        <v>133</v>
      </c>
      <c r="C143" s="7" t="s">
        <v>276</v>
      </c>
      <c r="D143" s="7" t="s">
        <v>317</v>
      </c>
      <c r="E143" s="7" t="s">
        <v>331</v>
      </c>
      <c r="F143" s="7" t="s">
        <v>275</v>
      </c>
      <c r="G143" s="41" t="str">
        <f t="shared" si="25"/>
        <v>X</v>
      </c>
      <c r="H143" s="41">
        <f>INDEX(환산공식!CI$16:CI$301,MATCH('배치점수 계산기'!$W143,환산공식!$A$16:$A$301,0))</f>
        <v>0</v>
      </c>
      <c r="I143" s="41" t="e">
        <f>CONCATENATE(ROUND(INDEX(환산공식!CJ$16:CJ$301,MATCH('배치점수 계산기'!$W143,환산공식!$A$16:$A$301,0)),1),"%")</f>
        <v>#DIV/0!</v>
      </c>
      <c r="J143" s="41">
        <f>INDEX(환산공식!CK$16:CK$301,MATCH('배치점수 계산기'!$W143,환산공식!$A$16:$A$301,0))</f>
        <v>10</v>
      </c>
      <c r="K143" s="7">
        <f>INDEX(환산공식!$EF$16:$EF$301,MATCH('배치점수 계산기'!W143,환산공식!$A$16:$A$301,0))</f>
        <v>0</v>
      </c>
      <c r="L143" s="41" t="str">
        <f t="shared" si="23"/>
        <v>1% 이하</v>
      </c>
      <c r="M143" s="7">
        <v>667.00301433665675</v>
      </c>
      <c r="N143" s="7">
        <v>666.04857142857145</v>
      </c>
      <c r="O143" s="7">
        <v>664.79857142857145</v>
      </c>
      <c r="P143" s="7">
        <v>661.48885156937524</v>
      </c>
      <c r="Q143" s="7">
        <v>657.98428571428576</v>
      </c>
      <c r="R143" s="7">
        <f t="shared" si="24"/>
        <v>6</v>
      </c>
      <c r="T143" s="7">
        <f>COUNTIF($C$11:C143,C143)</f>
        <v>80</v>
      </c>
      <c r="U143" s="7" t="str">
        <f t="shared" si="26"/>
        <v>가80</v>
      </c>
      <c r="V143" s="7" t="str">
        <f>INDEX(환산공식!$C$16:$C$301,MATCH('배치점수 계산기'!W143,환산공식!$A$16:$A$301,0))</f>
        <v>고려대 통합</v>
      </c>
      <c r="W143" s="7">
        <f t="shared" si="27"/>
        <v>24</v>
      </c>
      <c r="X143" s="7">
        <f t="shared" si="28"/>
        <v>1</v>
      </c>
      <c r="Y143" s="7">
        <f>IFERROR(INDEX(환산공식!Q$16:Q$200,MATCH($A143,환산공식!$A$16:$A$200,0)),"")</f>
        <v>1.7857142857142858</v>
      </c>
      <c r="Z143" s="7">
        <f>IFERROR(INDEX(환산공식!R$16:R$200,MATCH($A143,환산공식!$A$16:$A$200,0)),"")</f>
        <v>1.7857142857142858</v>
      </c>
      <c r="AA143" s="7">
        <f>IFERROR(INDEX(환산공식!U$16:U$200,MATCH($A143,환산공식!$A$16:$A$200,0)),"")</f>
        <v>1.4285714285714286</v>
      </c>
      <c r="AB143" s="7">
        <f t="shared" si="29"/>
        <v>0.35714285714285715</v>
      </c>
      <c r="AC143" s="7">
        <f t="shared" si="30"/>
        <v>0.35714285714285715</v>
      </c>
      <c r="AD143" s="7">
        <f t="shared" si="31"/>
        <v>0.2857142857142857</v>
      </c>
      <c r="AE143" s="7">
        <f>INDEX(환산공식!$AF$16:$AF$301,MATCH('배치점수 계산기'!W143,환산공식!$A$16:$A$301,0))</f>
        <v>1</v>
      </c>
      <c r="AF143" s="7">
        <f>INDEX(환산공식!$AP$16:$AP$301,MATCH('배치점수 계산기'!W143,환산공식!$A$16:$A$301,0))</f>
        <v>4</v>
      </c>
      <c r="AG143" s="7" t="str">
        <f t="shared" si="32"/>
        <v>표점</v>
      </c>
      <c r="AH143" s="7" t="str">
        <f t="shared" si="33"/>
        <v>변표</v>
      </c>
      <c r="BO143" s="210"/>
      <c r="BP143" s="210"/>
      <c r="BQ143" s="210"/>
      <c r="BR143" s="210"/>
      <c r="BS143" s="210"/>
      <c r="BT143" s="210"/>
      <c r="BU143" s="210"/>
      <c r="BV143" s="210"/>
      <c r="BW143" s="210"/>
      <c r="BX143" s="210"/>
      <c r="BY143" s="210"/>
      <c r="BZ143" s="210"/>
      <c r="CA143" s="210"/>
      <c r="CB143" s="210"/>
      <c r="CC143" s="210"/>
      <c r="EM143" s="120"/>
      <c r="ET143" s="210"/>
      <c r="EU143" s="210"/>
      <c r="EV143" s="210"/>
      <c r="EW143" s="210"/>
      <c r="EX143" s="210"/>
      <c r="EY143" s="210"/>
      <c r="EZ143" s="210"/>
      <c r="FA143" s="210"/>
      <c r="FB143" s="210"/>
      <c r="FC143" s="210"/>
      <c r="FD143" s="210"/>
      <c r="FE143" s="210"/>
      <c r="FF143" s="210"/>
      <c r="FG143" s="210"/>
      <c r="FH143" s="210"/>
      <c r="HR143" s="120"/>
      <c r="HY143" s="210"/>
      <c r="HZ143" s="210"/>
      <c r="IA143" s="210"/>
      <c r="IB143" s="210"/>
      <c r="IC143" s="210"/>
      <c r="ID143" s="210"/>
      <c r="IE143" s="210"/>
      <c r="IF143" s="210"/>
      <c r="IG143" s="210"/>
      <c r="IH143" s="210"/>
      <c r="II143" s="210"/>
      <c r="IJ143" s="210"/>
      <c r="IK143" s="210"/>
      <c r="IL143" s="210"/>
      <c r="IM143" s="210"/>
      <c r="KW143" s="120"/>
      <c r="LD143" s="210"/>
      <c r="LE143" s="210"/>
      <c r="LF143" s="210"/>
      <c r="LG143" s="210"/>
      <c r="LH143" s="210"/>
      <c r="LI143" s="210"/>
      <c r="LJ143" s="210"/>
      <c r="LK143" s="210"/>
      <c r="LL143" s="210"/>
      <c r="LM143" s="210"/>
      <c r="LN143" s="210"/>
      <c r="LO143" s="210"/>
      <c r="LP143" s="210"/>
      <c r="LQ143" s="210"/>
      <c r="LR143" s="210"/>
      <c r="OB143" s="120"/>
      <c r="OI143" s="210"/>
      <c r="OJ143" s="210"/>
      <c r="OK143" s="210"/>
      <c r="OL143" s="210"/>
      <c r="OM143" s="210"/>
      <c r="ON143" s="210"/>
      <c r="OO143" s="210"/>
      <c r="OP143" s="210"/>
      <c r="OQ143" s="210"/>
      <c r="OR143" s="210"/>
      <c r="OS143" s="210"/>
      <c r="OT143" s="210"/>
      <c r="OU143" s="210"/>
      <c r="OV143" s="210"/>
      <c r="OW143" s="210"/>
      <c r="RG143" s="120"/>
    </row>
    <row r="144" spans="1:475" x14ac:dyDescent="0.3">
      <c r="A144" s="7">
        <v>24</v>
      </c>
      <c r="B144" s="7">
        <v>134</v>
      </c>
      <c r="C144" s="7" t="s">
        <v>276</v>
      </c>
      <c r="D144" s="7" t="s">
        <v>317</v>
      </c>
      <c r="E144" s="7" t="s">
        <v>332</v>
      </c>
      <c r="F144" s="7" t="s">
        <v>275</v>
      </c>
      <c r="G144" s="41" t="str">
        <f t="shared" si="25"/>
        <v>X</v>
      </c>
      <c r="H144" s="41">
        <f>INDEX(환산공식!CI$16:CI$301,MATCH('배치점수 계산기'!$W144,환산공식!$A$16:$A$301,0))</f>
        <v>0</v>
      </c>
      <c r="I144" s="41" t="e">
        <f>CONCATENATE(ROUND(INDEX(환산공식!CJ$16:CJ$301,MATCH('배치점수 계산기'!$W144,환산공식!$A$16:$A$301,0)),1),"%")</f>
        <v>#DIV/0!</v>
      </c>
      <c r="J144" s="41">
        <f>INDEX(환산공식!CK$16:CK$301,MATCH('배치점수 계산기'!$W144,환산공식!$A$16:$A$301,0))</f>
        <v>10</v>
      </c>
      <c r="K144" s="7">
        <f>INDEX(환산공식!$EF$16:$EF$301,MATCH('배치점수 계산기'!W144,환산공식!$A$16:$A$301,0))</f>
        <v>0</v>
      </c>
      <c r="L144" s="41" t="str">
        <f t="shared" si="23"/>
        <v>1% 이하</v>
      </c>
      <c r="M144" s="7">
        <v>662.85857142857151</v>
      </c>
      <c r="N144" s="7">
        <v>662.02452057304083</v>
      </c>
      <c r="O144" s="7">
        <v>658.93612986343737</v>
      </c>
      <c r="P144" s="7">
        <v>657.15056795955275</v>
      </c>
      <c r="Q144" s="7">
        <v>653.53354989604986</v>
      </c>
      <c r="R144" s="7">
        <f t="shared" si="24"/>
        <v>6</v>
      </c>
      <c r="T144" s="7">
        <f>COUNTIF($C$11:C144,C144)</f>
        <v>81</v>
      </c>
      <c r="U144" s="7" t="str">
        <f t="shared" si="26"/>
        <v>가81</v>
      </c>
      <c r="V144" s="7" t="str">
        <f>INDEX(환산공식!$C$16:$C$301,MATCH('배치점수 계산기'!W144,환산공식!$A$16:$A$301,0))</f>
        <v>고려대 통합</v>
      </c>
      <c r="W144" s="7">
        <f t="shared" si="27"/>
        <v>24</v>
      </c>
      <c r="X144" s="7">
        <f t="shared" si="28"/>
        <v>1</v>
      </c>
      <c r="Y144" s="7">
        <f>IFERROR(INDEX(환산공식!Q$16:Q$200,MATCH($A144,환산공식!$A$16:$A$200,0)),"")</f>
        <v>1.7857142857142858</v>
      </c>
      <c r="Z144" s="7">
        <f>IFERROR(INDEX(환산공식!R$16:R$200,MATCH($A144,환산공식!$A$16:$A$200,0)),"")</f>
        <v>1.7857142857142858</v>
      </c>
      <c r="AA144" s="7">
        <f>IFERROR(INDEX(환산공식!U$16:U$200,MATCH($A144,환산공식!$A$16:$A$200,0)),"")</f>
        <v>1.4285714285714286</v>
      </c>
      <c r="AB144" s="7">
        <f t="shared" si="29"/>
        <v>0.35714285714285715</v>
      </c>
      <c r="AC144" s="7">
        <f t="shared" si="30"/>
        <v>0.35714285714285715</v>
      </c>
      <c r="AD144" s="7">
        <f t="shared" si="31"/>
        <v>0.2857142857142857</v>
      </c>
      <c r="AE144" s="7">
        <f>INDEX(환산공식!$AF$16:$AF$301,MATCH('배치점수 계산기'!W144,환산공식!$A$16:$A$301,0))</f>
        <v>1</v>
      </c>
      <c r="AF144" s="7">
        <f>INDEX(환산공식!$AP$16:$AP$301,MATCH('배치점수 계산기'!W144,환산공식!$A$16:$A$301,0))</f>
        <v>4</v>
      </c>
      <c r="AG144" s="7" t="str">
        <f t="shared" si="32"/>
        <v>표점</v>
      </c>
      <c r="AH144" s="7" t="str">
        <f t="shared" si="33"/>
        <v>변표</v>
      </c>
      <c r="BO144" s="210"/>
      <c r="BP144" s="210"/>
      <c r="BQ144" s="210"/>
      <c r="BR144" s="210"/>
      <c r="BS144" s="210"/>
      <c r="BT144" s="210"/>
      <c r="BU144" s="210"/>
      <c r="BV144" s="210"/>
      <c r="BW144" s="210"/>
      <c r="BX144" s="210"/>
      <c r="BY144" s="210"/>
      <c r="BZ144" s="210"/>
      <c r="CA144" s="210"/>
      <c r="CB144" s="210"/>
      <c r="CC144" s="210"/>
      <c r="EM144" s="120"/>
      <c r="ET144" s="210"/>
      <c r="EU144" s="210"/>
      <c r="EV144" s="210"/>
      <c r="EW144" s="210"/>
      <c r="EX144" s="210"/>
      <c r="EY144" s="210"/>
      <c r="EZ144" s="210"/>
      <c r="FA144" s="210"/>
      <c r="FB144" s="210"/>
      <c r="FC144" s="210"/>
      <c r="FD144" s="210"/>
      <c r="FE144" s="210"/>
      <c r="FF144" s="210"/>
      <c r="FG144" s="210"/>
      <c r="FH144" s="210"/>
      <c r="HR144" s="120"/>
      <c r="HY144" s="210"/>
      <c r="HZ144" s="210"/>
      <c r="IA144" s="210"/>
      <c r="IB144" s="210"/>
      <c r="IC144" s="210"/>
      <c r="ID144" s="210"/>
      <c r="IE144" s="210"/>
      <c r="IF144" s="210"/>
      <c r="IG144" s="210"/>
      <c r="IH144" s="210"/>
      <c r="II144" s="210"/>
      <c r="IJ144" s="210"/>
      <c r="IK144" s="210"/>
      <c r="IL144" s="210"/>
      <c r="IM144" s="210"/>
      <c r="KW144" s="120"/>
      <c r="LD144" s="210"/>
      <c r="LE144" s="210"/>
      <c r="LF144" s="210"/>
      <c r="LG144" s="210"/>
      <c r="LH144" s="210"/>
      <c r="LI144" s="210"/>
      <c r="LJ144" s="210"/>
      <c r="LK144" s="210"/>
      <c r="LL144" s="210"/>
      <c r="LM144" s="210"/>
      <c r="LN144" s="210"/>
      <c r="LO144" s="210"/>
      <c r="LP144" s="210"/>
      <c r="LQ144" s="210"/>
      <c r="LR144" s="210"/>
      <c r="OB144" s="120"/>
      <c r="OI144" s="210"/>
      <c r="OJ144" s="210"/>
      <c r="OK144" s="210"/>
      <c r="OL144" s="210"/>
      <c r="OM144" s="210"/>
      <c r="ON144" s="210"/>
      <c r="OO144" s="210"/>
      <c r="OP144" s="210"/>
      <c r="OQ144" s="210"/>
      <c r="OR144" s="210"/>
      <c r="OS144" s="210"/>
      <c r="OT144" s="210"/>
      <c r="OU144" s="210"/>
      <c r="OV144" s="210"/>
      <c r="OW144" s="210"/>
      <c r="RG144" s="120"/>
    </row>
    <row r="145" spans="1:475" x14ac:dyDescent="0.3">
      <c r="A145" s="7">
        <v>24</v>
      </c>
      <c r="B145" s="7">
        <v>135</v>
      </c>
      <c r="C145" s="7" t="s">
        <v>276</v>
      </c>
      <c r="D145" s="7" t="s">
        <v>317</v>
      </c>
      <c r="E145" s="7" t="s">
        <v>261</v>
      </c>
      <c r="F145" s="7" t="s">
        <v>275</v>
      </c>
      <c r="G145" s="41" t="str">
        <f t="shared" si="25"/>
        <v>X</v>
      </c>
      <c r="H145" s="41">
        <f>INDEX(환산공식!CI$16:CI$301,MATCH('배치점수 계산기'!$W145,환산공식!$A$16:$A$301,0))</f>
        <v>0</v>
      </c>
      <c r="I145" s="41" t="e">
        <f>CONCATENATE(ROUND(INDEX(환산공식!CJ$16:CJ$301,MATCH('배치점수 계산기'!$W145,환산공식!$A$16:$A$301,0)),1),"%")</f>
        <v>#DIV/0!</v>
      </c>
      <c r="J145" s="41">
        <f>INDEX(환산공식!CK$16:CK$301,MATCH('배치점수 계산기'!$W145,환산공식!$A$16:$A$301,0))</f>
        <v>10</v>
      </c>
      <c r="K145" s="7">
        <f>INDEX(환산공식!$EF$16:$EF$301,MATCH('배치점수 계산기'!W145,환산공식!$A$16:$A$301,0))</f>
        <v>0</v>
      </c>
      <c r="L145" s="41" t="str">
        <f t="shared" si="23"/>
        <v>1% 이하</v>
      </c>
      <c r="M145" s="7">
        <v>666.04857142857145</v>
      </c>
      <c r="N145" s="7">
        <v>664.79857142857145</v>
      </c>
      <c r="O145" s="7">
        <v>663.57285714285717</v>
      </c>
      <c r="P145" s="7">
        <v>659.88964515535963</v>
      </c>
      <c r="Q145" s="7">
        <v>656.32428571428568</v>
      </c>
      <c r="R145" s="7">
        <f t="shared" si="24"/>
        <v>6</v>
      </c>
      <c r="T145" s="7">
        <f>COUNTIF($C$11:C145,C145)</f>
        <v>82</v>
      </c>
      <c r="U145" s="7" t="str">
        <f t="shared" si="26"/>
        <v>가82</v>
      </c>
      <c r="V145" s="7" t="str">
        <f>INDEX(환산공식!$C$16:$C$301,MATCH('배치점수 계산기'!W145,환산공식!$A$16:$A$301,0))</f>
        <v>고려대 통합</v>
      </c>
      <c r="W145" s="7">
        <f t="shared" si="27"/>
        <v>24</v>
      </c>
      <c r="X145" s="7">
        <f t="shared" si="28"/>
        <v>1</v>
      </c>
      <c r="Y145" s="7">
        <f>IFERROR(INDEX(환산공식!Q$16:Q$200,MATCH($A145,환산공식!$A$16:$A$200,0)),"")</f>
        <v>1.7857142857142858</v>
      </c>
      <c r="Z145" s="7">
        <f>IFERROR(INDEX(환산공식!R$16:R$200,MATCH($A145,환산공식!$A$16:$A$200,0)),"")</f>
        <v>1.7857142857142858</v>
      </c>
      <c r="AA145" s="7">
        <f>IFERROR(INDEX(환산공식!U$16:U$200,MATCH($A145,환산공식!$A$16:$A$200,0)),"")</f>
        <v>1.4285714285714286</v>
      </c>
      <c r="AB145" s="7">
        <f t="shared" si="29"/>
        <v>0.35714285714285715</v>
      </c>
      <c r="AC145" s="7">
        <f t="shared" si="30"/>
        <v>0.35714285714285715</v>
      </c>
      <c r="AD145" s="7">
        <f t="shared" si="31"/>
        <v>0.2857142857142857</v>
      </c>
      <c r="AE145" s="7">
        <f>INDEX(환산공식!$AF$16:$AF$301,MATCH('배치점수 계산기'!W145,환산공식!$A$16:$A$301,0))</f>
        <v>1</v>
      </c>
      <c r="AF145" s="7">
        <f>INDEX(환산공식!$AP$16:$AP$301,MATCH('배치점수 계산기'!W145,환산공식!$A$16:$A$301,0))</f>
        <v>4</v>
      </c>
      <c r="AG145" s="7" t="str">
        <f t="shared" si="32"/>
        <v>표점</v>
      </c>
      <c r="AH145" s="7" t="str">
        <f t="shared" si="33"/>
        <v>변표</v>
      </c>
      <c r="BO145" s="210"/>
      <c r="BP145" s="210"/>
      <c r="BQ145" s="210"/>
      <c r="BR145" s="210"/>
      <c r="BS145" s="210"/>
      <c r="BT145" s="210"/>
      <c r="BU145" s="210"/>
      <c r="BV145" s="210"/>
      <c r="BW145" s="210"/>
      <c r="BX145" s="210"/>
      <c r="BY145" s="210"/>
      <c r="BZ145" s="210"/>
      <c r="CA145" s="210"/>
      <c r="CB145" s="210"/>
      <c r="CC145" s="210"/>
      <c r="EM145" s="120"/>
      <c r="ET145" s="210"/>
      <c r="EU145" s="210"/>
      <c r="EV145" s="210"/>
      <c r="EW145" s="210"/>
      <c r="EX145" s="210"/>
      <c r="EY145" s="210"/>
      <c r="EZ145" s="210"/>
      <c r="FA145" s="210"/>
      <c r="FB145" s="210"/>
      <c r="FC145" s="210"/>
      <c r="FD145" s="210"/>
      <c r="FE145" s="210"/>
      <c r="FF145" s="210"/>
      <c r="FG145" s="210"/>
      <c r="FH145" s="210"/>
      <c r="HR145" s="120"/>
      <c r="HY145" s="210"/>
      <c r="HZ145" s="210"/>
      <c r="IA145" s="210"/>
      <c r="IB145" s="210"/>
      <c r="IC145" s="210"/>
      <c r="ID145" s="210"/>
      <c r="IE145" s="210"/>
      <c r="IF145" s="210"/>
      <c r="IG145" s="210"/>
      <c r="IH145" s="210"/>
      <c r="II145" s="210"/>
      <c r="IJ145" s="210"/>
      <c r="IK145" s="210"/>
      <c r="IL145" s="210"/>
      <c r="IM145" s="210"/>
      <c r="KW145" s="120"/>
      <c r="LD145" s="210"/>
      <c r="LE145" s="210"/>
      <c r="LF145" s="210"/>
      <c r="LG145" s="210"/>
      <c r="LH145" s="210"/>
      <c r="LI145" s="210"/>
      <c r="LJ145" s="210"/>
      <c r="LK145" s="210"/>
      <c r="LL145" s="210"/>
      <c r="LM145" s="210"/>
      <c r="LN145" s="210"/>
      <c r="LO145" s="210"/>
      <c r="LP145" s="210"/>
      <c r="LQ145" s="210"/>
      <c r="LR145" s="210"/>
      <c r="OB145" s="120"/>
      <c r="OI145" s="210"/>
      <c r="OJ145" s="210"/>
      <c r="OK145" s="210"/>
      <c r="OL145" s="210"/>
      <c r="OM145" s="210"/>
      <c r="ON145" s="210"/>
      <c r="OO145" s="210"/>
      <c r="OP145" s="210"/>
      <c r="OQ145" s="210"/>
      <c r="OR145" s="210"/>
      <c r="OS145" s="210"/>
      <c r="OT145" s="210"/>
      <c r="OU145" s="210"/>
      <c r="OV145" s="210"/>
      <c r="OW145" s="210"/>
      <c r="RG145" s="120"/>
    </row>
    <row r="146" spans="1:475" x14ac:dyDescent="0.3">
      <c r="A146" s="7">
        <v>24</v>
      </c>
      <c r="B146" s="7">
        <v>136</v>
      </c>
      <c r="C146" s="7" t="s">
        <v>276</v>
      </c>
      <c r="D146" s="7" t="s">
        <v>317</v>
      </c>
      <c r="E146" s="7" t="s">
        <v>262</v>
      </c>
      <c r="F146" s="7" t="s">
        <v>275</v>
      </c>
      <c r="G146" s="41" t="str">
        <f t="shared" si="25"/>
        <v>X</v>
      </c>
      <c r="H146" s="41">
        <f>INDEX(환산공식!CI$16:CI$301,MATCH('배치점수 계산기'!$W146,환산공식!$A$16:$A$301,0))</f>
        <v>0</v>
      </c>
      <c r="I146" s="41" t="e">
        <f>CONCATENATE(ROUND(INDEX(환산공식!CJ$16:CJ$301,MATCH('배치점수 계산기'!$W146,환산공식!$A$16:$A$301,0)),1),"%")</f>
        <v>#DIV/0!</v>
      </c>
      <c r="J146" s="41">
        <f>INDEX(환산공식!CK$16:CK$301,MATCH('배치점수 계산기'!$W146,환산공식!$A$16:$A$301,0))</f>
        <v>10</v>
      </c>
      <c r="K146" s="7">
        <f>INDEX(환산공식!$EF$16:$EF$301,MATCH('배치점수 계산기'!W146,환산공식!$A$16:$A$301,0))</f>
        <v>0</v>
      </c>
      <c r="L146" s="41" t="str">
        <f t="shared" si="23"/>
        <v>1% 이하</v>
      </c>
      <c r="M146" s="7">
        <v>667.00301433665675</v>
      </c>
      <c r="N146" s="7">
        <v>665.21432655144758</v>
      </c>
      <c r="O146" s="7">
        <v>663.81262824966177</v>
      </c>
      <c r="P146" s="7">
        <v>659.88964515535963</v>
      </c>
      <c r="Q146" s="7">
        <v>656.32428571428568</v>
      </c>
      <c r="R146" s="7">
        <f t="shared" si="24"/>
        <v>6</v>
      </c>
      <c r="T146" s="7">
        <f>COUNTIF($C$11:C146,C146)</f>
        <v>83</v>
      </c>
      <c r="U146" s="7" t="str">
        <f t="shared" si="26"/>
        <v>가83</v>
      </c>
      <c r="V146" s="7" t="str">
        <f>INDEX(환산공식!$C$16:$C$301,MATCH('배치점수 계산기'!W146,환산공식!$A$16:$A$301,0))</f>
        <v>고려대 통합</v>
      </c>
      <c r="W146" s="7">
        <f t="shared" si="27"/>
        <v>24</v>
      </c>
      <c r="X146" s="7">
        <f t="shared" si="28"/>
        <v>1</v>
      </c>
      <c r="Y146" s="7">
        <f>IFERROR(INDEX(환산공식!Q$16:Q$200,MATCH($A146,환산공식!$A$16:$A$200,0)),"")</f>
        <v>1.7857142857142858</v>
      </c>
      <c r="Z146" s="7">
        <f>IFERROR(INDEX(환산공식!R$16:R$200,MATCH($A146,환산공식!$A$16:$A$200,0)),"")</f>
        <v>1.7857142857142858</v>
      </c>
      <c r="AA146" s="7">
        <f>IFERROR(INDEX(환산공식!U$16:U$200,MATCH($A146,환산공식!$A$16:$A$200,0)),"")</f>
        <v>1.4285714285714286</v>
      </c>
      <c r="AB146" s="7">
        <f t="shared" si="29"/>
        <v>0.35714285714285715</v>
      </c>
      <c r="AC146" s="7">
        <f t="shared" si="30"/>
        <v>0.35714285714285715</v>
      </c>
      <c r="AD146" s="7">
        <f t="shared" si="31"/>
        <v>0.2857142857142857</v>
      </c>
      <c r="AE146" s="7">
        <f>INDEX(환산공식!$AF$16:$AF$301,MATCH('배치점수 계산기'!W146,환산공식!$A$16:$A$301,0))</f>
        <v>1</v>
      </c>
      <c r="AF146" s="7">
        <f>INDEX(환산공식!$AP$16:$AP$301,MATCH('배치점수 계산기'!W146,환산공식!$A$16:$A$301,0))</f>
        <v>4</v>
      </c>
      <c r="AG146" s="7" t="str">
        <f t="shared" si="32"/>
        <v>표점</v>
      </c>
      <c r="AH146" s="7" t="str">
        <f t="shared" si="33"/>
        <v>변표</v>
      </c>
      <c r="BO146" s="210"/>
      <c r="BP146" s="210"/>
      <c r="BQ146" s="210"/>
      <c r="BR146" s="210"/>
      <c r="BS146" s="210"/>
      <c r="BT146" s="210"/>
      <c r="BU146" s="210"/>
      <c r="BV146" s="210"/>
      <c r="BW146" s="210"/>
      <c r="BX146" s="210"/>
      <c r="BY146" s="210"/>
      <c r="BZ146" s="210"/>
      <c r="CA146" s="210"/>
      <c r="CB146" s="210"/>
      <c r="CC146" s="210"/>
      <c r="EM146" s="120"/>
      <c r="ET146" s="210"/>
      <c r="EU146" s="210"/>
      <c r="EV146" s="210"/>
      <c r="EW146" s="210"/>
      <c r="EX146" s="210"/>
      <c r="EY146" s="210"/>
      <c r="EZ146" s="210"/>
      <c r="FA146" s="210"/>
      <c r="FB146" s="210"/>
      <c r="FC146" s="210"/>
      <c r="FD146" s="210"/>
      <c r="FE146" s="210"/>
      <c r="FF146" s="210"/>
      <c r="FG146" s="210"/>
      <c r="FH146" s="210"/>
      <c r="HR146" s="120"/>
      <c r="HY146" s="210"/>
      <c r="HZ146" s="210"/>
      <c r="IA146" s="210"/>
      <c r="IB146" s="210"/>
      <c r="IC146" s="210"/>
      <c r="ID146" s="210"/>
      <c r="IE146" s="210"/>
      <c r="IF146" s="210"/>
      <c r="IG146" s="210"/>
      <c r="IH146" s="210"/>
      <c r="II146" s="210"/>
      <c r="IJ146" s="210"/>
      <c r="IK146" s="210"/>
      <c r="IL146" s="210"/>
      <c r="IM146" s="210"/>
      <c r="KW146" s="120"/>
      <c r="LD146" s="210"/>
      <c r="LE146" s="210"/>
      <c r="LF146" s="210"/>
      <c r="LG146" s="210"/>
      <c r="LH146" s="210"/>
      <c r="LI146" s="210"/>
      <c r="LJ146" s="210"/>
      <c r="LK146" s="210"/>
      <c r="LL146" s="210"/>
      <c r="LM146" s="210"/>
      <c r="LN146" s="210"/>
      <c r="LO146" s="210"/>
      <c r="LP146" s="210"/>
      <c r="LQ146" s="210"/>
      <c r="LR146" s="210"/>
      <c r="OB146" s="120"/>
      <c r="OI146" s="210"/>
      <c r="OJ146" s="210"/>
      <c r="OK146" s="210"/>
      <c r="OL146" s="210"/>
      <c r="OM146" s="210"/>
      <c r="ON146" s="210"/>
      <c r="OO146" s="210"/>
      <c r="OP146" s="210"/>
      <c r="OQ146" s="210"/>
      <c r="OR146" s="210"/>
      <c r="OS146" s="210"/>
      <c r="OT146" s="210"/>
      <c r="OU146" s="210"/>
      <c r="OV146" s="210"/>
      <c r="OW146" s="210"/>
      <c r="RG146" s="120"/>
    </row>
    <row r="147" spans="1:475" x14ac:dyDescent="0.3">
      <c r="A147" s="7">
        <v>24</v>
      </c>
      <c r="B147" s="7">
        <v>137</v>
      </c>
      <c r="C147" s="7" t="s">
        <v>276</v>
      </c>
      <c r="D147" s="7" t="s">
        <v>317</v>
      </c>
      <c r="E147" s="7" t="s">
        <v>333</v>
      </c>
      <c r="F147" s="7" t="s">
        <v>275</v>
      </c>
      <c r="G147" s="41" t="str">
        <f t="shared" si="25"/>
        <v>X</v>
      </c>
      <c r="H147" s="41">
        <f>INDEX(환산공식!CI$16:CI$301,MATCH('배치점수 계산기'!$W147,환산공식!$A$16:$A$301,0))</f>
        <v>0</v>
      </c>
      <c r="I147" s="41" t="e">
        <f>CONCATENATE(ROUND(INDEX(환산공식!CJ$16:CJ$301,MATCH('배치점수 계산기'!$W147,환산공식!$A$16:$A$301,0)),1),"%")</f>
        <v>#DIV/0!</v>
      </c>
      <c r="J147" s="41">
        <f>INDEX(환산공식!CK$16:CK$301,MATCH('배치점수 계산기'!$W147,환산공식!$A$16:$A$301,0))</f>
        <v>10</v>
      </c>
      <c r="K147" s="7">
        <f>INDEX(환산공식!$EF$16:$EF$301,MATCH('배치점수 계산기'!W147,환산공식!$A$16:$A$301,0))</f>
        <v>0</v>
      </c>
      <c r="L147" s="41" t="str">
        <f t="shared" si="23"/>
        <v>1% 이하</v>
      </c>
      <c r="M147" s="7">
        <v>663.81262824966177</v>
      </c>
      <c r="N147" s="7">
        <v>662.20307692307699</v>
      </c>
      <c r="O147" s="7">
        <v>658.93612986343737</v>
      </c>
      <c r="P147" s="7">
        <v>657.15056795955275</v>
      </c>
      <c r="Q147" s="7">
        <v>654.24073615538589</v>
      </c>
      <c r="R147" s="7">
        <f t="shared" si="24"/>
        <v>6</v>
      </c>
      <c r="T147" s="7">
        <f>COUNTIF($C$11:C147,C147)</f>
        <v>84</v>
      </c>
      <c r="U147" s="7" t="str">
        <f t="shared" si="26"/>
        <v>가84</v>
      </c>
      <c r="V147" s="7" t="str">
        <f>INDEX(환산공식!$C$16:$C$301,MATCH('배치점수 계산기'!W147,환산공식!$A$16:$A$301,0))</f>
        <v>고려대 통합</v>
      </c>
      <c r="W147" s="7">
        <f t="shared" si="27"/>
        <v>24</v>
      </c>
      <c r="X147" s="7">
        <f t="shared" si="28"/>
        <v>1</v>
      </c>
      <c r="Y147" s="7">
        <f>IFERROR(INDEX(환산공식!Q$16:Q$200,MATCH($A147,환산공식!$A$16:$A$200,0)),"")</f>
        <v>1.7857142857142858</v>
      </c>
      <c r="Z147" s="7">
        <f>IFERROR(INDEX(환산공식!R$16:R$200,MATCH($A147,환산공식!$A$16:$A$200,0)),"")</f>
        <v>1.7857142857142858</v>
      </c>
      <c r="AA147" s="7">
        <f>IFERROR(INDEX(환산공식!U$16:U$200,MATCH($A147,환산공식!$A$16:$A$200,0)),"")</f>
        <v>1.4285714285714286</v>
      </c>
      <c r="AB147" s="7">
        <f t="shared" si="29"/>
        <v>0.35714285714285715</v>
      </c>
      <c r="AC147" s="7">
        <f t="shared" si="30"/>
        <v>0.35714285714285715</v>
      </c>
      <c r="AD147" s="7">
        <f t="shared" si="31"/>
        <v>0.2857142857142857</v>
      </c>
      <c r="AE147" s="7">
        <f>INDEX(환산공식!$AF$16:$AF$301,MATCH('배치점수 계산기'!W147,환산공식!$A$16:$A$301,0))</f>
        <v>1</v>
      </c>
      <c r="AF147" s="7">
        <f>INDEX(환산공식!$AP$16:$AP$301,MATCH('배치점수 계산기'!W147,환산공식!$A$16:$A$301,0))</f>
        <v>4</v>
      </c>
      <c r="AG147" s="7" t="str">
        <f t="shared" si="32"/>
        <v>표점</v>
      </c>
      <c r="AH147" s="7" t="str">
        <f t="shared" si="33"/>
        <v>변표</v>
      </c>
      <c r="BO147" s="210"/>
      <c r="BP147" s="210"/>
      <c r="BQ147" s="210"/>
      <c r="BR147" s="210"/>
      <c r="BS147" s="210"/>
      <c r="BT147" s="210"/>
      <c r="BU147" s="210"/>
      <c r="BV147" s="210"/>
      <c r="BW147" s="210"/>
      <c r="BX147" s="210"/>
      <c r="BY147" s="210"/>
      <c r="BZ147" s="210"/>
      <c r="CA147" s="210"/>
      <c r="CB147" s="210"/>
      <c r="CC147" s="210"/>
      <c r="EM147" s="120"/>
      <c r="ET147" s="210"/>
      <c r="EU147" s="210"/>
      <c r="EV147" s="210"/>
      <c r="EW147" s="210"/>
      <c r="EX147" s="210"/>
      <c r="EY147" s="210"/>
      <c r="EZ147" s="210"/>
      <c r="FA147" s="210"/>
      <c r="FB147" s="210"/>
      <c r="FC147" s="210"/>
      <c r="FD147" s="210"/>
      <c r="FE147" s="210"/>
      <c r="FF147" s="210"/>
      <c r="FG147" s="210"/>
      <c r="FH147" s="210"/>
      <c r="HR147" s="120"/>
      <c r="HY147" s="210"/>
      <c r="HZ147" s="210"/>
      <c r="IA147" s="210"/>
      <c r="IB147" s="210"/>
      <c r="IC147" s="210"/>
      <c r="ID147" s="210"/>
      <c r="IE147" s="210"/>
      <c r="IF147" s="210"/>
      <c r="IG147" s="210"/>
      <c r="IH147" s="210"/>
      <c r="II147" s="210"/>
      <c r="IJ147" s="210"/>
      <c r="IK147" s="210"/>
      <c r="IL147" s="210"/>
      <c r="IM147" s="210"/>
      <c r="KW147" s="120"/>
      <c r="LD147" s="210"/>
      <c r="LE147" s="210"/>
      <c r="LF147" s="210"/>
      <c r="LG147" s="210"/>
      <c r="LH147" s="210"/>
      <c r="LI147" s="210"/>
      <c r="LJ147" s="210"/>
      <c r="LK147" s="210"/>
      <c r="LL147" s="210"/>
      <c r="LM147" s="210"/>
      <c r="LN147" s="210"/>
      <c r="LO147" s="210"/>
      <c r="LP147" s="210"/>
      <c r="LQ147" s="210"/>
      <c r="LR147" s="210"/>
      <c r="OB147" s="120"/>
      <c r="OI147" s="210"/>
      <c r="OJ147" s="210"/>
      <c r="OK147" s="210"/>
      <c r="OL147" s="210"/>
      <c r="OM147" s="210"/>
      <c r="ON147" s="210"/>
      <c r="OO147" s="210"/>
      <c r="OP147" s="210"/>
      <c r="OQ147" s="210"/>
      <c r="OR147" s="210"/>
      <c r="OS147" s="210"/>
      <c r="OT147" s="210"/>
      <c r="OU147" s="210"/>
      <c r="OV147" s="210"/>
      <c r="OW147" s="210"/>
      <c r="RG147" s="120"/>
    </row>
    <row r="148" spans="1:475" x14ac:dyDescent="0.3">
      <c r="A148" s="7">
        <v>24</v>
      </c>
      <c r="B148" s="7">
        <v>138</v>
      </c>
      <c r="C148" s="7" t="s">
        <v>276</v>
      </c>
      <c r="D148" s="7" t="s">
        <v>317</v>
      </c>
      <c r="E148" s="7" t="s">
        <v>255</v>
      </c>
      <c r="F148" s="7" t="s">
        <v>275</v>
      </c>
      <c r="G148" s="41" t="str">
        <f t="shared" si="25"/>
        <v>X</v>
      </c>
      <c r="H148" s="41">
        <f>INDEX(환산공식!CI$16:CI$301,MATCH('배치점수 계산기'!$W148,환산공식!$A$16:$A$301,0))</f>
        <v>0</v>
      </c>
      <c r="I148" s="41" t="e">
        <f>CONCATENATE(ROUND(INDEX(환산공식!CJ$16:CJ$301,MATCH('배치점수 계산기'!$W148,환산공식!$A$16:$A$301,0)),1),"%")</f>
        <v>#DIV/0!</v>
      </c>
      <c r="J148" s="41">
        <f>INDEX(환산공식!CK$16:CK$301,MATCH('배치점수 계산기'!$W148,환산공식!$A$16:$A$301,0))</f>
        <v>10</v>
      </c>
      <c r="K148" s="7">
        <f>INDEX(환산공식!$EF$16:$EF$301,MATCH('배치점수 계산기'!W148,환산공식!$A$16:$A$301,0))</f>
        <v>0</v>
      </c>
      <c r="L148" s="41" t="str">
        <f t="shared" si="23"/>
        <v>1% 이하</v>
      </c>
      <c r="M148" s="7">
        <v>663.57285714285717</v>
      </c>
      <c r="N148" s="7">
        <v>659.71105855524502</v>
      </c>
      <c r="O148" s="7">
        <v>657.80571428571443</v>
      </c>
      <c r="P148" s="7">
        <v>655.43142857142857</v>
      </c>
      <c r="Q148" s="7">
        <v>652.87857142857149</v>
      </c>
      <c r="R148" s="7">
        <f t="shared" si="24"/>
        <v>6</v>
      </c>
      <c r="T148" s="7">
        <f>COUNTIF($C$11:C148,C148)</f>
        <v>85</v>
      </c>
      <c r="U148" s="7" t="str">
        <f t="shared" si="26"/>
        <v>가85</v>
      </c>
      <c r="V148" s="7" t="str">
        <f>INDEX(환산공식!$C$16:$C$301,MATCH('배치점수 계산기'!W148,환산공식!$A$16:$A$301,0))</f>
        <v>고려대 통합</v>
      </c>
      <c r="W148" s="7">
        <f t="shared" si="27"/>
        <v>24</v>
      </c>
      <c r="X148" s="7">
        <f t="shared" si="28"/>
        <v>1</v>
      </c>
      <c r="Y148" s="7">
        <f>IFERROR(INDEX(환산공식!Q$16:Q$200,MATCH($A148,환산공식!$A$16:$A$200,0)),"")</f>
        <v>1.7857142857142858</v>
      </c>
      <c r="Z148" s="7">
        <f>IFERROR(INDEX(환산공식!R$16:R$200,MATCH($A148,환산공식!$A$16:$A$200,0)),"")</f>
        <v>1.7857142857142858</v>
      </c>
      <c r="AA148" s="7">
        <f>IFERROR(INDEX(환산공식!U$16:U$200,MATCH($A148,환산공식!$A$16:$A$200,0)),"")</f>
        <v>1.4285714285714286</v>
      </c>
      <c r="AB148" s="7">
        <f t="shared" si="29"/>
        <v>0.35714285714285715</v>
      </c>
      <c r="AC148" s="7">
        <f t="shared" si="30"/>
        <v>0.35714285714285715</v>
      </c>
      <c r="AD148" s="7">
        <f t="shared" si="31"/>
        <v>0.2857142857142857</v>
      </c>
      <c r="AE148" s="7">
        <f>INDEX(환산공식!$AF$16:$AF$301,MATCH('배치점수 계산기'!W148,환산공식!$A$16:$A$301,0))</f>
        <v>1</v>
      </c>
      <c r="AF148" s="7">
        <f>INDEX(환산공식!$AP$16:$AP$301,MATCH('배치점수 계산기'!W148,환산공식!$A$16:$A$301,0))</f>
        <v>4</v>
      </c>
      <c r="AG148" s="7" t="str">
        <f t="shared" si="32"/>
        <v>표점</v>
      </c>
      <c r="AH148" s="7" t="str">
        <f t="shared" si="33"/>
        <v>변표</v>
      </c>
      <c r="BO148" s="210"/>
      <c r="BP148" s="210"/>
      <c r="BQ148" s="210"/>
      <c r="BR148" s="210"/>
      <c r="BS148" s="210"/>
      <c r="BT148" s="210"/>
      <c r="BU148" s="210"/>
      <c r="BV148" s="210"/>
      <c r="BW148" s="210"/>
      <c r="BX148" s="210"/>
      <c r="BY148" s="210"/>
      <c r="BZ148" s="210"/>
      <c r="CA148" s="210"/>
      <c r="CB148" s="210"/>
      <c r="CC148" s="210"/>
      <c r="EM148" s="120"/>
      <c r="ET148" s="210"/>
      <c r="EU148" s="210"/>
      <c r="EV148" s="210"/>
      <c r="EW148" s="210"/>
      <c r="EX148" s="210"/>
      <c r="EY148" s="210"/>
      <c r="EZ148" s="210"/>
      <c r="FA148" s="210"/>
      <c r="FB148" s="210"/>
      <c r="FC148" s="210"/>
      <c r="FD148" s="210"/>
      <c r="FE148" s="210"/>
      <c r="FF148" s="210"/>
      <c r="FG148" s="210"/>
      <c r="FH148" s="210"/>
      <c r="HR148" s="120"/>
      <c r="HY148" s="210"/>
      <c r="HZ148" s="210"/>
      <c r="IA148" s="210"/>
      <c r="IB148" s="210"/>
      <c r="IC148" s="210"/>
      <c r="ID148" s="210"/>
      <c r="IE148" s="210"/>
      <c r="IF148" s="210"/>
      <c r="IG148" s="210"/>
      <c r="IH148" s="210"/>
      <c r="II148" s="210"/>
      <c r="IJ148" s="210"/>
      <c r="IK148" s="210"/>
      <c r="IL148" s="210"/>
      <c r="IM148" s="210"/>
      <c r="KW148" s="120"/>
      <c r="LD148" s="210"/>
      <c r="LE148" s="210"/>
      <c r="LF148" s="210"/>
      <c r="LG148" s="210"/>
      <c r="LH148" s="210"/>
      <c r="LI148" s="210"/>
      <c r="LJ148" s="210"/>
      <c r="LK148" s="210"/>
      <c r="LL148" s="210"/>
      <c r="LM148" s="210"/>
      <c r="LN148" s="210"/>
      <c r="LO148" s="210"/>
      <c r="LP148" s="210"/>
      <c r="LQ148" s="210"/>
      <c r="LR148" s="210"/>
      <c r="OB148" s="120"/>
      <c r="OI148" s="210"/>
      <c r="OJ148" s="210"/>
      <c r="OK148" s="210"/>
      <c r="OL148" s="210"/>
      <c r="OM148" s="210"/>
      <c r="ON148" s="210"/>
      <c r="OO148" s="210"/>
      <c r="OP148" s="210"/>
      <c r="OQ148" s="210"/>
      <c r="OR148" s="210"/>
      <c r="OS148" s="210"/>
      <c r="OT148" s="210"/>
      <c r="OU148" s="210"/>
      <c r="OV148" s="210"/>
      <c r="OW148" s="210"/>
      <c r="RG148" s="120"/>
    </row>
    <row r="149" spans="1:475" x14ac:dyDescent="0.3">
      <c r="A149" s="7">
        <v>24</v>
      </c>
      <c r="B149" s="7">
        <v>139</v>
      </c>
      <c r="C149" s="7" t="s">
        <v>276</v>
      </c>
      <c r="D149" s="7" t="s">
        <v>317</v>
      </c>
      <c r="E149" s="7" t="s">
        <v>266</v>
      </c>
      <c r="F149" s="7" t="s">
        <v>275</v>
      </c>
      <c r="G149" s="41" t="str">
        <f t="shared" si="25"/>
        <v>X</v>
      </c>
      <c r="H149" s="41">
        <f>INDEX(환산공식!CI$16:CI$301,MATCH('배치점수 계산기'!$W149,환산공식!$A$16:$A$301,0))</f>
        <v>0</v>
      </c>
      <c r="I149" s="41" t="e">
        <f>CONCATENATE(ROUND(INDEX(환산공식!CJ$16:CJ$301,MATCH('배치점수 계산기'!$W149,환산공식!$A$16:$A$301,0)),1),"%")</f>
        <v>#DIV/0!</v>
      </c>
      <c r="J149" s="41">
        <f>INDEX(환산공식!CK$16:CK$301,MATCH('배치점수 계산기'!$W149,환산공식!$A$16:$A$301,0))</f>
        <v>10</v>
      </c>
      <c r="K149" s="7">
        <f>INDEX(환산공식!$EF$16:$EF$301,MATCH('배치점수 계산기'!W149,환산공식!$A$16:$A$301,0))</f>
        <v>0</v>
      </c>
      <c r="L149" s="41" t="str">
        <f t="shared" si="23"/>
        <v>1% 이하</v>
      </c>
      <c r="M149" s="7">
        <v>663.57285714285717</v>
      </c>
      <c r="N149" s="7">
        <v>659.71105855524502</v>
      </c>
      <c r="O149" s="7">
        <v>657.80571428571443</v>
      </c>
      <c r="P149" s="7">
        <v>655.43142857142857</v>
      </c>
      <c r="Q149" s="7">
        <v>652.87857142857149</v>
      </c>
      <c r="R149" s="7">
        <f t="shared" si="24"/>
        <v>6</v>
      </c>
      <c r="T149" s="7">
        <f>COUNTIF($C$11:C149,C149)</f>
        <v>86</v>
      </c>
      <c r="U149" s="7" t="str">
        <f t="shared" si="26"/>
        <v>가86</v>
      </c>
      <c r="V149" s="7" t="str">
        <f>INDEX(환산공식!$C$16:$C$301,MATCH('배치점수 계산기'!W149,환산공식!$A$16:$A$301,0))</f>
        <v>고려대 통합</v>
      </c>
      <c r="W149" s="7">
        <f t="shared" si="27"/>
        <v>24</v>
      </c>
      <c r="X149" s="7">
        <f t="shared" si="28"/>
        <v>1</v>
      </c>
      <c r="Y149" s="7">
        <f>IFERROR(INDEX(환산공식!Q$16:Q$200,MATCH($A149,환산공식!$A$16:$A$200,0)),"")</f>
        <v>1.7857142857142858</v>
      </c>
      <c r="Z149" s="7">
        <f>IFERROR(INDEX(환산공식!R$16:R$200,MATCH($A149,환산공식!$A$16:$A$200,0)),"")</f>
        <v>1.7857142857142858</v>
      </c>
      <c r="AA149" s="7">
        <f>IFERROR(INDEX(환산공식!U$16:U$200,MATCH($A149,환산공식!$A$16:$A$200,0)),"")</f>
        <v>1.4285714285714286</v>
      </c>
      <c r="AB149" s="7">
        <f t="shared" si="29"/>
        <v>0.35714285714285715</v>
      </c>
      <c r="AC149" s="7">
        <f t="shared" si="30"/>
        <v>0.35714285714285715</v>
      </c>
      <c r="AD149" s="7">
        <f t="shared" si="31"/>
        <v>0.2857142857142857</v>
      </c>
      <c r="AE149" s="7">
        <f>INDEX(환산공식!$AF$16:$AF$301,MATCH('배치점수 계산기'!W149,환산공식!$A$16:$A$301,0))</f>
        <v>1</v>
      </c>
      <c r="AF149" s="7">
        <f>INDEX(환산공식!$AP$16:$AP$301,MATCH('배치점수 계산기'!W149,환산공식!$A$16:$A$301,0))</f>
        <v>4</v>
      </c>
      <c r="AG149" s="7" t="str">
        <f t="shared" si="32"/>
        <v>표점</v>
      </c>
      <c r="AH149" s="7" t="str">
        <f t="shared" si="33"/>
        <v>변표</v>
      </c>
      <c r="BO149" s="210"/>
      <c r="BP149" s="210"/>
      <c r="BQ149" s="210"/>
      <c r="BR149" s="210"/>
      <c r="BS149" s="210"/>
      <c r="BT149" s="210"/>
      <c r="BU149" s="210"/>
      <c r="BV149" s="210"/>
      <c r="BW149" s="210"/>
      <c r="BX149" s="210"/>
      <c r="BY149" s="210"/>
      <c r="BZ149" s="210"/>
      <c r="CA149" s="210"/>
      <c r="CB149" s="210"/>
      <c r="CC149" s="210"/>
      <c r="EM149" s="120"/>
      <c r="ET149" s="210"/>
      <c r="EU149" s="210"/>
      <c r="EV149" s="210"/>
      <c r="EW149" s="210"/>
      <c r="EX149" s="210"/>
      <c r="EY149" s="210"/>
      <c r="EZ149" s="210"/>
      <c r="FA149" s="210"/>
      <c r="FB149" s="210"/>
      <c r="FC149" s="210"/>
      <c r="FD149" s="210"/>
      <c r="FE149" s="210"/>
      <c r="FF149" s="210"/>
      <c r="FG149" s="210"/>
      <c r="FH149" s="210"/>
      <c r="HR149" s="120"/>
      <c r="HY149" s="210"/>
      <c r="HZ149" s="210"/>
      <c r="IA149" s="210"/>
      <c r="IB149" s="210"/>
      <c r="IC149" s="210"/>
      <c r="ID149" s="210"/>
      <c r="IE149" s="210"/>
      <c r="IF149" s="210"/>
      <c r="IG149" s="210"/>
      <c r="IH149" s="210"/>
      <c r="II149" s="210"/>
      <c r="IJ149" s="210"/>
      <c r="IK149" s="210"/>
      <c r="IL149" s="210"/>
      <c r="IM149" s="210"/>
      <c r="KW149" s="120"/>
      <c r="LD149" s="210"/>
      <c r="LE149" s="210"/>
      <c r="LF149" s="210"/>
      <c r="LG149" s="210"/>
      <c r="LH149" s="210"/>
      <c r="LI149" s="210"/>
      <c r="LJ149" s="210"/>
      <c r="LK149" s="210"/>
      <c r="LL149" s="210"/>
      <c r="LM149" s="210"/>
      <c r="LN149" s="210"/>
      <c r="LO149" s="210"/>
      <c r="LP149" s="210"/>
      <c r="LQ149" s="210"/>
      <c r="LR149" s="210"/>
      <c r="OB149" s="120"/>
      <c r="OI149" s="210"/>
      <c r="OJ149" s="210"/>
      <c r="OK149" s="210"/>
      <c r="OL149" s="210"/>
      <c r="OM149" s="210"/>
      <c r="ON149" s="210"/>
      <c r="OO149" s="210"/>
      <c r="OP149" s="210"/>
      <c r="OQ149" s="210"/>
      <c r="OR149" s="210"/>
      <c r="OS149" s="210"/>
      <c r="OT149" s="210"/>
      <c r="OU149" s="210"/>
      <c r="OV149" s="210"/>
      <c r="OW149" s="210"/>
      <c r="RG149" s="120"/>
    </row>
    <row r="150" spans="1:475" x14ac:dyDescent="0.3">
      <c r="A150" s="7">
        <v>24</v>
      </c>
      <c r="B150" s="7">
        <v>140</v>
      </c>
      <c r="C150" s="7" t="s">
        <v>276</v>
      </c>
      <c r="D150" s="7" t="s">
        <v>317</v>
      </c>
      <c r="E150" s="7" t="s">
        <v>334</v>
      </c>
      <c r="F150" s="7" t="s">
        <v>275</v>
      </c>
      <c r="G150" s="41" t="str">
        <f t="shared" si="25"/>
        <v>X</v>
      </c>
      <c r="H150" s="41">
        <f>INDEX(환산공식!CI$16:CI$301,MATCH('배치점수 계산기'!$W150,환산공식!$A$16:$A$301,0))</f>
        <v>0</v>
      </c>
      <c r="I150" s="41" t="e">
        <f>CONCATENATE(ROUND(INDEX(환산공식!CJ$16:CJ$301,MATCH('배치점수 계산기'!$W150,환산공식!$A$16:$A$301,0)),1),"%")</f>
        <v>#DIV/0!</v>
      </c>
      <c r="J150" s="41">
        <f>INDEX(환산공식!CK$16:CK$301,MATCH('배치점수 계산기'!$W150,환산공식!$A$16:$A$301,0))</f>
        <v>10</v>
      </c>
      <c r="K150" s="7">
        <f>INDEX(환산공식!$EF$16:$EF$301,MATCH('배치점수 계산기'!W150,환산공식!$A$16:$A$301,0))</f>
        <v>0</v>
      </c>
      <c r="L150" s="41" t="str">
        <f t="shared" si="23"/>
        <v>1% 이하</v>
      </c>
      <c r="M150" s="7">
        <v>662.02452057304083</v>
      </c>
      <c r="N150" s="7">
        <v>659.23428571428576</v>
      </c>
      <c r="O150" s="7">
        <v>656.32428571428568</v>
      </c>
      <c r="P150" s="7">
        <v>655.01502426015782</v>
      </c>
      <c r="Q150" s="7">
        <v>652.16428571428571</v>
      </c>
      <c r="R150" s="7">
        <f t="shared" si="24"/>
        <v>6</v>
      </c>
      <c r="T150" s="7">
        <f>COUNTIF($C$11:C150,C150)</f>
        <v>87</v>
      </c>
      <c r="U150" s="7" t="str">
        <f t="shared" si="26"/>
        <v>가87</v>
      </c>
      <c r="V150" s="7" t="str">
        <f>INDEX(환산공식!$C$16:$C$301,MATCH('배치점수 계산기'!W150,환산공식!$A$16:$A$301,0))</f>
        <v>고려대 통합</v>
      </c>
      <c r="W150" s="7">
        <f t="shared" si="27"/>
        <v>24</v>
      </c>
      <c r="X150" s="7">
        <f t="shared" si="28"/>
        <v>1</v>
      </c>
      <c r="Y150" s="7">
        <f>IFERROR(INDEX(환산공식!Q$16:Q$200,MATCH($A150,환산공식!$A$16:$A$200,0)),"")</f>
        <v>1.7857142857142858</v>
      </c>
      <c r="Z150" s="7">
        <f>IFERROR(INDEX(환산공식!R$16:R$200,MATCH($A150,환산공식!$A$16:$A$200,0)),"")</f>
        <v>1.7857142857142858</v>
      </c>
      <c r="AA150" s="7">
        <f>IFERROR(INDEX(환산공식!U$16:U$200,MATCH($A150,환산공식!$A$16:$A$200,0)),"")</f>
        <v>1.4285714285714286</v>
      </c>
      <c r="AB150" s="7">
        <f t="shared" si="29"/>
        <v>0.35714285714285715</v>
      </c>
      <c r="AC150" s="7">
        <f t="shared" si="30"/>
        <v>0.35714285714285715</v>
      </c>
      <c r="AD150" s="7">
        <f t="shared" si="31"/>
        <v>0.2857142857142857</v>
      </c>
      <c r="AE150" s="7">
        <f>INDEX(환산공식!$AF$16:$AF$301,MATCH('배치점수 계산기'!W150,환산공식!$A$16:$A$301,0))</f>
        <v>1</v>
      </c>
      <c r="AF150" s="7">
        <f>INDEX(환산공식!$AP$16:$AP$301,MATCH('배치점수 계산기'!W150,환산공식!$A$16:$A$301,0))</f>
        <v>4</v>
      </c>
      <c r="AG150" s="7" t="str">
        <f t="shared" si="32"/>
        <v>표점</v>
      </c>
      <c r="AH150" s="7" t="str">
        <f t="shared" si="33"/>
        <v>변표</v>
      </c>
      <c r="BO150" s="210"/>
      <c r="BP150" s="210"/>
      <c r="BQ150" s="210"/>
      <c r="BR150" s="210"/>
      <c r="BS150" s="210"/>
      <c r="BT150" s="210"/>
      <c r="BU150" s="210"/>
      <c r="BV150" s="210"/>
      <c r="BW150" s="210"/>
      <c r="BX150" s="210"/>
      <c r="BY150" s="210"/>
      <c r="BZ150" s="210"/>
      <c r="CA150" s="210"/>
      <c r="CB150" s="210"/>
      <c r="CC150" s="210"/>
      <c r="EM150" s="120"/>
      <c r="ET150" s="210"/>
      <c r="EU150" s="210"/>
      <c r="EV150" s="210"/>
      <c r="EW150" s="210"/>
      <c r="EX150" s="210"/>
      <c r="EY150" s="210"/>
      <c r="EZ150" s="210"/>
      <c r="FA150" s="210"/>
      <c r="FB150" s="210"/>
      <c r="FC150" s="210"/>
      <c r="FD150" s="210"/>
      <c r="FE150" s="210"/>
      <c r="FF150" s="210"/>
      <c r="FG150" s="210"/>
      <c r="FH150" s="210"/>
      <c r="HR150" s="120"/>
      <c r="HY150" s="210"/>
      <c r="HZ150" s="210"/>
      <c r="IA150" s="210"/>
      <c r="IB150" s="210"/>
      <c r="IC150" s="210"/>
      <c r="ID150" s="210"/>
      <c r="IE150" s="210"/>
      <c r="IF150" s="210"/>
      <c r="IG150" s="210"/>
      <c r="IH150" s="210"/>
      <c r="II150" s="210"/>
      <c r="IJ150" s="210"/>
      <c r="IK150" s="210"/>
      <c r="IL150" s="210"/>
      <c r="IM150" s="210"/>
      <c r="KW150" s="120"/>
      <c r="LD150" s="210"/>
      <c r="LE150" s="210"/>
      <c r="LF150" s="210"/>
      <c r="LG150" s="210"/>
      <c r="LH150" s="210"/>
      <c r="LI150" s="210"/>
      <c r="LJ150" s="210"/>
      <c r="LK150" s="210"/>
      <c r="LL150" s="210"/>
      <c r="LM150" s="210"/>
      <c r="LN150" s="210"/>
      <c r="LO150" s="210"/>
      <c r="LP150" s="210"/>
      <c r="LQ150" s="210"/>
      <c r="LR150" s="210"/>
      <c r="OB150" s="120"/>
      <c r="OI150" s="210"/>
      <c r="OJ150" s="210"/>
      <c r="OK150" s="210"/>
      <c r="OL150" s="210"/>
      <c r="OM150" s="210"/>
      <c r="ON150" s="210"/>
      <c r="OO150" s="210"/>
      <c r="OP150" s="210"/>
      <c r="OQ150" s="210"/>
      <c r="OR150" s="210"/>
      <c r="OS150" s="210"/>
      <c r="OT150" s="210"/>
      <c r="OU150" s="210"/>
      <c r="OV150" s="210"/>
      <c r="OW150" s="210"/>
      <c r="RG150" s="120"/>
    </row>
    <row r="151" spans="1:475" x14ac:dyDescent="0.3">
      <c r="A151" s="7">
        <v>24</v>
      </c>
      <c r="B151" s="7">
        <v>141</v>
      </c>
      <c r="C151" s="7" t="s">
        <v>276</v>
      </c>
      <c r="D151" s="7" t="s">
        <v>317</v>
      </c>
      <c r="E151" s="7" t="s">
        <v>335</v>
      </c>
      <c r="F151" s="7" t="s">
        <v>275</v>
      </c>
      <c r="G151" s="41" t="str">
        <f t="shared" si="25"/>
        <v>X</v>
      </c>
      <c r="H151" s="41">
        <f>INDEX(환산공식!CI$16:CI$301,MATCH('배치점수 계산기'!$W151,환산공식!$A$16:$A$301,0))</f>
        <v>0</v>
      </c>
      <c r="I151" s="41" t="e">
        <f>CONCATENATE(ROUND(INDEX(환산공식!CJ$16:CJ$301,MATCH('배치점수 계산기'!$W151,환산공식!$A$16:$A$301,0)),1),"%")</f>
        <v>#DIV/0!</v>
      </c>
      <c r="J151" s="41">
        <f>INDEX(환산공식!CK$16:CK$301,MATCH('배치점수 계산기'!$W151,환산공식!$A$16:$A$301,0))</f>
        <v>10</v>
      </c>
      <c r="K151" s="7">
        <f>INDEX(환산공식!$EF$16:$EF$301,MATCH('배치점수 계산기'!W151,환산공식!$A$16:$A$301,0))</f>
        <v>0</v>
      </c>
      <c r="L151" s="41" t="str">
        <f t="shared" si="23"/>
        <v>1% 이하</v>
      </c>
      <c r="M151" s="7">
        <v>659.88964515535963</v>
      </c>
      <c r="N151" s="7">
        <v>657.98428571428576</v>
      </c>
      <c r="O151" s="7">
        <v>655.78857142857134</v>
      </c>
      <c r="P151" s="7">
        <v>653.53354989604986</v>
      </c>
      <c r="Q151" s="7">
        <v>652.16428571428571</v>
      </c>
      <c r="R151" s="7">
        <f t="shared" si="24"/>
        <v>6</v>
      </c>
      <c r="T151" s="7">
        <f>COUNTIF($C$11:C151,C151)</f>
        <v>88</v>
      </c>
      <c r="U151" s="7" t="str">
        <f t="shared" si="26"/>
        <v>가88</v>
      </c>
      <c r="V151" s="7" t="str">
        <f>INDEX(환산공식!$C$16:$C$301,MATCH('배치점수 계산기'!W151,환산공식!$A$16:$A$301,0))</f>
        <v>고려대 통합</v>
      </c>
      <c r="W151" s="7">
        <f t="shared" si="27"/>
        <v>24</v>
      </c>
      <c r="X151" s="7">
        <f t="shared" si="28"/>
        <v>1</v>
      </c>
      <c r="Y151" s="7">
        <f>IFERROR(INDEX(환산공식!Q$16:Q$200,MATCH($A151,환산공식!$A$16:$A$200,0)),"")</f>
        <v>1.7857142857142858</v>
      </c>
      <c r="Z151" s="7">
        <f>IFERROR(INDEX(환산공식!R$16:R$200,MATCH($A151,환산공식!$A$16:$A$200,0)),"")</f>
        <v>1.7857142857142858</v>
      </c>
      <c r="AA151" s="7">
        <f>IFERROR(INDEX(환산공식!U$16:U$200,MATCH($A151,환산공식!$A$16:$A$200,0)),"")</f>
        <v>1.4285714285714286</v>
      </c>
      <c r="AB151" s="7">
        <f t="shared" si="29"/>
        <v>0.35714285714285715</v>
      </c>
      <c r="AC151" s="7">
        <f t="shared" si="30"/>
        <v>0.35714285714285715</v>
      </c>
      <c r="AD151" s="7">
        <f t="shared" si="31"/>
        <v>0.2857142857142857</v>
      </c>
      <c r="AE151" s="7">
        <f>INDEX(환산공식!$AF$16:$AF$301,MATCH('배치점수 계산기'!W151,환산공식!$A$16:$A$301,0))</f>
        <v>1</v>
      </c>
      <c r="AF151" s="7">
        <f>INDEX(환산공식!$AP$16:$AP$301,MATCH('배치점수 계산기'!W151,환산공식!$A$16:$A$301,0))</f>
        <v>4</v>
      </c>
      <c r="AG151" s="7" t="str">
        <f t="shared" si="32"/>
        <v>표점</v>
      </c>
      <c r="AH151" s="7" t="str">
        <f t="shared" si="33"/>
        <v>변표</v>
      </c>
      <c r="BO151" s="210"/>
      <c r="BP151" s="210"/>
      <c r="BQ151" s="210"/>
      <c r="BR151" s="210"/>
      <c r="BS151" s="210"/>
      <c r="BT151" s="210"/>
      <c r="BU151" s="210"/>
      <c r="BV151" s="210"/>
      <c r="BW151" s="210"/>
      <c r="BX151" s="210"/>
      <c r="BY151" s="210"/>
      <c r="BZ151" s="210"/>
      <c r="CA151" s="210"/>
      <c r="CB151" s="210"/>
      <c r="CC151" s="210"/>
      <c r="EM151" s="120"/>
      <c r="ET151" s="210"/>
      <c r="EU151" s="210"/>
      <c r="EV151" s="210"/>
      <c r="EW151" s="210"/>
      <c r="EX151" s="210"/>
      <c r="EY151" s="210"/>
      <c r="EZ151" s="210"/>
      <c r="FA151" s="210"/>
      <c r="FB151" s="210"/>
      <c r="FC151" s="210"/>
      <c r="FD151" s="210"/>
      <c r="FE151" s="210"/>
      <c r="FF151" s="210"/>
      <c r="FG151" s="210"/>
      <c r="FH151" s="210"/>
      <c r="HR151" s="120"/>
      <c r="HY151" s="210"/>
      <c r="HZ151" s="210"/>
      <c r="IA151" s="210"/>
      <c r="IB151" s="210"/>
      <c r="IC151" s="210"/>
      <c r="ID151" s="210"/>
      <c r="IE151" s="210"/>
      <c r="IF151" s="210"/>
      <c r="IG151" s="210"/>
      <c r="IH151" s="210"/>
      <c r="II151" s="210"/>
      <c r="IJ151" s="210"/>
      <c r="IK151" s="210"/>
      <c r="IL151" s="210"/>
      <c r="IM151" s="210"/>
      <c r="KW151" s="120"/>
      <c r="LD151" s="210"/>
      <c r="LE151" s="210"/>
      <c r="LF151" s="210"/>
      <c r="LG151" s="210"/>
      <c r="LH151" s="210"/>
      <c r="LI151" s="210"/>
      <c r="LJ151" s="210"/>
      <c r="LK151" s="210"/>
      <c r="LL151" s="210"/>
      <c r="LM151" s="210"/>
      <c r="LN151" s="210"/>
      <c r="LO151" s="210"/>
      <c r="LP151" s="210"/>
      <c r="LQ151" s="210"/>
      <c r="LR151" s="210"/>
      <c r="OB151" s="120"/>
      <c r="OI151" s="210"/>
      <c r="OJ151" s="210"/>
      <c r="OK151" s="210"/>
      <c r="OL151" s="210"/>
      <c r="OM151" s="210"/>
      <c r="ON151" s="210"/>
      <c r="OO151" s="210"/>
      <c r="OP151" s="210"/>
      <c r="OQ151" s="210"/>
      <c r="OR151" s="210"/>
      <c r="OS151" s="210"/>
      <c r="OT151" s="210"/>
      <c r="OU151" s="210"/>
      <c r="OV151" s="210"/>
      <c r="OW151" s="210"/>
      <c r="RG151" s="120"/>
    </row>
    <row r="152" spans="1:475" x14ac:dyDescent="0.3">
      <c r="A152" s="7">
        <v>24</v>
      </c>
      <c r="B152" s="7">
        <v>142</v>
      </c>
      <c r="C152" s="7" t="s">
        <v>276</v>
      </c>
      <c r="D152" s="7" t="s">
        <v>317</v>
      </c>
      <c r="E152" s="7" t="s">
        <v>336</v>
      </c>
      <c r="F152" s="7" t="s">
        <v>275</v>
      </c>
      <c r="G152" s="41" t="str">
        <f t="shared" si="25"/>
        <v>X</v>
      </c>
      <c r="H152" s="41">
        <f>INDEX(환산공식!CI$16:CI$301,MATCH('배치점수 계산기'!$W152,환산공식!$A$16:$A$301,0))</f>
        <v>0</v>
      </c>
      <c r="I152" s="41" t="e">
        <f>CONCATENATE(ROUND(INDEX(환산공식!CJ$16:CJ$301,MATCH('배치점수 계산기'!$W152,환산공식!$A$16:$A$301,0)),1),"%")</f>
        <v>#DIV/0!</v>
      </c>
      <c r="J152" s="41">
        <f>INDEX(환산공식!CK$16:CK$301,MATCH('배치점수 계산기'!$W152,환산공식!$A$16:$A$301,0))</f>
        <v>10</v>
      </c>
      <c r="K152" s="7">
        <f>INDEX(환산공식!$EF$16:$EF$301,MATCH('배치점수 계산기'!W152,환산공식!$A$16:$A$301,0))</f>
        <v>0</v>
      </c>
      <c r="L152" s="41" t="str">
        <f t="shared" si="23"/>
        <v>1% 이하</v>
      </c>
      <c r="M152" s="7">
        <v>659.88964515535963</v>
      </c>
      <c r="N152" s="7">
        <v>657.98428571428576</v>
      </c>
      <c r="O152" s="7">
        <v>655.43142857142857</v>
      </c>
      <c r="P152" s="7">
        <v>653.53354989604986</v>
      </c>
      <c r="Q152" s="7">
        <v>652.16428571428571</v>
      </c>
      <c r="R152" s="7">
        <f t="shared" si="24"/>
        <v>6</v>
      </c>
      <c r="T152" s="7">
        <f>COUNTIF($C$11:C152,C152)</f>
        <v>89</v>
      </c>
      <c r="U152" s="7" t="str">
        <f t="shared" si="26"/>
        <v>가89</v>
      </c>
      <c r="V152" s="7" t="str">
        <f>INDEX(환산공식!$C$16:$C$301,MATCH('배치점수 계산기'!W152,환산공식!$A$16:$A$301,0))</f>
        <v>고려대 통합</v>
      </c>
      <c r="W152" s="7">
        <f t="shared" si="27"/>
        <v>24</v>
      </c>
      <c r="X152" s="7">
        <f t="shared" si="28"/>
        <v>1</v>
      </c>
      <c r="Y152" s="7">
        <f>IFERROR(INDEX(환산공식!Q$16:Q$200,MATCH($A152,환산공식!$A$16:$A$200,0)),"")</f>
        <v>1.7857142857142858</v>
      </c>
      <c r="Z152" s="7">
        <f>IFERROR(INDEX(환산공식!R$16:R$200,MATCH($A152,환산공식!$A$16:$A$200,0)),"")</f>
        <v>1.7857142857142858</v>
      </c>
      <c r="AA152" s="7">
        <f>IFERROR(INDEX(환산공식!U$16:U$200,MATCH($A152,환산공식!$A$16:$A$200,0)),"")</f>
        <v>1.4285714285714286</v>
      </c>
      <c r="AB152" s="7">
        <f t="shared" si="29"/>
        <v>0.35714285714285715</v>
      </c>
      <c r="AC152" s="7">
        <f t="shared" si="30"/>
        <v>0.35714285714285715</v>
      </c>
      <c r="AD152" s="7">
        <f t="shared" si="31"/>
        <v>0.2857142857142857</v>
      </c>
      <c r="AE152" s="7">
        <f>INDEX(환산공식!$AF$16:$AF$301,MATCH('배치점수 계산기'!W152,환산공식!$A$16:$A$301,0))</f>
        <v>1</v>
      </c>
      <c r="AF152" s="7">
        <f>INDEX(환산공식!$AP$16:$AP$301,MATCH('배치점수 계산기'!W152,환산공식!$A$16:$A$301,0))</f>
        <v>4</v>
      </c>
      <c r="AG152" s="7" t="str">
        <f t="shared" si="32"/>
        <v>표점</v>
      </c>
      <c r="AH152" s="7" t="str">
        <f t="shared" si="33"/>
        <v>변표</v>
      </c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10"/>
      <c r="CB152" s="210"/>
      <c r="CC152" s="210"/>
      <c r="EM152" s="120"/>
      <c r="ET152" s="210"/>
      <c r="EU152" s="210"/>
      <c r="EV152" s="210"/>
      <c r="EW152" s="210"/>
      <c r="EX152" s="210"/>
      <c r="EY152" s="210"/>
      <c r="EZ152" s="210"/>
      <c r="FA152" s="210"/>
      <c r="FB152" s="210"/>
      <c r="FC152" s="210"/>
      <c r="FD152" s="210"/>
      <c r="FE152" s="210"/>
      <c r="FF152" s="210"/>
      <c r="FG152" s="210"/>
      <c r="FH152" s="210"/>
      <c r="HR152" s="120"/>
      <c r="HY152" s="210"/>
      <c r="HZ152" s="210"/>
      <c r="IA152" s="210"/>
      <c r="IB152" s="210"/>
      <c r="IC152" s="210"/>
      <c r="ID152" s="210"/>
      <c r="IE152" s="210"/>
      <c r="IF152" s="210"/>
      <c r="IG152" s="210"/>
      <c r="IH152" s="210"/>
      <c r="II152" s="210"/>
      <c r="IJ152" s="210"/>
      <c r="IK152" s="210"/>
      <c r="IL152" s="210"/>
      <c r="IM152" s="210"/>
      <c r="KW152" s="120"/>
      <c r="LD152" s="210"/>
      <c r="LE152" s="210"/>
      <c r="LF152" s="210"/>
      <c r="LG152" s="210"/>
      <c r="LH152" s="210"/>
      <c r="LI152" s="210"/>
      <c r="LJ152" s="210"/>
      <c r="LK152" s="210"/>
      <c r="LL152" s="210"/>
      <c r="LM152" s="210"/>
      <c r="LN152" s="210"/>
      <c r="LO152" s="210"/>
      <c r="LP152" s="210"/>
      <c r="LQ152" s="210"/>
      <c r="LR152" s="210"/>
      <c r="OB152" s="120"/>
      <c r="OI152" s="210"/>
      <c r="OJ152" s="210"/>
      <c r="OK152" s="210"/>
      <c r="OL152" s="210"/>
      <c r="OM152" s="210"/>
      <c r="ON152" s="210"/>
      <c r="OO152" s="210"/>
      <c r="OP152" s="210"/>
      <c r="OQ152" s="210"/>
      <c r="OR152" s="210"/>
      <c r="OS152" s="210"/>
      <c r="OT152" s="210"/>
      <c r="OU152" s="210"/>
      <c r="OV152" s="210"/>
      <c r="OW152" s="210"/>
      <c r="RG152" s="120"/>
    </row>
    <row r="153" spans="1:475" x14ac:dyDescent="0.3">
      <c r="A153" s="7">
        <v>24</v>
      </c>
      <c r="B153" s="7">
        <v>143</v>
      </c>
      <c r="C153" s="7" t="s">
        <v>276</v>
      </c>
      <c r="D153" s="7" t="s">
        <v>317</v>
      </c>
      <c r="E153" s="7" t="s">
        <v>299</v>
      </c>
      <c r="F153" s="7" t="s">
        <v>275</v>
      </c>
      <c r="G153" s="41" t="str">
        <f t="shared" si="25"/>
        <v>X</v>
      </c>
      <c r="H153" s="41">
        <f>INDEX(환산공식!CI$16:CI$301,MATCH('배치점수 계산기'!$W153,환산공식!$A$16:$A$301,0))</f>
        <v>0</v>
      </c>
      <c r="I153" s="41" t="e">
        <f>CONCATENATE(ROUND(INDEX(환산공식!CJ$16:CJ$301,MATCH('배치점수 계산기'!$W153,환산공식!$A$16:$A$301,0)),1),"%")</f>
        <v>#DIV/0!</v>
      </c>
      <c r="J153" s="41">
        <f>INDEX(환산공식!CK$16:CK$301,MATCH('배치점수 계산기'!$W153,환산공식!$A$16:$A$301,0))</f>
        <v>10</v>
      </c>
      <c r="K153" s="7">
        <f>INDEX(환산공식!$EF$16:$EF$301,MATCH('배치점수 계산기'!W153,환산공식!$A$16:$A$301,0))</f>
        <v>0</v>
      </c>
      <c r="L153" s="41" t="str">
        <f t="shared" si="23"/>
        <v>1% 이하</v>
      </c>
      <c r="M153" s="7">
        <v>659.23428571428576</v>
      </c>
      <c r="N153" s="7">
        <v>657.98428571428576</v>
      </c>
      <c r="O153" s="7">
        <v>655.01502426015782</v>
      </c>
      <c r="P153" s="7">
        <v>653.53354989604986</v>
      </c>
      <c r="Q153" s="7">
        <v>652.16428571428571</v>
      </c>
      <c r="R153" s="7">
        <f t="shared" si="24"/>
        <v>6</v>
      </c>
      <c r="T153" s="7">
        <f>COUNTIF($C$11:C153,C153)</f>
        <v>90</v>
      </c>
      <c r="U153" s="7" t="str">
        <f t="shared" si="26"/>
        <v>가90</v>
      </c>
      <c r="V153" s="7" t="str">
        <f>INDEX(환산공식!$C$16:$C$301,MATCH('배치점수 계산기'!W153,환산공식!$A$16:$A$301,0))</f>
        <v>고려대 통합</v>
      </c>
      <c r="W153" s="7">
        <f t="shared" si="27"/>
        <v>24</v>
      </c>
      <c r="X153" s="7">
        <f t="shared" si="28"/>
        <v>1</v>
      </c>
      <c r="Y153" s="7">
        <f>IFERROR(INDEX(환산공식!Q$16:Q$200,MATCH($A153,환산공식!$A$16:$A$200,0)),"")</f>
        <v>1.7857142857142858</v>
      </c>
      <c r="Z153" s="7">
        <f>IFERROR(INDEX(환산공식!R$16:R$200,MATCH($A153,환산공식!$A$16:$A$200,0)),"")</f>
        <v>1.7857142857142858</v>
      </c>
      <c r="AA153" s="7">
        <f>IFERROR(INDEX(환산공식!U$16:U$200,MATCH($A153,환산공식!$A$16:$A$200,0)),"")</f>
        <v>1.4285714285714286</v>
      </c>
      <c r="AB153" s="7">
        <f t="shared" si="29"/>
        <v>0.35714285714285715</v>
      </c>
      <c r="AC153" s="7">
        <f t="shared" si="30"/>
        <v>0.35714285714285715</v>
      </c>
      <c r="AD153" s="7">
        <f t="shared" si="31"/>
        <v>0.2857142857142857</v>
      </c>
      <c r="AE153" s="7">
        <f>INDEX(환산공식!$AF$16:$AF$301,MATCH('배치점수 계산기'!W153,환산공식!$A$16:$A$301,0))</f>
        <v>1</v>
      </c>
      <c r="AF153" s="7">
        <f>INDEX(환산공식!$AP$16:$AP$301,MATCH('배치점수 계산기'!W153,환산공식!$A$16:$A$301,0))</f>
        <v>4</v>
      </c>
      <c r="AG153" s="7" t="str">
        <f t="shared" si="32"/>
        <v>표점</v>
      </c>
      <c r="AH153" s="7" t="str">
        <f t="shared" si="33"/>
        <v>변표</v>
      </c>
      <c r="BO153" s="210"/>
      <c r="BP153" s="210"/>
      <c r="BQ153" s="210"/>
      <c r="BR153" s="210"/>
      <c r="BS153" s="210"/>
      <c r="BT153" s="210"/>
      <c r="BU153" s="210"/>
      <c r="BV153" s="210"/>
      <c r="BW153" s="210"/>
      <c r="BX153" s="210"/>
      <c r="BY153" s="210"/>
      <c r="BZ153" s="210"/>
      <c r="CA153" s="210"/>
      <c r="CB153" s="210"/>
      <c r="CC153" s="210"/>
      <c r="EM153" s="120"/>
      <c r="ET153" s="210"/>
      <c r="EU153" s="210"/>
      <c r="EV153" s="210"/>
      <c r="EW153" s="210"/>
      <c r="EX153" s="210"/>
      <c r="EY153" s="210"/>
      <c r="EZ153" s="210"/>
      <c r="FA153" s="210"/>
      <c r="FB153" s="210"/>
      <c r="FC153" s="210"/>
      <c r="FD153" s="210"/>
      <c r="FE153" s="210"/>
      <c r="FF153" s="210"/>
      <c r="FG153" s="210"/>
      <c r="FH153" s="210"/>
      <c r="HR153" s="120"/>
      <c r="HY153" s="210"/>
      <c r="HZ153" s="210"/>
      <c r="IA153" s="210"/>
      <c r="IB153" s="210"/>
      <c r="IC153" s="210"/>
      <c r="ID153" s="210"/>
      <c r="IE153" s="210"/>
      <c r="IF153" s="210"/>
      <c r="IG153" s="210"/>
      <c r="IH153" s="210"/>
      <c r="II153" s="210"/>
      <c r="IJ153" s="210"/>
      <c r="IK153" s="210"/>
      <c r="IL153" s="210"/>
      <c r="IM153" s="210"/>
      <c r="KW153" s="120"/>
      <c r="LD153" s="210"/>
      <c r="LE153" s="210"/>
      <c r="LF153" s="210"/>
      <c r="LG153" s="210"/>
      <c r="LH153" s="210"/>
      <c r="LI153" s="210"/>
      <c r="LJ153" s="210"/>
      <c r="LK153" s="210"/>
      <c r="LL153" s="210"/>
      <c r="LM153" s="210"/>
      <c r="LN153" s="210"/>
      <c r="LO153" s="210"/>
      <c r="LP153" s="210"/>
      <c r="LQ153" s="210"/>
      <c r="LR153" s="210"/>
      <c r="OB153" s="120"/>
      <c r="OI153" s="210"/>
      <c r="OJ153" s="210"/>
      <c r="OK153" s="210"/>
      <c r="OL153" s="210"/>
      <c r="OM153" s="210"/>
      <c r="ON153" s="210"/>
      <c r="OO153" s="210"/>
      <c r="OP153" s="210"/>
      <c r="OQ153" s="210"/>
      <c r="OR153" s="210"/>
      <c r="OS153" s="210"/>
      <c r="OT153" s="210"/>
      <c r="OU153" s="210"/>
      <c r="OV153" s="210"/>
      <c r="OW153" s="210"/>
      <c r="RG153" s="120"/>
    </row>
    <row r="154" spans="1:475" x14ac:dyDescent="0.3">
      <c r="A154" s="7">
        <v>24</v>
      </c>
      <c r="B154" s="7">
        <v>144</v>
      </c>
      <c r="C154" s="7" t="s">
        <v>276</v>
      </c>
      <c r="D154" s="7" t="s">
        <v>317</v>
      </c>
      <c r="E154" s="7" t="s">
        <v>337</v>
      </c>
      <c r="F154" s="7" t="s">
        <v>275</v>
      </c>
      <c r="G154" s="41" t="str">
        <f t="shared" si="25"/>
        <v>X</v>
      </c>
      <c r="H154" s="41">
        <f>INDEX(환산공식!CI$16:CI$301,MATCH('배치점수 계산기'!$W154,환산공식!$A$16:$A$301,0))</f>
        <v>0</v>
      </c>
      <c r="I154" s="41" t="e">
        <f>CONCATENATE(ROUND(INDEX(환산공식!CJ$16:CJ$301,MATCH('배치점수 계산기'!$W154,환산공식!$A$16:$A$301,0)),1),"%")</f>
        <v>#DIV/0!</v>
      </c>
      <c r="J154" s="41">
        <f>INDEX(환산공식!CK$16:CK$301,MATCH('배치점수 계산기'!$W154,환산공식!$A$16:$A$301,0))</f>
        <v>10</v>
      </c>
      <c r="K154" s="7">
        <f>INDEX(환산공식!$EF$16:$EF$301,MATCH('배치점수 계산기'!W154,환산공식!$A$16:$A$301,0))</f>
        <v>0</v>
      </c>
      <c r="L154" s="41" t="str">
        <f t="shared" si="23"/>
        <v>1% 이하</v>
      </c>
      <c r="M154" s="7">
        <v>658.93612986343737</v>
      </c>
      <c r="N154" s="7">
        <v>657.80571428571443</v>
      </c>
      <c r="O154" s="7">
        <v>654.89571428571423</v>
      </c>
      <c r="P154" s="7">
        <v>653.35496305098593</v>
      </c>
      <c r="Q154" s="7">
        <v>652.16428571428571</v>
      </c>
      <c r="R154" s="7">
        <f t="shared" si="24"/>
        <v>6</v>
      </c>
      <c r="T154" s="7">
        <f>COUNTIF($C$11:C154,C154)</f>
        <v>91</v>
      </c>
      <c r="U154" s="7" t="str">
        <f t="shared" si="26"/>
        <v>가91</v>
      </c>
      <c r="V154" s="7" t="str">
        <f>INDEX(환산공식!$C$16:$C$301,MATCH('배치점수 계산기'!W154,환산공식!$A$16:$A$301,0))</f>
        <v>고려대 통합</v>
      </c>
      <c r="W154" s="7">
        <f t="shared" si="27"/>
        <v>24</v>
      </c>
      <c r="X154" s="7">
        <f t="shared" si="28"/>
        <v>1</v>
      </c>
      <c r="Y154" s="7">
        <f>IFERROR(INDEX(환산공식!Q$16:Q$200,MATCH($A154,환산공식!$A$16:$A$200,0)),"")</f>
        <v>1.7857142857142858</v>
      </c>
      <c r="Z154" s="7">
        <f>IFERROR(INDEX(환산공식!R$16:R$200,MATCH($A154,환산공식!$A$16:$A$200,0)),"")</f>
        <v>1.7857142857142858</v>
      </c>
      <c r="AA154" s="7">
        <f>IFERROR(INDEX(환산공식!U$16:U$200,MATCH($A154,환산공식!$A$16:$A$200,0)),"")</f>
        <v>1.4285714285714286</v>
      </c>
      <c r="AB154" s="7">
        <f t="shared" si="29"/>
        <v>0.35714285714285715</v>
      </c>
      <c r="AC154" s="7">
        <f t="shared" si="30"/>
        <v>0.35714285714285715</v>
      </c>
      <c r="AD154" s="7">
        <f t="shared" si="31"/>
        <v>0.2857142857142857</v>
      </c>
      <c r="AE154" s="7">
        <f>INDEX(환산공식!$AF$16:$AF$301,MATCH('배치점수 계산기'!W154,환산공식!$A$16:$A$301,0))</f>
        <v>1</v>
      </c>
      <c r="AF154" s="7">
        <f>INDEX(환산공식!$AP$16:$AP$301,MATCH('배치점수 계산기'!W154,환산공식!$A$16:$A$301,0))</f>
        <v>4</v>
      </c>
      <c r="AG154" s="7" t="str">
        <f t="shared" si="32"/>
        <v>표점</v>
      </c>
      <c r="AH154" s="7" t="str">
        <f t="shared" si="33"/>
        <v>변표</v>
      </c>
      <c r="BO154" s="210"/>
      <c r="BP154" s="210"/>
      <c r="BQ154" s="210"/>
      <c r="BR154" s="210"/>
      <c r="BS154" s="210"/>
      <c r="BT154" s="210"/>
      <c r="BU154" s="210"/>
      <c r="BV154" s="210"/>
      <c r="BW154" s="210"/>
      <c r="BX154" s="210"/>
      <c r="BY154" s="210"/>
      <c r="BZ154" s="210"/>
      <c r="CA154" s="210"/>
      <c r="CB154" s="210"/>
      <c r="CC154" s="210"/>
      <c r="EM154" s="120"/>
      <c r="ET154" s="210"/>
      <c r="EU154" s="210"/>
      <c r="EV154" s="210"/>
      <c r="EW154" s="210"/>
      <c r="EX154" s="210"/>
      <c r="EY154" s="210"/>
      <c r="EZ154" s="210"/>
      <c r="FA154" s="210"/>
      <c r="FB154" s="210"/>
      <c r="FC154" s="210"/>
      <c r="FD154" s="210"/>
      <c r="FE154" s="210"/>
      <c r="FF154" s="210"/>
      <c r="FG154" s="210"/>
      <c r="FH154" s="210"/>
      <c r="HR154" s="120"/>
      <c r="HY154" s="210"/>
      <c r="HZ154" s="210"/>
      <c r="IA154" s="210"/>
      <c r="IB154" s="210"/>
      <c r="IC154" s="210"/>
      <c r="ID154" s="210"/>
      <c r="IE154" s="210"/>
      <c r="IF154" s="210"/>
      <c r="IG154" s="210"/>
      <c r="IH154" s="210"/>
      <c r="II154" s="210"/>
      <c r="IJ154" s="210"/>
      <c r="IK154" s="210"/>
      <c r="IL154" s="210"/>
      <c r="IM154" s="210"/>
      <c r="KW154" s="120"/>
      <c r="LD154" s="210"/>
      <c r="LE154" s="210"/>
      <c r="LF154" s="210"/>
      <c r="LG154" s="210"/>
      <c r="LH154" s="210"/>
      <c r="LI154" s="210"/>
      <c r="LJ154" s="210"/>
      <c r="LK154" s="210"/>
      <c r="LL154" s="210"/>
      <c r="LM154" s="210"/>
      <c r="LN154" s="210"/>
      <c r="LO154" s="210"/>
      <c r="LP154" s="210"/>
      <c r="LQ154" s="210"/>
      <c r="LR154" s="210"/>
      <c r="OB154" s="120"/>
      <c r="OI154" s="210"/>
      <c r="OJ154" s="210"/>
      <c r="OK154" s="210"/>
      <c r="OL154" s="210"/>
      <c r="OM154" s="210"/>
      <c r="ON154" s="210"/>
      <c r="OO154" s="210"/>
      <c r="OP154" s="210"/>
      <c r="OQ154" s="210"/>
      <c r="OR154" s="210"/>
      <c r="OS154" s="210"/>
      <c r="OT154" s="210"/>
      <c r="OU154" s="210"/>
      <c r="OV154" s="210"/>
      <c r="OW154" s="210"/>
      <c r="RG154" s="120"/>
    </row>
    <row r="155" spans="1:475" x14ac:dyDescent="0.3">
      <c r="A155" s="7">
        <v>24</v>
      </c>
      <c r="B155" s="7">
        <v>145</v>
      </c>
      <c r="C155" s="7" t="s">
        <v>276</v>
      </c>
      <c r="D155" s="7" t="s">
        <v>317</v>
      </c>
      <c r="E155" s="7" t="s">
        <v>269</v>
      </c>
      <c r="F155" s="7" t="s">
        <v>275</v>
      </c>
      <c r="G155" s="41" t="str">
        <f t="shared" si="25"/>
        <v>X</v>
      </c>
      <c r="H155" s="41">
        <f>INDEX(환산공식!CI$16:CI$301,MATCH('배치점수 계산기'!$W155,환산공식!$A$16:$A$301,0))</f>
        <v>0</v>
      </c>
      <c r="I155" s="41" t="e">
        <f>CONCATENATE(ROUND(INDEX(환산공식!CJ$16:CJ$301,MATCH('배치점수 계산기'!$W155,환산공식!$A$16:$A$301,0)),1),"%")</f>
        <v>#DIV/0!</v>
      </c>
      <c r="J155" s="41">
        <f>INDEX(환산공식!CK$16:CK$301,MATCH('배치점수 계산기'!$W155,환산공식!$A$16:$A$301,0))</f>
        <v>10</v>
      </c>
      <c r="K155" s="7">
        <f>INDEX(환산공식!$EF$16:$EF$301,MATCH('배치점수 계산기'!W155,환산공식!$A$16:$A$301,0))</f>
        <v>0</v>
      </c>
      <c r="L155" s="41" t="str">
        <f t="shared" si="23"/>
        <v>1% 이하</v>
      </c>
      <c r="M155" s="7">
        <v>658.28236547250481</v>
      </c>
      <c r="N155" s="7">
        <v>657.15056795955275</v>
      </c>
      <c r="O155" s="7">
        <v>655.01502426015782</v>
      </c>
      <c r="P155" s="7">
        <v>654.06218011938745</v>
      </c>
      <c r="Q155" s="7">
        <v>652.16428571428571</v>
      </c>
      <c r="R155" s="7">
        <f t="shared" si="24"/>
        <v>6</v>
      </c>
      <c r="T155" s="7">
        <f>COUNTIF($C$11:C155,C155)</f>
        <v>92</v>
      </c>
      <c r="U155" s="7" t="str">
        <f t="shared" si="26"/>
        <v>가92</v>
      </c>
      <c r="V155" s="7" t="str">
        <f>INDEX(환산공식!$C$16:$C$301,MATCH('배치점수 계산기'!W155,환산공식!$A$16:$A$301,0))</f>
        <v>고려대 통합</v>
      </c>
      <c r="W155" s="7">
        <f t="shared" si="27"/>
        <v>24</v>
      </c>
      <c r="X155" s="7">
        <f t="shared" si="28"/>
        <v>1</v>
      </c>
      <c r="Y155" s="7">
        <f>IFERROR(INDEX(환산공식!Q$16:Q$200,MATCH($A155,환산공식!$A$16:$A$200,0)),"")</f>
        <v>1.7857142857142858</v>
      </c>
      <c r="Z155" s="7">
        <f>IFERROR(INDEX(환산공식!R$16:R$200,MATCH($A155,환산공식!$A$16:$A$200,0)),"")</f>
        <v>1.7857142857142858</v>
      </c>
      <c r="AA155" s="7">
        <f>IFERROR(INDEX(환산공식!U$16:U$200,MATCH($A155,환산공식!$A$16:$A$200,0)),"")</f>
        <v>1.4285714285714286</v>
      </c>
      <c r="AB155" s="7">
        <f t="shared" si="29"/>
        <v>0.35714285714285715</v>
      </c>
      <c r="AC155" s="7">
        <f t="shared" si="30"/>
        <v>0.35714285714285715</v>
      </c>
      <c r="AD155" s="7">
        <f t="shared" si="31"/>
        <v>0.2857142857142857</v>
      </c>
      <c r="AE155" s="7">
        <f>INDEX(환산공식!$AF$16:$AF$301,MATCH('배치점수 계산기'!W155,환산공식!$A$16:$A$301,0))</f>
        <v>1</v>
      </c>
      <c r="AF155" s="7">
        <f>INDEX(환산공식!$AP$16:$AP$301,MATCH('배치점수 계산기'!W155,환산공식!$A$16:$A$301,0))</f>
        <v>4</v>
      </c>
      <c r="AG155" s="7" t="str">
        <f t="shared" si="32"/>
        <v>표점</v>
      </c>
      <c r="AH155" s="7" t="str">
        <f t="shared" si="33"/>
        <v>변표</v>
      </c>
      <c r="BO155" s="210"/>
      <c r="BP155" s="210"/>
      <c r="BQ155" s="210"/>
      <c r="BR155" s="210"/>
      <c r="BS155" s="210"/>
      <c r="BT155" s="210"/>
      <c r="BU155" s="210"/>
      <c r="BV155" s="210"/>
      <c r="BW155" s="210"/>
      <c r="BX155" s="210"/>
      <c r="BY155" s="210"/>
      <c r="BZ155" s="210"/>
      <c r="CA155" s="210"/>
      <c r="CB155" s="210"/>
      <c r="CC155" s="210"/>
      <c r="EM155" s="120"/>
      <c r="ET155" s="210"/>
      <c r="EU155" s="210"/>
      <c r="EV155" s="210"/>
      <c r="EW155" s="210"/>
      <c r="EX155" s="210"/>
      <c r="EY155" s="210"/>
      <c r="EZ155" s="210"/>
      <c r="FA155" s="210"/>
      <c r="FB155" s="210"/>
      <c r="FC155" s="210"/>
      <c r="FD155" s="210"/>
      <c r="FE155" s="210"/>
      <c r="FF155" s="210"/>
      <c r="FG155" s="210"/>
      <c r="FH155" s="210"/>
      <c r="HR155" s="120"/>
      <c r="HY155" s="210"/>
      <c r="HZ155" s="210"/>
      <c r="IA155" s="210"/>
      <c r="IB155" s="210"/>
      <c r="IC155" s="210"/>
      <c r="ID155" s="210"/>
      <c r="IE155" s="210"/>
      <c r="IF155" s="210"/>
      <c r="IG155" s="210"/>
      <c r="IH155" s="210"/>
      <c r="II155" s="210"/>
      <c r="IJ155" s="210"/>
      <c r="IK155" s="210"/>
      <c r="IL155" s="210"/>
      <c r="IM155" s="210"/>
      <c r="KW155" s="120"/>
      <c r="LD155" s="210"/>
      <c r="LE155" s="210"/>
      <c r="LF155" s="210"/>
      <c r="LG155" s="210"/>
      <c r="LH155" s="210"/>
      <c r="LI155" s="210"/>
      <c r="LJ155" s="210"/>
      <c r="LK155" s="210"/>
      <c r="LL155" s="210"/>
      <c r="LM155" s="210"/>
      <c r="LN155" s="210"/>
      <c r="LO155" s="210"/>
      <c r="LP155" s="210"/>
      <c r="LQ155" s="210"/>
      <c r="LR155" s="210"/>
      <c r="OB155" s="120"/>
      <c r="OI155" s="210"/>
      <c r="OJ155" s="210"/>
      <c r="OK155" s="210"/>
      <c r="OL155" s="210"/>
      <c r="OM155" s="210"/>
      <c r="ON155" s="210"/>
      <c r="OO155" s="210"/>
      <c r="OP155" s="210"/>
      <c r="OQ155" s="210"/>
      <c r="OR155" s="210"/>
      <c r="OS155" s="210"/>
      <c r="OT155" s="210"/>
      <c r="OU155" s="210"/>
      <c r="OV155" s="210"/>
      <c r="OW155" s="210"/>
      <c r="RG155" s="120"/>
    </row>
    <row r="156" spans="1:475" x14ac:dyDescent="0.3">
      <c r="A156" s="7">
        <v>24</v>
      </c>
      <c r="B156" s="7">
        <v>146</v>
      </c>
      <c r="C156" s="7" t="s">
        <v>276</v>
      </c>
      <c r="D156" s="7" t="s">
        <v>317</v>
      </c>
      <c r="E156" s="7" t="s">
        <v>302</v>
      </c>
      <c r="F156" s="7" t="s">
        <v>275</v>
      </c>
      <c r="G156" s="41" t="str">
        <f t="shared" si="25"/>
        <v>X</v>
      </c>
      <c r="H156" s="41">
        <f>INDEX(환산공식!CI$16:CI$301,MATCH('배치점수 계산기'!$W156,환산공식!$A$16:$A$301,0))</f>
        <v>0</v>
      </c>
      <c r="I156" s="41" t="e">
        <f>CONCATENATE(ROUND(INDEX(환산공식!CJ$16:CJ$301,MATCH('배치점수 계산기'!$W156,환산공식!$A$16:$A$301,0)),1),"%")</f>
        <v>#DIV/0!</v>
      </c>
      <c r="J156" s="41">
        <f>INDEX(환산공식!CK$16:CK$301,MATCH('배치점수 계산기'!$W156,환산공식!$A$16:$A$301,0))</f>
        <v>10</v>
      </c>
      <c r="K156" s="7">
        <f>INDEX(환산공식!$EF$16:$EF$301,MATCH('배치점수 계산기'!W156,환산공식!$A$16:$A$301,0))</f>
        <v>0</v>
      </c>
      <c r="L156" s="41" t="str">
        <f t="shared" si="23"/>
        <v>1% 이하</v>
      </c>
      <c r="M156" s="7">
        <v>658.28236547250481</v>
      </c>
      <c r="N156" s="7">
        <v>657.15056795955275</v>
      </c>
      <c r="O156" s="7">
        <v>655.01502426015782</v>
      </c>
      <c r="P156" s="7">
        <v>654.06218011938745</v>
      </c>
      <c r="Q156" s="7">
        <v>652.16428571428571</v>
      </c>
      <c r="R156" s="7">
        <f t="shared" si="24"/>
        <v>6</v>
      </c>
      <c r="T156" s="7">
        <f>COUNTIF($C$11:C156,C156)</f>
        <v>93</v>
      </c>
      <c r="U156" s="7" t="str">
        <f t="shared" si="26"/>
        <v>가93</v>
      </c>
      <c r="V156" s="7" t="str">
        <f>INDEX(환산공식!$C$16:$C$301,MATCH('배치점수 계산기'!W156,환산공식!$A$16:$A$301,0))</f>
        <v>고려대 통합</v>
      </c>
      <c r="W156" s="7">
        <f t="shared" si="27"/>
        <v>24</v>
      </c>
      <c r="X156" s="7">
        <f t="shared" si="28"/>
        <v>1</v>
      </c>
      <c r="Y156" s="7">
        <f>IFERROR(INDEX(환산공식!Q$16:Q$200,MATCH($A156,환산공식!$A$16:$A$200,0)),"")</f>
        <v>1.7857142857142858</v>
      </c>
      <c r="Z156" s="7">
        <f>IFERROR(INDEX(환산공식!R$16:R$200,MATCH($A156,환산공식!$A$16:$A$200,0)),"")</f>
        <v>1.7857142857142858</v>
      </c>
      <c r="AA156" s="7">
        <f>IFERROR(INDEX(환산공식!U$16:U$200,MATCH($A156,환산공식!$A$16:$A$200,0)),"")</f>
        <v>1.4285714285714286</v>
      </c>
      <c r="AB156" s="7">
        <f t="shared" si="29"/>
        <v>0.35714285714285715</v>
      </c>
      <c r="AC156" s="7">
        <f t="shared" si="30"/>
        <v>0.35714285714285715</v>
      </c>
      <c r="AD156" s="7">
        <f t="shared" si="31"/>
        <v>0.2857142857142857</v>
      </c>
      <c r="AE156" s="7">
        <f>INDEX(환산공식!$AF$16:$AF$301,MATCH('배치점수 계산기'!W156,환산공식!$A$16:$A$301,0))</f>
        <v>1</v>
      </c>
      <c r="AF156" s="7">
        <f>INDEX(환산공식!$AP$16:$AP$301,MATCH('배치점수 계산기'!W156,환산공식!$A$16:$A$301,0))</f>
        <v>4</v>
      </c>
      <c r="AG156" s="7" t="str">
        <f t="shared" si="32"/>
        <v>표점</v>
      </c>
      <c r="AH156" s="7" t="str">
        <f t="shared" si="33"/>
        <v>변표</v>
      </c>
      <c r="BO156" s="210"/>
      <c r="BP156" s="210"/>
      <c r="BQ156" s="210"/>
      <c r="BR156" s="210"/>
      <c r="BS156" s="210"/>
      <c r="BT156" s="210"/>
      <c r="BU156" s="210"/>
      <c r="BV156" s="210"/>
      <c r="BW156" s="210"/>
      <c r="BX156" s="210"/>
      <c r="BY156" s="210"/>
      <c r="BZ156" s="210"/>
      <c r="CA156" s="210"/>
      <c r="CB156" s="210"/>
      <c r="CC156" s="210"/>
      <c r="EM156" s="120"/>
      <c r="ET156" s="210"/>
      <c r="EU156" s="210"/>
      <c r="EV156" s="210"/>
      <c r="EW156" s="210"/>
      <c r="EX156" s="210"/>
      <c r="EY156" s="210"/>
      <c r="EZ156" s="210"/>
      <c r="FA156" s="210"/>
      <c r="FB156" s="210"/>
      <c r="FC156" s="210"/>
      <c r="FD156" s="210"/>
      <c r="FE156" s="210"/>
      <c r="FF156" s="210"/>
      <c r="FG156" s="210"/>
      <c r="FH156" s="210"/>
      <c r="HR156" s="120"/>
      <c r="HY156" s="210"/>
      <c r="HZ156" s="210"/>
      <c r="IA156" s="210"/>
      <c r="IB156" s="210"/>
      <c r="IC156" s="210"/>
      <c r="ID156" s="210"/>
      <c r="IE156" s="210"/>
      <c r="IF156" s="210"/>
      <c r="IG156" s="210"/>
      <c r="IH156" s="210"/>
      <c r="II156" s="210"/>
      <c r="IJ156" s="210"/>
      <c r="IK156" s="210"/>
      <c r="IL156" s="210"/>
      <c r="IM156" s="210"/>
      <c r="KW156" s="120"/>
      <c r="LD156" s="210"/>
      <c r="LE156" s="210"/>
      <c r="LF156" s="210"/>
      <c r="LG156" s="210"/>
      <c r="LH156" s="210"/>
      <c r="LI156" s="210"/>
      <c r="LJ156" s="210"/>
      <c r="LK156" s="210"/>
      <c r="LL156" s="210"/>
      <c r="LM156" s="210"/>
      <c r="LN156" s="210"/>
      <c r="LO156" s="210"/>
      <c r="LP156" s="210"/>
      <c r="LQ156" s="210"/>
      <c r="LR156" s="210"/>
      <c r="OB156" s="120"/>
      <c r="OI156" s="210"/>
      <c r="OJ156" s="210"/>
      <c r="OK156" s="210"/>
      <c r="OL156" s="210"/>
      <c r="OM156" s="210"/>
      <c r="ON156" s="210"/>
      <c r="OO156" s="210"/>
      <c r="OP156" s="210"/>
      <c r="OQ156" s="210"/>
      <c r="OR156" s="210"/>
      <c r="OS156" s="210"/>
      <c r="OT156" s="210"/>
      <c r="OU156" s="210"/>
      <c r="OV156" s="210"/>
      <c r="OW156" s="210"/>
      <c r="RG156" s="120"/>
    </row>
    <row r="157" spans="1:475" x14ac:dyDescent="0.3">
      <c r="A157" s="7">
        <v>24</v>
      </c>
      <c r="B157" s="7">
        <v>147</v>
      </c>
      <c r="C157" s="7" t="s">
        <v>276</v>
      </c>
      <c r="D157" s="7" t="s">
        <v>317</v>
      </c>
      <c r="E157" s="7" t="s">
        <v>301</v>
      </c>
      <c r="F157" s="7" t="s">
        <v>275</v>
      </c>
      <c r="G157" s="41" t="str">
        <f t="shared" si="25"/>
        <v>X</v>
      </c>
      <c r="H157" s="41">
        <f>INDEX(환산공식!CI$16:CI$301,MATCH('배치점수 계산기'!$W157,환산공식!$A$16:$A$301,0))</f>
        <v>0</v>
      </c>
      <c r="I157" s="41" t="e">
        <f>CONCATENATE(ROUND(INDEX(환산공식!CJ$16:CJ$301,MATCH('배치점수 계산기'!$W157,환산공식!$A$16:$A$301,0)),1),"%")</f>
        <v>#DIV/0!</v>
      </c>
      <c r="J157" s="41">
        <f>INDEX(환산공식!CK$16:CK$301,MATCH('배치점수 계산기'!$W157,환산공식!$A$16:$A$301,0))</f>
        <v>10</v>
      </c>
      <c r="K157" s="7">
        <f>INDEX(환산공식!$EF$16:$EF$301,MATCH('배치점수 계산기'!W157,환산공식!$A$16:$A$301,0))</f>
        <v>0</v>
      </c>
      <c r="L157" s="41" t="str">
        <f t="shared" si="23"/>
        <v>1% 이하</v>
      </c>
      <c r="M157" s="7">
        <v>659.23428571428576</v>
      </c>
      <c r="N157" s="7">
        <v>657.98428571428576</v>
      </c>
      <c r="O157" s="7">
        <v>655.01502426015782</v>
      </c>
      <c r="P157" s="7">
        <v>653.53354989604986</v>
      </c>
      <c r="Q157" s="7">
        <v>652.16428571428571</v>
      </c>
      <c r="R157" s="7">
        <f t="shared" si="24"/>
        <v>6</v>
      </c>
      <c r="T157" s="7">
        <f>COUNTIF($C$11:C157,C157)</f>
        <v>94</v>
      </c>
      <c r="U157" s="7" t="str">
        <f t="shared" si="26"/>
        <v>가94</v>
      </c>
      <c r="V157" s="7" t="str">
        <f>INDEX(환산공식!$C$16:$C$301,MATCH('배치점수 계산기'!W157,환산공식!$A$16:$A$301,0))</f>
        <v>고려대 통합</v>
      </c>
      <c r="W157" s="7">
        <f t="shared" si="27"/>
        <v>24</v>
      </c>
      <c r="X157" s="7">
        <f t="shared" si="28"/>
        <v>1</v>
      </c>
      <c r="Y157" s="7">
        <f>IFERROR(INDEX(환산공식!Q$16:Q$200,MATCH($A157,환산공식!$A$16:$A$200,0)),"")</f>
        <v>1.7857142857142858</v>
      </c>
      <c r="Z157" s="7">
        <f>IFERROR(INDEX(환산공식!R$16:R$200,MATCH($A157,환산공식!$A$16:$A$200,0)),"")</f>
        <v>1.7857142857142858</v>
      </c>
      <c r="AA157" s="7">
        <f>IFERROR(INDEX(환산공식!U$16:U$200,MATCH($A157,환산공식!$A$16:$A$200,0)),"")</f>
        <v>1.4285714285714286</v>
      </c>
      <c r="AB157" s="7">
        <f t="shared" si="29"/>
        <v>0.35714285714285715</v>
      </c>
      <c r="AC157" s="7">
        <f t="shared" si="30"/>
        <v>0.35714285714285715</v>
      </c>
      <c r="AD157" s="7">
        <f t="shared" si="31"/>
        <v>0.2857142857142857</v>
      </c>
      <c r="AE157" s="7">
        <f>INDEX(환산공식!$AF$16:$AF$301,MATCH('배치점수 계산기'!W157,환산공식!$A$16:$A$301,0))</f>
        <v>1</v>
      </c>
      <c r="AF157" s="7">
        <f>INDEX(환산공식!$AP$16:$AP$301,MATCH('배치점수 계산기'!W157,환산공식!$A$16:$A$301,0))</f>
        <v>4</v>
      </c>
      <c r="AG157" s="7" t="str">
        <f t="shared" si="32"/>
        <v>표점</v>
      </c>
      <c r="AH157" s="7" t="str">
        <f t="shared" si="33"/>
        <v>변표</v>
      </c>
      <c r="BO157" s="210"/>
      <c r="BP157" s="210"/>
      <c r="BQ157" s="210"/>
      <c r="BR157" s="210"/>
      <c r="BS157" s="210"/>
      <c r="BT157" s="210"/>
      <c r="BU157" s="210"/>
      <c r="BV157" s="210"/>
      <c r="BW157" s="210"/>
      <c r="BX157" s="210"/>
      <c r="BY157" s="210"/>
      <c r="BZ157" s="210"/>
      <c r="CA157" s="210"/>
      <c r="CB157" s="210"/>
      <c r="CC157" s="210"/>
      <c r="EM157" s="120"/>
      <c r="ET157" s="210"/>
      <c r="EU157" s="210"/>
      <c r="EV157" s="210"/>
      <c r="EW157" s="210"/>
      <c r="EX157" s="210"/>
      <c r="EY157" s="210"/>
      <c r="EZ157" s="210"/>
      <c r="FA157" s="210"/>
      <c r="FB157" s="210"/>
      <c r="FC157" s="210"/>
      <c r="FD157" s="210"/>
      <c r="FE157" s="210"/>
      <c r="FF157" s="210"/>
      <c r="FG157" s="210"/>
      <c r="FH157" s="210"/>
      <c r="HR157" s="120"/>
      <c r="HY157" s="210"/>
      <c r="HZ157" s="210"/>
      <c r="IA157" s="210"/>
      <c r="IB157" s="210"/>
      <c r="IC157" s="210"/>
      <c r="ID157" s="210"/>
      <c r="IE157" s="210"/>
      <c r="IF157" s="210"/>
      <c r="IG157" s="210"/>
      <c r="IH157" s="210"/>
      <c r="II157" s="210"/>
      <c r="IJ157" s="210"/>
      <c r="IK157" s="210"/>
      <c r="IL157" s="210"/>
      <c r="IM157" s="210"/>
      <c r="KW157" s="120"/>
      <c r="LD157" s="210"/>
      <c r="LE157" s="210"/>
      <c r="LF157" s="210"/>
      <c r="LG157" s="210"/>
      <c r="LH157" s="210"/>
      <c r="LI157" s="210"/>
      <c r="LJ157" s="210"/>
      <c r="LK157" s="210"/>
      <c r="LL157" s="210"/>
      <c r="LM157" s="210"/>
      <c r="LN157" s="210"/>
      <c r="LO157" s="210"/>
      <c r="LP157" s="210"/>
      <c r="LQ157" s="210"/>
      <c r="LR157" s="210"/>
      <c r="OB157" s="120"/>
      <c r="OI157" s="210"/>
      <c r="OJ157" s="210"/>
      <c r="OK157" s="210"/>
      <c r="OL157" s="210"/>
      <c r="OM157" s="210"/>
      <c r="ON157" s="210"/>
      <c r="OO157" s="210"/>
      <c r="OP157" s="210"/>
      <c r="OQ157" s="210"/>
      <c r="OR157" s="210"/>
      <c r="OS157" s="210"/>
      <c r="OT157" s="210"/>
      <c r="OU157" s="210"/>
      <c r="OV157" s="210"/>
      <c r="OW157" s="210"/>
      <c r="RG157" s="120"/>
    </row>
    <row r="158" spans="1:475" x14ac:dyDescent="0.3">
      <c r="A158" s="7">
        <v>24</v>
      </c>
      <c r="B158" s="7">
        <v>148</v>
      </c>
      <c r="C158" s="7" t="s">
        <v>276</v>
      </c>
      <c r="D158" s="7" t="s">
        <v>317</v>
      </c>
      <c r="E158" s="7" t="s">
        <v>268</v>
      </c>
      <c r="F158" s="7" t="s">
        <v>275</v>
      </c>
      <c r="G158" s="41" t="str">
        <f t="shared" si="25"/>
        <v>X</v>
      </c>
      <c r="H158" s="41">
        <f>INDEX(환산공식!CI$16:CI$301,MATCH('배치점수 계산기'!$W158,환산공식!$A$16:$A$301,0))</f>
        <v>0</v>
      </c>
      <c r="I158" s="41" t="e">
        <f>CONCATENATE(ROUND(INDEX(환산공식!CJ$16:CJ$301,MATCH('배치점수 계산기'!$W158,환산공식!$A$16:$A$301,0)),1),"%")</f>
        <v>#DIV/0!</v>
      </c>
      <c r="J158" s="41">
        <f>INDEX(환산공식!CK$16:CK$301,MATCH('배치점수 계산기'!$W158,환산공식!$A$16:$A$301,0))</f>
        <v>10</v>
      </c>
      <c r="K158" s="7">
        <f>INDEX(환산공식!$EF$16:$EF$301,MATCH('배치점수 계산기'!W158,환산공식!$A$16:$A$301,0))</f>
        <v>0</v>
      </c>
      <c r="L158" s="41" t="str">
        <f t="shared" si="23"/>
        <v>1% 이하</v>
      </c>
      <c r="M158" s="7">
        <v>658.28236547250481</v>
      </c>
      <c r="N158" s="7">
        <v>657.15056795955275</v>
      </c>
      <c r="O158" s="7">
        <v>655.01502426015782</v>
      </c>
      <c r="P158" s="7">
        <v>654.06218011938745</v>
      </c>
      <c r="Q158" s="7">
        <v>652.16428571428571</v>
      </c>
      <c r="R158" s="7">
        <f t="shared" si="24"/>
        <v>6</v>
      </c>
      <c r="T158" s="7">
        <f>COUNTIF($C$11:C158,C158)</f>
        <v>95</v>
      </c>
      <c r="U158" s="7" t="str">
        <f t="shared" si="26"/>
        <v>가95</v>
      </c>
      <c r="V158" s="7" t="str">
        <f>INDEX(환산공식!$C$16:$C$301,MATCH('배치점수 계산기'!W158,환산공식!$A$16:$A$301,0))</f>
        <v>고려대 통합</v>
      </c>
      <c r="W158" s="7">
        <f t="shared" si="27"/>
        <v>24</v>
      </c>
      <c r="X158" s="7">
        <f t="shared" si="28"/>
        <v>1</v>
      </c>
      <c r="Y158" s="7">
        <f>IFERROR(INDEX(환산공식!Q$16:Q$200,MATCH($A158,환산공식!$A$16:$A$200,0)),"")</f>
        <v>1.7857142857142858</v>
      </c>
      <c r="Z158" s="7">
        <f>IFERROR(INDEX(환산공식!R$16:R$200,MATCH($A158,환산공식!$A$16:$A$200,0)),"")</f>
        <v>1.7857142857142858</v>
      </c>
      <c r="AA158" s="7">
        <f>IFERROR(INDEX(환산공식!U$16:U$200,MATCH($A158,환산공식!$A$16:$A$200,0)),"")</f>
        <v>1.4285714285714286</v>
      </c>
      <c r="AB158" s="7">
        <f t="shared" si="29"/>
        <v>0.35714285714285715</v>
      </c>
      <c r="AC158" s="7">
        <f t="shared" si="30"/>
        <v>0.35714285714285715</v>
      </c>
      <c r="AD158" s="7">
        <f t="shared" si="31"/>
        <v>0.2857142857142857</v>
      </c>
      <c r="AE158" s="7">
        <f>INDEX(환산공식!$AF$16:$AF$301,MATCH('배치점수 계산기'!W158,환산공식!$A$16:$A$301,0))</f>
        <v>1</v>
      </c>
      <c r="AF158" s="7">
        <f>INDEX(환산공식!$AP$16:$AP$301,MATCH('배치점수 계산기'!W158,환산공식!$A$16:$A$301,0))</f>
        <v>4</v>
      </c>
      <c r="AG158" s="7" t="str">
        <f t="shared" si="32"/>
        <v>표점</v>
      </c>
      <c r="AH158" s="7" t="str">
        <f t="shared" si="33"/>
        <v>변표</v>
      </c>
      <c r="BO158" s="210"/>
      <c r="BP158" s="210"/>
      <c r="BQ158" s="210"/>
      <c r="BR158" s="210"/>
      <c r="BS158" s="210"/>
      <c r="BT158" s="210"/>
      <c r="BU158" s="210"/>
      <c r="BV158" s="210"/>
      <c r="BW158" s="210"/>
      <c r="BX158" s="210"/>
      <c r="BY158" s="210"/>
      <c r="BZ158" s="210"/>
      <c r="CA158" s="210"/>
      <c r="CB158" s="210"/>
      <c r="CC158" s="210"/>
      <c r="EM158" s="120"/>
      <c r="ET158" s="210"/>
      <c r="EU158" s="210"/>
      <c r="EV158" s="210"/>
      <c r="EW158" s="210"/>
      <c r="EX158" s="210"/>
      <c r="EY158" s="210"/>
      <c r="EZ158" s="210"/>
      <c r="FA158" s="210"/>
      <c r="FB158" s="210"/>
      <c r="FC158" s="210"/>
      <c r="FD158" s="210"/>
      <c r="FE158" s="210"/>
      <c r="FF158" s="210"/>
      <c r="FG158" s="210"/>
      <c r="FH158" s="210"/>
      <c r="HR158" s="120"/>
      <c r="HY158" s="210"/>
      <c r="HZ158" s="210"/>
      <c r="IA158" s="210"/>
      <c r="IB158" s="210"/>
      <c r="IC158" s="210"/>
      <c r="ID158" s="210"/>
      <c r="IE158" s="210"/>
      <c r="IF158" s="210"/>
      <c r="IG158" s="210"/>
      <c r="IH158" s="210"/>
      <c r="II158" s="210"/>
      <c r="IJ158" s="210"/>
      <c r="IK158" s="210"/>
      <c r="IL158" s="210"/>
      <c r="IM158" s="210"/>
      <c r="KW158" s="120"/>
      <c r="LD158" s="210"/>
      <c r="LE158" s="210"/>
      <c r="LF158" s="210"/>
      <c r="LG158" s="210"/>
      <c r="LH158" s="210"/>
      <c r="LI158" s="210"/>
      <c r="LJ158" s="210"/>
      <c r="LK158" s="210"/>
      <c r="LL158" s="210"/>
      <c r="LM158" s="210"/>
      <c r="LN158" s="210"/>
      <c r="LO158" s="210"/>
      <c r="LP158" s="210"/>
      <c r="LQ158" s="210"/>
      <c r="LR158" s="210"/>
      <c r="OB158" s="120"/>
      <c r="OI158" s="210"/>
      <c r="OJ158" s="210"/>
      <c r="OK158" s="210"/>
      <c r="OL158" s="210"/>
      <c r="OM158" s="210"/>
      <c r="ON158" s="210"/>
      <c r="OO158" s="210"/>
      <c r="OP158" s="210"/>
      <c r="OQ158" s="210"/>
      <c r="OR158" s="210"/>
      <c r="OS158" s="210"/>
      <c r="OT158" s="210"/>
      <c r="OU158" s="210"/>
      <c r="OV158" s="210"/>
      <c r="OW158" s="210"/>
      <c r="RG158" s="120"/>
    </row>
    <row r="159" spans="1:475" x14ac:dyDescent="0.3">
      <c r="A159" s="7">
        <v>24</v>
      </c>
      <c r="B159" s="7">
        <v>149</v>
      </c>
      <c r="C159" s="7" t="s">
        <v>276</v>
      </c>
      <c r="D159" s="7" t="s">
        <v>317</v>
      </c>
      <c r="E159" s="7" t="s">
        <v>338</v>
      </c>
      <c r="F159" s="7" t="s">
        <v>275</v>
      </c>
      <c r="G159" s="41" t="str">
        <f t="shared" si="25"/>
        <v>X</v>
      </c>
      <c r="H159" s="41">
        <f>INDEX(환산공식!CI$16:CI$301,MATCH('배치점수 계산기'!$W159,환산공식!$A$16:$A$301,0))</f>
        <v>0</v>
      </c>
      <c r="I159" s="41" t="e">
        <f>CONCATENATE(ROUND(INDEX(환산공식!CJ$16:CJ$301,MATCH('배치점수 계산기'!$W159,환산공식!$A$16:$A$301,0)),1),"%")</f>
        <v>#DIV/0!</v>
      </c>
      <c r="J159" s="41">
        <f>INDEX(환산공식!CK$16:CK$301,MATCH('배치점수 계산기'!$W159,환산공식!$A$16:$A$301,0))</f>
        <v>10</v>
      </c>
      <c r="K159" s="7">
        <f>INDEX(환산공식!$EF$16:$EF$301,MATCH('배치점수 계산기'!W159,환산공식!$A$16:$A$301,0))</f>
        <v>0</v>
      </c>
      <c r="L159" s="41" t="str">
        <f t="shared" si="23"/>
        <v>1% 이하</v>
      </c>
      <c r="M159" s="7">
        <v>657.15056795955275</v>
      </c>
      <c r="N159" s="7">
        <v>656.14571428571423</v>
      </c>
      <c r="O159" s="7">
        <v>653.53354989604986</v>
      </c>
      <c r="P159" s="7">
        <v>652.69999999999993</v>
      </c>
      <c r="Q159" s="7">
        <v>651.50946177324499</v>
      </c>
      <c r="R159" s="7">
        <f t="shared" si="24"/>
        <v>6</v>
      </c>
      <c r="T159" s="7">
        <f>COUNTIF($C$11:C159,C159)</f>
        <v>96</v>
      </c>
      <c r="U159" s="7" t="str">
        <f t="shared" si="26"/>
        <v>가96</v>
      </c>
      <c r="V159" s="7" t="str">
        <f>INDEX(환산공식!$C$16:$C$301,MATCH('배치점수 계산기'!W159,환산공식!$A$16:$A$301,0))</f>
        <v>고려대 통합</v>
      </c>
      <c r="W159" s="7">
        <f t="shared" si="27"/>
        <v>24</v>
      </c>
      <c r="X159" s="7">
        <f t="shared" si="28"/>
        <v>1</v>
      </c>
      <c r="Y159" s="7">
        <f>IFERROR(INDEX(환산공식!Q$16:Q$200,MATCH($A159,환산공식!$A$16:$A$200,0)),"")</f>
        <v>1.7857142857142858</v>
      </c>
      <c r="Z159" s="7">
        <f>IFERROR(INDEX(환산공식!R$16:R$200,MATCH($A159,환산공식!$A$16:$A$200,0)),"")</f>
        <v>1.7857142857142858</v>
      </c>
      <c r="AA159" s="7">
        <f>IFERROR(INDEX(환산공식!U$16:U$200,MATCH($A159,환산공식!$A$16:$A$200,0)),"")</f>
        <v>1.4285714285714286</v>
      </c>
      <c r="AB159" s="7">
        <f t="shared" si="29"/>
        <v>0.35714285714285715</v>
      </c>
      <c r="AC159" s="7">
        <f t="shared" si="30"/>
        <v>0.35714285714285715</v>
      </c>
      <c r="AD159" s="7">
        <f t="shared" si="31"/>
        <v>0.2857142857142857</v>
      </c>
      <c r="AE159" s="7">
        <f>INDEX(환산공식!$AF$16:$AF$301,MATCH('배치점수 계산기'!W159,환산공식!$A$16:$A$301,0))</f>
        <v>1</v>
      </c>
      <c r="AF159" s="7">
        <f>INDEX(환산공식!$AP$16:$AP$301,MATCH('배치점수 계산기'!W159,환산공식!$A$16:$A$301,0))</f>
        <v>4</v>
      </c>
      <c r="AG159" s="7" t="str">
        <f t="shared" si="32"/>
        <v>표점</v>
      </c>
      <c r="AH159" s="7" t="str">
        <f t="shared" si="33"/>
        <v>변표</v>
      </c>
      <c r="BO159" s="210"/>
      <c r="BP159" s="210"/>
      <c r="BQ159" s="210"/>
      <c r="BR159" s="210"/>
      <c r="BS159" s="210"/>
      <c r="BT159" s="210"/>
      <c r="BU159" s="210"/>
      <c r="BV159" s="210"/>
      <c r="BW159" s="210"/>
      <c r="BX159" s="210"/>
      <c r="BY159" s="210"/>
      <c r="BZ159" s="210"/>
      <c r="CA159" s="210"/>
      <c r="CB159" s="210"/>
      <c r="CC159" s="210"/>
      <c r="EM159" s="120"/>
      <c r="ET159" s="210"/>
      <c r="EU159" s="210"/>
      <c r="EV159" s="210"/>
      <c r="EW159" s="210"/>
      <c r="EX159" s="210"/>
      <c r="EY159" s="210"/>
      <c r="EZ159" s="210"/>
      <c r="FA159" s="210"/>
      <c r="FB159" s="210"/>
      <c r="FC159" s="210"/>
      <c r="FD159" s="210"/>
      <c r="FE159" s="210"/>
      <c r="FF159" s="210"/>
      <c r="FG159" s="210"/>
      <c r="FH159" s="210"/>
      <c r="HR159" s="120"/>
      <c r="HY159" s="210"/>
      <c r="HZ159" s="210"/>
      <c r="IA159" s="210"/>
      <c r="IB159" s="210"/>
      <c r="IC159" s="210"/>
      <c r="ID159" s="210"/>
      <c r="IE159" s="210"/>
      <c r="IF159" s="210"/>
      <c r="IG159" s="210"/>
      <c r="IH159" s="210"/>
      <c r="II159" s="210"/>
      <c r="IJ159" s="210"/>
      <c r="IK159" s="210"/>
      <c r="IL159" s="210"/>
      <c r="IM159" s="210"/>
      <c r="KW159" s="120"/>
      <c r="LD159" s="210"/>
      <c r="LE159" s="210"/>
      <c r="LF159" s="210"/>
      <c r="LG159" s="210"/>
      <c r="LH159" s="210"/>
      <c r="LI159" s="210"/>
      <c r="LJ159" s="210"/>
      <c r="LK159" s="210"/>
      <c r="LL159" s="210"/>
      <c r="LM159" s="210"/>
      <c r="LN159" s="210"/>
      <c r="LO159" s="210"/>
      <c r="LP159" s="210"/>
      <c r="LQ159" s="210"/>
      <c r="LR159" s="210"/>
      <c r="OB159" s="120"/>
      <c r="OI159" s="210"/>
      <c r="OJ159" s="210"/>
      <c r="OK159" s="210"/>
      <c r="OL159" s="210"/>
      <c r="OM159" s="210"/>
      <c r="ON159" s="210"/>
      <c r="OO159" s="210"/>
      <c r="OP159" s="210"/>
      <c r="OQ159" s="210"/>
      <c r="OR159" s="210"/>
      <c r="OS159" s="210"/>
      <c r="OT159" s="210"/>
      <c r="OU159" s="210"/>
      <c r="OV159" s="210"/>
      <c r="OW159" s="210"/>
      <c r="RG159" s="120"/>
    </row>
    <row r="160" spans="1:475" x14ac:dyDescent="0.3">
      <c r="A160" s="7">
        <v>24</v>
      </c>
      <c r="B160" s="7">
        <v>150</v>
      </c>
      <c r="C160" s="7" t="s">
        <v>276</v>
      </c>
      <c r="D160" s="7" t="s">
        <v>317</v>
      </c>
      <c r="E160" s="7" t="s">
        <v>303</v>
      </c>
      <c r="F160" s="7" t="s">
        <v>275</v>
      </c>
      <c r="G160" s="41" t="str">
        <f t="shared" si="25"/>
        <v>X</v>
      </c>
      <c r="H160" s="41">
        <f>INDEX(환산공식!CI$16:CI$301,MATCH('배치점수 계산기'!$W160,환산공식!$A$16:$A$301,0))</f>
        <v>0</v>
      </c>
      <c r="I160" s="41" t="e">
        <f>CONCATENATE(ROUND(INDEX(환산공식!CJ$16:CJ$301,MATCH('배치점수 계산기'!$W160,환산공식!$A$16:$A$301,0)),1),"%")</f>
        <v>#DIV/0!</v>
      </c>
      <c r="J160" s="41">
        <f>INDEX(환산공식!CK$16:CK$301,MATCH('배치점수 계산기'!$W160,환산공식!$A$16:$A$301,0))</f>
        <v>10</v>
      </c>
      <c r="K160" s="7">
        <f>INDEX(환산공식!$EF$16:$EF$301,MATCH('배치점수 계산기'!W160,환산공식!$A$16:$A$301,0))</f>
        <v>0</v>
      </c>
      <c r="L160" s="41" t="str">
        <f t="shared" si="23"/>
        <v>1% 이하</v>
      </c>
      <c r="M160" s="7">
        <v>659.23428571428576</v>
      </c>
      <c r="N160" s="7">
        <v>657.98428571428576</v>
      </c>
      <c r="O160" s="7">
        <v>655.01502426015782</v>
      </c>
      <c r="P160" s="7">
        <v>653.53354989604986</v>
      </c>
      <c r="Q160" s="7">
        <v>652.16428571428571</v>
      </c>
      <c r="R160" s="7">
        <f t="shared" si="24"/>
        <v>6</v>
      </c>
      <c r="T160" s="7">
        <f>COUNTIF($C$11:C160,C160)</f>
        <v>97</v>
      </c>
      <c r="U160" s="7" t="str">
        <f t="shared" si="26"/>
        <v>가97</v>
      </c>
      <c r="V160" s="7" t="str">
        <f>INDEX(환산공식!$C$16:$C$301,MATCH('배치점수 계산기'!W160,환산공식!$A$16:$A$301,0))</f>
        <v>고려대 통합</v>
      </c>
      <c r="W160" s="7">
        <f t="shared" si="27"/>
        <v>24</v>
      </c>
      <c r="X160" s="7">
        <f t="shared" si="28"/>
        <v>1</v>
      </c>
      <c r="Y160" s="7">
        <f>IFERROR(INDEX(환산공식!Q$16:Q$200,MATCH($A160,환산공식!$A$16:$A$200,0)),"")</f>
        <v>1.7857142857142858</v>
      </c>
      <c r="Z160" s="7">
        <f>IFERROR(INDEX(환산공식!R$16:R$200,MATCH($A160,환산공식!$A$16:$A$200,0)),"")</f>
        <v>1.7857142857142858</v>
      </c>
      <c r="AA160" s="7">
        <f>IFERROR(INDEX(환산공식!U$16:U$200,MATCH($A160,환산공식!$A$16:$A$200,0)),"")</f>
        <v>1.4285714285714286</v>
      </c>
      <c r="AB160" s="7">
        <f t="shared" si="29"/>
        <v>0.35714285714285715</v>
      </c>
      <c r="AC160" s="7">
        <f t="shared" si="30"/>
        <v>0.35714285714285715</v>
      </c>
      <c r="AD160" s="7">
        <f t="shared" si="31"/>
        <v>0.2857142857142857</v>
      </c>
      <c r="AE160" s="7">
        <f>INDEX(환산공식!$AF$16:$AF$301,MATCH('배치점수 계산기'!W160,환산공식!$A$16:$A$301,0))</f>
        <v>1</v>
      </c>
      <c r="AF160" s="7">
        <f>INDEX(환산공식!$AP$16:$AP$301,MATCH('배치점수 계산기'!W160,환산공식!$A$16:$A$301,0))</f>
        <v>4</v>
      </c>
      <c r="AG160" s="7" t="str">
        <f t="shared" si="32"/>
        <v>표점</v>
      </c>
      <c r="AH160" s="7" t="str">
        <f t="shared" si="33"/>
        <v>변표</v>
      </c>
      <c r="BO160" s="210"/>
      <c r="BP160" s="210"/>
      <c r="BQ160" s="210"/>
      <c r="BR160" s="210"/>
      <c r="BS160" s="210"/>
      <c r="BT160" s="210"/>
      <c r="BU160" s="210"/>
      <c r="BV160" s="210"/>
      <c r="BW160" s="210"/>
      <c r="BX160" s="210"/>
      <c r="BY160" s="210"/>
      <c r="BZ160" s="210"/>
      <c r="CA160" s="210"/>
      <c r="CB160" s="210"/>
      <c r="CC160" s="210"/>
      <c r="EM160" s="120"/>
      <c r="ET160" s="210"/>
      <c r="EU160" s="210"/>
      <c r="EV160" s="210"/>
      <c r="EW160" s="210"/>
      <c r="EX160" s="210"/>
      <c r="EY160" s="210"/>
      <c r="EZ160" s="210"/>
      <c r="FA160" s="210"/>
      <c r="FB160" s="210"/>
      <c r="FC160" s="210"/>
      <c r="FD160" s="210"/>
      <c r="FE160" s="210"/>
      <c r="FF160" s="210"/>
      <c r="FG160" s="210"/>
      <c r="FH160" s="210"/>
      <c r="HR160" s="120"/>
      <c r="HY160" s="210"/>
      <c r="HZ160" s="210"/>
      <c r="IA160" s="210"/>
      <c r="IB160" s="210"/>
      <c r="IC160" s="210"/>
      <c r="ID160" s="210"/>
      <c r="IE160" s="210"/>
      <c r="IF160" s="210"/>
      <c r="IG160" s="210"/>
      <c r="IH160" s="210"/>
      <c r="II160" s="210"/>
      <c r="IJ160" s="210"/>
      <c r="IK160" s="210"/>
      <c r="IL160" s="210"/>
      <c r="IM160" s="210"/>
      <c r="KW160" s="120"/>
      <c r="LD160" s="210"/>
      <c r="LE160" s="210"/>
      <c r="LF160" s="210"/>
      <c r="LG160" s="210"/>
      <c r="LH160" s="210"/>
      <c r="LI160" s="210"/>
      <c r="LJ160" s="210"/>
      <c r="LK160" s="210"/>
      <c r="LL160" s="210"/>
      <c r="LM160" s="210"/>
      <c r="LN160" s="210"/>
      <c r="LO160" s="210"/>
      <c r="LP160" s="210"/>
      <c r="LQ160" s="210"/>
      <c r="LR160" s="210"/>
      <c r="OB160" s="120"/>
      <c r="OI160" s="210"/>
      <c r="OJ160" s="210"/>
      <c r="OK160" s="210"/>
      <c r="OL160" s="210"/>
      <c r="OM160" s="210"/>
      <c r="ON160" s="210"/>
      <c r="OO160" s="210"/>
      <c r="OP160" s="210"/>
      <c r="OQ160" s="210"/>
      <c r="OR160" s="210"/>
      <c r="OS160" s="210"/>
      <c r="OT160" s="210"/>
      <c r="OU160" s="210"/>
      <c r="OV160" s="210"/>
      <c r="OW160" s="210"/>
      <c r="RG160" s="120"/>
    </row>
    <row r="161" spans="1:475" x14ac:dyDescent="0.3">
      <c r="A161" s="7">
        <v>24</v>
      </c>
      <c r="B161" s="7">
        <v>151</v>
      </c>
      <c r="C161" s="7" t="s">
        <v>276</v>
      </c>
      <c r="D161" s="7" t="s">
        <v>317</v>
      </c>
      <c r="E161" s="7" t="s">
        <v>264</v>
      </c>
      <c r="F161" s="7" t="s">
        <v>275</v>
      </c>
      <c r="G161" s="41" t="str">
        <f t="shared" si="25"/>
        <v>X</v>
      </c>
      <c r="H161" s="41">
        <f>INDEX(환산공식!CI$16:CI$301,MATCH('배치점수 계산기'!$W161,환산공식!$A$16:$A$301,0))</f>
        <v>0</v>
      </c>
      <c r="I161" s="41" t="e">
        <f>CONCATENATE(ROUND(INDEX(환산공식!CJ$16:CJ$301,MATCH('배치점수 계산기'!$W161,환산공식!$A$16:$A$301,0)),1),"%")</f>
        <v>#DIV/0!</v>
      </c>
      <c r="J161" s="41">
        <f>INDEX(환산공식!CK$16:CK$301,MATCH('배치점수 계산기'!$W161,환산공식!$A$16:$A$301,0))</f>
        <v>10</v>
      </c>
      <c r="K161" s="7">
        <f>INDEX(환산공식!$EF$16:$EF$301,MATCH('배치점수 계산기'!W161,환산공식!$A$16:$A$301,0))</f>
        <v>0</v>
      </c>
      <c r="L161" s="41" t="str">
        <f t="shared" si="23"/>
        <v>1% 이하</v>
      </c>
      <c r="M161" s="7">
        <v>661.48885156937524</v>
      </c>
      <c r="N161" s="7">
        <v>659.23428571428576</v>
      </c>
      <c r="O161" s="7">
        <v>657.15056795955275</v>
      </c>
      <c r="P161" s="7">
        <v>654.24073615538589</v>
      </c>
      <c r="Q161" s="7">
        <v>652.16428571428571</v>
      </c>
      <c r="R161" s="7">
        <f t="shared" si="24"/>
        <v>6</v>
      </c>
      <c r="T161" s="7">
        <f>COUNTIF($C$11:C161,C161)</f>
        <v>98</v>
      </c>
      <c r="U161" s="7" t="str">
        <f t="shared" si="26"/>
        <v>가98</v>
      </c>
      <c r="V161" s="7" t="str">
        <f>INDEX(환산공식!$C$16:$C$301,MATCH('배치점수 계산기'!W161,환산공식!$A$16:$A$301,0))</f>
        <v>고려대 통합</v>
      </c>
      <c r="W161" s="7">
        <f t="shared" si="27"/>
        <v>24</v>
      </c>
      <c r="X161" s="7">
        <f t="shared" si="28"/>
        <v>1</v>
      </c>
      <c r="Y161" s="7">
        <f>IFERROR(INDEX(환산공식!Q$16:Q$200,MATCH($A161,환산공식!$A$16:$A$200,0)),"")</f>
        <v>1.7857142857142858</v>
      </c>
      <c r="Z161" s="7">
        <f>IFERROR(INDEX(환산공식!R$16:R$200,MATCH($A161,환산공식!$A$16:$A$200,0)),"")</f>
        <v>1.7857142857142858</v>
      </c>
      <c r="AA161" s="7">
        <f>IFERROR(INDEX(환산공식!U$16:U$200,MATCH($A161,환산공식!$A$16:$A$200,0)),"")</f>
        <v>1.4285714285714286</v>
      </c>
      <c r="AB161" s="7">
        <f t="shared" si="29"/>
        <v>0.35714285714285715</v>
      </c>
      <c r="AC161" s="7">
        <f t="shared" si="30"/>
        <v>0.35714285714285715</v>
      </c>
      <c r="AD161" s="7">
        <f t="shared" si="31"/>
        <v>0.2857142857142857</v>
      </c>
      <c r="AE161" s="7">
        <f>INDEX(환산공식!$AF$16:$AF$301,MATCH('배치점수 계산기'!W161,환산공식!$A$16:$A$301,0))</f>
        <v>1</v>
      </c>
      <c r="AF161" s="7">
        <f>INDEX(환산공식!$AP$16:$AP$301,MATCH('배치점수 계산기'!W161,환산공식!$A$16:$A$301,0))</f>
        <v>4</v>
      </c>
      <c r="AG161" s="7" t="str">
        <f t="shared" si="32"/>
        <v>표점</v>
      </c>
      <c r="AH161" s="7" t="str">
        <f t="shared" si="33"/>
        <v>변표</v>
      </c>
      <c r="BO161" s="210"/>
      <c r="BP161" s="210"/>
      <c r="BQ161" s="210"/>
      <c r="BR161" s="210"/>
      <c r="BS161" s="210"/>
      <c r="BT161" s="210"/>
      <c r="BU161" s="210"/>
      <c r="BV161" s="210"/>
      <c r="BW161" s="210"/>
      <c r="BX161" s="210"/>
      <c r="BY161" s="210"/>
      <c r="BZ161" s="210"/>
      <c r="CA161" s="210"/>
      <c r="CB161" s="210"/>
      <c r="CC161" s="210"/>
      <c r="EM161" s="120"/>
      <c r="ET161" s="210"/>
      <c r="EU161" s="210"/>
      <c r="EV161" s="210"/>
      <c r="EW161" s="210"/>
      <c r="EX161" s="210"/>
      <c r="EY161" s="210"/>
      <c r="EZ161" s="210"/>
      <c r="FA161" s="210"/>
      <c r="FB161" s="210"/>
      <c r="FC161" s="210"/>
      <c r="FD161" s="210"/>
      <c r="FE161" s="210"/>
      <c r="FF161" s="210"/>
      <c r="FG161" s="210"/>
      <c r="FH161" s="210"/>
      <c r="HR161" s="120"/>
      <c r="HY161" s="210"/>
      <c r="HZ161" s="210"/>
      <c r="IA161" s="210"/>
      <c r="IB161" s="210"/>
      <c r="IC161" s="210"/>
      <c r="ID161" s="210"/>
      <c r="IE161" s="210"/>
      <c r="IF161" s="210"/>
      <c r="IG161" s="210"/>
      <c r="IH161" s="210"/>
      <c r="II161" s="210"/>
      <c r="IJ161" s="210"/>
      <c r="IK161" s="210"/>
      <c r="IL161" s="210"/>
      <c r="IM161" s="210"/>
      <c r="KW161" s="120"/>
      <c r="LD161" s="210"/>
      <c r="LE161" s="210"/>
      <c r="LF161" s="210"/>
      <c r="LG161" s="210"/>
      <c r="LH161" s="210"/>
      <c r="LI161" s="210"/>
      <c r="LJ161" s="210"/>
      <c r="LK161" s="210"/>
      <c r="LL161" s="210"/>
      <c r="LM161" s="210"/>
      <c r="LN161" s="210"/>
      <c r="LO161" s="210"/>
      <c r="LP161" s="210"/>
      <c r="LQ161" s="210"/>
      <c r="LR161" s="210"/>
      <c r="OB161" s="120"/>
      <c r="OI161" s="210"/>
      <c r="OJ161" s="210"/>
      <c r="OK161" s="210"/>
      <c r="OL161" s="210"/>
      <c r="OM161" s="210"/>
      <c r="ON161" s="210"/>
      <c r="OO161" s="210"/>
      <c r="OP161" s="210"/>
      <c r="OQ161" s="210"/>
      <c r="OR161" s="210"/>
      <c r="OS161" s="210"/>
      <c r="OT161" s="210"/>
      <c r="OU161" s="210"/>
      <c r="OV161" s="210"/>
      <c r="OW161" s="210"/>
      <c r="RG161" s="120"/>
    </row>
    <row r="162" spans="1:475" x14ac:dyDescent="0.3">
      <c r="A162" s="7">
        <v>24</v>
      </c>
      <c r="B162" s="7">
        <v>152</v>
      </c>
      <c r="C162" s="7" t="s">
        <v>276</v>
      </c>
      <c r="D162" s="7" t="s">
        <v>317</v>
      </c>
      <c r="E162" s="7" t="s">
        <v>263</v>
      </c>
      <c r="F162" s="7" t="s">
        <v>275</v>
      </c>
      <c r="G162" s="41" t="str">
        <f t="shared" si="25"/>
        <v>X</v>
      </c>
      <c r="H162" s="41">
        <f>INDEX(환산공식!CI$16:CI$301,MATCH('배치점수 계산기'!$W162,환산공식!$A$16:$A$301,0))</f>
        <v>0</v>
      </c>
      <c r="I162" s="41" t="e">
        <f>CONCATENATE(ROUND(INDEX(환산공식!CJ$16:CJ$301,MATCH('배치점수 계산기'!$W162,환산공식!$A$16:$A$301,0)),1),"%")</f>
        <v>#DIV/0!</v>
      </c>
      <c r="J162" s="41">
        <f>INDEX(환산공식!CK$16:CK$301,MATCH('배치점수 계산기'!$W162,환산공식!$A$16:$A$301,0))</f>
        <v>10</v>
      </c>
      <c r="K162" s="7">
        <f>INDEX(환산공식!$EF$16:$EF$301,MATCH('배치점수 계산기'!W162,환산공식!$A$16:$A$301,0))</f>
        <v>0</v>
      </c>
      <c r="L162" s="41" t="str">
        <f t="shared" si="23"/>
        <v>1% 이하</v>
      </c>
      <c r="M162" s="7">
        <v>661.48885156937524</v>
      </c>
      <c r="N162" s="7">
        <v>659.23428571428576</v>
      </c>
      <c r="O162" s="7">
        <v>657.15056795955275</v>
      </c>
      <c r="P162" s="7">
        <v>655.43142857142857</v>
      </c>
      <c r="Q162" s="7">
        <v>653.53354989604986</v>
      </c>
      <c r="R162" s="7">
        <f t="shared" si="24"/>
        <v>6</v>
      </c>
      <c r="T162" s="7">
        <f>COUNTIF($C$11:C162,C162)</f>
        <v>99</v>
      </c>
      <c r="U162" s="7" t="str">
        <f t="shared" si="26"/>
        <v>가99</v>
      </c>
      <c r="V162" s="7" t="str">
        <f>INDEX(환산공식!$C$16:$C$301,MATCH('배치점수 계산기'!W162,환산공식!$A$16:$A$301,0))</f>
        <v>고려대 통합</v>
      </c>
      <c r="W162" s="7">
        <f t="shared" si="27"/>
        <v>24</v>
      </c>
      <c r="X162" s="7">
        <f t="shared" si="28"/>
        <v>1</v>
      </c>
      <c r="Y162" s="7">
        <f>IFERROR(INDEX(환산공식!Q$16:Q$200,MATCH($A162,환산공식!$A$16:$A$200,0)),"")</f>
        <v>1.7857142857142858</v>
      </c>
      <c r="Z162" s="7">
        <f>IFERROR(INDEX(환산공식!R$16:R$200,MATCH($A162,환산공식!$A$16:$A$200,0)),"")</f>
        <v>1.7857142857142858</v>
      </c>
      <c r="AA162" s="7">
        <f>IFERROR(INDEX(환산공식!U$16:U$200,MATCH($A162,환산공식!$A$16:$A$200,0)),"")</f>
        <v>1.4285714285714286</v>
      </c>
      <c r="AB162" s="7">
        <f t="shared" si="29"/>
        <v>0.35714285714285715</v>
      </c>
      <c r="AC162" s="7">
        <f t="shared" si="30"/>
        <v>0.35714285714285715</v>
      </c>
      <c r="AD162" s="7">
        <f t="shared" si="31"/>
        <v>0.2857142857142857</v>
      </c>
      <c r="AE162" s="7">
        <f>INDEX(환산공식!$AF$16:$AF$301,MATCH('배치점수 계산기'!W162,환산공식!$A$16:$A$301,0))</f>
        <v>1</v>
      </c>
      <c r="AF162" s="7">
        <f>INDEX(환산공식!$AP$16:$AP$301,MATCH('배치점수 계산기'!W162,환산공식!$A$16:$A$301,0))</f>
        <v>4</v>
      </c>
      <c r="AG162" s="7" t="str">
        <f t="shared" si="32"/>
        <v>표점</v>
      </c>
      <c r="AH162" s="7" t="str">
        <f t="shared" si="33"/>
        <v>변표</v>
      </c>
      <c r="BO162" s="210"/>
      <c r="BP162" s="210"/>
      <c r="BQ162" s="210"/>
      <c r="BR162" s="210"/>
      <c r="BS162" s="210"/>
      <c r="BT162" s="210"/>
      <c r="BU162" s="210"/>
      <c r="BV162" s="210"/>
      <c r="BW162" s="210"/>
      <c r="BX162" s="210"/>
      <c r="BY162" s="210"/>
      <c r="BZ162" s="210"/>
      <c r="CA162" s="210"/>
      <c r="CB162" s="210"/>
      <c r="CC162" s="210"/>
      <c r="EM162" s="120"/>
      <c r="ET162" s="210"/>
      <c r="EU162" s="210"/>
      <c r="EV162" s="210"/>
      <c r="EW162" s="210"/>
      <c r="EX162" s="210"/>
      <c r="EY162" s="210"/>
      <c r="EZ162" s="210"/>
      <c r="FA162" s="210"/>
      <c r="FB162" s="210"/>
      <c r="FC162" s="210"/>
      <c r="FD162" s="210"/>
      <c r="FE162" s="210"/>
      <c r="FF162" s="210"/>
      <c r="FG162" s="210"/>
      <c r="FH162" s="210"/>
      <c r="HR162" s="120"/>
      <c r="HY162" s="210"/>
      <c r="HZ162" s="210"/>
      <c r="IA162" s="210"/>
      <c r="IB162" s="210"/>
      <c r="IC162" s="210"/>
      <c r="ID162" s="210"/>
      <c r="IE162" s="210"/>
      <c r="IF162" s="210"/>
      <c r="IG162" s="210"/>
      <c r="IH162" s="210"/>
      <c r="II162" s="210"/>
      <c r="IJ162" s="210"/>
      <c r="IK162" s="210"/>
      <c r="IL162" s="210"/>
      <c r="IM162" s="210"/>
      <c r="KW162" s="120"/>
      <c r="LD162" s="210"/>
      <c r="LE162" s="210"/>
      <c r="LF162" s="210"/>
      <c r="LG162" s="210"/>
      <c r="LH162" s="210"/>
      <c r="LI162" s="210"/>
      <c r="LJ162" s="210"/>
      <c r="LK162" s="210"/>
      <c r="LL162" s="210"/>
      <c r="LM162" s="210"/>
      <c r="LN162" s="210"/>
      <c r="LO162" s="210"/>
      <c r="LP162" s="210"/>
      <c r="LQ162" s="210"/>
      <c r="LR162" s="210"/>
      <c r="OB162" s="120"/>
      <c r="OI162" s="210"/>
      <c r="OJ162" s="210"/>
      <c r="OK162" s="210"/>
      <c r="OL162" s="210"/>
      <c r="OM162" s="210"/>
      <c r="ON162" s="210"/>
      <c r="OO162" s="210"/>
      <c r="OP162" s="210"/>
      <c r="OQ162" s="210"/>
      <c r="OR162" s="210"/>
      <c r="OS162" s="210"/>
      <c r="OT162" s="210"/>
      <c r="OU162" s="210"/>
      <c r="OV162" s="210"/>
      <c r="OW162" s="210"/>
      <c r="RG162" s="120"/>
    </row>
    <row r="163" spans="1:475" x14ac:dyDescent="0.3">
      <c r="A163" s="7">
        <v>24</v>
      </c>
      <c r="B163" s="7">
        <v>153</v>
      </c>
      <c r="C163" s="7" t="s">
        <v>276</v>
      </c>
      <c r="D163" s="7" t="s">
        <v>317</v>
      </c>
      <c r="E163" s="7" t="s">
        <v>270</v>
      </c>
      <c r="F163" s="7" t="s">
        <v>275</v>
      </c>
      <c r="G163" s="41" t="str">
        <f t="shared" si="25"/>
        <v>X</v>
      </c>
      <c r="H163" s="41">
        <f>INDEX(환산공식!CI$16:CI$301,MATCH('배치점수 계산기'!$W163,환산공식!$A$16:$A$301,0))</f>
        <v>0</v>
      </c>
      <c r="I163" s="41" t="e">
        <f>CONCATENATE(ROUND(INDEX(환산공식!CJ$16:CJ$301,MATCH('배치점수 계산기'!$W163,환산공식!$A$16:$A$301,0)),1),"%")</f>
        <v>#DIV/0!</v>
      </c>
      <c r="J163" s="41">
        <f>INDEX(환산공식!CK$16:CK$301,MATCH('배치점수 계산기'!$W163,환산공식!$A$16:$A$301,0))</f>
        <v>10</v>
      </c>
      <c r="K163" s="7">
        <f>INDEX(환산공식!$EF$16:$EF$301,MATCH('배치점수 계산기'!W163,환산공식!$A$16:$A$301,0))</f>
        <v>0</v>
      </c>
      <c r="L163" s="41" t="str">
        <f t="shared" si="23"/>
        <v>1% 이하</v>
      </c>
      <c r="M163" s="7">
        <v>656.44371835150616</v>
      </c>
      <c r="N163" s="7">
        <v>655.78857142857134</v>
      </c>
      <c r="O163" s="7">
        <v>653.53354989604986</v>
      </c>
      <c r="P163" s="7">
        <v>652.16428571428571</v>
      </c>
      <c r="Q163" s="7">
        <v>650.98055383697965</v>
      </c>
      <c r="R163" s="7">
        <f t="shared" si="24"/>
        <v>6</v>
      </c>
      <c r="T163" s="7">
        <f>COUNTIF($C$11:C163,C163)</f>
        <v>100</v>
      </c>
      <c r="U163" s="7" t="str">
        <f t="shared" si="26"/>
        <v>가100</v>
      </c>
      <c r="V163" s="7" t="str">
        <f>INDEX(환산공식!$C$16:$C$301,MATCH('배치점수 계산기'!W163,환산공식!$A$16:$A$301,0))</f>
        <v>고려대 통합</v>
      </c>
      <c r="W163" s="7">
        <f t="shared" si="27"/>
        <v>24</v>
      </c>
      <c r="X163" s="7">
        <f t="shared" si="28"/>
        <v>1</v>
      </c>
      <c r="Y163" s="7">
        <f>IFERROR(INDEX(환산공식!Q$16:Q$200,MATCH($A163,환산공식!$A$16:$A$200,0)),"")</f>
        <v>1.7857142857142858</v>
      </c>
      <c r="Z163" s="7">
        <f>IFERROR(INDEX(환산공식!R$16:R$200,MATCH($A163,환산공식!$A$16:$A$200,0)),"")</f>
        <v>1.7857142857142858</v>
      </c>
      <c r="AA163" s="7">
        <f>IFERROR(INDEX(환산공식!U$16:U$200,MATCH($A163,환산공식!$A$16:$A$200,0)),"")</f>
        <v>1.4285714285714286</v>
      </c>
      <c r="AB163" s="7">
        <f t="shared" si="29"/>
        <v>0.35714285714285715</v>
      </c>
      <c r="AC163" s="7">
        <f t="shared" si="30"/>
        <v>0.35714285714285715</v>
      </c>
      <c r="AD163" s="7">
        <f t="shared" si="31"/>
        <v>0.2857142857142857</v>
      </c>
      <c r="AE163" s="7">
        <f>INDEX(환산공식!$AF$16:$AF$301,MATCH('배치점수 계산기'!W163,환산공식!$A$16:$A$301,0))</f>
        <v>1</v>
      </c>
      <c r="AF163" s="7">
        <f>INDEX(환산공식!$AP$16:$AP$301,MATCH('배치점수 계산기'!W163,환산공식!$A$16:$A$301,0))</f>
        <v>4</v>
      </c>
      <c r="AG163" s="7" t="str">
        <f t="shared" si="32"/>
        <v>표점</v>
      </c>
      <c r="AH163" s="7" t="str">
        <f t="shared" si="33"/>
        <v>변표</v>
      </c>
      <c r="BO163" s="210"/>
      <c r="BP163" s="210"/>
      <c r="BQ163" s="210"/>
      <c r="BR163" s="210"/>
      <c r="BS163" s="210"/>
      <c r="BT163" s="210"/>
      <c r="BU163" s="210"/>
      <c r="BV163" s="210"/>
      <c r="BW163" s="210"/>
      <c r="BX163" s="210"/>
      <c r="BY163" s="210"/>
      <c r="BZ163" s="210"/>
      <c r="CA163" s="210"/>
      <c r="CB163" s="210"/>
      <c r="CC163" s="210"/>
      <c r="EM163" s="120"/>
      <c r="ET163" s="210"/>
      <c r="EU163" s="210"/>
      <c r="EV163" s="210"/>
      <c r="EW163" s="210"/>
      <c r="EX163" s="210"/>
      <c r="EY163" s="210"/>
      <c r="EZ163" s="210"/>
      <c r="FA163" s="210"/>
      <c r="FB163" s="210"/>
      <c r="FC163" s="210"/>
      <c r="FD163" s="210"/>
      <c r="FE163" s="210"/>
      <c r="FF163" s="210"/>
      <c r="FG163" s="210"/>
      <c r="FH163" s="210"/>
      <c r="HR163" s="120"/>
      <c r="HY163" s="210"/>
      <c r="HZ163" s="210"/>
      <c r="IA163" s="210"/>
      <c r="IB163" s="210"/>
      <c r="IC163" s="210"/>
      <c r="ID163" s="210"/>
      <c r="IE163" s="210"/>
      <c r="IF163" s="210"/>
      <c r="IG163" s="210"/>
      <c r="IH163" s="210"/>
      <c r="II163" s="210"/>
      <c r="IJ163" s="210"/>
      <c r="IK163" s="210"/>
      <c r="IL163" s="210"/>
      <c r="IM163" s="210"/>
      <c r="KW163" s="120"/>
      <c r="LD163" s="210"/>
      <c r="LE163" s="210"/>
      <c r="LF163" s="210"/>
      <c r="LG163" s="210"/>
      <c r="LH163" s="210"/>
      <c r="LI163" s="210"/>
      <c r="LJ163" s="210"/>
      <c r="LK163" s="210"/>
      <c r="LL163" s="210"/>
      <c r="LM163" s="210"/>
      <c r="LN163" s="210"/>
      <c r="LO163" s="210"/>
      <c r="LP163" s="210"/>
      <c r="LQ163" s="210"/>
      <c r="LR163" s="210"/>
      <c r="OB163" s="120"/>
      <c r="OI163" s="210"/>
      <c r="OJ163" s="210"/>
      <c r="OK163" s="210"/>
      <c r="OL163" s="210"/>
      <c r="OM163" s="210"/>
      <c r="ON163" s="210"/>
      <c r="OO163" s="210"/>
      <c r="OP163" s="210"/>
      <c r="OQ163" s="210"/>
      <c r="OR163" s="210"/>
      <c r="OS163" s="210"/>
      <c r="OT163" s="210"/>
      <c r="OU163" s="210"/>
      <c r="OV163" s="210"/>
      <c r="OW163" s="210"/>
      <c r="RG163" s="120"/>
    </row>
    <row r="164" spans="1:475" x14ac:dyDescent="0.3">
      <c r="A164" s="7">
        <v>24</v>
      </c>
      <c r="B164" s="7">
        <v>154</v>
      </c>
      <c r="C164" s="7" t="s">
        <v>276</v>
      </c>
      <c r="D164" s="7" t="s">
        <v>317</v>
      </c>
      <c r="E164" s="7" t="s">
        <v>308</v>
      </c>
      <c r="F164" s="7" t="s">
        <v>275</v>
      </c>
      <c r="G164" s="41" t="str">
        <f t="shared" si="25"/>
        <v>X</v>
      </c>
      <c r="H164" s="41">
        <f>INDEX(환산공식!CI$16:CI$301,MATCH('배치점수 계산기'!$W164,환산공식!$A$16:$A$301,0))</f>
        <v>0</v>
      </c>
      <c r="I164" s="41" t="e">
        <f>CONCATENATE(ROUND(INDEX(환산공식!CJ$16:CJ$301,MATCH('배치점수 계산기'!$W164,환산공식!$A$16:$A$301,0)),1),"%")</f>
        <v>#DIV/0!</v>
      </c>
      <c r="J164" s="41">
        <f>INDEX(환산공식!CK$16:CK$301,MATCH('배치점수 계산기'!$W164,환산공식!$A$16:$A$301,0))</f>
        <v>10</v>
      </c>
      <c r="K164" s="7">
        <f>INDEX(환산공식!$EF$16:$EF$301,MATCH('배치점수 계산기'!W164,환산공식!$A$16:$A$301,0))</f>
        <v>0</v>
      </c>
      <c r="L164" s="41" t="str">
        <f t="shared" si="23"/>
        <v>1% 이하</v>
      </c>
      <c r="M164" s="7">
        <v>656.14571428571423</v>
      </c>
      <c r="N164" s="7">
        <v>655.01502426015782</v>
      </c>
      <c r="O164" s="7">
        <v>653.53354989604986</v>
      </c>
      <c r="P164" s="7">
        <v>652.16428571428571</v>
      </c>
      <c r="Q164" s="7">
        <v>650.98055383697965</v>
      </c>
      <c r="R164" s="7">
        <f t="shared" si="24"/>
        <v>6</v>
      </c>
      <c r="T164" s="7">
        <f>COUNTIF($C$11:C164,C164)</f>
        <v>101</v>
      </c>
      <c r="U164" s="7" t="str">
        <f t="shared" si="26"/>
        <v>가101</v>
      </c>
      <c r="V164" s="7" t="str">
        <f>INDEX(환산공식!$C$16:$C$301,MATCH('배치점수 계산기'!W164,환산공식!$A$16:$A$301,0))</f>
        <v>고려대 통합</v>
      </c>
      <c r="W164" s="7">
        <f t="shared" si="27"/>
        <v>24</v>
      </c>
      <c r="X164" s="7">
        <f t="shared" si="28"/>
        <v>1</v>
      </c>
      <c r="Y164" s="7">
        <f>IFERROR(INDEX(환산공식!Q$16:Q$200,MATCH($A164,환산공식!$A$16:$A$200,0)),"")</f>
        <v>1.7857142857142858</v>
      </c>
      <c r="Z164" s="7">
        <f>IFERROR(INDEX(환산공식!R$16:R$200,MATCH($A164,환산공식!$A$16:$A$200,0)),"")</f>
        <v>1.7857142857142858</v>
      </c>
      <c r="AA164" s="7">
        <f>IFERROR(INDEX(환산공식!U$16:U$200,MATCH($A164,환산공식!$A$16:$A$200,0)),"")</f>
        <v>1.4285714285714286</v>
      </c>
      <c r="AB164" s="7">
        <f t="shared" si="29"/>
        <v>0.35714285714285715</v>
      </c>
      <c r="AC164" s="7">
        <f t="shared" si="30"/>
        <v>0.35714285714285715</v>
      </c>
      <c r="AD164" s="7">
        <f t="shared" si="31"/>
        <v>0.2857142857142857</v>
      </c>
      <c r="AE164" s="7">
        <f>INDEX(환산공식!$AF$16:$AF$301,MATCH('배치점수 계산기'!W164,환산공식!$A$16:$A$301,0))</f>
        <v>1</v>
      </c>
      <c r="AF164" s="7">
        <f>INDEX(환산공식!$AP$16:$AP$301,MATCH('배치점수 계산기'!W164,환산공식!$A$16:$A$301,0))</f>
        <v>4</v>
      </c>
      <c r="AG164" s="7" t="str">
        <f t="shared" si="32"/>
        <v>표점</v>
      </c>
      <c r="AH164" s="7" t="str">
        <f t="shared" si="33"/>
        <v>변표</v>
      </c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  <c r="CA164" s="210"/>
      <c r="CB164" s="210"/>
      <c r="CC164" s="210"/>
      <c r="EM164" s="120"/>
      <c r="ET164" s="210"/>
      <c r="EU164" s="210"/>
      <c r="EV164" s="210"/>
      <c r="EW164" s="210"/>
      <c r="EX164" s="210"/>
      <c r="EY164" s="210"/>
      <c r="EZ164" s="210"/>
      <c r="FA164" s="210"/>
      <c r="FB164" s="210"/>
      <c r="FC164" s="210"/>
      <c r="FD164" s="210"/>
      <c r="FE164" s="210"/>
      <c r="FF164" s="210"/>
      <c r="FG164" s="210"/>
      <c r="FH164" s="210"/>
      <c r="HR164" s="120"/>
      <c r="HY164" s="210"/>
      <c r="HZ164" s="210"/>
      <c r="IA164" s="210"/>
      <c r="IB164" s="210"/>
      <c r="IC164" s="210"/>
      <c r="ID164" s="210"/>
      <c r="IE164" s="210"/>
      <c r="IF164" s="210"/>
      <c r="IG164" s="210"/>
      <c r="IH164" s="210"/>
      <c r="II164" s="210"/>
      <c r="IJ164" s="210"/>
      <c r="IK164" s="210"/>
      <c r="IL164" s="210"/>
      <c r="IM164" s="210"/>
      <c r="KW164" s="120"/>
      <c r="LD164" s="210"/>
      <c r="LE164" s="210"/>
      <c r="LF164" s="210"/>
      <c r="LG164" s="210"/>
      <c r="LH164" s="210"/>
      <c r="LI164" s="210"/>
      <c r="LJ164" s="210"/>
      <c r="LK164" s="210"/>
      <c r="LL164" s="210"/>
      <c r="LM164" s="210"/>
      <c r="LN164" s="210"/>
      <c r="LO164" s="210"/>
      <c r="LP164" s="210"/>
      <c r="LQ164" s="210"/>
      <c r="LR164" s="210"/>
      <c r="OB164" s="120"/>
      <c r="OI164" s="210"/>
      <c r="OJ164" s="210"/>
      <c r="OK164" s="210"/>
      <c r="OL164" s="210"/>
      <c r="OM164" s="210"/>
      <c r="ON164" s="210"/>
      <c r="OO164" s="210"/>
      <c r="OP164" s="210"/>
      <c r="OQ164" s="210"/>
      <c r="OR164" s="210"/>
      <c r="OS164" s="210"/>
      <c r="OT164" s="210"/>
      <c r="OU164" s="210"/>
      <c r="OV164" s="210"/>
      <c r="OW164" s="210"/>
      <c r="RG164" s="120"/>
    </row>
    <row r="165" spans="1:475" x14ac:dyDescent="0.3">
      <c r="A165" s="7">
        <v>24</v>
      </c>
      <c r="B165" s="7">
        <v>155</v>
      </c>
      <c r="C165" s="7" t="s">
        <v>276</v>
      </c>
      <c r="D165" s="7" t="s">
        <v>317</v>
      </c>
      <c r="E165" s="7" t="s">
        <v>271</v>
      </c>
      <c r="F165" s="7" t="s">
        <v>275</v>
      </c>
      <c r="G165" s="41" t="str">
        <f t="shared" si="25"/>
        <v>X</v>
      </c>
      <c r="H165" s="41">
        <f>INDEX(환산공식!CI$16:CI$301,MATCH('배치점수 계산기'!$W165,환산공식!$A$16:$A$301,0))</f>
        <v>0</v>
      </c>
      <c r="I165" s="41" t="e">
        <f>CONCATENATE(ROUND(INDEX(환산공식!CJ$16:CJ$301,MATCH('배치점수 계산기'!$W165,환산공식!$A$16:$A$301,0)),1),"%")</f>
        <v>#DIV/0!</v>
      </c>
      <c r="J165" s="41">
        <f>INDEX(환산공식!CK$16:CK$301,MATCH('배치점수 계산기'!$W165,환산공식!$A$16:$A$301,0))</f>
        <v>10</v>
      </c>
      <c r="K165" s="7">
        <f>INDEX(환산공식!$EF$16:$EF$301,MATCH('배치점수 계산기'!W165,환산공식!$A$16:$A$301,0))</f>
        <v>0</v>
      </c>
      <c r="L165" s="41" t="str">
        <f t="shared" si="23"/>
        <v>1% 이하</v>
      </c>
      <c r="M165" s="7">
        <v>656.14571428571423</v>
      </c>
      <c r="N165" s="7">
        <v>655.01502426015782</v>
      </c>
      <c r="O165" s="7">
        <v>653.53354989604986</v>
      </c>
      <c r="P165" s="7">
        <v>652.16428571428571</v>
      </c>
      <c r="Q165" s="7">
        <v>650.98055383697965</v>
      </c>
      <c r="R165" s="7">
        <f t="shared" si="24"/>
        <v>6</v>
      </c>
      <c r="T165" s="7">
        <f>COUNTIF($C$11:C165,C165)</f>
        <v>102</v>
      </c>
      <c r="U165" s="7" t="str">
        <f t="shared" si="26"/>
        <v>가102</v>
      </c>
      <c r="V165" s="7" t="str">
        <f>INDEX(환산공식!$C$16:$C$301,MATCH('배치점수 계산기'!W165,환산공식!$A$16:$A$301,0))</f>
        <v>고려대 통합</v>
      </c>
      <c r="W165" s="7">
        <f t="shared" si="27"/>
        <v>24</v>
      </c>
      <c r="X165" s="7">
        <f t="shared" si="28"/>
        <v>1</v>
      </c>
      <c r="Y165" s="7">
        <f>IFERROR(INDEX(환산공식!Q$16:Q$200,MATCH($A165,환산공식!$A$16:$A$200,0)),"")</f>
        <v>1.7857142857142858</v>
      </c>
      <c r="Z165" s="7">
        <f>IFERROR(INDEX(환산공식!R$16:R$200,MATCH($A165,환산공식!$A$16:$A$200,0)),"")</f>
        <v>1.7857142857142858</v>
      </c>
      <c r="AA165" s="7">
        <f>IFERROR(INDEX(환산공식!U$16:U$200,MATCH($A165,환산공식!$A$16:$A$200,0)),"")</f>
        <v>1.4285714285714286</v>
      </c>
      <c r="AB165" s="7">
        <f t="shared" si="29"/>
        <v>0.35714285714285715</v>
      </c>
      <c r="AC165" s="7">
        <f t="shared" si="30"/>
        <v>0.35714285714285715</v>
      </c>
      <c r="AD165" s="7">
        <f t="shared" si="31"/>
        <v>0.2857142857142857</v>
      </c>
      <c r="AE165" s="7">
        <f>INDEX(환산공식!$AF$16:$AF$301,MATCH('배치점수 계산기'!W165,환산공식!$A$16:$A$301,0))</f>
        <v>1</v>
      </c>
      <c r="AF165" s="7">
        <f>INDEX(환산공식!$AP$16:$AP$301,MATCH('배치점수 계산기'!W165,환산공식!$A$16:$A$301,0))</f>
        <v>4</v>
      </c>
      <c r="AG165" s="7" t="str">
        <f t="shared" si="32"/>
        <v>표점</v>
      </c>
      <c r="AH165" s="7" t="str">
        <f t="shared" si="33"/>
        <v>변표</v>
      </c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  <c r="CA165" s="210"/>
      <c r="CB165" s="210"/>
      <c r="CC165" s="210"/>
      <c r="EM165" s="120"/>
      <c r="ET165" s="210"/>
      <c r="EU165" s="210"/>
      <c r="EV165" s="210"/>
      <c r="EW165" s="210"/>
      <c r="EX165" s="210"/>
      <c r="EY165" s="210"/>
      <c r="EZ165" s="210"/>
      <c r="FA165" s="210"/>
      <c r="FB165" s="210"/>
      <c r="FC165" s="210"/>
      <c r="FD165" s="210"/>
      <c r="FE165" s="210"/>
      <c r="FF165" s="210"/>
      <c r="FG165" s="210"/>
      <c r="FH165" s="210"/>
      <c r="HR165" s="120"/>
      <c r="HY165" s="210"/>
      <c r="HZ165" s="210"/>
      <c r="IA165" s="210"/>
      <c r="IB165" s="210"/>
      <c r="IC165" s="210"/>
      <c r="ID165" s="210"/>
      <c r="IE165" s="210"/>
      <c r="IF165" s="210"/>
      <c r="IG165" s="210"/>
      <c r="IH165" s="210"/>
      <c r="II165" s="210"/>
      <c r="IJ165" s="210"/>
      <c r="IK165" s="210"/>
      <c r="IL165" s="210"/>
      <c r="IM165" s="210"/>
      <c r="KW165" s="120"/>
      <c r="LD165" s="210"/>
      <c r="LE165" s="210"/>
      <c r="LF165" s="210"/>
      <c r="LG165" s="210"/>
      <c r="LH165" s="210"/>
      <c r="LI165" s="210"/>
      <c r="LJ165" s="210"/>
      <c r="LK165" s="210"/>
      <c r="LL165" s="210"/>
      <c r="LM165" s="210"/>
      <c r="LN165" s="210"/>
      <c r="LO165" s="210"/>
      <c r="LP165" s="210"/>
      <c r="LQ165" s="210"/>
      <c r="LR165" s="210"/>
      <c r="OB165" s="120"/>
      <c r="OI165" s="210"/>
      <c r="OJ165" s="210"/>
      <c r="OK165" s="210"/>
      <c r="OL165" s="210"/>
      <c r="OM165" s="210"/>
      <c r="ON165" s="210"/>
      <c r="OO165" s="210"/>
      <c r="OP165" s="210"/>
      <c r="OQ165" s="210"/>
      <c r="OR165" s="210"/>
      <c r="OS165" s="210"/>
      <c r="OT165" s="210"/>
      <c r="OU165" s="210"/>
      <c r="OV165" s="210"/>
      <c r="OW165" s="210"/>
      <c r="RG165" s="120"/>
    </row>
    <row r="166" spans="1:475" x14ac:dyDescent="0.3">
      <c r="A166" s="7">
        <v>24</v>
      </c>
      <c r="B166" s="7">
        <v>156</v>
      </c>
      <c r="C166" s="7" t="s">
        <v>276</v>
      </c>
      <c r="D166" s="7" t="s">
        <v>317</v>
      </c>
      <c r="E166" s="7" t="s">
        <v>272</v>
      </c>
      <c r="F166" s="7" t="s">
        <v>275</v>
      </c>
      <c r="G166" s="41" t="str">
        <f t="shared" si="25"/>
        <v>X</v>
      </c>
      <c r="H166" s="41">
        <f>INDEX(환산공식!CI$16:CI$301,MATCH('배치점수 계산기'!$W166,환산공식!$A$16:$A$301,0))</f>
        <v>0</v>
      </c>
      <c r="I166" s="41" t="e">
        <f>CONCATENATE(ROUND(INDEX(환산공식!CJ$16:CJ$301,MATCH('배치점수 계산기'!$W166,환산공식!$A$16:$A$301,0)),1),"%")</f>
        <v>#DIV/0!</v>
      </c>
      <c r="J166" s="41">
        <f>INDEX(환산공식!CK$16:CK$301,MATCH('배치점수 계산기'!$W166,환산공식!$A$16:$A$301,0))</f>
        <v>10</v>
      </c>
      <c r="K166" s="7">
        <f>INDEX(환산공식!$EF$16:$EF$301,MATCH('배치점수 계산기'!W166,환산공식!$A$16:$A$301,0))</f>
        <v>0</v>
      </c>
      <c r="L166" s="41" t="str">
        <f t="shared" si="23"/>
        <v>1% 이하</v>
      </c>
      <c r="M166" s="7">
        <v>655.01502426015782</v>
      </c>
      <c r="N166" s="7">
        <v>654.24073615538589</v>
      </c>
      <c r="O166" s="7">
        <v>653.53354989604986</v>
      </c>
      <c r="P166" s="7">
        <v>652.69999999999993</v>
      </c>
      <c r="Q166" s="7">
        <v>651.50946177324499</v>
      </c>
      <c r="R166" s="7">
        <f t="shared" si="24"/>
        <v>6</v>
      </c>
      <c r="T166" s="7">
        <f>COUNTIF($C$11:C166,C166)</f>
        <v>103</v>
      </c>
      <c r="U166" s="7" t="str">
        <f t="shared" si="26"/>
        <v>가103</v>
      </c>
      <c r="V166" s="7" t="str">
        <f>INDEX(환산공식!$C$16:$C$301,MATCH('배치점수 계산기'!W166,환산공식!$A$16:$A$301,0))</f>
        <v>고려대 통합</v>
      </c>
      <c r="W166" s="7">
        <f t="shared" si="27"/>
        <v>24</v>
      </c>
      <c r="X166" s="7">
        <f t="shared" si="28"/>
        <v>1</v>
      </c>
      <c r="Y166" s="7">
        <f>IFERROR(INDEX(환산공식!Q$16:Q$200,MATCH($A166,환산공식!$A$16:$A$200,0)),"")</f>
        <v>1.7857142857142858</v>
      </c>
      <c r="Z166" s="7">
        <f>IFERROR(INDEX(환산공식!R$16:R$200,MATCH($A166,환산공식!$A$16:$A$200,0)),"")</f>
        <v>1.7857142857142858</v>
      </c>
      <c r="AA166" s="7">
        <f>IFERROR(INDEX(환산공식!U$16:U$200,MATCH($A166,환산공식!$A$16:$A$200,0)),"")</f>
        <v>1.4285714285714286</v>
      </c>
      <c r="AB166" s="7">
        <f t="shared" si="29"/>
        <v>0.35714285714285715</v>
      </c>
      <c r="AC166" s="7">
        <f t="shared" si="30"/>
        <v>0.35714285714285715</v>
      </c>
      <c r="AD166" s="7">
        <f t="shared" si="31"/>
        <v>0.2857142857142857</v>
      </c>
      <c r="AE166" s="7">
        <f>INDEX(환산공식!$AF$16:$AF$301,MATCH('배치점수 계산기'!W166,환산공식!$A$16:$A$301,0))</f>
        <v>1</v>
      </c>
      <c r="AF166" s="7">
        <f>INDEX(환산공식!$AP$16:$AP$301,MATCH('배치점수 계산기'!W166,환산공식!$A$16:$A$301,0))</f>
        <v>4</v>
      </c>
      <c r="AG166" s="7" t="str">
        <f t="shared" si="32"/>
        <v>표점</v>
      </c>
      <c r="AH166" s="7" t="str">
        <f t="shared" si="33"/>
        <v>변표</v>
      </c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  <c r="CA166" s="210"/>
      <c r="CB166" s="210"/>
      <c r="CC166" s="210"/>
      <c r="EM166" s="120"/>
      <c r="ET166" s="210"/>
      <c r="EU166" s="210"/>
      <c r="EV166" s="210"/>
      <c r="EW166" s="210"/>
      <c r="EX166" s="210"/>
      <c r="EY166" s="210"/>
      <c r="EZ166" s="210"/>
      <c r="FA166" s="210"/>
      <c r="FB166" s="210"/>
      <c r="FC166" s="210"/>
      <c r="FD166" s="210"/>
      <c r="FE166" s="210"/>
      <c r="FF166" s="210"/>
      <c r="FG166" s="210"/>
      <c r="FH166" s="210"/>
      <c r="HR166" s="120"/>
      <c r="HY166" s="210"/>
      <c r="HZ166" s="210"/>
      <c r="IA166" s="210"/>
      <c r="IB166" s="210"/>
      <c r="IC166" s="210"/>
      <c r="ID166" s="210"/>
      <c r="IE166" s="210"/>
      <c r="IF166" s="210"/>
      <c r="IG166" s="210"/>
      <c r="IH166" s="210"/>
      <c r="II166" s="210"/>
      <c r="IJ166" s="210"/>
      <c r="IK166" s="210"/>
      <c r="IL166" s="210"/>
      <c r="IM166" s="210"/>
      <c r="KW166" s="120"/>
      <c r="LD166" s="210"/>
      <c r="LE166" s="210"/>
      <c r="LF166" s="210"/>
      <c r="LG166" s="210"/>
      <c r="LH166" s="210"/>
      <c r="LI166" s="210"/>
      <c r="LJ166" s="210"/>
      <c r="LK166" s="210"/>
      <c r="LL166" s="210"/>
      <c r="LM166" s="210"/>
      <c r="LN166" s="210"/>
      <c r="LO166" s="210"/>
      <c r="LP166" s="210"/>
      <c r="LQ166" s="210"/>
      <c r="LR166" s="210"/>
      <c r="OB166" s="120"/>
      <c r="OI166" s="210"/>
      <c r="OJ166" s="210"/>
      <c r="OK166" s="210"/>
      <c r="OL166" s="210"/>
      <c r="OM166" s="210"/>
      <c r="ON166" s="210"/>
      <c r="OO166" s="210"/>
      <c r="OP166" s="210"/>
      <c r="OQ166" s="210"/>
      <c r="OR166" s="210"/>
      <c r="OS166" s="210"/>
      <c r="OT166" s="210"/>
      <c r="OU166" s="210"/>
      <c r="OV166" s="210"/>
      <c r="OW166" s="210"/>
      <c r="RG166" s="120"/>
    </row>
    <row r="167" spans="1:475" x14ac:dyDescent="0.3">
      <c r="A167" s="7">
        <v>24</v>
      </c>
      <c r="B167" s="7">
        <v>157</v>
      </c>
      <c r="C167" s="7" t="s">
        <v>276</v>
      </c>
      <c r="D167" s="7" t="s">
        <v>317</v>
      </c>
      <c r="E167" s="7" t="s">
        <v>307</v>
      </c>
      <c r="F167" s="7" t="s">
        <v>275</v>
      </c>
      <c r="G167" s="41" t="str">
        <f t="shared" si="25"/>
        <v>X</v>
      </c>
      <c r="H167" s="41">
        <f>INDEX(환산공식!CI$16:CI$301,MATCH('배치점수 계산기'!$W167,환산공식!$A$16:$A$301,0))</f>
        <v>0</v>
      </c>
      <c r="I167" s="41" t="e">
        <f>CONCATENATE(ROUND(INDEX(환산공식!CJ$16:CJ$301,MATCH('배치점수 계산기'!$W167,환산공식!$A$16:$A$301,0)),1),"%")</f>
        <v>#DIV/0!</v>
      </c>
      <c r="J167" s="41">
        <f>INDEX(환산공식!CK$16:CK$301,MATCH('배치점수 계산기'!$W167,환산공식!$A$16:$A$301,0))</f>
        <v>10</v>
      </c>
      <c r="K167" s="7">
        <f>INDEX(환산공식!$EF$16:$EF$301,MATCH('배치점수 계산기'!W167,환산공식!$A$16:$A$301,0))</f>
        <v>0</v>
      </c>
      <c r="L167" s="41" t="str">
        <f t="shared" si="23"/>
        <v>1% 이하</v>
      </c>
      <c r="M167" s="7">
        <v>656.14571428571423</v>
      </c>
      <c r="N167" s="7">
        <v>654.89571428571423</v>
      </c>
      <c r="O167" s="7">
        <v>652.87857142857149</v>
      </c>
      <c r="P167" s="7">
        <v>651.50946177324499</v>
      </c>
      <c r="Q167" s="7">
        <v>650.3257142857143</v>
      </c>
      <c r="R167" s="7">
        <f t="shared" si="24"/>
        <v>6</v>
      </c>
      <c r="T167" s="7">
        <f>COUNTIF($C$11:C167,C167)</f>
        <v>104</v>
      </c>
      <c r="U167" s="7" t="str">
        <f t="shared" si="26"/>
        <v>가104</v>
      </c>
      <c r="V167" s="7" t="str">
        <f>INDEX(환산공식!$C$16:$C$301,MATCH('배치점수 계산기'!W167,환산공식!$A$16:$A$301,0))</f>
        <v>고려대 통합</v>
      </c>
      <c r="W167" s="7">
        <f t="shared" si="27"/>
        <v>24</v>
      </c>
      <c r="X167" s="7">
        <f t="shared" si="28"/>
        <v>1</v>
      </c>
      <c r="Y167" s="7">
        <f>IFERROR(INDEX(환산공식!Q$16:Q$200,MATCH($A167,환산공식!$A$16:$A$200,0)),"")</f>
        <v>1.7857142857142858</v>
      </c>
      <c r="Z167" s="7">
        <f>IFERROR(INDEX(환산공식!R$16:R$200,MATCH($A167,환산공식!$A$16:$A$200,0)),"")</f>
        <v>1.7857142857142858</v>
      </c>
      <c r="AA167" s="7">
        <f>IFERROR(INDEX(환산공식!U$16:U$200,MATCH($A167,환산공식!$A$16:$A$200,0)),"")</f>
        <v>1.4285714285714286</v>
      </c>
      <c r="AB167" s="7">
        <f t="shared" si="29"/>
        <v>0.35714285714285715</v>
      </c>
      <c r="AC167" s="7">
        <f t="shared" si="30"/>
        <v>0.35714285714285715</v>
      </c>
      <c r="AD167" s="7">
        <f t="shared" si="31"/>
        <v>0.2857142857142857</v>
      </c>
      <c r="AE167" s="7">
        <f>INDEX(환산공식!$AF$16:$AF$301,MATCH('배치점수 계산기'!W167,환산공식!$A$16:$A$301,0))</f>
        <v>1</v>
      </c>
      <c r="AF167" s="7">
        <f>INDEX(환산공식!$AP$16:$AP$301,MATCH('배치점수 계산기'!W167,환산공식!$A$16:$A$301,0))</f>
        <v>4</v>
      </c>
      <c r="AG167" s="7" t="str">
        <f t="shared" si="32"/>
        <v>표점</v>
      </c>
      <c r="AH167" s="7" t="str">
        <f t="shared" si="33"/>
        <v>변표</v>
      </c>
      <c r="BO167" s="210"/>
      <c r="BP167" s="210"/>
      <c r="BQ167" s="210"/>
      <c r="BR167" s="210"/>
      <c r="BS167" s="210"/>
      <c r="BT167" s="210"/>
      <c r="BU167" s="210"/>
      <c r="BV167" s="210"/>
      <c r="BW167" s="210"/>
      <c r="BX167" s="210"/>
      <c r="BY167" s="210"/>
      <c r="BZ167" s="210"/>
      <c r="CA167" s="210"/>
      <c r="CB167" s="210"/>
      <c r="CC167" s="210"/>
      <c r="EM167" s="120"/>
      <c r="ET167" s="210"/>
      <c r="EU167" s="210"/>
      <c r="EV167" s="210"/>
      <c r="EW167" s="210"/>
      <c r="EX167" s="210"/>
      <c r="EY167" s="210"/>
      <c r="EZ167" s="210"/>
      <c r="FA167" s="210"/>
      <c r="FB167" s="210"/>
      <c r="FC167" s="210"/>
      <c r="FD167" s="210"/>
      <c r="FE167" s="210"/>
      <c r="FF167" s="210"/>
      <c r="FG167" s="210"/>
      <c r="FH167" s="210"/>
      <c r="HR167" s="120"/>
      <c r="HY167" s="210"/>
      <c r="HZ167" s="210"/>
      <c r="IA167" s="210"/>
      <c r="IB167" s="210"/>
      <c r="IC167" s="210"/>
      <c r="ID167" s="210"/>
      <c r="IE167" s="210"/>
      <c r="IF167" s="210"/>
      <c r="IG167" s="210"/>
      <c r="IH167" s="210"/>
      <c r="II167" s="210"/>
      <c r="IJ167" s="210"/>
      <c r="IK167" s="210"/>
      <c r="IL167" s="210"/>
      <c r="IM167" s="210"/>
      <c r="KW167" s="120"/>
      <c r="LD167" s="210"/>
      <c r="LE167" s="210"/>
      <c r="LF167" s="210"/>
      <c r="LG167" s="210"/>
      <c r="LH167" s="210"/>
      <c r="LI167" s="210"/>
      <c r="LJ167" s="210"/>
      <c r="LK167" s="210"/>
      <c r="LL167" s="210"/>
      <c r="LM167" s="210"/>
      <c r="LN167" s="210"/>
      <c r="LO167" s="210"/>
      <c r="LP167" s="210"/>
      <c r="LQ167" s="210"/>
      <c r="LR167" s="210"/>
      <c r="OB167" s="120"/>
      <c r="OI167" s="210"/>
      <c r="OJ167" s="210"/>
      <c r="OK167" s="210"/>
      <c r="OL167" s="210"/>
      <c r="OM167" s="210"/>
      <c r="ON167" s="210"/>
      <c r="OO167" s="210"/>
      <c r="OP167" s="210"/>
      <c r="OQ167" s="210"/>
      <c r="OR167" s="210"/>
      <c r="OS167" s="210"/>
      <c r="OT167" s="210"/>
      <c r="OU167" s="210"/>
      <c r="OV167" s="210"/>
      <c r="OW167" s="210"/>
      <c r="RG167" s="120"/>
    </row>
    <row r="168" spans="1:475" x14ac:dyDescent="0.3">
      <c r="A168" s="7">
        <v>24</v>
      </c>
      <c r="B168" s="7">
        <v>158</v>
      </c>
      <c r="C168" s="7" t="s">
        <v>276</v>
      </c>
      <c r="D168" s="7" t="s">
        <v>317</v>
      </c>
      <c r="E168" s="7" t="s">
        <v>339</v>
      </c>
      <c r="F168" s="7" t="s">
        <v>275</v>
      </c>
      <c r="G168" s="41" t="str">
        <f t="shared" si="25"/>
        <v>X</v>
      </c>
      <c r="H168" s="41">
        <f>INDEX(환산공식!CI$16:CI$301,MATCH('배치점수 계산기'!$W168,환산공식!$A$16:$A$301,0))</f>
        <v>0</v>
      </c>
      <c r="I168" s="41" t="e">
        <f>CONCATENATE(ROUND(INDEX(환산공식!CJ$16:CJ$301,MATCH('배치점수 계산기'!$W168,환산공식!$A$16:$A$301,0)),1),"%")</f>
        <v>#DIV/0!</v>
      </c>
      <c r="J168" s="41">
        <f>INDEX(환산공식!CK$16:CK$301,MATCH('배치점수 계산기'!$W168,환산공식!$A$16:$A$301,0))</f>
        <v>10</v>
      </c>
      <c r="K168" s="7">
        <f>INDEX(환산공식!$EF$16:$EF$301,MATCH('배치점수 계산기'!W168,환산공식!$A$16:$A$301,0))</f>
        <v>0</v>
      </c>
      <c r="L168" s="41" t="str">
        <f t="shared" si="23"/>
        <v>1% 이하</v>
      </c>
      <c r="M168" s="7">
        <v>656.14571428571423</v>
      </c>
      <c r="N168" s="7">
        <v>654.89571428571423</v>
      </c>
      <c r="O168" s="7">
        <v>653.35496305098593</v>
      </c>
      <c r="P168" s="7">
        <v>652.16428571428571</v>
      </c>
      <c r="Q168" s="7">
        <v>651.21857142857141</v>
      </c>
      <c r="R168" s="7">
        <f t="shared" si="24"/>
        <v>6</v>
      </c>
      <c r="T168" s="7">
        <f>COUNTIF($C$11:C168,C168)</f>
        <v>105</v>
      </c>
      <c r="U168" s="7" t="str">
        <f t="shared" si="26"/>
        <v>가105</v>
      </c>
      <c r="V168" s="7" t="str">
        <f>INDEX(환산공식!$C$16:$C$301,MATCH('배치점수 계산기'!W168,환산공식!$A$16:$A$301,0))</f>
        <v>고려대 통합</v>
      </c>
      <c r="W168" s="7">
        <f t="shared" si="27"/>
        <v>24</v>
      </c>
      <c r="X168" s="7">
        <f t="shared" si="28"/>
        <v>1</v>
      </c>
      <c r="Y168" s="7">
        <f>IFERROR(INDEX(환산공식!Q$16:Q$200,MATCH($A168,환산공식!$A$16:$A$200,0)),"")</f>
        <v>1.7857142857142858</v>
      </c>
      <c r="Z168" s="7">
        <f>IFERROR(INDEX(환산공식!R$16:R$200,MATCH($A168,환산공식!$A$16:$A$200,0)),"")</f>
        <v>1.7857142857142858</v>
      </c>
      <c r="AA168" s="7">
        <f>IFERROR(INDEX(환산공식!U$16:U$200,MATCH($A168,환산공식!$A$16:$A$200,0)),"")</f>
        <v>1.4285714285714286</v>
      </c>
      <c r="AB168" s="7">
        <f t="shared" si="29"/>
        <v>0.35714285714285715</v>
      </c>
      <c r="AC168" s="7">
        <f t="shared" si="30"/>
        <v>0.35714285714285715</v>
      </c>
      <c r="AD168" s="7">
        <f t="shared" si="31"/>
        <v>0.2857142857142857</v>
      </c>
      <c r="AE168" s="7">
        <f>INDEX(환산공식!$AF$16:$AF$301,MATCH('배치점수 계산기'!W168,환산공식!$A$16:$A$301,0))</f>
        <v>1</v>
      </c>
      <c r="AF168" s="7">
        <f>INDEX(환산공식!$AP$16:$AP$301,MATCH('배치점수 계산기'!W168,환산공식!$A$16:$A$301,0))</f>
        <v>4</v>
      </c>
      <c r="AG168" s="7" t="str">
        <f t="shared" si="32"/>
        <v>표점</v>
      </c>
      <c r="AH168" s="7" t="str">
        <f t="shared" si="33"/>
        <v>변표</v>
      </c>
      <c r="BO168" s="210"/>
      <c r="BP168" s="210"/>
      <c r="BQ168" s="210"/>
      <c r="BR168" s="210"/>
      <c r="BS168" s="210"/>
      <c r="BT168" s="210"/>
      <c r="BU168" s="210"/>
      <c r="BV168" s="210"/>
      <c r="BW168" s="210"/>
      <c r="BX168" s="210"/>
      <c r="BY168" s="210"/>
      <c r="BZ168" s="210"/>
      <c r="CA168" s="210"/>
      <c r="CB168" s="210"/>
      <c r="CC168" s="210"/>
      <c r="EM168" s="120"/>
      <c r="ET168" s="210"/>
      <c r="EU168" s="210"/>
      <c r="EV168" s="210"/>
      <c r="EW168" s="210"/>
      <c r="EX168" s="210"/>
      <c r="EY168" s="210"/>
      <c r="EZ168" s="210"/>
      <c r="FA168" s="210"/>
      <c r="FB168" s="210"/>
      <c r="FC168" s="210"/>
      <c r="FD168" s="210"/>
      <c r="FE168" s="210"/>
      <c r="FF168" s="210"/>
      <c r="FG168" s="210"/>
      <c r="FH168" s="210"/>
      <c r="HR168" s="120"/>
      <c r="HY168" s="210"/>
      <c r="HZ168" s="210"/>
      <c r="IA168" s="210"/>
      <c r="IB168" s="210"/>
      <c r="IC168" s="210"/>
      <c r="ID168" s="210"/>
      <c r="IE168" s="210"/>
      <c r="IF168" s="210"/>
      <c r="IG168" s="210"/>
      <c r="IH168" s="210"/>
      <c r="II168" s="210"/>
      <c r="IJ168" s="210"/>
      <c r="IK168" s="210"/>
      <c r="IL168" s="210"/>
      <c r="IM168" s="210"/>
      <c r="KW168" s="120"/>
      <c r="LD168" s="210"/>
      <c r="LE168" s="210"/>
      <c r="LF168" s="210"/>
      <c r="LG168" s="210"/>
      <c r="LH168" s="210"/>
      <c r="LI168" s="210"/>
      <c r="LJ168" s="210"/>
      <c r="LK168" s="210"/>
      <c r="LL168" s="210"/>
      <c r="LM168" s="210"/>
      <c r="LN168" s="210"/>
      <c r="LO168" s="210"/>
      <c r="LP168" s="210"/>
      <c r="LQ168" s="210"/>
      <c r="LR168" s="210"/>
      <c r="OB168" s="120"/>
      <c r="OI168" s="210"/>
      <c r="OJ168" s="210"/>
      <c r="OK168" s="210"/>
      <c r="OL168" s="210"/>
      <c r="OM168" s="210"/>
      <c r="ON168" s="210"/>
      <c r="OO168" s="210"/>
      <c r="OP168" s="210"/>
      <c r="OQ168" s="210"/>
      <c r="OR168" s="210"/>
      <c r="OS168" s="210"/>
      <c r="OT168" s="210"/>
      <c r="OU168" s="210"/>
      <c r="OV168" s="210"/>
      <c r="OW168" s="210"/>
      <c r="RG168" s="120"/>
    </row>
    <row r="169" spans="1:475" x14ac:dyDescent="0.3">
      <c r="A169" s="7">
        <v>24</v>
      </c>
      <c r="B169" s="7">
        <v>159</v>
      </c>
      <c r="C169" s="7" t="s">
        <v>276</v>
      </c>
      <c r="D169" s="7" t="s">
        <v>317</v>
      </c>
      <c r="E169" s="7" t="s">
        <v>310</v>
      </c>
      <c r="F169" s="7" t="s">
        <v>275</v>
      </c>
      <c r="G169" s="41" t="str">
        <f t="shared" si="25"/>
        <v>X</v>
      </c>
      <c r="H169" s="41">
        <f>INDEX(환산공식!CI$16:CI$301,MATCH('배치점수 계산기'!$W169,환산공식!$A$16:$A$301,0))</f>
        <v>0</v>
      </c>
      <c r="I169" s="41" t="e">
        <f>CONCATENATE(ROUND(INDEX(환산공식!CJ$16:CJ$301,MATCH('배치점수 계산기'!$W169,환산공식!$A$16:$A$301,0)),1),"%")</f>
        <v>#DIV/0!</v>
      </c>
      <c r="J169" s="41">
        <f>INDEX(환산공식!CK$16:CK$301,MATCH('배치점수 계산기'!$W169,환산공식!$A$16:$A$301,0))</f>
        <v>10</v>
      </c>
      <c r="K169" s="7">
        <f>INDEX(환산공식!$EF$16:$EF$301,MATCH('배치점수 계산기'!W169,환산공식!$A$16:$A$301,0))</f>
        <v>0</v>
      </c>
      <c r="L169" s="41" t="str">
        <f t="shared" si="23"/>
        <v>1% 이하</v>
      </c>
      <c r="M169" s="7">
        <v>655.78857142857134</v>
      </c>
      <c r="N169" s="7">
        <v>654.24073615538589</v>
      </c>
      <c r="O169" s="7">
        <v>652.87857142857149</v>
      </c>
      <c r="P169" s="7">
        <v>651.98571428571438</v>
      </c>
      <c r="Q169" s="7">
        <v>650.98055383697965</v>
      </c>
      <c r="R169" s="7">
        <f t="shared" si="24"/>
        <v>6</v>
      </c>
      <c r="T169" s="7">
        <f>COUNTIF($C$11:C169,C169)</f>
        <v>106</v>
      </c>
      <c r="U169" s="7" t="str">
        <f t="shared" si="26"/>
        <v>가106</v>
      </c>
      <c r="V169" s="7" t="str">
        <f>INDEX(환산공식!$C$16:$C$301,MATCH('배치점수 계산기'!W169,환산공식!$A$16:$A$301,0))</f>
        <v>고려대 통합</v>
      </c>
      <c r="W169" s="7">
        <f t="shared" si="27"/>
        <v>24</v>
      </c>
      <c r="X169" s="7">
        <f t="shared" si="28"/>
        <v>1</v>
      </c>
      <c r="Y169" s="7">
        <f>IFERROR(INDEX(환산공식!Q$16:Q$200,MATCH($A169,환산공식!$A$16:$A$200,0)),"")</f>
        <v>1.7857142857142858</v>
      </c>
      <c r="Z169" s="7">
        <f>IFERROR(INDEX(환산공식!R$16:R$200,MATCH($A169,환산공식!$A$16:$A$200,0)),"")</f>
        <v>1.7857142857142858</v>
      </c>
      <c r="AA169" s="7">
        <f>IFERROR(INDEX(환산공식!U$16:U$200,MATCH($A169,환산공식!$A$16:$A$200,0)),"")</f>
        <v>1.4285714285714286</v>
      </c>
      <c r="AB169" s="7">
        <f t="shared" si="29"/>
        <v>0.35714285714285715</v>
      </c>
      <c r="AC169" s="7">
        <f t="shared" si="30"/>
        <v>0.35714285714285715</v>
      </c>
      <c r="AD169" s="7">
        <f t="shared" si="31"/>
        <v>0.2857142857142857</v>
      </c>
      <c r="AE169" s="7">
        <f>INDEX(환산공식!$AF$16:$AF$301,MATCH('배치점수 계산기'!W169,환산공식!$A$16:$A$301,0))</f>
        <v>1</v>
      </c>
      <c r="AF169" s="7">
        <f>INDEX(환산공식!$AP$16:$AP$301,MATCH('배치점수 계산기'!W169,환산공식!$A$16:$A$301,0))</f>
        <v>4</v>
      </c>
      <c r="AG169" s="7" t="str">
        <f t="shared" si="32"/>
        <v>표점</v>
      </c>
      <c r="AH169" s="7" t="str">
        <f t="shared" si="33"/>
        <v>변표</v>
      </c>
      <c r="BO169" s="210"/>
      <c r="BP169" s="210"/>
      <c r="BQ169" s="210"/>
      <c r="BR169" s="210"/>
      <c r="BS169" s="210"/>
      <c r="BT169" s="210"/>
      <c r="BU169" s="210"/>
      <c r="BV169" s="210"/>
      <c r="BW169" s="210"/>
      <c r="BX169" s="210"/>
      <c r="BY169" s="210"/>
      <c r="BZ169" s="210"/>
      <c r="CA169" s="210"/>
      <c r="CB169" s="210"/>
      <c r="CC169" s="210"/>
      <c r="EM169" s="120"/>
      <c r="ET169" s="210"/>
      <c r="EU169" s="210"/>
      <c r="EV169" s="210"/>
      <c r="EW169" s="210"/>
      <c r="EX169" s="210"/>
      <c r="EY169" s="210"/>
      <c r="EZ169" s="210"/>
      <c r="FA169" s="210"/>
      <c r="FB169" s="210"/>
      <c r="FC169" s="210"/>
      <c r="FD169" s="210"/>
      <c r="FE169" s="210"/>
      <c r="FF169" s="210"/>
      <c r="FG169" s="210"/>
      <c r="FH169" s="210"/>
      <c r="HR169" s="120"/>
      <c r="HY169" s="210"/>
      <c r="HZ169" s="210"/>
      <c r="IA169" s="210"/>
      <c r="IB169" s="210"/>
      <c r="IC169" s="210"/>
      <c r="ID169" s="210"/>
      <c r="IE169" s="210"/>
      <c r="IF169" s="210"/>
      <c r="IG169" s="210"/>
      <c r="IH169" s="210"/>
      <c r="II169" s="210"/>
      <c r="IJ169" s="210"/>
      <c r="IK169" s="210"/>
      <c r="IL169" s="210"/>
      <c r="IM169" s="210"/>
      <c r="KW169" s="120"/>
      <c r="LD169" s="210"/>
      <c r="LE169" s="210"/>
      <c r="LF169" s="210"/>
      <c r="LG169" s="210"/>
      <c r="LH169" s="210"/>
      <c r="LI169" s="210"/>
      <c r="LJ169" s="210"/>
      <c r="LK169" s="210"/>
      <c r="LL169" s="210"/>
      <c r="LM169" s="210"/>
      <c r="LN169" s="210"/>
      <c r="LO169" s="210"/>
      <c r="LP169" s="210"/>
      <c r="LQ169" s="210"/>
      <c r="LR169" s="210"/>
      <c r="OB169" s="120"/>
      <c r="OI169" s="210"/>
      <c r="OJ169" s="210"/>
      <c r="OK169" s="210"/>
      <c r="OL169" s="210"/>
      <c r="OM169" s="210"/>
      <c r="ON169" s="210"/>
      <c r="OO169" s="210"/>
      <c r="OP169" s="210"/>
      <c r="OQ169" s="210"/>
      <c r="OR169" s="210"/>
      <c r="OS169" s="210"/>
      <c r="OT169" s="210"/>
      <c r="OU169" s="210"/>
      <c r="OV169" s="210"/>
      <c r="OW169" s="210"/>
      <c r="RG169" s="120"/>
    </row>
    <row r="170" spans="1:475" x14ac:dyDescent="0.3">
      <c r="A170" s="7">
        <v>24</v>
      </c>
      <c r="B170" s="7">
        <v>160</v>
      </c>
      <c r="C170" s="7" t="s">
        <v>276</v>
      </c>
      <c r="D170" s="7" t="s">
        <v>317</v>
      </c>
      <c r="E170" s="7" t="s">
        <v>309</v>
      </c>
      <c r="F170" s="7" t="s">
        <v>275</v>
      </c>
      <c r="G170" s="41" t="str">
        <f t="shared" si="25"/>
        <v>X</v>
      </c>
      <c r="H170" s="41">
        <f>INDEX(환산공식!CI$16:CI$301,MATCH('배치점수 계산기'!$W170,환산공식!$A$16:$A$301,0))</f>
        <v>0</v>
      </c>
      <c r="I170" s="41" t="e">
        <f>CONCATENATE(ROUND(INDEX(환산공식!CJ$16:CJ$301,MATCH('배치점수 계산기'!$W170,환산공식!$A$16:$A$301,0)),1),"%")</f>
        <v>#DIV/0!</v>
      </c>
      <c r="J170" s="41">
        <f>INDEX(환산공식!CK$16:CK$301,MATCH('배치점수 계산기'!$W170,환산공식!$A$16:$A$301,0))</f>
        <v>10</v>
      </c>
      <c r="K170" s="7">
        <f>INDEX(환산공식!$EF$16:$EF$301,MATCH('배치점수 계산기'!W170,환산공식!$A$16:$A$301,0))</f>
        <v>0</v>
      </c>
      <c r="L170" s="41" t="str">
        <f t="shared" si="23"/>
        <v>1% 이하</v>
      </c>
      <c r="M170" s="7">
        <v>656.14571428571423</v>
      </c>
      <c r="N170" s="7">
        <v>654.89571428571423</v>
      </c>
      <c r="O170" s="7">
        <v>652.87857142857149</v>
      </c>
      <c r="P170" s="7">
        <v>651.98571428571438</v>
      </c>
      <c r="Q170" s="7">
        <v>650.98055383697965</v>
      </c>
      <c r="R170" s="7">
        <f t="shared" si="24"/>
        <v>6</v>
      </c>
      <c r="T170" s="7">
        <f>COUNTIF($C$11:C170,C170)</f>
        <v>107</v>
      </c>
      <c r="U170" s="7" t="str">
        <f t="shared" si="26"/>
        <v>가107</v>
      </c>
      <c r="V170" s="7" t="str">
        <f>INDEX(환산공식!$C$16:$C$301,MATCH('배치점수 계산기'!W170,환산공식!$A$16:$A$301,0))</f>
        <v>고려대 통합</v>
      </c>
      <c r="W170" s="7">
        <f t="shared" si="27"/>
        <v>24</v>
      </c>
      <c r="X170" s="7">
        <f t="shared" si="28"/>
        <v>1</v>
      </c>
      <c r="Y170" s="7">
        <f>IFERROR(INDEX(환산공식!Q$16:Q$200,MATCH($A170,환산공식!$A$16:$A$200,0)),"")</f>
        <v>1.7857142857142858</v>
      </c>
      <c r="Z170" s="7">
        <f>IFERROR(INDEX(환산공식!R$16:R$200,MATCH($A170,환산공식!$A$16:$A$200,0)),"")</f>
        <v>1.7857142857142858</v>
      </c>
      <c r="AA170" s="7">
        <f>IFERROR(INDEX(환산공식!U$16:U$200,MATCH($A170,환산공식!$A$16:$A$200,0)),"")</f>
        <v>1.4285714285714286</v>
      </c>
      <c r="AB170" s="7">
        <f t="shared" si="29"/>
        <v>0.35714285714285715</v>
      </c>
      <c r="AC170" s="7">
        <f t="shared" si="30"/>
        <v>0.35714285714285715</v>
      </c>
      <c r="AD170" s="7">
        <f t="shared" si="31"/>
        <v>0.2857142857142857</v>
      </c>
      <c r="AE170" s="7">
        <f>INDEX(환산공식!$AF$16:$AF$301,MATCH('배치점수 계산기'!W170,환산공식!$A$16:$A$301,0))</f>
        <v>1</v>
      </c>
      <c r="AF170" s="7">
        <f>INDEX(환산공식!$AP$16:$AP$301,MATCH('배치점수 계산기'!W170,환산공식!$A$16:$A$301,0))</f>
        <v>4</v>
      </c>
      <c r="AG170" s="7" t="str">
        <f t="shared" si="32"/>
        <v>표점</v>
      </c>
      <c r="AH170" s="7" t="str">
        <f t="shared" si="33"/>
        <v>변표</v>
      </c>
      <c r="BO170" s="210"/>
      <c r="BP170" s="210"/>
      <c r="BQ170" s="210"/>
      <c r="BR170" s="210"/>
      <c r="BS170" s="210"/>
      <c r="BT170" s="210"/>
      <c r="BU170" s="210"/>
      <c r="BV170" s="210"/>
      <c r="BW170" s="210"/>
      <c r="BX170" s="210"/>
      <c r="BY170" s="210"/>
      <c r="BZ170" s="210"/>
      <c r="CA170" s="210"/>
      <c r="CB170" s="210"/>
      <c r="CC170" s="210"/>
      <c r="EM170" s="120"/>
      <c r="ET170" s="210"/>
      <c r="EU170" s="210"/>
      <c r="EV170" s="210"/>
      <c r="EW170" s="210"/>
      <c r="EX170" s="210"/>
      <c r="EY170" s="210"/>
      <c r="EZ170" s="210"/>
      <c r="FA170" s="210"/>
      <c r="FB170" s="210"/>
      <c r="FC170" s="210"/>
      <c r="FD170" s="210"/>
      <c r="FE170" s="210"/>
      <c r="FF170" s="210"/>
      <c r="FG170" s="210"/>
      <c r="FH170" s="210"/>
      <c r="HR170" s="120"/>
      <c r="HY170" s="210"/>
      <c r="HZ170" s="210"/>
      <c r="IA170" s="210"/>
      <c r="IB170" s="210"/>
      <c r="IC170" s="210"/>
      <c r="ID170" s="210"/>
      <c r="IE170" s="210"/>
      <c r="IF170" s="210"/>
      <c r="IG170" s="210"/>
      <c r="IH170" s="210"/>
      <c r="II170" s="210"/>
      <c r="IJ170" s="210"/>
      <c r="IK170" s="210"/>
      <c r="IL170" s="210"/>
      <c r="IM170" s="210"/>
      <c r="KW170" s="120"/>
      <c r="LD170" s="210"/>
      <c r="LE170" s="210"/>
      <c r="LF170" s="210"/>
      <c r="LG170" s="210"/>
      <c r="LH170" s="210"/>
      <c r="LI170" s="210"/>
      <c r="LJ170" s="210"/>
      <c r="LK170" s="210"/>
      <c r="LL170" s="210"/>
      <c r="LM170" s="210"/>
      <c r="LN170" s="210"/>
      <c r="LO170" s="210"/>
      <c r="LP170" s="210"/>
      <c r="LQ170" s="210"/>
      <c r="LR170" s="210"/>
      <c r="OB170" s="120"/>
      <c r="OI170" s="210"/>
      <c r="OJ170" s="210"/>
      <c r="OK170" s="210"/>
      <c r="OL170" s="210"/>
      <c r="OM170" s="210"/>
      <c r="ON170" s="210"/>
      <c r="OO170" s="210"/>
      <c r="OP170" s="210"/>
      <c r="OQ170" s="210"/>
      <c r="OR170" s="210"/>
      <c r="OS170" s="210"/>
      <c r="OT170" s="210"/>
      <c r="OU170" s="210"/>
      <c r="OV170" s="210"/>
      <c r="OW170" s="210"/>
      <c r="RG170" s="120"/>
    </row>
    <row r="171" spans="1:475" x14ac:dyDescent="0.3">
      <c r="A171" s="7">
        <v>24</v>
      </c>
      <c r="B171" s="7">
        <v>161</v>
      </c>
      <c r="C171" s="7" t="s">
        <v>276</v>
      </c>
      <c r="D171" s="7" t="s">
        <v>317</v>
      </c>
      <c r="E171" s="7" t="s">
        <v>313</v>
      </c>
      <c r="F171" s="7" t="s">
        <v>275</v>
      </c>
      <c r="G171" s="41" t="str">
        <f t="shared" si="25"/>
        <v>X</v>
      </c>
      <c r="H171" s="41">
        <f>INDEX(환산공식!CI$16:CI$301,MATCH('배치점수 계산기'!$W171,환산공식!$A$16:$A$301,0))</f>
        <v>0</v>
      </c>
      <c r="I171" s="41" t="e">
        <f>CONCATENATE(ROUND(INDEX(환산공식!CJ$16:CJ$301,MATCH('배치점수 계산기'!$W171,환산공식!$A$16:$A$301,0)),1),"%")</f>
        <v>#DIV/0!</v>
      </c>
      <c r="J171" s="41">
        <f>INDEX(환산공식!CK$16:CK$301,MATCH('배치점수 계산기'!$W171,환산공식!$A$16:$A$301,0))</f>
        <v>10</v>
      </c>
      <c r="K171" s="7">
        <f>INDEX(환산공식!$EF$16:$EF$301,MATCH('배치점수 계산기'!W171,환산공식!$A$16:$A$301,0))</f>
        <v>0</v>
      </c>
      <c r="L171" s="41" t="str">
        <f t="shared" si="23"/>
        <v>1% 이하</v>
      </c>
      <c r="M171" s="7">
        <v>655.78857142857134</v>
      </c>
      <c r="N171" s="7">
        <v>654.24073615538589</v>
      </c>
      <c r="O171" s="7">
        <v>652.87857142857149</v>
      </c>
      <c r="P171" s="7">
        <v>651.98571428571438</v>
      </c>
      <c r="Q171" s="7">
        <v>650.98055383697965</v>
      </c>
      <c r="R171" s="7">
        <f t="shared" si="24"/>
        <v>6</v>
      </c>
      <c r="T171" s="7">
        <f>COUNTIF($C$11:C171,C171)</f>
        <v>108</v>
      </c>
      <c r="U171" s="7" t="str">
        <f t="shared" si="26"/>
        <v>가108</v>
      </c>
      <c r="V171" s="7" t="str">
        <f>INDEX(환산공식!$C$16:$C$301,MATCH('배치점수 계산기'!W171,환산공식!$A$16:$A$301,0))</f>
        <v>고려대 통합</v>
      </c>
      <c r="W171" s="7">
        <f t="shared" si="27"/>
        <v>24</v>
      </c>
      <c r="X171" s="7">
        <f t="shared" si="28"/>
        <v>1</v>
      </c>
      <c r="Y171" s="7">
        <f>IFERROR(INDEX(환산공식!Q$16:Q$200,MATCH($A171,환산공식!$A$16:$A$200,0)),"")</f>
        <v>1.7857142857142858</v>
      </c>
      <c r="Z171" s="7">
        <f>IFERROR(INDEX(환산공식!R$16:R$200,MATCH($A171,환산공식!$A$16:$A$200,0)),"")</f>
        <v>1.7857142857142858</v>
      </c>
      <c r="AA171" s="7">
        <f>IFERROR(INDEX(환산공식!U$16:U$200,MATCH($A171,환산공식!$A$16:$A$200,0)),"")</f>
        <v>1.4285714285714286</v>
      </c>
      <c r="AB171" s="7">
        <f t="shared" si="29"/>
        <v>0.35714285714285715</v>
      </c>
      <c r="AC171" s="7">
        <f t="shared" si="30"/>
        <v>0.35714285714285715</v>
      </c>
      <c r="AD171" s="7">
        <f t="shared" si="31"/>
        <v>0.2857142857142857</v>
      </c>
      <c r="AE171" s="7">
        <f>INDEX(환산공식!$AF$16:$AF$301,MATCH('배치점수 계산기'!W171,환산공식!$A$16:$A$301,0))</f>
        <v>1</v>
      </c>
      <c r="AF171" s="7">
        <f>INDEX(환산공식!$AP$16:$AP$301,MATCH('배치점수 계산기'!W171,환산공식!$A$16:$A$301,0))</f>
        <v>4</v>
      </c>
      <c r="AG171" s="7" t="str">
        <f t="shared" si="32"/>
        <v>표점</v>
      </c>
      <c r="AH171" s="7" t="str">
        <f t="shared" si="33"/>
        <v>변표</v>
      </c>
      <c r="BO171" s="210"/>
      <c r="BP171" s="210"/>
      <c r="BQ171" s="210"/>
      <c r="BR171" s="210"/>
      <c r="BS171" s="210"/>
      <c r="BT171" s="210"/>
      <c r="BU171" s="210"/>
      <c r="BV171" s="210"/>
      <c r="BW171" s="210"/>
      <c r="BX171" s="210"/>
      <c r="BY171" s="210"/>
      <c r="BZ171" s="210"/>
      <c r="CA171" s="210"/>
      <c r="CB171" s="210"/>
      <c r="CC171" s="210"/>
      <c r="EM171" s="120"/>
      <c r="ET171" s="210"/>
      <c r="EU171" s="210"/>
      <c r="EV171" s="210"/>
      <c r="EW171" s="210"/>
      <c r="EX171" s="210"/>
      <c r="EY171" s="210"/>
      <c r="EZ171" s="210"/>
      <c r="FA171" s="210"/>
      <c r="FB171" s="210"/>
      <c r="FC171" s="210"/>
      <c r="FD171" s="210"/>
      <c r="FE171" s="210"/>
      <c r="FF171" s="210"/>
      <c r="FG171" s="210"/>
      <c r="FH171" s="210"/>
      <c r="HR171" s="120"/>
      <c r="HY171" s="210"/>
      <c r="HZ171" s="210"/>
      <c r="IA171" s="210"/>
      <c r="IB171" s="210"/>
      <c r="IC171" s="210"/>
      <c r="ID171" s="210"/>
      <c r="IE171" s="210"/>
      <c r="IF171" s="210"/>
      <c r="IG171" s="210"/>
      <c r="IH171" s="210"/>
      <c r="II171" s="210"/>
      <c r="IJ171" s="210"/>
      <c r="IK171" s="210"/>
      <c r="IL171" s="210"/>
      <c r="IM171" s="210"/>
      <c r="KW171" s="120"/>
      <c r="LD171" s="210"/>
      <c r="LE171" s="210"/>
      <c r="LF171" s="210"/>
      <c r="LG171" s="210"/>
      <c r="LH171" s="210"/>
      <c r="LI171" s="210"/>
      <c r="LJ171" s="210"/>
      <c r="LK171" s="210"/>
      <c r="LL171" s="210"/>
      <c r="LM171" s="210"/>
      <c r="LN171" s="210"/>
      <c r="LO171" s="210"/>
      <c r="LP171" s="210"/>
      <c r="LQ171" s="210"/>
      <c r="LR171" s="210"/>
      <c r="OB171" s="120"/>
      <c r="OI171" s="210"/>
      <c r="OJ171" s="210"/>
      <c r="OK171" s="210"/>
      <c r="OL171" s="210"/>
      <c r="OM171" s="210"/>
      <c r="ON171" s="210"/>
      <c r="OO171" s="210"/>
      <c r="OP171" s="210"/>
      <c r="OQ171" s="210"/>
      <c r="OR171" s="210"/>
      <c r="OS171" s="210"/>
      <c r="OT171" s="210"/>
      <c r="OU171" s="210"/>
      <c r="OV171" s="210"/>
      <c r="OW171" s="210"/>
      <c r="RG171" s="120"/>
    </row>
    <row r="172" spans="1:475" x14ac:dyDescent="0.3">
      <c r="A172" s="7">
        <v>24</v>
      </c>
      <c r="B172" s="7">
        <v>162</v>
      </c>
      <c r="C172" s="7" t="s">
        <v>276</v>
      </c>
      <c r="D172" s="7" t="s">
        <v>317</v>
      </c>
      <c r="E172" s="7" t="s">
        <v>340</v>
      </c>
      <c r="F172" s="7" t="s">
        <v>275</v>
      </c>
      <c r="G172" s="41" t="str">
        <f t="shared" si="25"/>
        <v>X</v>
      </c>
      <c r="H172" s="41">
        <f>INDEX(환산공식!CI$16:CI$301,MATCH('배치점수 계산기'!$W172,환산공식!$A$16:$A$301,0))</f>
        <v>0</v>
      </c>
      <c r="I172" s="41" t="e">
        <f>CONCATENATE(ROUND(INDEX(환산공식!CJ$16:CJ$301,MATCH('배치점수 계산기'!$W172,환산공식!$A$16:$A$301,0)),1),"%")</f>
        <v>#DIV/0!</v>
      </c>
      <c r="J172" s="41">
        <f>INDEX(환산공식!CK$16:CK$301,MATCH('배치점수 계산기'!$W172,환산공식!$A$16:$A$301,0))</f>
        <v>10</v>
      </c>
      <c r="K172" s="7">
        <f>INDEX(환산공식!$EF$16:$EF$301,MATCH('배치점수 계산기'!W172,환산공식!$A$16:$A$301,0))</f>
        <v>0</v>
      </c>
      <c r="L172" s="41" t="str">
        <f t="shared" si="23"/>
        <v>1% 이하</v>
      </c>
      <c r="M172" s="7">
        <v>655.78857142857134</v>
      </c>
      <c r="N172" s="7">
        <v>653.53354989604986</v>
      </c>
      <c r="O172" s="7">
        <v>652.69999999999993</v>
      </c>
      <c r="P172" s="7">
        <v>651.50946177324499</v>
      </c>
      <c r="Q172" s="7">
        <v>650.3257142857143</v>
      </c>
      <c r="R172" s="7">
        <f t="shared" si="24"/>
        <v>6</v>
      </c>
      <c r="T172" s="7">
        <f>COUNTIF($C$11:C172,C172)</f>
        <v>109</v>
      </c>
      <c r="U172" s="7" t="str">
        <f t="shared" si="26"/>
        <v>가109</v>
      </c>
      <c r="V172" s="7" t="str">
        <f>INDEX(환산공식!$C$16:$C$301,MATCH('배치점수 계산기'!W172,환산공식!$A$16:$A$301,0))</f>
        <v>고려대 통합</v>
      </c>
      <c r="W172" s="7">
        <f t="shared" si="27"/>
        <v>24</v>
      </c>
      <c r="X172" s="7">
        <f t="shared" si="28"/>
        <v>1</v>
      </c>
      <c r="Y172" s="7">
        <f>IFERROR(INDEX(환산공식!Q$16:Q$200,MATCH($A172,환산공식!$A$16:$A$200,0)),"")</f>
        <v>1.7857142857142858</v>
      </c>
      <c r="Z172" s="7">
        <f>IFERROR(INDEX(환산공식!R$16:R$200,MATCH($A172,환산공식!$A$16:$A$200,0)),"")</f>
        <v>1.7857142857142858</v>
      </c>
      <c r="AA172" s="7">
        <f>IFERROR(INDEX(환산공식!U$16:U$200,MATCH($A172,환산공식!$A$16:$A$200,0)),"")</f>
        <v>1.4285714285714286</v>
      </c>
      <c r="AB172" s="7">
        <f t="shared" si="29"/>
        <v>0.35714285714285715</v>
      </c>
      <c r="AC172" s="7">
        <f t="shared" si="30"/>
        <v>0.35714285714285715</v>
      </c>
      <c r="AD172" s="7">
        <f t="shared" si="31"/>
        <v>0.2857142857142857</v>
      </c>
      <c r="AE172" s="7">
        <f>INDEX(환산공식!$AF$16:$AF$301,MATCH('배치점수 계산기'!W172,환산공식!$A$16:$A$301,0))</f>
        <v>1</v>
      </c>
      <c r="AF172" s="7">
        <f>INDEX(환산공식!$AP$16:$AP$301,MATCH('배치점수 계산기'!W172,환산공식!$A$16:$A$301,0))</f>
        <v>4</v>
      </c>
      <c r="AG172" s="7" t="str">
        <f t="shared" si="32"/>
        <v>표점</v>
      </c>
      <c r="AH172" s="7" t="str">
        <f t="shared" si="33"/>
        <v>변표</v>
      </c>
      <c r="BO172" s="210"/>
      <c r="BP172" s="210"/>
      <c r="BQ172" s="210"/>
      <c r="BR172" s="210"/>
      <c r="BS172" s="210"/>
      <c r="BT172" s="210"/>
      <c r="BU172" s="210"/>
      <c r="BV172" s="210"/>
      <c r="BW172" s="210"/>
      <c r="BX172" s="210"/>
      <c r="BY172" s="210"/>
      <c r="BZ172" s="210"/>
      <c r="CA172" s="210"/>
      <c r="CB172" s="210"/>
      <c r="CC172" s="210"/>
      <c r="EM172" s="120"/>
      <c r="ET172" s="210"/>
      <c r="EU172" s="210"/>
      <c r="EV172" s="210"/>
      <c r="EW172" s="210"/>
      <c r="EX172" s="210"/>
      <c r="EY172" s="210"/>
      <c r="EZ172" s="210"/>
      <c r="FA172" s="210"/>
      <c r="FB172" s="210"/>
      <c r="FC172" s="210"/>
      <c r="FD172" s="210"/>
      <c r="FE172" s="210"/>
      <c r="FF172" s="210"/>
      <c r="FG172" s="210"/>
      <c r="FH172" s="210"/>
      <c r="HR172" s="120"/>
      <c r="HY172" s="210"/>
      <c r="HZ172" s="210"/>
      <c r="IA172" s="210"/>
      <c r="IB172" s="210"/>
      <c r="IC172" s="210"/>
      <c r="ID172" s="210"/>
      <c r="IE172" s="210"/>
      <c r="IF172" s="210"/>
      <c r="IG172" s="210"/>
      <c r="IH172" s="210"/>
      <c r="II172" s="210"/>
      <c r="IJ172" s="210"/>
      <c r="IK172" s="210"/>
      <c r="IL172" s="210"/>
      <c r="IM172" s="210"/>
      <c r="KW172" s="120"/>
      <c r="LD172" s="210"/>
      <c r="LE172" s="210"/>
      <c r="LF172" s="210"/>
      <c r="LG172" s="210"/>
      <c r="LH172" s="210"/>
      <c r="LI172" s="210"/>
      <c r="LJ172" s="210"/>
      <c r="LK172" s="210"/>
      <c r="LL172" s="210"/>
      <c r="LM172" s="210"/>
      <c r="LN172" s="210"/>
      <c r="LO172" s="210"/>
      <c r="LP172" s="210"/>
      <c r="LQ172" s="210"/>
      <c r="LR172" s="210"/>
      <c r="OB172" s="120"/>
      <c r="OI172" s="210"/>
      <c r="OJ172" s="210"/>
      <c r="OK172" s="210"/>
      <c r="OL172" s="210"/>
      <c r="OM172" s="210"/>
      <c r="ON172" s="210"/>
      <c r="OO172" s="210"/>
      <c r="OP172" s="210"/>
      <c r="OQ172" s="210"/>
      <c r="OR172" s="210"/>
      <c r="OS172" s="210"/>
      <c r="OT172" s="210"/>
      <c r="OU172" s="210"/>
      <c r="OV172" s="210"/>
      <c r="OW172" s="210"/>
      <c r="RG172" s="120"/>
    </row>
    <row r="173" spans="1:475" x14ac:dyDescent="0.3">
      <c r="A173" s="7">
        <v>24</v>
      </c>
      <c r="B173" s="7">
        <v>163</v>
      </c>
      <c r="C173" s="7" t="s">
        <v>276</v>
      </c>
      <c r="D173" s="7" t="s">
        <v>317</v>
      </c>
      <c r="E173" s="7" t="s">
        <v>341</v>
      </c>
      <c r="F173" s="7" t="s">
        <v>275</v>
      </c>
      <c r="G173" s="41" t="str">
        <f t="shared" si="25"/>
        <v>X</v>
      </c>
      <c r="H173" s="41">
        <f>INDEX(환산공식!CI$16:CI$301,MATCH('배치점수 계산기'!$W173,환산공식!$A$16:$A$301,0))</f>
        <v>0</v>
      </c>
      <c r="I173" s="41" t="e">
        <f>CONCATENATE(ROUND(INDEX(환산공식!CJ$16:CJ$301,MATCH('배치점수 계산기'!$W173,환산공식!$A$16:$A$301,0)),1),"%")</f>
        <v>#DIV/0!</v>
      </c>
      <c r="J173" s="41">
        <f>INDEX(환산공식!CK$16:CK$301,MATCH('배치점수 계산기'!$W173,환산공식!$A$16:$A$301,0))</f>
        <v>10</v>
      </c>
      <c r="K173" s="7">
        <f>INDEX(환산공식!$EF$16:$EF$301,MATCH('배치점수 계산기'!W173,환산공식!$A$16:$A$301,0))</f>
        <v>0</v>
      </c>
      <c r="L173" s="41" t="str">
        <f t="shared" si="23"/>
        <v>1% 이하</v>
      </c>
      <c r="M173" s="7">
        <v>656.32428571428568</v>
      </c>
      <c r="N173" s="7">
        <v>655.01502426015782</v>
      </c>
      <c r="O173" s="7">
        <v>652.87857142857149</v>
      </c>
      <c r="P173" s="7">
        <v>651.98571428571438</v>
      </c>
      <c r="Q173" s="7">
        <v>650.98055383697965</v>
      </c>
      <c r="R173" s="7">
        <f t="shared" si="24"/>
        <v>6</v>
      </c>
      <c r="T173" s="7">
        <f>COUNTIF($C$11:C173,C173)</f>
        <v>110</v>
      </c>
      <c r="U173" s="7" t="str">
        <f t="shared" si="26"/>
        <v>가110</v>
      </c>
      <c r="V173" s="7" t="str">
        <f>INDEX(환산공식!$C$16:$C$301,MATCH('배치점수 계산기'!W173,환산공식!$A$16:$A$301,0))</f>
        <v>고려대 통합</v>
      </c>
      <c r="W173" s="7">
        <f t="shared" si="27"/>
        <v>24</v>
      </c>
      <c r="X173" s="7">
        <f t="shared" si="28"/>
        <v>1</v>
      </c>
      <c r="Y173" s="7">
        <f>IFERROR(INDEX(환산공식!Q$16:Q$200,MATCH($A173,환산공식!$A$16:$A$200,0)),"")</f>
        <v>1.7857142857142858</v>
      </c>
      <c r="Z173" s="7">
        <f>IFERROR(INDEX(환산공식!R$16:R$200,MATCH($A173,환산공식!$A$16:$A$200,0)),"")</f>
        <v>1.7857142857142858</v>
      </c>
      <c r="AA173" s="7">
        <f>IFERROR(INDEX(환산공식!U$16:U$200,MATCH($A173,환산공식!$A$16:$A$200,0)),"")</f>
        <v>1.4285714285714286</v>
      </c>
      <c r="AB173" s="7">
        <f t="shared" si="29"/>
        <v>0.35714285714285715</v>
      </c>
      <c r="AC173" s="7">
        <f t="shared" si="30"/>
        <v>0.35714285714285715</v>
      </c>
      <c r="AD173" s="7">
        <f t="shared" si="31"/>
        <v>0.2857142857142857</v>
      </c>
      <c r="AE173" s="7">
        <f>INDEX(환산공식!$AF$16:$AF$301,MATCH('배치점수 계산기'!W173,환산공식!$A$16:$A$301,0))</f>
        <v>1</v>
      </c>
      <c r="AF173" s="7">
        <f>INDEX(환산공식!$AP$16:$AP$301,MATCH('배치점수 계산기'!W173,환산공식!$A$16:$A$301,0))</f>
        <v>4</v>
      </c>
      <c r="AG173" s="7" t="str">
        <f t="shared" si="32"/>
        <v>표점</v>
      </c>
      <c r="AH173" s="7" t="str">
        <f t="shared" si="33"/>
        <v>변표</v>
      </c>
      <c r="BO173" s="210"/>
      <c r="BP173" s="210"/>
      <c r="BQ173" s="210"/>
      <c r="BR173" s="210"/>
      <c r="BS173" s="210"/>
      <c r="BT173" s="210"/>
      <c r="BU173" s="210"/>
      <c r="BV173" s="210"/>
      <c r="BW173" s="210"/>
      <c r="BX173" s="210"/>
      <c r="BY173" s="210"/>
      <c r="BZ173" s="210"/>
      <c r="CA173" s="210"/>
      <c r="CB173" s="210"/>
      <c r="CC173" s="210"/>
      <c r="EM173" s="120"/>
      <c r="ET173" s="210"/>
      <c r="EU173" s="210"/>
      <c r="EV173" s="210"/>
      <c r="EW173" s="210"/>
      <c r="EX173" s="210"/>
      <c r="EY173" s="210"/>
      <c r="EZ173" s="210"/>
      <c r="FA173" s="210"/>
      <c r="FB173" s="210"/>
      <c r="FC173" s="210"/>
      <c r="FD173" s="210"/>
      <c r="FE173" s="210"/>
      <c r="FF173" s="210"/>
      <c r="FG173" s="210"/>
      <c r="FH173" s="210"/>
      <c r="HR173" s="120"/>
      <c r="HY173" s="210"/>
      <c r="HZ173" s="210"/>
      <c r="IA173" s="210"/>
      <c r="IB173" s="210"/>
      <c r="IC173" s="210"/>
      <c r="ID173" s="210"/>
      <c r="IE173" s="210"/>
      <c r="IF173" s="210"/>
      <c r="IG173" s="210"/>
      <c r="IH173" s="210"/>
      <c r="II173" s="210"/>
      <c r="IJ173" s="210"/>
      <c r="IK173" s="210"/>
      <c r="IL173" s="210"/>
      <c r="IM173" s="210"/>
      <c r="KW173" s="120"/>
      <c r="LD173" s="210"/>
      <c r="LE173" s="210"/>
      <c r="LF173" s="210"/>
      <c r="LG173" s="210"/>
      <c r="LH173" s="210"/>
      <c r="LI173" s="210"/>
      <c r="LJ173" s="210"/>
      <c r="LK173" s="210"/>
      <c r="LL173" s="210"/>
      <c r="LM173" s="210"/>
      <c r="LN173" s="210"/>
      <c r="LO173" s="210"/>
      <c r="LP173" s="210"/>
      <c r="LQ173" s="210"/>
      <c r="LR173" s="210"/>
      <c r="OB173" s="120"/>
      <c r="OI173" s="210"/>
      <c r="OJ173" s="210"/>
      <c r="OK173" s="210"/>
      <c r="OL173" s="210"/>
      <c r="OM173" s="210"/>
      <c r="ON173" s="210"/>
      <c r="OO173" s="210"/>
      <c r="OP173" s="210"/>
      <c r="OQ173" s="210"/>
      <c r="OR173" s="210"/>
      <c r="OS173" s="210"/>
      <c r="OT173" s="210"/>
      <c r="OU173" s="210"/>
      <c r="OV173" s="210"/>
      <c r="OW173" s="210"/>
      <c r="RG173" s="120"/>
    </row>
    <row r="174" spans="1:475" x14ac:dyDescent="0.3">
      <c r="A174" s="7">
        <v>24</v>
      </c>
      <c r="B174" s="7">
        <v>164</v>
      </c>
      <c r="C174" s="7" t="s">
        <v>276</v>
      </c>
      <c r="D174" s="7" t="s">
        <v>317</v>
      </c>
      <c r="E174" s="7" t="s">
        <v>312</v>
      </c>
      <c r="F174" s="7" t="s">
        <v>275</v>
      </c>
      <c r="G174" s="41" t="str">
        <f t="shared" si="25"/>
        <v>X</v>
      </c>
      <c r="H174" s="41">
        <f>INDEX(환산공식!CI$16:CI$301,MATCH('배치점수 계산기'!$W174,환산공식!$A$16:$A$301,0))</f>
        <v>0</v>
      </c>
      <c r="I174" s="41" t="e">
        <f>CONCATENATE(ROUND(INDEX(환산공식!CJ$16:CJ$301,MATCH('배치점수 계산기'!$W174,환산공식!$A$16:$A$301,0)),1),"%")</f>
        <v>#DIV/0!</v>
      </c>
      <c r="J174" s="41">
        <f>INDEX(환산공식!CK$16:CK$301,MATCH('배치점수 계산기'!$W174,환산공식!$A$16:$A$301,0))</f>
        <v>10</v>
      </c>
      <c r="K174" s="7">
        <f>INDEX(환산공식!$EF$16:$EF$301,MATCH('배치점수 계산기'!W174,환산공식!$A$16:$A$301,0))</f>
        <v>0</v>
      </c>
      <c r="L174" s="41" t="str">
        <f t="shared" si="23"/>
        <v>1% 이하</v>
      </c>
      <c r="M174" s="7">
        <v>655.78857142857134</v>
      </c>
      <c r="N174" s="7">
        <v>653.53354989604986</v>
      </c>
      <c r="O174" s="7">
        <v>652.69999999999993</v>
      </c>
      <c r="P174" s="7">
        <v>651.50946177324499</v>
      </c>
      <c r="Q174" s="7">
        <v>650.3257142857143</v>
      </c>
      <c r="R174" s="7">
        <f t="shared" si="24"/>
        <v>6</v>
      </c>
      <c r="T174" s="7">
        <f>COUNTIF($C$11:C174,C174)</f>
        <v>111</v>
      </c>
      <c r="U174" s="7" t="str">
        <f t="shared" si="26"/>
        <v>가111</v>
      </c>
      <c r="V174" s="7" t="str">
        <f>INDEX(환산공식!$C$16:$C$301,MATCH('배치점수 계산기'!W174,환산공식!$A$16:$A$301,0))</f>
        <v>고려대 통합</v>
      </c>
      <c r="W174" s="7">
        <f t="shared" si="27"/>
        <v>24</v>
      </c>
      <c r="X174" s="7">
        <f t="shared" si="28"/>
        <v>1</v>
      </c>
      <c r="Y174" s="7">
        <f>IFERROR(INDEX(환산공식!Q$16:Q$200,MATCH($A174,환산공식!$A$16:$A$200,0)),"")</f>
        <v>1.7857142857142858</v>
      </c>
      <c r="Z174" s="7">
        <f>IFERROR(INDEX(환산공식!R$16:R$200,MATCH($A174,환산공식!$A$16:$A$200,0)),"")</f>
        <v>1.7857142857142858</v>
      </c>
      <c r="AA174" s="7">
        <f>IFERROR(INDEX(환산공식!U$16:U$200,MATCH($A174,환산공식!$A$16:$A$200,0)),"")</f>
        <v>1.4285714285714286</v>
      </c>
      <c r="AB174" s="7">
        <f t="shared" si="29"/>
        <v>0.35714285714285715</v>
      </c>
      <c r="AC174" s="7">
        <f t="shared" si="30"/>
        <v>0.35714285714285715</v>
      </c>
      <c r="AD174" s="7">
        <f t="shared" si="31"/>
        <v>0.2857142857142857</v>
      </c>
      <c r="AE174" s="7">
        <f>INDEX(환산공식!$AF$16:$AF$301,MATCH('배치점수 계산기'!W174,환산공식!$A$16:$A$301,0))</f>
        <v>1</v>
      </c>
      <c r="AF174" s="7">
        <f>INDEX(환산공식!$AP$16:$AP$301,MATCH('배치점수 계산기'!W174,환산공식!$A$16:$A$301,0))</f>
        <v>4</v>
      </c>
      <c r="AG174" s="7" t="str">
        <f t="shared" si="32"/>
        <v>표점</v>
      </c>
      <c r="AH174" s="7" t="str">
        <f t="shared" si="33"/>
        <v>변표</v>
      </c>
      <c r="BO174" s="210"/>
      <c r="BP174" s="210"/>
      <c r="BQ174" s="210"/>
      <c r="BR174" s="210"/>
      <c r="BS174" s="210"/>
      <c r="BT174" s="210"/>
      <c r="BU174" s="210"/>
      <c r="BV174" s="210"/>
      <c r="BW174" s="210"/>
      <c r="BX174" s="210"/>
      <c r="BY174" s="210"/>
      <c r="BZ174" s="210"/>
      <c r="CA174" s="210"/>
      <c r="CB174" s="210"/>
      <c r="CC174" s="210"/>
      <c r="EM174" s="120"/>
      <c r="ET174" s="210"/>
      <c r="EU174" s="210"/>
      <c r="EV174" s="210"/>
      <c r="EW174" s="210"/>
      <c r="EX174" s="210"/>
      <c r="EY174" s="210"/>
      <c r="EZ174" s="210"/>
      <c r="FA174" s="210"/>
      <c r="FB174" s="210"/>
      <c r="FC174" s="210"/>
      <c r="FD174" s="210"/>
      <c r="FE174" s="210"/>
      <c r="FF174" s="210"/>
      <c r="FG174" s="210"/>
      <c r="FH174" s="210"/>
      <c r="HR174" s="120"/>
      <c r="HY174" s="210"/>
      <c r="HZ174" s="210"/>
      <c r="IA174" s="210"/>
      <c r="IB174" s="210"/>
      <c r="IC174" s="210"/>
      <c r="ID174" s="210"/>
      <c r="IE174" s="210"/>
      <c r="IF174" s="210"/>
      <c r="IG174" s="210"/>
      <c r="IH174" s="210"/>
      <c r="II174" s="210"/>
      <c r="IJ174" s="210"/>
      <c r="IK174" s="210"/>
      <c r="IL174" s="210"/>
      <c r="IM174" s="210"/>
      <c r="KW174" s="120"/>
      <c r="LD174" s="210"/>
      <c r="LE174" s="210"/>
      <c r="LF174" s="210"/>
      <c r="LG174" s="210"/>
      <c r="LH174" s="210"/>
      <c r="LI174" s="210"/>
      <c r="LJ174" s="210"/>
      <c r="LK174" s="210"/>
      <c r="LL174" s="210"/>
      <c r="LM174" s="210"/>
      <c r="LN174" s="210"/>
      <c r="LO174" s="210"/>
      <c r="LP174" s="210"/>
      <c r="LQ174" s="210"/>
      <c r="LR174" s="210"/>
      <c r="OB174" s="120"/>
      <c r="OI174" s="210"/>
      <c r="OJ174" s="210"/>
      <c r="OK174" s="210"/>
      <c r="OL174" s="210"/>
      <c r="OM174" s="210"/>
      <c r="ON174" s="210"/>
      <c r="OO174" s="210"/>
      <c r="OP174" s="210"/>
      <c r="OQ174" s="210"/>
      <c r="OR174" s="210"/>
      <c r="OS174" s="210"/>
      <c r="OT174" s="210"/>
      <c r="OU174" s="210"/>
      <c r="OV174" s="210"/>
      <c r="OW174" s="210"/>
      <c r="RG174" s="120"/>
    </row>
    <row r="175" spans="1:475" x14ac:dyDescent="0.3">
      <c r="A175" s="7">
        <v>26</v>
      </c>
      <c r="B175" s="7">
        <v>165</v>
      </c>
      <c r="C175" s="7" t="s">
        <v>276</v>
      </c>
      <c r="D175" s="7" t="s">
        <v>342</v>
      </c>
      <c r="E175" s="7" t="s">
        <v>343</v>
      </c>
      <c r="F175" s="7" t="s">
        <v>275</v>
      </c>
      <c r="G175" s="41" t="str">
        <f t="shared" si="25"/>
        <v>X</v>
      </c>
      <c r="H175" s="41">
        <f>INDEX(환산공식!CI$16:CI$301,MATCH('배치점수 계산기'!$W175,환산공식!$A$16:$A$301,0))</f>
        <v>100</v>
      </c>
      <c r="I175" s="41" t="str">
        <f>CONCATENATE(ROUND(INDEX(환산공식!CJ$16:CJ$301,MATCH('배치점수 계산기'!$W175,환산공식!$A$16:$A$301,0)),1),"%")</f>
        <v>100%</v>
      </c>
      <c r="J175" s="41">
        <f>INDEX(환산공식!CK$16:CK$301,MATCH('배치점수 계산기'!$W175,환산공식!$A$16:$A$301,0))</f>
        <v>10</v>
      </c>
      <c r="K175" s="7">
        <f>INDEX(환산공식!$EF$16:$EF$301,MATCH('배치점수 계산기'!W175,환산공식!$A$16:$A$301,0))</f>
        <v>0</v>
      </c>
      <c r="L175" s="41" t="str">
        <f t="shared" si="23"/>
        <v>1% 이하</v>
      </c>
      <c r="M175" s="7">
        <v>743.38712302839122</v>
      </c>
      <c r="N175" s="7">
        <v>741.29200000000014</v>
      </c>
      <c r="O175" s="7">
        <v>739.06291005291007</v>
      </c>
      <c r="P175" s="7">
        <v>736.5007668613913</v>
      </c>
      <c r="Q175" s="7">
        <v>733.93862260127946</v>
      </c>
      <c r="R175" s="7">
        <f t="shared" si="24"/>
        <v>6</v>
      </c>
      <c r="T175" s="7">
        <f>COUNTIF($C$11:C175,C175)</f>
        <v>112</v>
      </c>
      <c r="U175" s="7" t="str">
        <f t="shared" si="26"/>
        <v>가112</v>
      </c>
      <c r="V175" s="7" t="str">
        <f>INDEX(환산공식!$C$16:$C$301,MATCH('배치점수 계산기'!W175,환산공식!$A$16:$A$301,0))</f>
        <v>성균 통합</v>
      </c>
      <c r="W175" s="7">
        <f t="shared" si="27"/>
        <v>26</v>
      </c>
      <c r="X175" s="7">
        <f t="shared" si="28"/>
        <v>1</v>
      </c>
      <c r="Y175" s="7">
        <f>IFERROR(INDEX(환산공식!Q$16:Q$200,MATCH($A175,환산공식!$A$16:$A$200,0)),"")</f>
        <v>2</v>
      </c>
      <c r="Z175" s="7">
        <f>IFERROR(INDEX(환산공식!R$16:R$200,MATCH($A175,환산공식!$A$16:$A$200,0)),"")</f>
        <v>2</v>
      </c>
      <c r="AA175" s="7">
        <f>IFERROR(INDEX(환산공식!U$16:U$200,MATCH($A175,환산공식!$A$16:$A$200,0)),"")</f>
        <v>1</v>
      </c>
      <c r="AB175" s="7">
        <f t="shared" si="29"/>
        <v>0.4</v>
      </c>
      <c r="AC175" s="7">
        <f t="shared" si="30"/>
        <v>0.4</v>
      </c>
      <c r="AD175" s="7">
        <f t="shared" si="31"/>
        <v>0.2</v>
      </c>
      <c r="AE175" s="7">
        <f>INDEX(환산공식!$AF$16:$AF$301,MATCH('배치점수 계산기'!W175,환산공식!$A$16:$A$301,0))</f>
        <v>1</v>
      </c>
      <c r="AF175" s="7">
        <f>INDEX(환산공식!$AP$16:$AP$301,MATCH('배치점수 계산기'!W175,환산공식!$A$16:$A$301,0))</f>
        <v>4</v>
      </c>
      <c r="AG175" s="7" t="str">
        <f t="shared" si="32"/>
        <v>표점</v>
      </c>
      <c r="AH175" s="7" t="str">
        <f t="shared" si="33"/>
        <v>변표</v>
      </c>
      <c r="BO175" s="210"/>
      <c r="BP175" s="210"/>
      <c r="BQ175" s="210"/>
      <c r="BR175" s="210"/>
      <c r="BS175" s="210"/>
      <c r="BT175" s="210"/>
      <c r="BU175" s="210"/>
      <c r="BV175" s="210"/>
      <c r="BW175" s="210"/>
      <c r="BX175" s="210"/>
      <c r="BY175" s="210"/>
      <c r="BZ175" s="210"/>
      <c r="CA175" s="210"/>
      <c r="CB175" s="210"/>
      <c r="CC175" s="210"/>
      <c r="EM175" s="120"/>
      <c r="ET175" s="210"/>
      <c r="EU175" s="210"/>
      <c r="EV175" s="210"/>
      <c r="EW175" s="210"/>
      <c r="EX175" s="210"/>
      <c r="EY175" s="210"/>
      <c r="EZ175" s="210"/>
      <c r="FA175" s="210"/>
      <c r="FB175" s="210"/>
      <c r="FC175" s="210"/>
      <c r="FD175" s="210"/>
      <c r="FE175" s="210"/>
      <c r="FF175" s="210"/>
      <c r="FG175" s="210"/>
      <c r="FH175" s="210"/>
      <c r="HR175" s="120"/>
      <c r="HY175" s="210"/>
      <c r="HZ175" s="210"/>
      <c r="IA175" s="210"/>
      <c r="IB175" s="210"/>
      <c r="IC175" s="210"/>
      <c r="ID175" s="210"/>
      <c r="IE175" s="210"/>
      <c r="IF175" s="210"/>
      <c r="IG175" s="210"/>
      <c r="IH175" s="210"/>
      <c r="II175" s="210"/>
      <c r="IJ175" s="210"/>
      <c r="IK175" s="210"/>
      <c r="IL175" s="210"/>
      <c r="IM175" s="210"/>
      <c r="KW175" s="120"/>
      <c r="LD175" s="210"/>
      <c r="LE175" s="210"/>
      <c r="LF175" s="210"/>
      <c r="LG175" s="210"/>
      <c r="LH175" s="210"/>
      <c r="LI175" s="210"/>
      <c r="LJ175" s="210"/>
      <c r="LK175" s="210"/>
      <c r="LL175" s="210"/>
      <c r="LM175" s="210"/>
      <c r="LN175" s="210"/>
      <c r="LO175" s="210"/>
      <c r="LP175" s="210"/>
      <c r="LQ175" s="210"/>
      <c r="LR175" s="210"/>
      <c r="OB175" s="120"/>
      <c r="OI175" s="210"/>
      <c r="OJ175" s="210"/>
      <c r="OK175" s="210"/>
      <c r="OL175" s="210"/>
      <c r="OM175" s="210"/>
      <c r="ON175" s="210"/>
      <c r="OO175" s="210"/>
      <c r="OP175" s="210"/>
      <c r="OQ175" s="210"/>
      <c r="OR175" s="210"/>
      <c r="OS175" s="210"/>
      <c r="OT175" s="210"/>
      <c r="OU175" s="210"/>
      <c r="OV175" s="210"/>
      <c r="OW175" s="210"/>
      <c r="RG175" s="120"/>
    </row>
    <row r="176" spans="1:475" x14ac:dyDescent="0.3">
      <c r="A176" s="7">
        <v>26</v>
      </c>
      <c r="B176" s="7">
        <v>166</v>
      </c>
      <c r="C176" s="7" t="s">
        <v>346</v>
      </c>
      <c r="D176" s="7" t="s">
        <v>342</v>
      </c>
      <c r="E176" s="7" t="s">
        <v>264</v>
      </c>
      <c r="F176" s="7" t="s">
        <v>275</v>
      </c>
      <c r="G176" s="41" t="str">
        <f t="shared" si="25"/>
        <v>X</v>
      </c>
      <c r="H176" s="41">
        <f>INDEX(환산공식!CI$16:CI$301,MATCH('배치점수 계산기'!$W176,환산공식!$A$16:$A$301,0))</f>
        <v>100</v>
      </c>
      <c r="I176" s="41" t="str">
        <f>CONCATENATE(ROUND(INDEX(환산공식!CJ$16:CJ$301,MATCH('배치점수 계산기'!$W176,환산공식!$A$16:$A$301,0)),1),"%")</f>
        <v>100%</v>
      </c>
      <c r="J176" s="41">
        <f>INDEX(환산공식!CK$16:CK$301,MATCH('배치점수 계산기'!$W176,환산공식!$A$16:$A$301,0))</f>
        <v>10</v>
      </c>
      <c r="K176" s="7">
        <f>INDEX(환산공식!$EF$16:$EF$301,MATCH('배치점수 계산기'!W176,환산공식!$A$16:$A$301,0))</f>
        <v>0</v>
      </c>
      <c r="L176" s="41" t="str">
        <f t="shared" si="23"/>
        <v>1% 이하</v>
      </c>
      <c r="M176" s="7">
        <v>743.38712302839122</v>
      </c>
      <c r="N176" s="7">
        <v>741.29200000000014</v>
      </c>
      <c r="O176" s="7">
        <v>739.06291005291007</v>
      </c>
      <c r="P176" s="7">
        <v>736.5007668613913</v>
      </c>
      <c r="Q176" s="7">
        <v>733.93862260127946</v>
      </c>
      <c r="R176" s="7">
        <f t="shared" si="24"/>
        <v>6</v>
      </c>
      <c r="T176" s="7">
        <f>COUNTIF($C$11:C176,C176)</f>
        <v>54</v>
      </c>
      <c r="U176" s="7" t="str">
        <f t="shared" si="26"/>
        <v>나54</v>
      </c>
      <c r="V176" s="7" t="str">
        <f>INDEX(환산공식!$C$16:$C$301,MATCH('배치점수 계산기'!W176,환산공식!$A$16:$A$301,0))</f>
        <v>성균 통합</v>
      </c>
      <c r="W176" s="7">
        <f t="shared" si="27"/>
        <v>26</v>
      </c>
      <c r="X176" s="7">
        <f t="shared" si="28"/>
        <v>1</v>
      </c>
      <c r="Y176" s="7">
        <f>IFERROR(INDEX(환산공식!Q$16:Q$200,MATCH($A176,환산공식!$A$16:$A$200,0)),"")</f>
        <v>2</v>
      </c>
      <c r="Z176" s="7">
        <f>IFERROR(INDEX(환산공식!R$16:R$200,MATCH($A176,환산공식!$A$16:$A$200,0)),"")</f>
        <v>2</v>
      </c>
      <c r="AA176" s="7">
        <f>IFERROR(INDEX(환산공식!U$16:U$200,MATCH($A176,환산공식!$A$16:$A$200,0)),"")</f>
        <v>1</v>
      </c>
      <c r="AB176" s="7">
        <f t="shared" si="29"/>
        <v>0.4</v>
      </c>
      <c r="AC176" s="7">
        <f t="shared" si="30"/>
        <v>0.4</v>
      </c>
      <c r="AD176" s="7">
        <f t="shared" si="31"/>
        <v>0.2</v>
      </c>
      <c r="AE176" s="7">
        <f>INDEX(환산공식!$AF$16:$AF$301,MATCH('배치점수 계산기'!W176,환산공식!$A$16:$A$301,0))</f>
        <v>1</v>
      </c>
      <c r="AF176" s="7">
        <f>INDEX(환산공식!$AP$16:$AP$301,MATCH('배치점수 계산기'!W176,환산공식!$A$16:$A$301,0))</f>
        <v>4</v>
      </c>
      <c r="AG176" s="7" t="str">
        <f t="shared" si="32"/>
        <v>표점</v>
      </c>
      <c r="AH176" s="7" t="str">
        <f t="shared" si="33"/>
        <v>변표</v>
      </c>
      <c r="BO176" s="210"/>
      <c r="BP176" s="210"/>
      <c r="BQ176" s="210"/>
      <c r="BR176" s="210"/>
      <c r="BS176" s="210"/>
      <c r="BT176" s="210"/>
      <c r="BU176" s="210"/>
      <c r="BV176" s="210"/>
      <c r="BW176" s="210"/>
      <c r="BX176" s="210"/>
      <c r="BY176" s="210"/>
      <c r="BZ176" s="210"/>
      <c r="CA176" s="210"/>
      <c r="CB176" s="210"/>
      <c r="CC176" s="210"/>
      <c r="EM176" s="120"/>
      <c r="ET176" s="210"/>
      <c r="EU176" s="210"/>
      <c r="EV176" s="210"/>
      <c r="EW176" s="210"/>
      <c r="EX176" s="210"/>
      <c r="EY176" s="210"/>
      <c r="EZ176" s="210"/>
      <c r="FA176" s="210"/>
      <c r="FB176" s="210"/>
      <c r="FC176" s="210"/>
      <c r="FD176" s="210"/>
      <c r="FE176" s="210"/>
      <c r="FF176" s="210"/>
      <c r="FG176" s="210"/>
      <c r="FH176" s="210"/>
      <c r="HR176" s="120"/>
      <c r="HY176" s="210"/>
      <c r="HZ176" s="210"/>
      <c r="IA176" s="210"/>
      <c r="IB176" s="210"/>
      <c r="IC176" s="210"/>
      <c r="ID176" s="210"/>
      <c r="IE176" s="210"/>
      <c r="IF176" s="210"/>
      <c r="IG176" s="210"/>
      <c r="IH176" s="210"/>
      <c r="II176" s="210"/>
      <c r="IJ176" s="210"/>
      <c r="IK176" s="210"/>
      <c r="IL176" s="210"/>
      <c r="IM176" s="210"/>
      <c r="KW176" s="120"/>
      <c r="LD176" s="210"/>
      <c r="LE176" s="210"/>
      <c r="LF176" s="210"/>
      <c r="LG176" s="210"/>
      <c r="LH176" s="210"/>
      <c r="LI176" s="210"/>
      <c r="LJ176" s="210"/>
      <c r="LK176" s="210"/>
      <c r="LL176" s="210"/>
      <c r="LM176" s="210"/>
      <c r="LN176" s="210"/>
      <c r="LO176" s="210"/>
      <c r="LP176" s="210"/>
      <c r="LQ176" s="210"/>
      <c r="LR176" s="210"/>
      <c r="OB176" s="120"/>
      <c r="OI176" s="210"/>
      <c r="OJ176" s="210"/>
      <c r="OK176" s="210"/>
      <c r="OL176" s="210"/>
      <c r="OM176" s="210"/>
      <c r="ON176" s="210"/>
      <c r="OO176" s="210"/>
      <c r="OP176" s="210"/>
      <c r="OQ176" s="210"/>
      <c r="OR176" s="210"/>
      <c r="OS176" s="210"/>
      <c r="OT176" s="210"/>
      <c r="OU176" s="210"/>
      <c r="OV176" s="210"/>
      <c r="OW176" s="210"/>
      <c r="RG176" s="120"/>
    </row>
    <row r="177" spans="1:475" x14ac:dyDescent="0.3">
      <c r="A177" s="7">
        <v>26</v>
      </c>
      <c r="B177" s="7">
        <v>167</v>
      </c>
      <c r="C177" s="7" t="s">
        <v>276</v>
      </c>
      <c r="D177" s="7" t="s">
        <v>342</v>
      </c>
      <c r="E177" s="7" t="s">
        <v>262</v>
      </c>
      <c r="F177" s="7" t="s">
        <v>275</v>
      </c>
      <c r="G177" s="41" t="str">
        <f t="shared" si="25"/>
        <v>X</v>
      </c>
      <c r="H177" s="41">
        <f>INDEX(환산공식!CI$16:CI$301,MATCH('배치점수 계산기'!$W177,환산공식!$A$16:$A$301,0))</f>
        <v>100</v>
      </c>
      <c r="I177" s="41" t="str">
        <f>CONCATENATE(ROUND(INDEX(환산공식!CJ$16:CJ$301,MATCH('배치점수 계산기'!$W177,환산공식!$A$16:$A$301,0)),1),"%")</f>
        <v>100%</v>
      </c>
      <c r="J177" s="41">
        <f>INDEX(환산공식!CK$16:CK$301,MATCH('배치점수 계산기'!$W177,환산공식!$A$16:$A$301,0))</f>
        <v>10</v>
      </c>
      <c r="K177" s="7">
        <f>INDEX(환산공식!$EF$16:$EF$301,MATCH('배치점수 계산기'!W177,환산공식!$A$16:$A$301,0))</f>
        <v>0</v>
      </c>
      <c r="L177" s="41" t="str">
        <f t="shared" si="23"/>
        <v>1% 이하</v>
      </c>
      <c r="M177" s="7">
        <v>745.21600000000001</v>
      </c>
      <c r="N177" s="7">
        <v>743.38712302839122</v>
      </c>
      <c r="O177" s="7">
        <v>740.49199999999996</v>
      </c>
      <c r="P177" s="7">
        <v>738.13</v>
      </c>
      <c r="Q177" s="7">
        <v>735.36799999999994</v>
      </c>
      <c r="R177" s="7">
        <f t="shared" si="24"/>
        <v>6</v>
      </c>
      <c r="T177" s="7">
        <f>COUNTIF($C$11:C177,C177)</f>
        <v>113</v>
      </c>
      <c r="U177" s="7" t="str">
        <f t="shared" si="26"/>
        <v>가113</v>
      </c>
      <c r="V177" s="7" t="str">
        <f>INDEX(환산공식!$C$16:$C$301,MATCH('배치점수 계산기'!W177,환산공식!$A$16:$A$301,0))</f>
        <v>성균 통합</v>
      </c>
      <c r="W177" s="7">
        <f t="shared" si="27"/>
        <v>26</v>
      </c>
      <c r="X177" s="7">
        <f t="shared" si="28"/>
        <v>1</v>
      </c>
      <c r="Y177" s="7">
        <f>IFERROR(INDEX(환산공식!Q$16:Q$200,MATCH($A177,환산공식!$A$16:$A$200,0)),"")</f>
        <v>2</v>
      </c>
      <c r="Z177" s="7">
        <f>IFERROR(INDEX(환산공식!R$16:R$200,MATCH($A177,환산공식!$A$16:$A$200,0)),"")</f>
        <v>2</v>
      </c>
      <c r="AA177" s="7">
        <f>IFERROR(INDEX(환산공식!U$16:U$200,MATCH($A177,환산공식!$A$16:$A$200,0)),"")</f>
        <v>1</v>
      </c>
      <c r="AB177" s="7">
        <f t="shared" si="29"/>
        <v>0.4</v>
      </c>
      <c r="AC177" s="7">
        <f t="shared" si="30"/>
        <v>0.4</v>
      </c>
      <c r="AD177" s="7">
        <f t="shared" si="31"/>
        <v>0.2</v>
      </c>
      <c r="AE177" s="7">
        <f>INDEX(환산공식!$AF$16:$AF$301,MATCH('배치점수 계산기'!W177,환산공식!$A$16:$A$301,0))</f>
        <v>1</v>
      </c>
      <c r="AF177" s="7">
        <f>INDEX(환산공식!$AP$16:$AP$301,MATCH('배치점수 계산기'!W177,환산공식!$A$16:$A$301,0))</f>
        <v>4</v>
      </c>
      <c r="AG177" s="7" t="str">
        <f t="shared" si="32"/>
        <v>표점</v>
      </c>
      <c r="AH177" s="7" t="str">
        <f t="shared" si="33"/>
        <v>변표</v>
      </c>
      <c r="BO177" s="210"/>
      <c r="BP177" s="210"/>
      <c r="BQ177" s="210"/>
      <c r="BR177" s="210"/>
      <c r="BS177" s="210"/>
      <c r="BT177" s="210"/>
      <c r="BU177" s="210"/>
      <c r="BV177" s="210"/>
      <c r="BW177" s="210"/>
      <c r="BX177" s="210"/>
      <c r="BY177" s="210"/>
      <c r="BZ177" s="210"/>
      <c r="CA177" s="210"/>
      <c r="CB177" s="210"/>
      <c r="CC177" s="210"/>
      <c r="EM177" s="120"/>
      <c r="ET177" s="210"/>
      <c r="EU177" s="210"/>
      <c r="EV177" s="210"/>
      <c r="EW177" s="210"/>
      <c r="EX177" s="210"/>
      <c r="EY177" s="210"/>
      <c r="EZ177" s="210"/>
      <c r="FA177" s="210"/>
      <c r="FB177" s="210"/>
      <c r="FC177" s="210"/>
      <c r="FD177" s="210"/>
      <c r="FE177" s="210"/>
      <c r="FF177" s="210"/>
      <c r="FG177" s="210"/>
      <c r="FH177" s="210"/>
      <c r="HR177" s="120"/>
      <c r="HY177" s="210"/>
      <c r="HZ177" s="210"/>
      <c r="IA177" s="210"/>
      <c r="IB177" s="210"/>
      <c r="IC177" s="210"/>
      <c r="ID177" s="210"/>
      <c r="IE177" s="210"/>
      <c r="IF177" s="210"/>
      <c r="IG177" s="210"/>
      <c r="IH177" s="210"/>
      <c r="II177" s="210"/>
      <c r="IJ177" s="210"/>
      <c r="IK177" s="210"/>
      <c r="IL177" s="210"/>
      <c r="IM177" s="210"/>
      <c r="KW177" s="120"/>
      <c r="LD177" s="210"/>
      <c r="LE177" s="210"/>
      <c r="LF177" s="210"/>
      <c r="LG177" s="210"/>
      <c r="LH177" s="210"/>
      <c r="LI177" s="210"/>
      <c r="LJ177" s="210"/>
      <c r="LK177" s="210"/>
      <c r="LL177" s="210"/>
      <c r="LM177" s="210"/>
      <c r="LN177" s="210"/>
      <c r="LO177" s="210"/>
      <c r="LP177" s="210"/>
      <c r="LQ177" s="210"/>
      <c r="LR177" s="210"/>
      <c r="OB177" s="120"/>
      <c r="OI177" s="210"/>
      <c r="OJ177" s="210"/>
      <c r="OK177" s="210"/>
      <c r="OL177" s="210"/>
      <c r="OM177" s="210"/>
      <c r="ON177" s="210"/>
      <c r="OO177" s="210"/>
      <c r="OP177" s="210"/>
      <c r="OQ177" s="210"/>
      <c r="OR177" s="210"/>
      <c r="OS177" s="210"/>
      <c r="OT177" s="210"/>
      <c r="OU177" s="210"/>
      <c r="OV177" s="210"/>
      <c r="OW177" s="210"/>
      <c r="RG177" s="120"/>
    </row>
    <row r="178" spans="1:475" x14ac:dyDescent="0.3">
      <c r="A178" s="7">
        <v>26</v>
      </c>
      <c r="B178" s="7">
        <v>168</v>
      </c>
      <c r="C178" s="7" t="s">
        <v>346</v>
      </c>
      <c r="D178" s="7" t="s">
        <v>342</v>
      </c>
      <c r="E178" s="7" t="s">
        <v>347</v>
      </c>
      <c r="F178" s="7" t="s">
        <v>275</v>
      </c>
      <c r="G178" s="41" t="str">
        <f t="shared" si="25"/>
        <v>X</v>
      </c>
      <c r="H178" s="41">
        <f>INDEX(환산공식!CI$16:CI$301,MATCH('배치점수 계산기'!$W178,환산공식!$A$16:$A$301,0))</f>
        <v>100</v>
      </c>
      <c r="I178" s="41" t="str">
        <f>CONCATENATE(ROUND(INDEX(환산공식!CJ$16:CJ$301,MATCH('배치점수 계산기'!$W178,환산공식!$A$16:$A$301,0)),1),"%")</f>
        <v>100%</v>
      </c>
      <c r="J178" s="41">
        <f>INDEX(환산공식!CK$16:CK$301,MATCH('배치점수 계산기'!$W178,환산공식!$A$16:$A$301,0))</f>
        <v>10</v>
      </c>
      <c r="K178" s="7">
        <f>INDEX(환산공식!$EF$16:$EF$301,MATCH('배치점수 계산기'!W178,환산공식!$A$16:$A$301,0))</f>
        <v>0</v>
      </c>
      <c r="L178" s="41" t="str">
        <f t="shared" si="23"/>
        <v>1% 이하</v>
      </c>
      <c r="M178" s="7">
        <v>748.71142029741725</v>
      </c>
      <c r="N178" s="7">
        <v>745.94926348873764</v>
      </c>
      <c r="O178" s="7">
        <v>742.32094736842112</v>
      </c>
      <c r="P178" s="7">
        <v>739.06291005291007</v>
      </c>
      <c r="Q178" s="7">
        <v>735.36799999999994</v>
      </c>
      <c r="R178" s="7">
        <f t="shared" si="24"/>
        <v>6</v>
      </c>
      <c r="T178" s="7">
        <f>COUNTIF($C$11:C178,C178)</f>
        <v>55</v>
      </c>
      <c r="U178" s="7" t="str">
        <f t="shared" si="26"/>
        <v>나55</v>
      </c>
      <c r="V178" s="7" t="str">
        <f>INDEX(환산공식!$C$16:$C$301,MATCH('배치점수 계산기'!W178,환산공식!$A$16:$A$301,0))</f>
        <v>성균 통합</v>
      </c>
      <c r="W178" s="7">
        <f t="shared" si="27"/>
        <v>26</v>
      </c>
      <c r="X178" s="7">
        <f t="shared" si="28"/>
        <v>1</v>
      </c>
      <c r="Y178" s="7">
        <f>IFERROR(INDEX(환산공식!Q$16:Q$200,MATCH($A178,환산공식!$A$16:$A$200,0)),"")</f>
        <v>2</v>
      </c>
      <c r="Z178" s="7">
        <f>IFERROR(INDEX(환산공식!R$16:R$200,MATCH($A178,환산공식!$A$16:$A$200,0)),"")</f>
        <v>2</v>
      </c>
      <c r="AA178" s="7">
        <f>IFERROR(INDEX(환산공식!U$16:U$200,MATCH($A178,환산공식!$A$16:$A$200,0)),"")</f>
        <v>1</v>
      </c>
      <c r="AB178" s="7">
        <f t="shared" si="29"/>
        <v>0.4</v>
      </c>
      <c r="AC178" s="7">
        <f t="shared" si="30"/>
        <v>0.4</v>
      </c>
      <c r="AD178" s="7">
        <f t="shared" si="31"/>
        <v>0.2</v>
      </c>
      <c r="AE178" s="7">
        <f>INDEX(환산공식!$AF$16:$AF$301,MATCH('배치점수 계산기'!W178,환산공식!$A$16:$A$301,0))</f>
        <v>1</v>
      </c>
      <c r="AF178" s="7">
        <f>INDEX(환산공식!$AP$16:$AP$301,MATCH('배치점수 계산기'!W178,환산공식!$A$16:$A$301,0))</f>
        <v>4</v>
      </c>
      <c r="AG178" s="7" t="str">
        <f t="shared" si="32"/>
        <v>표점</v>
      </c>
      <c r="AH178" s="7" t="str">
        <f t="shared" si="33"/>
        <v>변표</v>
      </c>
      <c r="BO178" s="210"/>
      <c r="BP178" s="210"/>
      <c r="BQ178" s="210"/>
      <c r="BR178" s="210"/>
      <c r="BS178" s="210"/>
      <c r="BT178" s="210"/>
      <c r="BU178" s="210"/>
      <c r="BV178" s="210"/>
      <c r="BW178" s="210"/>
      <c r="BX178" s="210"/>
      <c r="BY178" s="210"/>
      <c r="BZ178" s="210"/>
      <c r="CA178" s="210"/>
      <c r="CB178" s="210"/>
      <c r="CC178" s="210"/>
      <c r="EM178" s="120"/>
      <c r="ET178" s="210"/>
      <c r="EU178" s="210"/>
      <c r="EV178" s="210"/>
      <c r="EW178" s="210"/>
      <c r="EX178" s="210"/>
      <c r="EY178" s="210"/>
      <c r="EZ178" s="210"/>
      <c r="FA178" s="210"/>
      <c r="FB178" s="210"/>
      <c r="FC178" s="210"/>
      <c r="FD178" s="210"/>
      <c r="FE178" s="210"/>
      <c r="FF178" s="210"/>
      <c r="FG178" s="210"/>
      <c r="FH178" s="210"/>
      <c r="HR178" s="120"/>
      <c r="HY178" s="210"/>
      <c r="HZ178" s="210"/>
      <c r="IA178" s="210"/>
      <c r="IB178" s="210"/>
      <c r="IC178" s="210"/>
      <c r="ID178" s="210"/>
      <c r="IE178" s="210"/>
      <c r="IF178" s="210"/>
      <c r="IG178" s="210"/>
      <c r="IH178" s="210"/>
      <c r="II178" s="210"/>
      <c r="IJ178" s="210"/>
      <c r="IK178" s="210"/>
      <c r="IL178" s="210"/>
      <c r="IM178" s="210"/>
      <c r="KW178" s="120"/>
      <c r="LD178" s="210"/>
      <c r="LE178" s="210"/>
      <c r="LF178" s="210"/>
      <c r="LG178" s="210"/>
      <c r="LH178" s="210"/>
      <c r="LI178" s="210"/>
      <c r="LJ178" s="210"/>
      <c r="LK178" s="210"/>
      <c r="LL178" s="210"/>
      <c r="LM178" s="210"/>
      <c r="LN178" s="210"/>
      <c r="LO178" s="210"/>
      <c r="LP178" s="210"/>
      <c r="LQ178" s="210"/>
      <c r="LR178" s="210"/>
      <c r="OB178" s="120"/>
      <c r="OI178" s="210"/>
      <c r="OJ178" s="210"/>
      <c r="OK178" s="210"/>
      <c r="OL178" s="210"/>
      <c r="OM178" s="210"/>
      <c r="ON178" s="210"/>
      <c r="OO178" s="210"/>
      <c r="OP178" s="210"/>
      <c r="OQ178" s="210"/>
      <c r="OR178" s="210"/>
      <c r="OS178" s="210"/>
      <c r="OT178" s="210"/>
      <c r="OU178" s="210"/>
      <c r="OV178" s="210"/>
      <c r="OW178" s="210"/>
      <c r="RG178" s="120"/>
    </row>
    <row r="179" spans="1:475" x14ac:dyDescent="0.3">
      <c r="A179" s="7">
        <v>26</v>
      </c>
      <c r="B179" s="7">
        <v>169</v>
      </c>
      <c r="C179" s="7" t="s">
        <v>276</v>
      </c>
      <c r="D179" s="7" t="s">
        <v>342</v>
      </c>
      <c r="E179" s="7" t="s">
        <v>344</v>
      </c>
      <c r="F179" s="7" t="s">
        <v>275</v>
      </c>
      <c r="G179" s="41" t="str">
        <f t="shared" si="25"/>
        <v>X</v>
      </c>
      <c r="H179" s="41">
        <f>INDEX(환산공식!CI$16:CI$301,MATCH('배치점수 계산기'!$W179,환산공식!$A$16:$A$301,0))</f>
        <v>100</v>
      </c>
      <c r="I179" s="41" t="str">
        <f>CONCATENATE(ROUND(INDEX(환산공식!CJ$16:CJ$301,MATCH('배치점수 계산기'!$W179,환산공식!$A$16:$A$301,0)),1),"%")</f>
        <v>100%</v>
      </c>
      <c r="J179" s="41">
        <f>INDEX(환산공식!CK$16:CK$301,MATCH('배치점수 계산기'!$W179,환산공식!$A$16:$A$301,0))</f>
        <v>10</v>
      </c>
      <c r="K179" s="7">
        <f>INDEX(환산공식!$EF$16:$EF$301,MATCH('배치점수 계산기'!W179,환산공식!$A$16:$A$301,0))</f>
        <v>0</v>
      </c>
      <c r="L179" s="41" t="str">
        <f t="shared" si="23"/>
        <v>1% 이하</v>
      </c>
      <c r="M179" s="7">
        <v>750.83999999999992</v>
      </c>
      <c r="N179" s="7">
        <v>748.07799999999997</v>
      </c>
      <c r="O179" s="7">
        <v>743.68712302839117</v>
      </c>
      <c r="P179" s="7">
        <v>739.36291005291002</v>
      </c>
      <c r="Q179" s="7">
        <v>735.66799999999989</v>
      </c>
      <c r="R179" s="7">
        <f t="shared" si="24"/>
        <v>6</v>
      </c>
      <c r="T179" s="7">
        <f>COUNTIF($C$11:C179,C179)</f>
        <v>114</v>
      </c>
      <c r="U179" s="7" t="str">
        <f t="shared" si="26"/>
        <v>가114</v>
      </c>
      <c r="V179" s="7" t="str">
        <f>INDEX(환산공식!$C$16:$C$301,MATCH('배치점수 계산기'!W179,환산공식!$A$16:$A$301,0))</f>
        <v>성균 통합</v>
      </c>
      <c r="W179" s="7">
        <f t="shared" si="27"/>
        <v>26</v>
      </c>
      <c r="X179" s="7">
        <f t="shared" si="28"/>
        <v>1</v>
      </c>
      <c r="Y179" s="7">
        <f>IFERROR(INDEX(환산공식!Q$16:Q$200,MATCH($A179,환산공식!$A$16:$A$200,0)),"")</f>
        <v>2</v>
      </c>
      <c r="Z179" s="7">
        <f>IFERROR(INDEX(환산공식!R$16:R$200,MATCH($A179,환산공식!$A$16:$A$200,0)),"")</f>
        <v>2</v>
      </c>
      <c r="AA179" s="7">
        <f>IFERROR(INDEX(환산공식!U$16:U$200,MATCH($A179,환산공식!$A$16:$A$200,0)),"")</f>
        <v>1</v>
      </c>
      <c r="AB179" s="7">
        <f t="shared" si="29"/>
        <v>0.4</v>
      </c>
      <c r="AC179" s="7">
        <f t="shared" si="30"/>
        <v>0.4</v>
      </c>
      <c r="AD179" s="7">
        <f t="shared" si="31"/>
        <v>0.2</v>
      </c>
      <c r="AE179" s="7">
        <f>INDEX(환산공식!$AF$16:$AF$301,MATCH('배치점수 계산기'!W179,환산공식!$A$16:$A$301,0))</f>
        <v>1</v>
      </c>
      <c r="AF179" s="7">
        <f>INDEX(환산공식!$AP$16:$AP$301,MATCH('배치점수 계산기'!W179,환산공식!$A$16:$A$301,0))</f>
        <v>4</v>
      </c>
      <c r="AG179" s="7" t="str">
        <f t="shared" si="32"/>
        <v>표점</v>
      </c>
      <c r="AH179" s="7" t="str">
        <f t="shared" si="33"/>
        <v>변표</v>
      </c>
      <c r="BO179" s="210"/>
      <c r="BP179" s="210"/>
      <c r="BQ179" s="210"/>
      <c r="BR179" s="210"/>
      <c r="BS179" s="210"/>
      <c r="BT179" s="210"/>
      <c r="BU179" s="210"/>
      <c r="BV179" s="210"/>
      <c r="BW179" s="210"/>
      <c r="BX179" s="210"/>
      <c r="BY179" s="210"/>
      <c r="BZ179" s="210"/>
      <c r="CA179" s="210"/>
      <c r="CB179" s="210"/>
      <c r="CC179" s="210"/>
      <c r="EM179" s="120"/>
      <c r="ET179" s="210"/>
      <c r="EU179" s="210"/>
      <c r="EV179" s="210"/>
      <c r="EW179" s="210"/>
      <c r="EX179" s="210"/>
      <c r="EY179" s="210"/>
      <c r="EZ179" s="210"/>
      <c r="FA179" s="210"/>
      <c r="FB179" s="210"/>
      <c r="FC179" s="210"/>
      <c r="FD179" s="210"/>
      <c r="FE179" s="210"/>
      <c r="FF179" s="210"/>
      <c r="FG179" s="210"/>
      <c r="FH179" s="210"/>
      <c r="HR179" s="120"/>
      <c r="HY179" s="210"/>
      <c r="HZ179" s="210"/>
      <c r="IA179" s="210"/>
      <c r="IB179" s="210"/>
      <c r="IC179" s="210"/>
      <c r="ID179" s="210"/>
      <c r="IE179" s="210"/>
      <c r="IF179" s="210"/>
      <c r="IG179" s="210"/>
      <c r="IH179" s="210"/>
      <c r="II179" s="210"/>
      <c r="IJ179" s="210"/>
      <c r="IK179" s="210"/>
      <c r="IL179" s="210"/>
      <c r="IM179" s="210"/>
      <c r="KW179" s="120"/>
      <c r="LD179" s="210"/>
      <c r="LE179" s="210"/>
      <c r="LF179" s="210"/>
      <c r="LG179" s="210"/>
      <c r="LH179" s="210"/>
      <c r="LI179" s="210"/>
      <c r="LJ179" s="210"/>
      <c r="LK179" s="210"/>
      <c r="LL179" s="210"/>
      <c r="LM179" s="210"/>
      <c r="LN179" s="210"/>
      <c r="LO179" s="210"/>
      <c r="LP179" s="210"/>
      <c r="LQ179" s="210"/>
      <c r="LR179" s="210"/>
      <c r="OB179" s="120"/>
      <c r="OI179" s="210"/>
      <c r="OJ179" s="210"/>
      <c r="OK179" s="210"/>
      <c r="OL179" s="210"/>
      <c r="OM179" s="210"/>
      <c r="ON179" s="210"/>
      <c r="OO179" s="210"/>
      <c r="OP179" s="210"/>
      <c r="OQ179" s="210"/>
      <c r="OR179" s="210"/>
      <c r="OS179" s="210"/>
      <c r="OT179" s="210"/>
      <c r="OU179" s="210"/>
      <c r="OV179" s="210"/>
      <c r="OW179" s="210"/>
      <c r="RG179" s="120"/>
    </row>
    <row r="180" spans="1:475" x14ac:dyDescent="0.3">
      <c r="A180" s="7">
        <v>26</v>
      </c>
      <c r="B180" s="7">
        <v>170</v>
      </c>
      <c r="C180" s="7" t="s">
        <v>346</v>
      </c>
      <c r="D180" s="7" t="s">
        <v>342</v>
      </c>
      <c r="E180" s="7" t="s">
        <v>348</v>
      </c>
      <c r="F180" s="7" t="s">
        <v>275</v>
      </c>
      <c r="G180" s="41" t="str">
        <f t="shared" si="25"/>
        <v>X</v>
      </c>
      <c r="H180" s="41">
        <f>INDEX(환산공식!CI$16:CI$301,MATCH('배치점수 계산기'!$W180,환산공식!$A$16:$A$301,0))</f>
        <v>100</v>
      </c>
      <c r="I180" s="41" t="str">
        <f>CONCATENATE(ROUND(INDEX(환산공식!CJ$16:CJ$301,MATCH('배치점수 계산기'!$W180,환산공식!$A$16:$A$301,0)),1),"%")</f>
        <v>100%</v>
      </c>
      <c r="J180" s="41">
        <f>INDEX(환산공식!CK$16:CK$301,MATCH('배치점수 계산기'!$W180,환산공식!$A$16:$A$301,0))</f>
        <v>10</v>
      </c>
      <c r="K180" s="7">
        <f>INDEX(환산공식!$EF$16:$EF$301,MATCH('배치점수 계산기'!W180,환산공식!$A$16:$A$301,0))</f>
        <v>0</v>
      </c>
      <c r="L180" s="41" t="str">
        <f t="shared" si="23"/>
        <v>1% 이하</v>
      </c>
      <c r="M180" s="7">
        <v>750.83999999999992</v>
      </c>
      <c r="N180" s="7">
        <v>748.07799999999997</v>
      </c>
      <c r="O180" s="7">
        <v>743.68712302839117</v>
      </c>
      <c r="P180" s="7">
        <v>739.36291005291002</v>
      </c>
      <c r="Q180" s="7">
        <v>735.66799999999989</v>
      </c>
      <c r="R180" s="7">
        <f t="shared" si="24"/>
        <v>6</v>
      </c>
      <c r="T180" s="7">
        <f>COUNTIF($C$11:C180,C180)</f>
        <v>56</v>
      </c>
      <c r="U180" s="7" t="str">
        <f t="shared" si="26"/>
        <v>나56</v>
      </c>
      <c r="V180" s="7" t="str">
        <f>INDEX(환산공식!$C$16:$C$301,MATCH('배치점수 계산기'!W180,환산공식!$A$16:$A$301,0))</f>
        <v>성균 통합</v>
      </c>
      <c r="W180" s="7">
        <f t="shared" si="27"/>
        <v>26</v>
      </c>
      <c r="X180" s="7">
        <f t="shared" si="28"/>
        <v>1</v>
      </c>
      <c r="Y180" s="7">
        <f>IFERROR(INDEX(환산공식!Q$16:Q$200,MATCH($A180,환산공식!$A$16:$A$200,0)),"")</f>
        <v>2</v>
      </c>
      <c r="Z180" s="7">
        <f>IFERROR(INDEX(환산공식!R$16:R$200,MATCH($A180,환산공식!$A$16:$A$200,0)),"")</f>
        <v>2</v>
      </c>
      <c r="AA180" s="7">
        <f>IFERROR(INDEX(환산공식!U$16:U$200,MATCH($A180,환산공식!$A$16:$A$200,0)),"")</f>
        <v>1</v>
      </c>
      <c r="AB180" s="7">
        <f t="shared" si="29"/>
        <v>0.4</v>
      </c>
      <c r="AC180" s="7">
        <f t="shared" si="30"/>
        <v>0.4</v>
      </c>
      <c r="AD180" s="7">
        <f t="shared" si="31"/>
        <v>0.2</v>
      </c>
      <c r="AE180" s="7">
        <f>INDEX(환산공식!$AF$16:$AF$301,MATCH('배치점수 계산기'!W180,환산공식!$A$16:$A$301,0))</f>
        <v>1</v>
      </c>
      <c r="AF180" s="7">
        <f>INDEX(환산공식!$AP$16:$AP$301,MATCH('배치점수 계산기'!W180,환산공식!$A$16:$A$301,0))</f>
        <v>4</v>
      </c>
      <c r="AG180" s="7" t="str">
        <f t="shared" si="32"/>
        <v>표점</v>
      </c>
      <c r="AH180" s="7" t="str">
        <f t="shared" si="33"/>
        <v>변표</v>
      </c>
      <c r="BO180" s="210"/>
      <c r="BP180" s="210"/>
      <c r="BQ180" s="210"/>
      <c r="BR180" s="210"/>
      <c r="BS180" s="210"/>
      <c r="BT180" s="210"/>
      <c r="BU180" s="210"/>
      <c r="BV180" s="210"/>
      <c r="BW180" s="210"/>
      <c r="BX180" s="210"/>
      <c r="BY180" s="210"/>
      <c r="BZ180" s="210"/>
      <c r="CA180" s="210"/>
      <c r="CB180" s="210"/>
      <c r="CC180" s="210"/>
      <c r="EM180" s="120"/>
      <c r="ET180" s="210"/>
      <c r="EU180" s="210"/>
      <c r="EV180" s="210"/>
      <c r="EW180" s="210"/>
      <c r="EX180" s="210"/>
      <c r="EY180" s="210"/>
      <c r="EZ180" s="210"/>
      <c r="FA180" s="210"/>
      <c r="FB180" s="210"/>
      <c r="FC180" s="210"/>
      <c r="FD180" s="210"/>
      <c r="FE180" s="210"/>
      <c r="FF180" s="210"/>
      <c r="FG180" s="210"/>
      <c r="FH180" s="210"/>
      <c r="HR180" s="120"/>
      <c r="HY180" s="210"/>
      <c r="HZ180" s="210"/>
      <c r="IA180" s="210"/>
      <c r="IB180" s="210"/>
      <c r="IC180" s="210"/>
      <c r="ID180" s="210"/>
      <c r="IE180" s="210"/>
      <c r="IF180" s="210"/>
      <c r="IG180" s="210"/>
      <c r="IH180" s="210"/>
      <c r="II180" s="210"/>
      <c r="IJ180" s="210"/>
      <c r="IK180" s="210"/>
      <c r="IL180" s="210"/>
      <c r="IM180" s="210"/>
      <c r="KW180" s="120"/>
      <c r="LD180" s="210"/>
      <c r="LE180" s="210"/>
      <c r="LF180" s="210"/>
      <c r="LG180" s="210"/>
      <c r="LH180" s="210"/>
      <c r="LI180" s="210"/>
      <c r="LJ180" s="210"/>
      <c r="LK180" s="210"/>
      <c r="LL180" s="210"/>
      <c r="LM180" s="210"/>
      <c r="LN180" s="210"/>
      <c r="LO180" s="210"/>
      <c r="LP180" s="210"/>
      <c r="LQ180" s="210"/>
      <c r="LR180" s="210"/>
      <c r="OB180" s="120"/>
      <c r="OI180" s="210"/>
      <c r="OJ180" s="210"/>
      <c r="OK180" s="210"/>
      <c r="OL180" s="210"/>
      <c r="OM180" s="210"/>
      <c r="ON180" s="210"/>
      <c r="OO180" s="210"/>
      <c r="OP180" s="210"/>
      <c r="OQ180" s="210"/>
      <c r="OR180" s="210"/>
      <c r="OS180" s="210"/>
      <c r="OT180" s="210"/>
      <c r="OU180" s="210"/>
      <c r="OV180" s="210"/>
      <c r="OW180" s="210"/>
      <c r="RG180" s="120"/>
    </row>
    <row r="181" spans="1:475" x14ac:dyDescent="0.3">
      <c r="A181" s="7">
        <v>26</v>
      </c>
      <c r="B181" s="7">
        <v>171</v>
      </c>
      <c r="C181" s="7" t="s">
        <v>276</v>
      </c>
      <c r="D181" s="7" t="s">
        <v>342</v>
      </c>
      <c r="E181" s="7" t="s">
        <v>302</v>
      </c>
      <c r="F181" s="7" t="s">
        <v>275</v>
      </c>
      <c r="G181" s="41" t="str">
        <f t="shared" si="25"/>
        <v>X</v>
      </c>
      <c r="H181" s="41">
        <f>INDEX(환산공식!CI$16:CI$301,MATCH('배치점수 계산기'!$W181,환산공식!$A$16:$A$301,0))</f>
        <v>100</v>
      </c>
      <c r="I181" s="41" t="str">
        <f>CONCATENATE(ROUND(INDEX(환산공식!CJ$16:CJ$301,MATCH('배치점수 계산기'!$W181,환산공식!$A$16:$A$301,0)),1),"%")</f>
        <v>100%</v>
      </c>
      <c r="J181" s="41">
        <f>INDEX(환산공식!CK$16:CK$301,MATCH('배치점수 계산기'!$W181,환산공식!$A$16:$A$301,0))</f>
        <v>10</v>
      </c>
      <c r="K181" s="7">
        <f>INDEX(환산공식!$EF$16:$EF$301,MATCH('배치점수 계산기'!W181,환산공식!$A$16:$A$301,0))</f>
        <v>0</v>
      </c>
      <c r="L181" s="41" t="str">
        <f t="shared" si="23"/>
        <v>1% 이하</v>
      </c>
      <c r="M181" s="7">
        <v>739.95907156060207</v>
      </c>
      <c r="N181" s="7">
        <v>737.06446447507949</v>
      </c>
      <c r="O181" s="7">
        <v>735.36799999999994</v>
      </c>
      <c r="P181" s="7">
        <v>733.80600000000004</v>
      </c>
      <c r="Q181" s="7">
        <v>732.17654943880291</v>
      </c>
      <c r="R181" s="7">
        <f t="shared" si="24"/>
        <v>6</v>
      </c>
      <c r="T181" s="7">
        <f>COUNTIF($C$11:C181,C181)</f>
        <v>115</v>
      </c>
      <c r="U181" s="7" t="str">
        <f t="shared" si="26"/>
        <v>가115</v>
      </c>
      <c r="V181" s="7" t="str">
        <f>INDEX(환산공식!$C$16:$C$301,MATCH('배치점수 계산기'!W181,환산공식!$A$16:$A$301,0))</f>
        <v>성균 통합</v>
      </c>
      <c r="W181" s="7">
        <f t="shared" si="27"/>
        <v>26</v>
      </c>
      <c r="X181" s="7">
        <f t="shared" si="28"/>
        <v>1</v>
      </c>
      <c r="Y181" s="7">
        <f>IFERROR(INDEX(환산공식!Q$16:Q$200,MATCH($A181,환산공식!$A$16:$A$200,0)),"")</f>
        <v>2</v>
      </c>
      <c r="Z181" s="7">
        <f>IFERROR(INDEX(환산공식!R$16:R$200,MATCH($A181,환산공식!$A$16:$A$200,0)),"")</f>
        <v>2</v>
      </c>
      <c r="AA181" s="7">
        <f>IFERROR(INDEX(환산공식!U$16:U$200,MATCH($A181,환산공식!$A$16:$A$200,0)),"")</f>
        <v>1</v>
      </c>
      <c r="AB181" s="7">
        <f t="shared" si="29"/>
        <v>0.4</v>
      </c>
      <c r="AC181" s="7">
        <f t="shared" si="30"/>
        <v>0.4</v>
      </c>
      <c r="AD181" s="7">
        <f t="shared" si="31"/>
        <v>0.2</v>
      </c>
      <c r="AE181" s="7">
        <f>INDEX(환산공식!$AF$16:$AF$301,MATCH('배치점수 계산기'!W181,환산공식!$A$16:$A$301,0))</f>
        <v>1</v>
      </c>
      <c r="AF181" s="7">
        <f>INDEX(환산공식!$AP$16:$AP$301,MATCH('배치점수 계산기'!W181,환산공식!$A$16:$A$301,0))</f>
        <v>4</v>
      </c>
      <c r="AG181" s="7" t="str">
        <f t="shared" si="32"/>
        <v>표점</v>
      </c>
      <c r="AH181" s="7" t="str">
        <f t="shared" si="33"/>
        <v>변표</v>
      </c>
      <c r="BO181" s="210"/>
      <c r="BP181" s="210"/>
      <c r="BQ181" s="210"/>
      <c r="BR181" s="210"/>
      <c r="BS181" s="210"/>
      <c r="BT181" s="210"/>
      <c r="BU181" s="210"/>
      <c r="BV181" s="210"/>
      <c r="BW181" s="210"/>
      <c r="BX181" s="210"/>
      <c r="BY181" s="210"/>
      <c r="BZ181" s="210"/>
      <c r="CA181" s="210"/>
      <c r="CB181" s="210"/>
      <c r="CC181" s="210"/>
      <c r="EM181" s="120"/>
      <c r="ET181" s="210"/>
      <c r="EU181" s="210"/>
      <c r="EV181" s="210"/>
      <c r="EW181" s="210"/>
      <c r="EX181" s="210"/>
      <c r="EY181" s="210"/>
      <c r="EZ181" s="210"/>
      <c r="FA181" s="210"/>
      <c r="FB181" s="210"/>
      <c r="FC181" s="210"/>
      <c r="FD181" s="210"/>
      <c r="FE181" s="210"/>
      <c r="FF181" s="210"/>
      <c r="FG181" s="210"/>
      <c r="FH181" s="210"/>
      <c r="HR181" s="120"/>
      <c r="HY181" s="210"/>
      <c r="HZ181" s="210"/>
      <c r="IA181" s="210"/>
      <c r="IB181" s="210"/>
      <c r="IC181" s="210"/>
      <c r="ID181" s="210"/>
      <c r="IE181" s="210"/>
      <c r="IF181" s="210"/>
      <c r="IG181" s="210"/>
      <c r="IH181" s="210"/>
      <c r="II181" s="210"/>
      <c r="IJ181" s="210"/>
      <c r="IK181" s="210"/>
      <c r="IL181" s="210"/>
      <c r="IM181" s="210"/>
      <c r="KW181" s="120"/>
      <c r="LD181" s="210"/>
      <c r="LE181" s="210"/>
      <c r="LF181" s="210"/>
      <c r="LG181" s="210"/>
      <c r="LH181" s="210"/>
      <c r="LI181" s="210"/>
      <c r="LJ181" s="210"/>
      <c r="LK181" s="210"/>
      <c r="LL181" s="210"/>
      <c r="LM181" s="210"/>
      <c r="LN181" s="210"/>
      <c r="LO181" s="210"/>
      <c r="LP181" s="210"/>
      <c r="LQ181" s="210"/>
      <c r="LR181" s="210"/>
      <c r="OB181" s="120"/>
      <c r="OI181" s="210"/>
      <c r="OJ181" s="210"/>
      <c r="OK181" s="210"/>
      <c r="OL181" s="210"/>
      <c r="OM181" s="210"/>
      <c r="ON181" s="210"/>
      <c r="OO181" s="210"/>
      <c r="OP181" s="210"/>
      <c r="OQ181" s="210"/>
      <c r="OR181" s="210"/>
      <c r="OS181" s="210"/>
      <c r="OT181" s="210"/>
      <c r="OU181" s="210"/>
      <c r="OV181" s="210"/>
      <c r="OW181" s="210"/>
      <c r="RG181" s="120"/>
    </row>
    <row r="182" spans="1:475" x14ac:dyDescent="0.3">
      <c r="A182" s="7">
        <v>26</v>
      </c>
      <c r="B182" s="7">
        <v>172</v>
      </c>
      <c r="C182" s="7" t="s">
        <v>276</v>
      </c>
      <c r="D182" s="7" t="s">
        <v>342</v>
      </c>
      <c r="E182" s="7" t="s">
        <v>349</v>
      </c>
      <c r="F182" s="7" t="s">
        <v>275</v>
      </c>
      <c r="G182" s="41" t="str">
        <f t="shared" si="25"/>
        <v>X</v>
      </c>
      <c r="H182" s="41">
        <f>INDEX(환산공식!CI$16:CI$301,MATCH('배치점수 계산기'!$W182,환산공식!$A$16:$A$301,0))</f>
        <v>100</v>
      </c>
      <c r="I182" s="41" t="str">
        <f>CONCATENATE(ROUND(INDEX(환산공식!CJ$16:CJ$301,MATCH('배치점수 계산기'!$W182,환산공식!$A$16:$A$301,0)),1),"%")</f>
        <v>100%</v>
      </c>
      <c r="J182" s="41">
        <f>INDEX(환산공식!CK$16:CK$301,MATCH('배치점수 계산기'!$W182,환산공식!$A$16:$A$301,0))</f>
        <v>10</v>
      </c>
      <c r="K182" s="7">
        <f>INDEX(환산공식!$EF$16:$EF$301,MATCH('배치점수 계산기'!W182,환산공식!$A$16:$A$301,0))</f>
        <v>0</v>
      </c>
      <c r="L182" s="41" t="str">
        <f t="shared" si="23"/>
        <v>1% 이하</v>
      </c>
      <c r="M182" s="7">
        <v>739.95907156060207</v>
      </c>
      <c r="N182" s="7">
        <v>737.06446447507949</v>
      </c>
      <c r="O182" s="7">
        <v>735.36799999999994</v>
      </c>
      <c r="P182" s="7">
        <v>733.80600000000004</v>
      </c>
      <c r="Q182" s="7">
        <v>732.17654943880291</v>
      </c>
      <c r="R182" s="7">
        <f t="shared" si="24"/>
        <v>6</v>
      </c>
      <c r="T182" s="7">
        <f>COUNTIF($C$11:C182,C182)</f>
        <v>116</v>
      </c>
      <c r="U182" s="7" t="str">
        <f t="shared" si="26"/>
        <v>가116</v>
      </c>
      <c r="V182" s="7" t="str">
        <f>INDEX(환산공식!$C$16:$C$301,MATCH('배치점수 계산기'!W182,환산공식!$A$16:$A$301,0))</f>
        <v>성균 통합</v>
      </c>
      <c r="W182" s="7">
        <f t="shared" si="27"/>
        <v>26</v>
      </c>
      <c r="X182" s="7">
        <f t="shared" si="28"/>
        <v>1</v>
      </c>
      <c r="Y182" s="7">
        <f>IFERROR(INDEX(환산공식!Q$16:Q$200,MATCH($A182,환산공식!$A$16:$A$200,0)),"")</f>
        <v>2</v>
      </c>
      <c r="Z182" s="7">
        <f>IFERROR(INDEX(환산공식!R$16:R$200,MATCH($A182,환산공식!$A$16:$A$200,0)),"")</f>
        <v>2</v>
      </c>
      <c r="AA182" s="7">
        <f>IFERROR(INDEX(환산공식!U$16:U$200,MATCH($A182,환산공식!$A$16:$A$200,0)),"")</f>
        <v>1</v>
      </c>
      <c r="AB182" s="7">
        <f t="shared" si="29"/>
        <v>0.4</v>
      </c>
      <c r="AC182" s="7">
        <f t="shared" si="30"/>
        <v>0.4</v>
      </c>
      <c r="AD182" s="7">
        <f t="shared" si="31"/>
        <v>0.2</v>
      </c>
      <c r="AE182" s="7">
        <f>INDEX(환산공식!$AF$16:$AF$301,MATCH('배치점수 계산기'!W182,환산공식!$A$16:$A$301,0))</f>
        <v>1</v>
      </c>
      <c r="AF182" s="7">
        <f>INDEX(환산공식!$AP$16:$AP$301,MATCH('배치점수 계산기'!W182,환산공식!$A$16:$A$301,0))</f>
        <v>4</v>
      </c>
      <c r="AG182" s="7" t="str">
        <f t="shared" si="32"/>
        <v>표점</v>
      </c>
      <c r="AH182" s="7" t="str">
        <f t="shared" si="33"/>
        <v>변표</v>
      </c>
      <c r="BO182" s="210"/>
      <c r="BP182" s="210"/>
      <c r="BQ182" s="210"/>
      <c r="BR182" s="210"/>
      <c r="BS182" s="210"/>
      <c r="BT182" s="210"/>
      <c r="BU182" s="210"/>
      <c r="BV182" s="210"/>
      <c r="BW182" s="210"/>
      <c r="BX182" s="210"/>
      <c r="BY182" s="210"/>
      <c r="BZ182" s="210"/>
      <c r="CA182" s="210"/>
      <c r="CB182" s="210"/>
      <c r="CC182" s="210"/>
      <c r="EM182" s="120"/>
      <c r="ET182" s="210"/>
      <c r="EU182" s="210"/>
      <c r="EV182" s="210"/>
      <c r="EW182" s="210"/>
      <c r="EX182" s="210"/>
      <c r="EY182" s="210"/>
      <c r="EZ182" s="210"/>
      <c r="FA182" s="210"/>
      <c r="FB182" s="210"/>
      <c r="FC182" s="210"/>
      <c r="FD182" s="210"/>
      <c r="FE182" s="210"/>
      <c r="FF182" s="210"/>
      <c r="FG182" s="210"/>
      <c r="FH182" s="210"/>
      <c r="HR182" s="120"/>
      <c r="HY182" s="210"/>
      <c r="HZ182" s="210"/>
      <c r="IA182" s="210"/>
      <c r="IB182" s="210"/>
      <c r="IC182" s="210"/>
      <c r="ID182" s="210"/>
      <c r="IE182" s="210"/>
      <c r="IF182" s="210"/>
      <c r="IG182" s="210"/>
      <c r="IH182" s="210"/>
      <c r="II182" s="210"/>
      <c r="IJ182" s="210"/>
      <c r="IK182" s="210"/>
      <c r="IL182" s="210"/>
      <c r="IM182" s="210"/>
      <c r="KW182" s="120"/>
      <c r="LD182" s="210"/>
      <c r="LE182" s="210"/>
      <c r="LF182" s="210"/>
      <c r="LG182" s="210"/>
      <c r="LH182" s="210"/>
      <c r="LI182" s="210"/>
      <c r="LJ182" s="210"/>
      <c r="LK182" s="210"/>
      <c r="LL182" s="210"/>
      <c r="LM182" s="210"/>
      <c r="LN182" s="210"/>
      <c r="LO182" s="210"/>
      <c r="LP182" s="210"/>
      <c r="LQ182" s="210"/>
      <c r="LR182" s="210"/>
      <c r="OB182" s="120"/>
      <c r="OI182" s="210"/>
      <c r="OJ182" s="210"/>
      <c r="OK182" s="210"/>
      <c r="OL182" s="210"/>
      <c r="OM182" s="210"/>
      <c r="ON182" s="210"/>
      <c r="OO182" s="210"/>
      <c r="OP182" s="210"/>
      <c r="OQ182" s="210"/>
      <c r="OR182" s="210"/>
      <c r="OS182" s="210"/>
      <c r="OT182" s="210"/>
      <c r="OU182" s="210"/>
      <c r="OV182" s="210"/>
      <c r="OW182" s="210"/>
      <c r="RG182" s="120"/>
    </row>
    <row r="183" spans="1:475" x14ac:dyDescent="0.3">
      <c r="A183" s="7">
        <v>26</v>
      </c>
      <c r="B183" s="7">
        <v>173</v>
      </c>
      <c r="C183" s="7" t="s">
        <v>276</v>
      </c>
      <c r="D183" s="7" t="s">
        <v>342</v>
      </c>
      <c r="E183" s="7" t="s">
        <v>350</v>
      </c>
      <c r="F183" s="7" t="s">
        <v>275</v>
      </c>
      <c r="G183" s="41" t="str">
        <f t="shared" si="25"/>
        <v>X</v>
      </c>
      <c r="H183" s="41">
        <f>INDEX(환산공식!CI$16:CI$301,MATCH('배치점수 계산기'!$W183,환산공식!$A$16:$A$301,0))</f>
        <v>100</v>
      </c>
      <c r="I183" s="41" t="str">
        <f>CONCATENATE(ROUND(INDEX(환산공식!CJ$16:CJ$301,MATCH('배치점수 계산기'!$W183,환산공식!$A$16:$A$301,0)),1),"%")</f>
        <v>100%</v>
      </c>
      <c r="J183" s="41">
        <f>INDEX(환산공식!CK$16:CK$301,MATCH('배치점수 계산기'!$W183,환산공식!$A$16:$A$301,0))</f>
        <v>10</v>
      </c>
      <c r="K183" s="7">
        <f>INDEX(환산공식!$EF$16:$EF$301,MATCH('배치점수 계산기'!W183,환산공식!$A$16:$A$301,0))</f>
        <v>0</v>
      </c>
      <c r="L183" s="41" t="str">
        <f t="shared" si="23"/>
        <v>1% 이하</v>
      </c>
      <c r="M183" s="7">
        <v>739.95907156060207</v>
      </c>
      <c r="N183" s="7">
        <v>737.06446447507949</v>
      </c>
      <c r="O183" s="7">
        <v>735.36799999999994</v>
      </c>
      <c r="P183" s="7">
        <v>733.80600000000004</v>
      </c>
      <c r="Q183" s="7">
        <v>732.17654943880291</v>
      </c>
      <c r="R183" s="7">
        <f t="shared" si="24"/>
        <v>6</v>
      </c>
      <c r="T183" s="7">
        <f>COUNTIF($C$11:C183,C183)</f>
        <v>117</v>
      </c>
      <c r="U183" s="7" t="str">
        <f t="shared" si="26"/>
        <v>가117</v>
      </c>
      <c r="V183" s="7" t="str">
        <f>INDEX(환산공식!$C$16:$C$301,MATCH('배치점수 계산기'!W183,환산공식!$A$16:$A$301,0))</f>
        <v>성균 통합</v>
      </c>
      <c r="W183" s="7">
        <f t="shared" si="27"/>
        <v>26</v>
      </c>
      <c r="X183" s="7">
        <f t="shared" si="28"/>
        <v>1</v>
      </c>
      <c r="Y183" s="7">
        <f>IFERROR(INDEX(환산공식!Q$16:Q$200,MATCH($A183,환산공식!$A$16:$A$200,0)),"")</f>
        <v>2</v>
      </c>
      <c r="Z183" s="7">
        <f>IFERROR(INDEX(환산공식!R$16:R$200,MATCH($A183,환산공식!$A$16:$A$200,0)),"")</f>
        <v>2</v>
      </c>
      <c r="AA183" s="7">
        <f>IFERROR(INDEX(환산공식!U$16:U$200,MATCH($A183,환산공식!$A$16:$A$200,0)),"")</f>
        <v>1</v>
      </c>
      <c r="AB183" s="7">
        <f t="shared" si="29"/>
        <v>0.4</v>
      </c>
      <c r="AC183" s="7">
        <f t="shared" si="30"/>
        <v>0.4</v>
      </c>
      <c r="AD183" s="7">
        <f t="shared" si="31"/>
        <v>0.2</v>
      </c>
      <c r="AE183" s="7">
        <f>INDEX(환산공식!$AF$16:$AF$301,MATCH('배치점수 계산기'!W183,환산공식!$A$16:$A$301,0))</f>
        <v>1</v>
      </c>
      <c r="AF183" s="7">
        <f>INDEX(환산공식!$AP$16:$AP$301,MATCH('배치점수 계산기'!W183,환산공식!$A$16:$A$301,0))</f>
        <v>4</v>
      </c>
      <c r="AG183" s="7" t="str">
        <f t="shared" si="32"/>
        <v>표점</v>
      </c>
      <c r="AH183" s="7" t="str">
        <f t="shared" si="33"/>
        <v>변표</v>
      </c>
      <c r="BO183" s="210"/>
      <c r="BP183" s="210"/>
      <c r="BQ183" s="210"/>
      <c r="BR183" s="210"/>
      <c r="BS183" s="210"/>
      <c r="BT183" s="210"/>
      <c r="BU183" s="210"/>
      <c r="BV183" s="210"/>
      <c r="BW183" s="210"/>
      <c r="BX183" s="210"/>
      <c r="BY183" s="210"/>
      <c r="BZ183" s="210"/>
      <c r="CA183" s="210"/>
      <c r="CB183" s="210"/>
      <c r="CC183" s="210"/>
      <c r="EM183" s="120"/>
      <c r="ET183" s="210"/>
      <c r="EU183" s="210"/>
      <c r="EV183" s="210"/>
      <c r="EW183" s="210"/>
      <c r="EX183" s="210"/>
      <c r="EY183" s="210"/>
      <c r="EZ183" s="210"/>
      <c r="FA183" s="210"/>
      <c r="FB183" s="210"/>
      <c r="FC183" s="210"/>
      <c r="FD183" s="210"/>
      <c r="FE183" s="210"/>
      <c r="FF183" s="210"/>
      <c r="FG183" s="210"/>
      <c r="FH183" s="210"/>
      <c r="HR183" s="120"/>
      <c r="HY183" s="210"/>
      <c r="HZ183" s="210"/>
      <c r="IA183" s="210"/>
      <c r="IB183" s="210"/>
      <c r="IC183" s="210"/>
      <c r="ID183" s="210"/>
      <c r="IE183" s="210"/>
      <c r="IF183" s="210"/>
      <c r="IG183" s="210"/>
      <c r="IH183" s="210"/>
      <c r="II183" s="210"/>
      <c r="IJ183" s="210"/>
      <c r="IK183" s="210"/>
      <c r="IL183" s="210"/>
      <c r="IM183" s="210"/>
      <c r="KW183" s="120"/>
      <c r="LD183" s="210"/>
      <c r="LE183" s="210"/>
      <c r="LF183" s="210"/>
      <c r="LG183" s="210"/>
      <c r="LH183" s="210"/>
      <c r="LI183" s="210"/>
      <c r="LJ183" s="210"/>
      <c r="LK183" s="210"/>
      <c r="LL183" s="210"/>
      <c r="LM183" s="210"/>
      <c r="LN183" s="210"/>
      <c r="LO183" s="210"/>
      <c r="LP183" s="210"/>
      <c r="LQ183" s="210"/>
      <c r="LR183" s="210"/>
      <c r="OB183" s="120"/>
      <c r="OI183" s="210"/>
      <c r="OJ183" s="210"/>
      <c r="OK183" s="210"/>
      <c r="OL183" s="210"/>
      <c r="OM183" s="210"/>
      <c r="ON183" s="210"/>
      <c r="OO183" s="210"/>
      <c r="OP183" s="210"/>
      <c r="OQ183" s="210"/>
      <c r="OR183" s="210"/>
      <c r="OS183" s="210"/>
      <c r="OT183" s="210"/>
      <c r="OU183" s="210"/>
      <c r="OV183" s="210"/>
      <c r="OW183" s="210"/>
      <c r="RG183" s="120"/>
    </row>
    <row r="184" spans="1:475" x14ac:dyDescent="0.3">
      <c r="A184" s="7">
        <v>26</v>
      </c>
      <c r="B184" s="7">
        <v>174</v>
      </c>
      <c r="C184" s="7" t="s">
        <v>276</v>
      </c>
      <c r="D184" s="7" t="s">
        <v>342</v>
      </c>
      <c r="E184" s="7" t="s">
        <v>351</v>
      </c>
      <c r="F184" s="7" t="s">
        <v>275</v>
      </c>
      <c r="G184" s="41" t="str">
        <f t="shared" si="25"/>
        <v>X</v>
      </c>
      <c r="H184" s="41">
        <f>INDEX(환산공식!CI$16:CI$301,MATCH('배치점수 계산기'!$W184,환산공식!$A$16:$A$301,0))</f>
        <v>100</v>
      </c>
      <c r="I184" s="41" t="str">
        <f>CONCATENATE(ROUND(INDEX(환산공식!CJ$16:CJ$301,MATCH('배치점수 계산기'!$W184,환산공식!$A$16:$A$301,0)),1),"%")</f>
        <v>100%</v>
      </c>
      <c r="J184" s="41">
        <f>INDEX(환산공식!CK$16:CK$301,MATCH('배치점수 계산기'!$W184,환산공식!$A$16:$A$301,0))</f>
        <v>10</v>
      </c>
      <c r="K184" s="7">
        <f>INDEX(환산공식!$EF$16:$EF$301,MATCH('배치점수 계산기'!W184,환산공식!$A$16:$A$301,0))</f>
        <v>0</v>
      </c>
      <c r="L184" s="41" t="str">
        <f t="shared" si="23"/>
        <v>1% 이하</v>
      </c>
      <c r="M184" s="7">
        <v>739.95907156060207</v>
      </c>
      <c r="N184" s="7">
        <v>737.06446447507949</v>
      </c>
      <c r="O184" s="7">
        <v>735.36799999999994</v>
      </c>
      <c r="P184" s="7">
        <v>733.80600000000004</v>
      </c>
      <c r="Q184" s="7">
        <v>732.17654943880291</v>
      </c>
      <c r="R184" s="7">
        <f t="shared" si="24"/>
        <v>6</v>
      </c>
      <c r="T184" s="7">
        <f>COUNTIF($C$11:C184,C184)</f>
        <v>118</v>
      </c>
      <c r="U184" s="7" t="str">
        <f t="shared" si="26"/>
        <v>가118</v>
      </c>
      <c r="V184" s="7" t="str">
        <f>INDEX(환산공식!$C$16:$C$301,MATCH('배치점수 계산기'!W184,환산공식!$A$16:$A$301,0))</f>
        <v>성균 통합</v>
      </c>
      <c r="W184" s="7">
        <f t="shared" si="27"/>
        <v>26</v>
      </c>
      <c r="X184" s="7">
        <f t="shared" si="28"/>
        <v>1</v>
      </c>
      <c r="Y184" s="7">
        <f>IFERROR(INDEX(환산공식!Q$16:Q$200,MATCH($A184,환산공식!$A$16:$A$200,0)),"")</f>
        <v>2</v>
      </c>
      <c r="Z184" s="7">
        <f>IFERROR(INDEX(환산공식!R$16:R$200,MATCH($A184,환산공식!$A$16:$A$200,0)),"")</f>
        <v>2</v>
      </c>
      <c r="AA184" s="7">
        <f>IFERROR(INDEX(환산공식!U$16:U$200,MATCH($A184,환산공식!$A$16:$A$200,0)),"")</f>
        <v>1</v>
      </c>
      <c r="AB184" s="7">
        <f t="shared" si="29"/>
        <v>0.4</v>
      </c>
      <c r="AC184" s="7">
        <f t="shared" si="30"/>
        <v>0.4</v>
      </c>
      <c r="AD184" s="7">
        <f t="shared" si="31"/>
        <v>0.2</v>
      </c>
      <c r="AE184" s="7">
        <f>INDEX(환산공식!$AF$16:$AF$301,MATCH('배치점수 계산기'!W184,환산공식!$A$16:$A$301,0))</f>
        <v>1</v>
      </c>
      <c r="AF184" s="7">
        <f>INDEX(환산공식!$AP$16:$AP$301,MATCH('배치점수 계산기'!W184,환산공식!$A$16:$A$301,0))</f>
        <v>4</v>
      </c>
      <c r="AG184" s="7" t="str">
        <f t="shared" si="32"/>
        <v>표점</v>
      </c>
      <c r="AH184" s="7" t="str">
        <f t="shared" si="33"/>
        <v>변표</v>
      </c>
      <c r="BO184" s="210"/>
      <c r="BP184" s="210"/>
      <c r="BQ184" s="210"/>
      <c r="BR184" s="210"/>
      <c r="BS184" s="210"/>
      <c r="BT184" s="210"/>
      <c r="BU184" s="210"/>
      <c r="BV184" s="210"/>
      <c r="BW184" s="210"/>
      <c r="BX184" s="210"/>
      <c r="BY184" s="210"/>
      <c r="BZ184" s="210"/>
      <c r="CA184" s="210"/>
      <c r="CB184" s="210"/>
      <c r="CC184" s="210"/>
      <c r="EM184" s="120"/>
      <c r="ET184" s="210"/>
      <c r="EU184" s="210"/>
      <c r="EV184" s="210"/>
      <c r="EW184" s="210"/>
      <c r="EX184" s="210"/>
      <c r="EY184" s="210"/>
      <c r="EZ184" s="210"/>
      <c r="FA184" s="210"/>
      <c r="FB184" s="210"/>
      <c r="FC184" s="210"/>
      <c r="FD184" s="210"/>
      <c r="FE184" s="210"/>
      <c r="FF184" s="210"/>
      <c r="FG184" s="210"/>
      <c r="FH184" s="210"/>
      <c r="HR184" s="120"/>
      <c r="HY184" s="210"/>
      <c r="HZ184" s="210"/>
      <c r="IA184" s="210"/>
      <c r="IB184" s="210"/>
      <c r="IC184" s="210"/>
      <c r="ID184" s="210"/>
      <c r="IE184" s="210"/>
      <c r="IF184" s="210"/>
      <c r="IG184" s="210"/>
      <c r="IH184" s="210"/>
      <c r="II184" s="210"/>
      <c r="IJ184" s="210"/>
      <c r="IK184" s="210"/>
      <c r="IL184" s="210"/>
      <c r="IM184" s="210"/>
      <c r="KW184" s="120"/>
      <c r="LD184" s="210"/>
      <c r="LE184" s="210"/>
      <c r="LF184" s="210"/>
      <c r="LG184" s="210"/>
      <c r="LH184" s="210"/>
      <c r="LI184" s="210"/>
      <c r="LJ184" s="210"/>
      <c r="LK184" s="210"/>
      <c r="LL184" s="210"/>
      <c r="LM184" s="210"/>
      <c r="LN184" s="210"/>
      <c r="LO184" s="210"/>
      <c r="LP184" s="210"/>
      <c r="LQ184" s="210"/>
      <c r="LR184" s="210"/>
      <c r="OB184" s="120"/>
      <c r="OI184" s="210"/>
      <c r="OJ184" s="210"/>
      <c r="OK184" s="210"/>
      <c r="OL184" s="210"/>
      <c r="OM184" s="210"/>
      <c r="ON184" s="210"/>
      <c r="OO184" s="210"/>
      <c r="OP184" s="210"/>
      <c r="OQ184" s="210"/>
      <c r="OR184" s="210"/>
      <c r="OS184" s="210"/>
      <c r="OT184" s="210"/>
      <c r="OU184" s="210"/>
      <c r="OV184" s="210"/>
      <c r="OW184" s="210"/>
      <c r="RG184" s="120"/>
    </row>
    <row r="185" spans="1:475" x14ac:dyDescent="0.3">
      <c r="A185" s="7">
        <v>25</v>
      </c>
      <c r="B185" s="7">
        <v>175</v>
      </c>
      <c r="C185" s="7" t="s">
        <v>346</v>
      </c>
      <c r="D185" s="7" t="s">
        <v>342</v>
      </c>
      <c r="E185" s="7" t="s">
        <v>352</v>
      </c>
      <c r="F185" s="7" t="s">
        <v>274</v>
      </c>
      <c r="G185" s="41" t="str">
        <f t="shared" si="25"/>
        <v>X</v>
      </c>
      <c r="H185" s="41">
        <f>INDEX(환산공식!CI$16:CI$301,MATCH('배치점수 계산기'!$W185,환산공식!$A$16:$A$301,0))</f>
        <v>100</v>
      </c>
      <c r="I185" s="41" t="str">
        <f>CONCATENATE(ROUND(INDEX(환산공식!CJ$16:CJ$301,MATCH('배치점수 계산기'!$W185,환산공식!$A$16:$A$301,0)),1),"%")</f>
        <v>100%</v>
      </c>
      <c r="J185" s="41">
        <f>INDEX(환산공식!CK$16:CK$301,MATCH('배치점수 계산기'!$W185,환산공식!$A$16:$A$301,0))</f>
        <v>10</v>
      </c>
      <c r="K185" s="7">
        <f>INDEX(환산공식!$EF$16:$EF$301,MATCH('배치점수 계산기'!W185,환산공식!$A$16:$A$301,0))</f>
        <v>0</v>
      </c>
      <c r="L185" s="41" t="str">
        <f t="shared" si="23"/>
        <v>1% 이하</v>
      </c>
      <c r="M185" s="7">
        <v>759.81200000000001</v>
      </c>
      <c r="N185" s="7">
        <v>758.48300000000006</v>
      </c>
      <c r="O185" s="7">
        <v>757.19825000000003</v>
      </c>
      <c r="P185" s="7">
        <v>755.50249999999994</v>
      </c>
      <c r="Q185" s="7">
        <v>752.19713430504953</v>
      </c>
      <c r="R185" s="7">
        <f t="shared" si="24"/>
        <v>6</v>
      </c>
      <c r="T185" s="7">
        <f>COUNTIF($C$11:C185,C185)</f>
        <v>57</v>
      </c>
      <c r="U185" s="7" t="str">
        <f t="shared" si="26"/>
        <v>나57</v>
      </c>
      <c r="V185" s="7" t="str">
        <f>INDEX(환산공식!$C$16:$C$301,MATCH('배치점수 계산기'!W185,환산공식!$A$16:$A$301,0))</f>
        <v>성균 자연</v>
      </c>
      <c r="W185" s="7">
        <f t="shared" si="27"/>
        <v>25</v>
      </c>
      <c r="X185" s="7">
        <f t="shared" si="28"/>
        <v>1</v>
      </c>
      <c r="Y185" s="7">
        <f>IFERROR(INDEX(환산공식!Q$16:Q$200,MATCH($A185,환산공식!$A$16:$A$200,0)),"")</f>
        <v>1.25</v>
      </c>
      <c r="Z185" s="7">
        <f>IFERROR(INDEX(환산공식!R$16:R$200,MATCH($A185,환산공식!$A$16:$A$200,0)),"")</f>
        <v>2</v>
      </c>
      <c r="AA185" s="7">
        <f>IFERROR(INDEX(환산공식!U$16:U$200,MATCH($A185,환산공식!$A$16:$A$200,0)),"")</f>
        <v>1.75</v>
      </c>
      <c r="AB185" s="7">
        <f t="shared" si="29"/>
        <v>0.25</v>
      </c>
      <c r="AC185" s="7">
        <f t="shared" si="30"/>
        <v>0.4</v>
      </c>
      <c r="AD185" s="7">
        <f t="shared" si="31"/>
        <v>0.35</v>
      </c>
      <c r="AE185" s="7">
        <f>INDEX(환산공식!$AF$16:$AF$301,MATCH('배치점수 계산기'!W185,환산공식!$A$16:$A$301,0))</f>
        <v>1</v>
      </c>
      <c r="AF185" s="7">
        <f>INDEX(환산공식!$AP$16:$AP$301,MATCH('배치점수 계산기'!W185,환산공식!$A$16:$A$301,0))</f>
        <v>4</v>
      </c>
      <c r="AG185" s="7" t="str">
        <f t="shared" si="32"/>
        <v>표점</v>
      </c>
      <c r="AH185" s="7" t="str">
        <f t="shared" si="33"/>
        <v>변표</v>
      </c>
      <c r="BO185" s="210"/>
      <c r="BP185" s="210"/>
      <c r="BQ185" s="210"/>
      <c r="BR185" s="210"/>
      <c r="BS185" s="210"/>
      <c r="BT185" s="210"/>
      <c r="BU185" s="210"/>
      <c r="BV185" s="210"/>
      <c r="BW185" s="210"/>
      <c r="BX185" s="210"/>
      <c r="BY185" s="210"/>
      <c r="BZ185" s="210"/>
      <c r="CA185" s="210"/>
      <c r="CB185" s="210"/>
      <c r="CC185" s="210"/>
      <c r="EM185" s="120"/>
      <c r="ET185" s="210"/>
      <c r="EU185" s="210"/>
      <c r="EV185" s="210"/>
      <c r="EW185" s="210"/>
      <c r="EX185" s="210"/>
      <c r="EY185" s="210"/>
      <c r="EZ185" s="210"/>
      <c r="FA185" s="210"/>
      <c r="FB185" s="210"/>
      <c r="FC185" s="210"/>
      <c r="FD185" s="210"/>
      <c r="FE185" s="210"/>
      <c r="FF185" s="210"/>
      <c r="FG185" s="210"/>
      <c r="FH185" s="210"/>
      <c r="HR185" s="120"/>
      <c r="HY185" s="210"/>
      <c r="HZ185" s="210"/>
      <c r="IA185" s="210"/>
      <c r="IB185" s="210"/>
      <c r="IC185" s="210"/>
      <c r="ID185" s="210"/>
      <c r="IE185" s="210"/>
      <c r="IF185" s="210"/>
      <c r="IG185" s="210"/>
      <c r="IH185" s="210"/>
      <c r="II185" s="210"/>
      <c r="IJ185" s="210"/>
      <c r="IK185" s="210"/>
      <c r="IL185" s="210"/>
      <c r="IM185" s="210"/>
      <c r="KW185" s="120"/>
      <c r="LD185" s="210"/>
      <c r="LE185" s="210"/>
      <c r="LF185" s="210"/>
      <c r="LG185" s="210"/>
      <c r="LH185" s="210"/>
      <c r="LI185" s="210"/>
      <c r="LJ185" s="210"/>
      <c r="LK185" s="210"/>
      <c r="LL185" s="210"/>
      <c r="LM185" s="210"/>
      <c r="LN185" s="210"/>
      <c r="LO185" s="210"/>
      <c r="LP185" s="210"/>
      <c r="LQ185" s="210"/>
      <c r="LR185" s="210"/>
      <c r="OB185" s="120"/>
      <c r="OI185" s="210"/>
      <c r="OJ185" s="210"/>
      <c r="OK185" s="210"/>
      <c r="OL185" s="210"/>
      <c r="OM185" s="210"/>
      <c r="ON185" s="210"/>
      <c r="OO185" s="210"/>
      <c r="OP185" s="210"/>
      <c r="OQ185" s="210"/>
      <c r="OR185" s="210"/>
      <c r="OS185" s="210"/>
      <c r="OT185" s="210"/>
      <c r="OU185" s="210"/>
      <c r="OV185" s="210"/>
      <c r="OW185" s="210"/>
      <c r="RG185" s="120"/>
    </row>
    <row r="186" spans="1:475" x14ac:dyDescent="0.3">
      <c r="A186" s="7">
        <v>25</v>
      </c>
      <c r="B186" s="7">
        <v>176</v>
      </c>
      <c r="C186" s="7" t="s">
        <v>276</v>
      </c>
      <c r="D186" s="7" t="s">
        <v>342</v>
      </c>
      <c r="E186" s="7" t="s">
        <v>353</v>
      </c>
      <c r="F186" s="7" t="s">
        <v>274</v>
      </c>
      <c r="G186" s="41" t="str">
        <f t="shared" si="25"/>
        <v>X</v>
      </c>
      <c r="H186" s="41">
        <f>INDEX(환산공식!CI$16:CI$301,MATCH('배치점수 계산기'!$W186,환산공식!$A$16:$A$301,0))</f>
        <v>100</v>
      </c>
      <c r="I186" s="41" t="str">
        <f>CONCATENATE(ROUND(INDEX(환산공식!CJ$16:CJ$301,MATCH('배치점수 계산기'!$W186,환산공식!$A$16:$A$301,0)),1),"%")</f>
        <v>100%</v>
      </c>
      <c r="J186" s="41">
        <f>INDEX(환산공식!CK$16:CK$301,MATCH('배치점수 계산기'!$W186,환산공식!$A$16:$A$301,0))</f>
        <v>10</v>
      </c>
      <c r="K186" s="7">
        <f>INDEX(환산공식!$EF$16:$EF$301,MATCH('배치점수 계산기'!W186,환산공식!$A$16:$A$301,0))</f>
        <v>0</v>
      </c>
      <c r="L186" s="41" t="str">
        <f t="shared" si="23"/>
        <v>1% 이하</v>
      </c>
      <c r="M186" s="7">
        <v>763.84639335887607</v>
      </c>
      <c r="N186" s="7">
        <v>762.09900000000016</v>
      </c>
      <c r="O186" s="7">
        <v>759.81200000000001</v>
      </c>
      <c r="P186" s="7">
        <v>757.36864516129037</v>
      </c>
      <c r="Q186" s="7">
        <v>756.12461727437289</v>
      </c>
      <c r="R186" s="7">
        <f t="shared" si="24"/>
        <v>6</v>
      </c>
      <c r="T186" s="7">
        <f>COUNTIF($C$11:C186,C186)</f>
        <v>119</v>
      </c>
      <c r="U186" s="7" t="str">
        <f t="shared" si="26"/>
        <v>가119</v>
      </c>
      <c r="V186" s="7" t="str">
        <f>INDEX(환산공식!$C$16:$C$301,MATCH('배치점수 계산기'!W186,환산공식!$A$16:$A$301,0))</f>
        <v>성균 자연</v>
      </c>
      <c r="W186" s="7">
        <f t="shared" si="27"/>
        <v>25</v>
      </c>
      <c r="X186" s="7">
        <f t="shared" si="28"/>
        <v>1</v>
      </c>
      <c r="Y186" s="7">
        <f>IFERROR(INDEX(환산공식!Q$16:Q$200,MATCH($A186,환산공식!$A$16:$A$200,0)),"")</f>
        <v>1.25</v>
      </c>
      <c r="Z186" s="7">
        <f>IFERROR(INDEX(환산공식!R$16:R$200,MATCH($A186,환산공식!$A$16:$A$200,0)),"")</f>
        <v>2</v>
      </c>
      <c r="AA186" s="7">
        <f>IFERROR(INDEX(환산공식!U$16:U$200,MATCH($A186,환산공식!$A$16:$A$200,0)),"")</f>
        <v>1.75</v>
      </c>
      <c r="AB186" s="7">
        <f t="shared" si="29"/>
        <v>0.25</v>
      </c>
      <c r="AC186" s="7">
        <f t="shared" si="30"/>
        <v>0.4</v>
      </c>
      <c r="AD186" s="7">
        <f t="shared" si="31"/>
        <v>0.35</v>
      </c>
      <c r="AE186" s="7">
        <f>INDEX(환산공식!$AF$16:$AF$301,MATCH('배치점수 계산기'!W186,환산공식!$A$16:$A$301,0))</f>
        <v>1</v>
      </c>
      <c r="AF186" s="7">
        <f>INDEX(환산공식!$AP$16:$AP$301,MATCH('배치점수 계산기'!W186,환산공식!$A$16:$A$301,0))</f>
        <v>4</v>
      </c>
      <c r="AG186" s="7" t="str">
        <f t="shared" si="32"/>
        <v>표점</v>
      </c>
      <c r="AH186" s="7" t="str">
        <f t="shared" si="33"/>
        <v>변표</v>
      </c>
      <c r="BO186" s="210"/>
      <c r="BP186" s="210"/>
      <c r="BQ186" s="210"/>
      <c r="BR186" s="210"/>
      <c r="BS186" s="210"/>
      <c r="BT186" s="210"/>
      <c r="BU186" s="210"/>
      <c r="BV186" s="210"/>
      <c r="BW186" s="210"/>
      <c r="BX186" s="210"/>
      <c r="BY186" s="210"/>
      <c r="BZ186" s="210"/>
      <c r="CA186" s="210"/>
      <c r="CB186" s="210"/>
      <c r="CC186" s="210"/>
      <c r="EM186" s="120"/>
      <c r="ET186" s="210"/>
      <c r="EU186" s="210"/>
      <c r="EV186" s="210"/>
      <c r="EW186" s="210"/>
      <c r="EX186" s="210"/>
      <c r="EY186" s="210"/>
      <c r="EZ186" s="210"/>
      <c r="FA186" s="210"/>
      <c r="FB186" s="210"/>
      <c r="FC186" s="210"/>
      <c r="FD186" s="210"/>
      <c r="FE186" s="210"/>
      <c r="FF186" s="210"/>
      <c r="FG186" s="210"/>
      <c r="FH186" s="210"/>
      <c r="HR186" s="120"/>
      <c r="HY186" s="210"/>
      <c r="HZ186" s="210"/>
      <c r="IA186" s="210"/>
      <c r="IB186" s="210"/>
      <c r="IC186" s="210"/>
      <c r="ID186" s="210"/>
      <c r="IE186" s="210"/>
      <c r="IF186" s="210"/>
      <c r="IG186" s="210"/>
      <c r="IH186" s="210"/>
      <c r="II186" s="210"/>
      <c r="IJ186" s="210"/>
      <c r="IK186" s="210"/>
      <c r="IL186" s="210"/>
      <c r="IM186" s="210"/>
      <c r="KW186" s="120"/>
      <c r="LD186" s="210"/>
      <c r="LE186" s="210"/>
      <c r="LF186" s="210"/>
      <c r="LG186" s="210"/>
      <c r="LH186" s="210"/>
      <c r="LI186" s="210"/>
      <c r="LJ186" s="210"/>
      <c r="LK186" s="210"/>
      <c r="LL186" s="210"/>
      <c r="LM186" s="210"/>
      <c r="LN186" s="210"/>
      <c r="LO186" s="210"/>
      <c r="LP186" s="210"/>
      <c r="LQ186" s="210"/>
      <c r="LR186" s="210"/>
      <c r="OB186" s="120"/>
      <c r="OI186" s="210"/>
      <c r="OJ186" s="210"/>
      <c r="OK186" s="210"/>
      <c r="OL186" s="210"/>
      <c r="OM186" s="210"/>
      <c r="ON186" s="210"/>
      <c r="OO186" s="210"/>
      <c r="OP186" s="210"/>
      <c r="OQ186" s="210"/>
      <c r="OR186" s="210"/>
      <c r="OS186" s="210"/>
      <c r="OT186" s="210"/>
      <c r="OU186" s="210"/>
      <c r="OV186" s="210"/>
      <c r="OW186" s="210"/>
      <c r="RG186" s="120"/>
    </row>
    <row r="187" spans="1:475" x14ac:dyDescent="0.3">
      <c r="A187" s="7">
        <v>25</v>
      </c>
      <c r="B187" s="7">
        <v>177</v>
      </c>
      <c r="C187" s="7" t="s">
        <v>346</v>
      </c>
      <c r="D187" s="7" t="s">
        <v>342</v>
      </c>
      <c r="E187" s="7" t="s">
        <v>354</v>
      </c>
      <c r="F187" s="7" t="s">
        <v>274</v>
      </c>
      <c r="G187" s="41" t="str">
        <f t="shared" si="25"/>
        <v>X</v>
      </c>
      <c r="H187" s="41">
        <f>INDEX(환산공식!CI$16:CI$301,MATCH('배치점수 계산기'!$W187,환산공식!$A$16:$A$301,0))</f>
        <v>100</v>
      </c>
      <c r="I187" s="41" t="str">
        <f>CONCATENATE(ROUND(INDEX(환산공식!CJ$16:CJ$301,MATCH('배치점수 계산기'!$W187,환산공식!$A$16:$A$301,0)),1),"%")</f>
        <v>100%</v>
      </c>
      <c r="J187" s="41">
        <f>INDEX(환산공식!CK$16:CK$301,MATCH('배치점수 계산기'!$W187,환산공식!$A$16:$A$301,0))</f>
        <v>10</v>
      </c>
      <c r="K187" s="7">
        <f>INDEX(환산공식!$EF$16:$EF$301,MATCH('배치점수 계산기'!W187,환산공식!$A$16:$A$301,0))</f>
        <v>0</v>
      </c>
      <c r="L187" s="41" t="str">
        <f t="shared" si="23"/>
        <v>1% 이하</v>
      </c>
      <c r="M187" s="7">
        <v>762.09900000000016</v>
      </c>
      <c r="N187" s="7">
        <v>760.81600000000003</v>
      </c>
      <c r="O187" s="7">
        <v>759.29750077200208</v>
      </c>
      <c r="P187" s="7">
        <v>757.19825000000003</v>
      </c>
      <c r="Q187" s="7">
        <v>755.50249999999994</v>
      </c>
      <c r="R187" s="7">
        <f t="shared" si="24"/>
        <v>6</v>
      </c>
      <c r="T187" s="7">
        <f>COUNTIF($C$11:C187,C187)</f>
        <v>58</v>
      </c>
      <c r="U187" s="7" t="str">
        <f t="shared" si="26"/>
        <v>나58</v>
      </c>
      <c r="V187" s="7" t="str">
        <f>INDEX(환산공식!$C$16:$C$301,MATCH('배치점수 계산기'!W187,환산공식!$A$16:$A$301,0))</f>
        <v>성균 자연</v>
      </c>
      <c r="W187" s="7">
        <f t="shared" si="27"/>
        <v>25</v>
      </c>
      <c r="X187" s="7">
        <f t="shared" si="28"/>
        <v>1</v>
      </c>
      <c r="Y187" s="7">
        <f>IFERROR(INDEX(환산공식!Q$16:Q$200,MATCH($A187,환산공식!$A$16:$A$200,0)),"")</f>
        <v>1.25</v>
      </c>
      <c r="Z187" s="7">
        <f>IFERROR(INDEX(환산공식!R$16:R$200,MATCH($A187,환산공식!$A$16:$A$200,0)),"")</f>
        <v>2</v>
      </c>
      <c r="AA187" s="7">
        <f>IFERROR(INDEX(환산공식!U$16:U$200,MATCH($A187,환산공식!$A$16:$A$200,0)),"")</f>
        <v>1.75</v>
      </c>
      <c r="AB187" s="7">
        <f t="shared" si="29"/>
        <v>0.25</v>
      </c>
      <c r="AC187" s="7">
        <f t="shared" si="30"/>
        <v>0.4</v>
      </c>
      <c r="AD187" s="7">
        <f t="shared" si="31"/>
        <v>0.35</v>
      </c>
      <c r="AE187" s="7">
        <f>INDEX(환산공식!$AF$16:$AF$301,MATCH('배치점수 계산기'!W187,환산공식!$A$16:$A$301,0))</f>
        <v>1</v>
      </c>
      <c r="AF187" s="7">
        <f>INDEX(환산공식!$AP$16:$AP$301,MATCH('배치점수 계산기'!W187,환산공식!$A$16:$A$301,0))</f>
        <v>4</v>
      </c>
      <c r="AG187" s="7" t="str">
        <f t="shared" si="32"/>
        <v>표점</v>
      </c>
      <c r="AH187" s="7" t="str">
        <f t="shared" si="33"/>
        <v>변표</v>
      </c>
      <c r="BO187" s="210"/>
      <c r="BP187" s="210"/>
      <c r="BQ187" s="210"/>
      <c r="BR187" s="210"/>
      <c r="BS187" s="210"/>
      <c r="BT187" s="210"/>
      <c r="BU187" s="210"/>
      <c r="BV187" s="210"/>
      <c r="BW187" s="210"/>
      <c r="BX187" s="210"/>
      <c r="BY187" s="210"/>
      <c r="BZ187" s="210"/>
      <c r="CA187" s="210"/>
      <c r="CB187" s="210"/>
      <c r="CC187" s="210"/>
      <c r="EM187" s="120"/>
      <c r="ET187" s="210"/>
      <c r="EU187" s="210"/>
      <c r="EV187" s="210"/>
      <c r="EW187" s="210"/>
      <c r="EX187" s="210"/>
      <c r="EY187" s="210"/>
      <c r="EZ187" s="210"/>
      <c r="FA187" s="210"/>
      <c r="FB187" s="210"/>
      <c r="FC187" s="210"/>
      <c r="FD187" s="210"/>
      <c r="FE187" s="210"/>
      <c r="FF187" s="210"/>
      <c r="FG187" s="210"/>
      <c r="FH187" s="210"/>
      <c r="HR187" s="120"/>
      <c r="HY187" s="210"/>
      <c r="HZ187" s="210"/>
      <c r="IA187" s="210"/>
      <c r="IB187" s="210"/>
      <c r="IC187" s="210"/>
      <c r="ID187" s="210"/>
      <c r="IE187" s="210"/>
      <c r="IF187" s="210"/>
      <c r="IG187" s="210"/>
      <c r="IH187" s="210"/>
      <c r="II187" s="210"/>
      <c r="IJ187" s="210"/>
      <c r="IK187" s="210"/>
      <c r="IL187" s="210"/>
      <c r="IM187" s="210"/>
      <c r="KW187" s="120"/>
      <c r="LD187" s="210"/>
      <c r="LE187" s="210"/>
      <c r="LF187" s="210"/>
      <c r="LG187" s="210"/>
      <c r="LH187" s="210"/>
      <c r="LI187" s="210"/>
      <c r="LJ187" s="210"/>
      <c r="LK187" s="210"/>
      <c r="LL187" s="210"/>
      <c r="LM187" s="210"/>
      <c r="LN187" s="210"/>
      <c r="LO187" s="210"/>
      <c r="LP187" s="210"/>
      <c r="LQ187" s="210"/>
      <c r="LR187" s="210"/>
      <c r="OB187" s="120"/>
      <c r="OI187" s="210"/>
      <c r="OJ187" s="210"/>
      <c r="OK187" s="210"/>
      <c r="OL187" s="210"/>
      <c r="OM187" s="210"/>
      <c r="ON187" s="210"/>
      <c r="OO187" s="210"/>
      <c r="OP187" s="210"/>
      <c r="OQ187" s="210"/>
      <c r="OR187" s="210"/>
      <c r="OS187" s="210"/>
      <c r="OT187" s="210"/>
      <c r="OU187" s="210"/>
      <c r="OV187" s="210"/>
      <c r="OW187" s="210"/>
      <c r="RG187" s="120"/>
    </row>
    <row r="188" spans="1:475" x14ac:dyDescent="0.3">
      <c r="A188" s="7">
        <v>25</v>
      </c>
      <c r="B188" s="7">
        <v>178</v>
      </c>
      <c r="C188" s="7" t="s">
        <v>276</v>
      </c>
      <c r="D188" s="7" t="s">
        <v>342</v>
      </c>
      <c r="E188" s="7" t="s">
        <v>355</v>
      </c>
      <c r="F188" s="7" t="s">
        <v>274</v>
      </c>
      <c r="G188" s="41" t="str">
        <f t="shared" si="25"/>
        <v>X</v>
      </c>
      <c r="H188" s="41">
        <f>INDEX(환산공식!CI$16:CI$301,MATCH('배치점수 계산기'!$W188,환산공식!$A$16:$A$301,0))</f>
        <v>100</v>
      </c>
      <c r="I188" s="41" t="str">
        <f>CONCATENATE(ROUND(INDEX(환산공식!CJ$16:CJ$301,MATCH('배치점수 계산기'!$W188,환산공식!$A$16:$A$301,0)),1),"%")</f>
        <v>100%</v>
      </c>
      <c r="J188" s="41">
        <f>INDEX(환산공식!CK$16:CK$301,MATCH('배치점수 계산기'!$W188,환산공식!$A$16:$A$301,0))</f>
        <v>10</v>
      </c>
      <c r="K188" s="7">
        <f>INDEX(환산공식!$EF$16:$EF$301,MATCH('배치점수 계산기'!W188,환산공식!$A$16:$A$301,0))</f>
        <v>0</v>
      </c>
      <c r="L188" s="41" t="str">
        <f t="shared" si="23"/>
        <v>1% 이하</v>
      </c>
      <c r="M188" s="7">
        <v>766.18000000000006</v>
      </c>
      <c r="N188" s="7">
        <v>764.84175000000005</v>
      </c>
      <c r="O188" s="7">
        <v>762.09900000000016</v>
      </c>
      <c r="P188" s="7">
        <v>760.69100000000003</v>
      </c>
      <c r="Q188" s="7">
        <v>758.20400000000006</v>
      </c>
      <c r="R188" s="7">
        <f t="shared" si="24"/>
        <v>6</v>
      </c>
      <c r="T188" s="7">
        <f>COUNTIF($C$11:C188,C188)</f>
        <v>120</v>
      </c>
      <c r="U188" s="7" t="str">
        <f t="shared" si="26"/>
        <v>가120</v>
      </c>
      <c r="V188" s="7" t="str">
        <f>INDEX(환산공식!$C$16:$C$301,MATCH('배치점수 계산기'!W188,환산공식!$A$16:$A$301,0))</f>
        <v>성균 자연</v>
      </c>
      <c r="W188" s="7">
        <f t="shared" si="27"/>
        <v>25</v>
      </c>
      <c r="X188" s="7">
        <f t="shared" si="28"/>
        <v>1</v>
      </c>
      <c r="Y188" s="7">
        <f>IFERROR(INDEX(환산공식!Q$16:Q$200,MATCH($A188,환산공식!$A$16:$A$200,0)),"")</f>
        <v>1.25</v>
      </c>
      <c r="Z188" s="7">
        <f>IFERROR(INDEX(환산공식!R$16:R$200,MATCH($A188,환산공식!$A$16:$A$200,0)),"")</f>
        <v>2</v>
      </c>
      <c r="AA188" s="7">
        <f>IFERROR(INDEX(환산공식!U$16:U$200,MATCH($A188,환산공식!$A$16:$A$200,0)),"")</f>
        <v>1.75</v>
      </c>
      <c r="AB188" s="7">
        <f t="shared" si="29"/>
        <v>0.25</v>
      </c>
      <c r="AC188" s="7">
        <f t="shared" si="30"/>
        <v>0.4</v>
      </c>
      <c r="AD188" s="7">
        <f t="shared" si="31"/>
        <v>0.35</v>
      </c>
      <c r="AE188" s="7">
        <f>INDEX(환산공식!$AF$16:$AF$301,MATCH('배치점수 계산기'!W188,환산공식!$A$16:$A$301,0))</f>
        <v>1</v>
      </c>
      <c r="AF188" s="7">
        <f>INDEX(환산공식!$AP$16:$AP$301,MATCH('배치점수 계산기'!W188,환산공식!$A$16:$A$301,0))</f>
        <v>4</v>
      </c>
      <c r="AG188" s="7" t="str">
        <f t="shared" si="32"/>
        <v>표점</v>
      </c>
      <c r="AH188" s="7" t="str">
        <f t="shared" si="33"/>
        <v>변표</v>
      </c>
      <c r="BO188" s="210"/>
      <c r="BP188" s="210"/>
      <c r="BQ188" s="210"/>
      <c r="BR188" s="210"/>
      <c r="BS188" s="210"/>
      <c r="BT188" s="210"/>
      <c r="BU188" s="210"/>
      <c r="BV188" s="210"/>
      <c r="BW188" s="210"/>
      <c r="BX188" s="210"/>
      <c r="BY188" s="210"/>
      <c r="BZ188" s="210"/>
      <c r="CA188" s="210"/>
      <c r="CB188" s="210"/>
      <c r="CC188" s="210"/>
      <c r="EM188" s="120"/>
      <c r="ET188" s="210"/>
      <c r="EU188" s="210"/>
      <c r="EV188" s="210"/>
      <c r="EW188" s="210"/>
      <c r="EX188" s="210"/>
      <c r="EY188" s="210"/>
      <c r="EZ188" s="210"/>
      <c r="FA188" s="210"/>
      <c r="FB188" s="210"/>
      <c r="FC188" s="210"/>
      <c r="FD188" s="210"/>
      <c r="FE188" s="210"/>
      <c r="FF188" s="210"/>
      <c r="FG188" s="210"/>
      <c r="FH188" s="210"/>
      <c r="HR188" s="120"/>
      <c r="HY188" s="210"/>
      <c r="HZ188" s="210"/>
      <c r="IA188" s="210"/>
      <c r="IB188" s="210"/>
      <c r="IC188" s="210"/>
      <c r="ID188" s="210"/>
      <c r="IE188" s="210"/>
      <c r="IF188" s="210"/>
      <c r="IG188" s="210"/>
      <c r="IH188" s="210"/>
      <c r="II188" s="210"/>
      <c r="IJ188" s="210"/>
      <c r="IK188" s="210"/>
      <c r="IL188" s="210"/>
      <c r="IM188" s="210"/>
      <c r="KW188" s="120"/>
      <c r="LD188" s="210"/>
      <c r="LE188" s="210"/>
      <c r="LF188" s="210"/>
      <c r="LG188" s="210"/>
      <c r="LH188" s="210"/>
      <c r="LI188" s="210"/>
      <c r="LJ188" s="210"/>
      <c r="LK188" s="210"/>
      <c r="LL188" s="210"/>
      <c r="LM188" s="210"/>
      <c r="LN188" s="210"/>
      <c r="LO188" s="210"/>
      <c r="LP188" s="210"/>
      <c r="LQ188" s="210"/>
      <c r="LR188" s="210"/>
      <c r="OB188" s="120"/>
      <c r="OI188" s="210"/>
      <c r="OJ188" s="210"/>
      <c r="OK188" s="210"/>
      <c r="OL188" s="210"/>
      <c r="OM188" s="210"/>
      <c r="ON188" s="210"/>
      <c r="OO188" s="210"/>
      <c r="OP188" s="210"/>
      <c r="OQ188" s="210"/>
      <c r="OR188" s="210"/>
      <c r="OS188" s="210"/>
      <c r="OT188" s="210"/>
      <c r="OU188" s="210"/>
      <c r="OV188" s="210"/>
      <c r="OW188" s="210"/>
      <c r="RG188" s="120"/>
    </row>
    <row r="189" spans="1:475" x14ac:dyDescent="0.3">
      <c r="A189" s="7">
        <v>25</v>
      </c>
      <c r="B189" s="7">
        <v>179</v>
      </c>
      <c r="C189" s="7" t="s">
        <v>276</v>
      </c>
      <c r="D189" s="7" t="s">
        <v>342</v>
      </c>
      <c r="E189" s="7" t="s">
        <v>285</v>
      </c>
      <c r="F189" s="7" t="s">
        <v>274</v>
      </c>
      <c r="G189" s="41" t="str">
        <f t="shared" si="25"/>
        <v>X</v>
      </c>
      <c r="H189" s="41">
        <f>INDEX(환산공식!CI$16:CI$301,MATCH('배치점수 계산기'!$W189,환산공식!$A$16:$A$301,0))</f>
        <v>100</v>
      </c>
      <c r="I189" s="41" t="str">
        <f>CONCATENATE(ROUND(INDEX(환산공식!CJ$16:CJ$301,MATCH('배치점수 계산기'!$W189,환산공식!$A$16:$A$301,0)),1),"%")</f>
        <v>100%</v>
      </c>
      <c r="J189" s="41">
        <f>INDEX(환산공식!CK$16:CK$301,MATCH('배치점수 계산기'!$W189,환산공식!$A$16:$A$301,0))</f>
        <v>10</v>
      </c>
      <c r="K189" s="7">
        <f>INDEX(환산공식!$EF$16:$EF$301,MATCH('배치점수 계산기'!W189,환산공식!$A$16:$A$301,0))</f>
        <v>0</v>
      </c>
      <c r="L189" s="41" t="str">
        <f t="shared" si="23"/>
        <v>1% 이하</v>
      </c>
      <c r="M189" s="7">
        <v>772.62250000000006</v>
      </c>
      <c r="N189" s="7">
        <v>771.24686868686877</v>
      </c>
      <c r="O189" s="7">
        <v>769.42437436676801</v>
      </c>
      <c r="P189" s="7">
        <v>766.78000000000009</v>
      </c>
      <c r="Q189" s="7">
        <v>762.69900000000018</v>
      </c>
      <c r="R189" s="7">
        <f t="shared" si="24"/>
        <v>6</v>
      </c>
      <c r="T189" s="7">
        <f>COUNTIF($C$11:C189,C189)</f>
        <v>121</v>
      </c>
      <c r="U189" s="7" t="str">
        <f t="shared" si="26"/>
        <v>가121</v>
      </c>
      <c r="V189" s="7" t="str">
        <f>INDEX(환산공식!$C$16:$C$301,MATCH('배치점수 계산기'!W189,환산공식!$A$16:$A$301,0))</f>
        <v>성균 자연</v>
      </c>
      <c r="W189" s="7">
        <f t="shared" si="27"/>
        <v>25</v>
      </c>
      <c r="X189" s="7">
        <f t="shared" si="28"/>
        <v>1</v>
      </c>
      <c r="Y189" s="7">
        <f>IFERROR(INDEX(환산공식!Q$16:Q$200,MATCH($A189,환산공식!$A$16:$A$200,0)),"")</f>
        <v>1.25</v>
      </c>
      <c r="Z189" s="7">
        <f>IFERROR(INDEX(환산공식!R$16:R$200,MATCH($A189,환산공식!$A$16:$A$200,0)),"")</f>
        <v>2</v>
      </c>
      <c r="AA189" s="7">
        <f>IFERROR(INDEX(환산공식!U$16:U$200,MATCH($A189,환산공식!$A$16:$A$200,0)),"")</f>
        <v>1.75</v>
      </c>
      <c r="AB189" s="7">
        <f t="shared" si="29"/>
        <v>0.25</v>
      </c>
      <c r="AC189" s="7">
        <f t="shared" si="30"/>
        <v>0.4</v>
      </c>
      <c r="AD189" s="7">
        <f t="shared" si="31"/>
        <v>0.35</v>
      </c>
      <c r="AE189" s="7">
        <f>INDEX(환산공식!$AF$16:$AF$301,MATCH('배치점수 계산기'!W189,환산공식!$A$16:$A$301,0))</f>
        <v>1</v>
      </c>
      <c r="AF189" s="7">
        <f>INDEX(환산공식!$AP$16:$AP$301,MATCH('배치점수 계산기'!W189,환산공식!$A$16:$A$301,0))</f>
        <v>4</v>
      </c>
      <c r="AG189" s="7" t="str">
        <f t="shared" si="32"/>
        <v>표점</v>
      </c>
      <c r="AH189" s="7" t="str">
        <f t="shared" si="33"/>
        <v>변표</v>
      </c>
      <c r="BO189" s="210"/>
      <c r="BP189" s="210"/>
      <c r="BQ189" s="210"/>
      <c r="BR189" s="210"/>
      <c r="BS189" s="210"/>
      <c r="BT189" s="210"/>
      <c r="BU189" s="210"/>
      <c r="BV189" s="210"/>
      <c r="BW189" s="210"/>
      <c r="BX189" s="210"/>
      <c r="BY189" s="210"/>
      <c r="BZ189" s="210"/>
      <c r="CA189" s="210"/>
      <c r="CB189" s="210"/>
      <c r="CC189" s="210"/>
      <c r="EM189" s="120"/>
      <c r="ET189" s="210"/>
      <c r="EU189" s="210"/>
      <c r="EV189" s="210"/>
      <c r="EW189" s="210"/>
      <c r="EX189" s="210"/>
      <c r="EY189" s="210"/>
      <c r="EZ189" s="210"/>
      <c r="FA189" s="210"/>
      <c r="FB189" s="210"/>
      <c r="FC189" s="210"/>
      <c r="FD189" s="210"/>
      <c r="FE189" s="210"/>
      <c r="FF189" s="210"/>
      <c r="FG189" s="210"/>
      <c r="FH189" s="210"/>
      <c r="HR189" s="120"/>
      <c r="HY189" s="210"/>
      <c r="HZ189" s="210"/>
      <c r="IA189" s="210"/>
      <c r="IB189" s="210"/>
      <c r="IC189" s="210"/>
      <c r="ID189" s="210"/>
      <c r="IE189" s="210"/>
      <c r="IF189" s="210"/>
      <c r="IG189" s="210"/>
      <c r="IH189" s="210"/>
      <c r="II189" s="210"/>
      <c r="IJ189" s="210"/>
      <c r="IK189" s="210"/>
      <c r="IL189" s="210"/>
      <c r="IM189" s="210"/>
      <c r="KW189" s="120"/>
      <c r="LD189" s="210"/>
      <c r="LE189" s="210"/>
      <c r="LF189" s="210"/>
      <c r="LG189" s="210"/>
      <c r="LH189" s="210"/>
      <c r="LI189" s="210"/>
      <c r="LJ189" s="210"/>
      <c r="LK189" s="210"/>
      <c r="LL189" s="210"/>
      <c r="LM189" s="210"/>
      <c r="LN189" s="210"/>
      <c r="LO189" s="210"/>
      <c r="LP189" s="210"/>
      <c r="LQ189" s="210"/>
      <c r="LR189" s="210"/>
      <c r="OB189" s="120"/>
      <c r="OI189" s="210"/>
      <c r="OJ189" s="210"/>
      <c r="OK189" s="210"/>
      <c r="OL189" s="210"/>
      <c r="OM189" s="210"/>
      <c r="ON189" s="210"/>
      <c r="OO189" s="210"/>
      <c r="OP189" s="210"/>
      <c r="OQ189" s="210"/>
      <c r="OR189" s="210"/>
      <c r="OS189" s="210"/>
      <c r="OT189" s="210"/>
      <c r="OU189" s="210"/>
      <c r="OV189" s="210"/>
      <c r="OW189" s="210"/>
      <c r="RG189" s="120"/>
    </row>
    <row r="190" spans="1:475" x14ac:dyDescent="0.3">
      <c r="A190" s="7">
        <v>25</v>
      </c>
      <c r="B190" s="7">
        <v>180</v>
      </c>
      <c r="C190" s="7" t="s">
        <v>276</v>
      </c>
      <c r="D190" s="7" t="s">
        <v>342</v>
      </c>
      <c r="E190" s="7" t="s">
        <v>356</v>
      </c>
      <c r="F190" s="7" t="s">
        <v>274</v>
      </c>
      <c r="G190" s="41" t="str">
        <f t="shared" si="25"/>
        <v>X</v>
      </c>
      <c r="H190" s="41">
        <f>INDEX(환산공식!CI$16:CI$301,MATCH('배치점수 계산기'!$W190,환산공식!$A$16:$A$301,0))</f>
        <v>100</v>
      </c>
      <c r="I190" s="41" t="str">
        <f>CONCATENATE(ROUND(INDEX(환산공식!CJ$16:CJ$301,MATCH('배치점수 계산기'!$W190,환산공식!$A$16:$A$301,0)),1),"%")</f>
        <v>100%</v>
      </c>
      <c r="J190" s="41">
        <f>INDEX(환산공식!CK$16:CK$301,MATCH('배치점수 계산기'!$W190,환산공식!$A$16:$A$301,0))</f>
        <v>10</v>
      </c>
      <c r="K190" s="7">
        <f>INDEX(환산공식!$EF$16:$EF$301,MATCH('배치점수 계산기'!W190,환산공식!$A$16:$A$301,0))</f>
        <v>0</v>
      </c>
      <c r="L190" s="41" t="str">
        <f t="shared" si="23"/>
        <v>1% 이하</v>
      </c>
      <c r="M190" s="7">
        <v>767.08749999999986</v>
      </c>
      <c r="N190" s="7">
        <v>765.26675</v>
      </c>
      <c r="O190" s="7">
        <v>763.32799999999997</v>
      </c>
      <c r="P190" s="7">
        <v>761.11599999999999</v>
      </c>
      <c r="Q190" s="7">
        <v>758.78300000000013</v>
      </c>
      <c r="R190" s="7">
        <f t="shared" si="24"/>
        <v>6</v>
      </c>
      <c r="T190" s="7">
        <f>COUNTIF($C$11:C190,C190)</f>
        <v>122</v>
      </c>
      <c r="U190" s="7" t="str">
        <f t="shared" si="26"/>
        <v>가122</v>
      </c>
      <c r="V190" s="7" t="str">
        <f>INDEX(환산공식!$C$16:$C$301,MATCH('배치점수 계산기'!W190,환산공식!$A$16:$A$301,0))</f>
        <v>성균 자연</v>
      </c>
      <c r="W190" s="7">
        <f t="shared" si="27"/>
        <v>25</v>
      </c>
      <c r="X190" s="7">
        <f t="shared" si="28"/>
        <v>1</v>
      </c>
      <c r="Y190" s="7">
        <f>IFERROR(INDEX(환산공식!Q$16:Q$200,MATCH($A190,환산공식!$A$16:$A$200,0)),"")</f>
        <v>1.25</v>
      </c>
      <c r="Z190" s="7">
        <f>IFERROR(INDEX(환산공식!R$16:R$200,MATCH($A190,환산공식!$A$16:$A$200,0)),"")</f>
        <v>2</v>
      </c>
      <c r="AA190" s="7">
        <f>IFERROR(INDEX(환산공식!U$16:U$200,MATCH($A190,환산공식!$A$16:$A$200,0)),"")</f>
        <v>1.75</v>
      </c>
      <c r="AB190" s="7">
        <f t="shared" si="29"/>
        <v>0.25</v>
      </c>
      <c r="AC190" s="7">
        <f t="shared" si="30"/>
        <v>0.4</v>
      </c>
      <c r="AD190" s="7">
        <f t="shared" si="31"/>
        <v>0.35</v>
      </c>
      <c r="AE190" s="7">
        <f>INDEX(환산공식!$AF$16:$AF$301,MATCH('배치점수 계산기'!W190,환산공식!$A$16:$A$301,0))</f>
        <v>1</v>
      </c>
      <c r="AF190" s="7">
        <f>INDEX(환산공식!$AP$16:$AP$301,MATCH('배치점수 계산기'!W190,환산공식!$A$16:$A$301,0))</f>
        <v>4</v>
      </c>
      <c r="AG190" s="7" t="str">
        <f t="shared" si="32"/>
        <v>표점</v>
      </c>
      <c r="AH190" s="7" t="str">
        <f t="shared" si="33"/>
        <v>변표</v>
      </c>
      <c r="BO190" s="210"/>
      <c r="BP190" s="210"/>
      <c r="BQ190" s="210"/>
      <c r="BR190" s="210"/>
      <c r="BS190" s="210"/>
      <c r="BT190" s="210"/>
      <c r="BU190" s="210"/>
      <c r="BV190" s="210"/>
      <c r="BW190" s="210"/>
      <c r="BX190" s="210"/>
      <c r="BY190" s="210"/>
      <c r="BZ190" s="210"/>
      <c r="CA190" s="210"/>
      <c r="CB190" s="210"/>
      <c r="CC190" s="210"/>
      <c r="EM190" s="120"/>
      <c r="ET190" s="210"/>
      <c r="EU190" s="210"/>
      <c r="EV190" s="210"/>
      <c r="EW190" s="210"/>
      <c r="EX190" s="210"/>
      <c r="EY190" s="210"/>
      <c r="EZ190" s="210"/>
      <c r="FA190" s="210"/>
      <c r="FB190" s="210"/>
      <c r="FC190" s="210"/>
      <c r="FD190" s="210"/>
      <c r="FE190" s="210"/>
      <c r="FF190" s="210"/>
      <c r="FG190" s="210"/>
      <c r="FH190" s="210"/>
      <c r="HR190" s="120"/>
      <c r="HY190" s="210"/>
      <c r="HZ190" s="210"/>
      <c r="IA190" s="210"/>
      <c r="IB190" s="210"/>
      <c r="IC190" s="210"/>
      <c r="ID190" s="210"/>
      <c r="IE190" s="210"/>
      <c r="IF190" s="210"/>
      <c r="IG190" s="210"/>
      <c r="IH190" s="210"/>
      <c r="II190" s="210"/>
      <c r="IJ190" s="210"/>
      <c r="IK190" s="210"/>
      <c r="IL190" s="210"/>
      <c r="IM190" s="210"/>
      <c r="KW190" s="120"/>
      <c r="LD190" s="210"/>
      <c r="LE190" s="210"/>
      <c r="LF190" s="210"/>
      <c r="LG190" s="210"/>
      <c r="LH190" s="210"/>
      <c r="LI190" s="210"/>
      <c r="LJ190" s="210"/>
      <c r="LK190" s="210"/>
      <c r="LL190" s="210"/>
      <c r="LM190" s="210"/>
      <c r="LN190" s="210"/>
      <c r="LO190" s="210"/>
      <c r="LP190" s="210"/>
      <c r="LQ190" s="210"/>
      <c r="LR190" s="210"/>
      <c r="OB190" s="120"/>
      <c r="OI190" s="210"/>
      <c r="OJ190" s="210"/>
      <c r="OK190" s="210"/>
      <c r="OL190" s="210"/>
      <c r="OM190" s="210"/>
      <c r="ON190" s="210"/>
      <c r="OO190" s="210"/>
      <c r="OP190" s="210"/>
      <c r="OQ190" s="210"/>
      <c r="OR190" s="210"/>
      <c r="OS190" s="210"/>
      <c r="OT190" s="210"/>
      <c r="OU190" s="210"/>
      <c r="OV190" s="210"/>
      <c r="OW190" s="210"/>
      <c r="RG190" s="120"/>
    </row>
    <row r="191" spans="1:475" x14ac:dyDescent="0.3">
      <c r="A191" s="7">
        <v>25</v>
      </c>
      <c r="B191" s="7">
        <v>181</v>
      </c>
      <c r="C191" s="7" t="s">
        <v>276</v>
      </c>
      <c r="D191" s="7" t="s">
        <v>342</v>
      </c>
      <c r="E191" s="7" t="s">
        <v>258</v>
      </c>
      <c r="F191" s="7" t="s">
        <v>274</v>
      </c>
      <c r="G191" s="41" t="str">
        <f t="shared" si="25"/>
        <v>X</v>
      </c>
      <c r="H191" s="41">
        <f>INDEX(환산공식!CI$16:CI$301,MATCH('배치점수 계산기'!$W191,환산공식!$A$16:$A$301,0))</f>
        <v>100</v>
      </c>
      <c r="I191" s="41" t="str">
        <f>CONCATENATE(ROUND(INDEX(환산공식!CJ$16:CJ$301,MATCH('배치점수 계산기'!$W191,환산공식!$A$16:$A$301,0)),1),"%")</f>
        <v>100%</v>
      </c>
      <c r="J191" s="41">
        <f>INDEX(환산공식!CK$16:CK$301,MATCH('배치점수 계산기'!$W191,환산공식!$A$16:$A$301,0))</f>
        <v>10</v>
      </c>
      <c r="K191" s="7">
        <f>INDEX(환산공식!$EF$16:$EF$301,MATCH('배치점수 계산기'!W191,환산공식!$A$16:$A$301,0))</f>
        <v>0</v>
      </c>
      <c r="L191" s="41" t="str">
        <f t="shared" si="23"/>
        <v>1% 이하</v>
      </c>
      <c r="M191" s="7">
        <v>761.50944871794877</v>
      </c>
      <c r="N191" s="7">
        <v>759.81200000000001</v>
      </c>
      <c r="O191" s="7">
        <v>757.36864516129037</v>
      </c>
      <c r="P191" s="7">
        <v>756.59249999999997</v>
      </c>
      <c r="Q191" s="7">
        <v>755.37749999999994</v>
      </c>
      <c r="R191" s="7">
        <f t="shared" si="24"/>
        <v>6</v>
      </c>
      <c r="T191" s="7">
        <f>COUNTIF($C$11:C191,C191)</f>
        <v>123</v>
      </c>
      <c r="U191" s="7" t="str">
        <f t="shared" si="26"/>
        <v>가123</v>
      </c>
      <c r="V191" s="7" t="str">
        <f>INDEX(환산공식!$C$16:$C$301,MATCH('배치점수 계산기'!W191,환산공식!$A$16:$A$301,0))</f>
        <v>성균 자연</v>
      </c>
      <c r="W191" s="7">
        <f t="shared" si="27"/>
        <v>25</v>
      </c>
      <c r="X191" s="7">
        <f t="shared" si="28"/>
        <v>1</v>
      </c>
      <c r="Y191" s="7">
        <f>IFERROR(INDEX(환산공식!Q$16:Q$200,MATCH($A191,환산공식!$A$16:$A$200,0)),"")</f>
        <v>1.25</v>
      </c>
      <c r="Z191" s="7">
        <f>IFERROR(INDEX(환산공식!R$16:R$200,MATCH($A191,환산공식!$A$16:$A$200,0)),"")</f>
        <v>2</v>
      </c>
      <c r="AA191" s="7">
        <f>IFERROR(INDEX(환산공식!U$16:U$200,MATCH($A191,환산공식!$A$16:$A$200,0)),"")</f>
        <v>1.75</v>
      </c>
      <c r="AB191" s="7">
        <f t="shared" si="29"/>
        <v>0.25</v>
      </c>
      <c r="AC191" s="7">
        <f t="shared" si="30"/>
        <v>0.4</v>
      </c>
      <c r="AD191" s="7">
        <f t="shared" si="31"/>
        <v>0.35</v>
      </c>
      <c r="AE191" s="7">
        <f>INDEX(환산공식!$AF$16:$AF$301,MATCH('배치점수 계산기'!W191,환산공식!$A$16:$A$301,0))</f>
        <v>1</v>
      </c>
      <c r="AF191" s="7">
        <f>INDEX(환산공식!$AP$16:$AP$301,MATCH('배치점수 계산기'!W191,환산공식!$A$16:$A$301,0))</f>
        <v>4</v>
      </c>
      <c r="AG191" s="7" t="str">
        <f t="shared" si="32"/>
        <v>표점</v>
      </c>
      <c r="AH191" s="7" t="str">
        <f t="shared" si="33"/>
        <v>변표</v>
      </c>
      <c r="BO191" s="210"/>
      <c r="BP191" s="210"/>
      <c r="BQ191" s="210"/>
      <c r="BR191" s="210"/>
      <c r="BS191" s="210"/>
      <c r="BT191" s="210"/>
      <c r="BU191" s="210"/>
      <c r="BV191" s="210"/>
      <c r="BW191" s="210"/>
      <c r="BX191" s="210"/>
      <c r="BY191" s="210"/>
      <c r="BZ191" s="210"/>
      <c r="CA191" s="210"/>
      <c r="CB191" s="210"/>
      <c r="CC191" s="210"/>
      <c r="EM191" s="120"/>
      <c r="ET191" s="210"/>
      <c r="EU191" s="210"/>
      <c r="EV191" s="210"/>
      <c r="EW191" s="210"/>
      <c r="EX191" s="210"/>
      <c r="EY191" s="210"/>
      <c r="EZ191" s="210"/>
      <c r="FA191" s="210"/>
      <c r="FB191" s="210"/>
      <c r="FC191" s="210"/>
      <c r="FD191" s="210"/>
      <c r="FE191" s="210"/>
      <c r="FF191" s="210"/>
      <c r="FG191" s="210"/>
      <c r="FH191" s="210"/>
      <c r="HR191" s="120"/>
      <c r="HY191" s="210"/>
      <c r="HZ191" s="210"/>
      <c r="IA191" s="210"/>
      <c r="IB191" s="210"/>
      <c r="IC191" s="210"/>
      <c r="ID191" s="210"/>
      <c r="IE191" s="210"/>
      <c r="IF191" s="210"/>
      <c r="IG191" s="210"/>
      <c r="IH191" s="210"/>
      <c r="II191" s="210"/>
      <c r="IJ191" s="210"/>
      <c r="IK191" s="210"/>
      <c r="IL191" s="210"/>
      <c r="IM191" s="210"/>
      <c r="KW191" s="120"/>
      <c r="LD191" s="210"/>
      <c r="LE191" s="210"/>
      <c r="LF191" s="210"/>
      <c r="LG191" s="210"/>
      <c r="LH191" s="210"/>
      <c r="LI191" s="210"/>
      <c r="LJ191" s="210"/>
      <c r="LK191" s="210"/>
      <c r="LL191" s="210"/>
      <c r="LM191" s="210"/>
      <c r="LN191" s="210"/>
      <c r="LO191" s="210"/>
      <c r="LP191" s="210"/>
      <c r="LQ191" s="210"/>
      <c r="LR191" s="210"/>
      <c r="OB191" s="120"/>
      <c r="OI191" s="210"/>
      <c r="OJ191" s="210"/>
      <c r="OK191" s="210"/>
      <c r="OL191" s="210"/>
      <c r="OM191" s="210"/>
      <c r="ON191" s="210"/>
      <c r="OO191" s="210"/>
      <c r="OP191" s="210"/>
      <c r="OQ191" s="210"/>
      <c r="OR191" s="210"/>
      <c r="OS191" s="210"/>
      <c r="OT191" s="210"/>
      <c r="OU191" s="210"/>
      <c r="OV191" s="210"/>
      <c r="OW191" s="210"/>
      <c r="RG191" s="120"/>
    </row>
    <row r="192" spans="1:475" x14ac:dyDescent="0.3">
      <c r="A192" s="7">
        <v>25</v>
      </c>
      <c r="B192" s="7">
        <v>182</v>
      </c>
      <c r="C192" s="7" t="s">
        <v>276</v>
      </c>
      <c r="D192" s="7" t="s">
        <v>342</v>
      </c>
      <c r="E192" s="7" t="s">
        <v>357</v>
      </c>
      <c r="F192" s="7" t="s">
        <v>274</v>
      </c>
      <c r="G192" s="41" t="str">
        <f t="shared" si="25"/>
        <v>X</v>
      </c>
      <c r="H192" s="41">
        <f>INDEX(환산공식!CI$16:CI$301,MATCH('배치점수 계산기'!$W192,환산공식!$A$16:$A$301,0))</f>
        <v>100</v>
      </c>
      <c r="I192" s="41" t="str">
        <f>CONCATENATE(ROUND(INDEX(환산공식!CJ$16:CJ$301,MATCH('배치점수 계산기'!$W192,환산공식!$A$16:$A$301,0)),1),"%")</f>
        <v>100%</v>
      </c>
      <c r="J192" s="41">
        <f>INDEX(환산공식!CK$16:CK$301,MATCH('배치점수 계산기'!$W192,환산공식!$A$16:$A$301,0))</f>
        <v>10</v>
      </c>
      <c r="K192" s="7">
        <f>INDEX(환산공식!$EF$16:$EF$301,MATCH('배치점수 계산기'!W192,환산공식!$A$16:$A$301,0))</f>
        <v>0</v>
      </c>
      <c r="L192" s="41" t="str">
        <f t="shared" si="23"/>
        <v>1% 이하</v>
      </c>
      <c r="M192" s="7">
        <v>761.50944871794877</v>
      </c>
      <c r="N192" s="7">
        <v>759.81200000000001</v>
      </c>
      <c r="O192" s="7">
        <v>758.20400000000006</v>
      </c>
      <c r="P192" s="7">
        <v>756.71749999999997</v>
      </c>
      <c r="Q192" s="7">
        <v>755.9996210553544</v>
      </c>
      <c r="R192" s="7">
        <f t="shared" si="24"/>
        <v>6</v>
      </c>
      <c r="T192" s="7">
        <f>COUNTIF($C$11:C192,C192)</f>
        <v>124</v>
      </c>
      <c r="U192" s="7" t="str">
        <f t="shared" si="26"/>
        <v>가124</v>
      </c>
      <c r="V192" s="7" t="str">
        <f>INDEX(환산공식!$C$16:$C$301,MATCH('배치점수 계산기'!W192,환산공식!$A$16:$A$301,0))</f>
        <v>성균 자연</v>
      </c>
      <c r="W192" s="7">
        <f t="shared" si="27"/>
        <v>25</v>
      </c>
      <c r="X192" s="7">
        <f t="shared" si="28"/>
        <v>1</v>
      </c>
      <c r="Y192" s="7">
        <f>IFERROR(INDEX(환산공식!Q$16:Q$200,MATCH($A192,환산공식!$A$16:$A$200,0)),"")</f>
        <v>1.25</v>
      </c>
      <c r="Z192" s="7">
        <f>IFERROR(INDEX(환산공식!R$16:R$200,MATCH($A192,환산공식!$A$16:$A$200,0)),"")</f>
        <v>2</v>
      </c>
      <c r="AA192" s="7">
        <f>IFERROR(INDEX(환산공식!U$16:U$200,MATCH($A192,환산공식!$A$16:$A$200,0)),"")</f>
        <v>1.75</v>
      </c>
      <c r="AB192" s="7">
        <f t="shared" si="29"/>
        <v>0.25</v>
      </c>
      <c r="AC192" s="7">
        <f t="shared" si="30"/>
        <v>0.4</v>
      </c>
      <c r="AD192" s="7">
        <f t="shared" si="31"/>
        <v>0.35</v>
      </c>
      <c r="AE192" s="7">
        <f>INDEX(환산공식!$AF$16:$AF$301,MATCH('배치점수 계산기'!W192,환산공식!$A$16:$A$301,0))</f>
        <v>1</v>
      </c>
      <c r="AF192" s="7">
        <f>INDEX(환산공식!$AP$16:$AP$301,MATCH('배치점수 계산기'!W192,환산공식!$A$16:$A$301,0))</f>
        <v>4</v>
      </c>
      <c r="AG192" s="7" t="str">
        <f t="shared" si="32"/>
        <v>표점</v>
      </c>
      <c r="AH192" s="7" t="str">
        <f t="shared" si="33"/>
        <v>변표</v>
      </c>
      <c r="BO192" s="210"/>
      <c r="BP192" s="210"/>
      <c r="BQ192" s="210"/>
      <c r="BR192" s="210"/>
      <c r="BS192" s="210"/>
      <c r="BT192" s="210"/>
      <c r="BU192" s="210"/>
      <c r="BV192" s="210"/>
      <c r="BW192" s="210"/>
      <c r="BX192" s="210"/>
      <c r="BY192" s="210"/>
      <c r="BZ192" s="210"/>
      <c r="CA192" s="210"/>
      <c r="CB192" s="210"/>
      <c r="CC192" s="210"/>
      <c r="EM192" s="120"/>
      <c r="ET192" s="210"/>
      <c r="EU192" s="210"/>
      <c r="EV192" s="210"/>
      <c r="EW192" s="210"/>
      <c r="EX192" s="210"/>
      <c r="EY192" s="210"/>
      <c r="EZ192" s="210"/>
      <c r="FA192" s="210"/>
      <c r="FB192" s="210"/>
      <c r="FC192" s="210"/>
      <c r="FD192" s="210"/>
      <c r="FE192" s="210"/>
      <c r="FF192" s="210"/>
      <c r="FG192" s="210"/>
      <c r="FH192" s="210"/>
      <c r="HR192" s="120"/>
      <c r="HY192" s="210"/>
      <c r="HZ192" s="210"/>
      <c r="IA192" s="210"/>
      <c r="IB192" s="210"/>
      <c r="IC192" s="210"/>
      <c r="ID192" s="210"/>
      <c r="IE192" s="210"/>
      <c r="IF192" s="210"/>
      <c r="IG192" s="210"/>
      <c r="IH192" s="210"/>
      <c r="II192" s="210"/>
      <c r="IJ192" s="210"/>
      <c r="IK192" s="210"/>
      <c r="IL192" s="210"/>
      <c r="IM192" s="210"/>
      <c r="KW192" s="120"/>
      <c r="LD192" s="210"/>
      <c r="LE192" s="210"/>
      <c r="LF192" s="210"/>
      <c r="LG192" s="210"/>
      <c r="LH192" s="210"/>
      <c r="LI192" s="210"/>
      <c r="LJ192" s="210"/>
      <c r="LK192" s="210"/>
      <c r="LL192" s="210"/>
      <c r="LM192" s="210"/>
      <c r="LN192" s="210"/>
      <c r="LO192" s="210"/>
      <c r="LP192" s="210"/>
      <c r="LQ192" s="210"/>
      <c r="LR192" s="210"/>
      <c r="OB192" s="120"/>
      <c r="OI192" s="210"/>
      <c r="OJ192" s="210"/>
      <c r="OK192" s="210"/>
      <c r="OL192" s="210"/>
      <c r="OM192" s="210"/>
      <c r="ON192" s="210"/>
      <c r="OO192" s="210"/>
      <c r="OP192" s="210"/>
      <c r="OQ192" s="210"/>
      <c r="OR192" s="210"/>
      <c r="OS192" s="210"/>
      <c r="OT192" s="210"/>
      <c r="OU192" s="210"/>
      <c r="OV192" s="210"/>
      <c r="OW192" s="210"/>
      <c r="RG192" s="120"/>
    </row>
    <row r="193" spans="1:475" x14ac:dyDescent="0.3">
      <c r="A193" s="7">
        <v>25</v>
      </c>
      <c r="B193" s="7">
        <v>183</v>
      </c>
      <c r="C193" s="7" t="s">
        <v>276</v>
      </c>
      <c r="D193" s="7" t="s">
        <v>342</v>
      </c>
      <c r="E193" s="7" t="s">
        <v>358</v>
      </c>
      <c r="F193" s="7" t="s">
        <v>274</v>
      </c>
      <c r="G193" s="41" t="str">
        <f t="shared" si="25"/>
        <v>X</v>
      </c>
      <c r="H193" s="41">
        <f>INDEX(환산공식!CI$16:CI$301,MATCH('배치점수 계산기'!$W193,환산공식!$A$16:$A$301,0))</f>
        <v>100</v>
      </c>
      <c r="I193" s="41" t="str">
        <f>CONCATENATE(ROUND(INDEX(환산공식!CJ$16:CJ$301,MATCH('배치점수 계산기'!$W193,환산공식!$A$16:$A$301,0)),1),"%")</f>
        <v>100%</v>
      </c>
      <c r="J193" s="41">
        <f>INDEX(환산공식!CK$16:CK$301,MATCH('배치점수 계산기'!$W193,환산공식!$A$16:$A$301,0))</f>
        <v>10</v>
      </c>
      <c r="K193" s="7">
        <f>INDEX(환산공식!$EF$16:$EF$301,MATCH('배치점수 계산기'!W193,환산공식!$A$16:$A$301,0))</f>
        <v>0</v>
      </c>
      <c r="L193" s="41" t="str">
        <f t="shared" si="23"/>
        <v>1% 이하</v>
      </c>
      <c r="M193" s="7">
        <v>759.81200000000001</v>
      </c>
      <c r="N193" s="7">
        <v>758.48300000000006</v>
      </c>
      <c r="O193" s="7">
        <v>756.71749999999997</v>
      </c>
      <c r="P193" s="7">
        <v>755.50249999999994</v>
      </c>
      <c r="Q193" s="7">
        <v>754.78462545360287</v>
      </c>
      <c r="R193" s="7">
        <f t="shared" si="24"/>
        <v>6</v>
      </c>
      <c r="T193" s="7">
        <f>COUNTIF($C$11:C193,C193)</f>
        <v>125</v>
      </c>
      <c r="U193" s="7" t="str">
        <f t="shared" si="26"/>
        <v>가125</v>
      </c>
      <c r="V193" s="7" t="str">
        <f>INDEX(환산공식!$C$16:$C$301,MATCH('배치점수 계산기'!W193,환산공식!$A$16:$A$301,0))</f>
        <v>성균 자연</v>
      </c>
      <c r="W193" s="7">
        <f t="shared" si="27"/>
        <v>25</v>
      </c>
      <c r="X193" s="7">
        <f t="shared" si="28"/>
        <v>1</v>
      </c>
      <c r="Y193" s="7">
        <f>IFERROR(INDEX(환산공식!Q$16:Q$200,MATCH($A193,환산공식!$A$16:$A$200,0)),"")</f>
        <v>1.25</v>
      </c>
      <c r="Z193" s="7">
        <f>IFERROR(INDEX(환산공식!R$16:R$200,MATCH($A193,환산공식!$A$16:$A$200,0)),"")</f>
        <v>2</v>
      </c>
      <c r="AA193" s="7">
        <f>IFERROR(INDEX(환산공식!U$16:U$200,MATCH($A193,환산공식!$A$16:$A$200,0)),"")</f>
        <v>1.75</v>
      </c>
      <c r="AB193" s="7">
        <f t="shared" si="29"/>
        <v>0.25</v>
      </c>
      <c r="AC193" s="7">
        <f t="shared" si="30"/>
        <v>0.4</v>
      </c>
      <c r="AD193" s="7">
        <f t="shared" si="31"/>
        <v>0.35</v>
      </c>
      <c r="AE193" s="7">
        <f>INDEX(환산공식!$AF$16:$AF$301,MATCH('배치점수 계산기'!W193,환산공식!$A$16:$A$301,0))</f>
        <v>1</v>
      </c>
      <c r="AF193" s="7">
        <f>INDEX(환산공식!$AP$16:$AP$301,MATCH('배치점수 계산기'!W193,환산공식!$A$16:$A$301,0))</f>
        <v>4</v>
      </c>
      <c r="AG193" s="7" t="str">
        <f t="shared" si="32"/>
        <v>표점</v>
      </c>
      <c r="AH193" s="7" t="str">
        <f t="shared" si="33"/>
        <v>변표</v>
      </c>
      <c r="BO193" s="210"/>
      <c r="BP193" s="210"/>
      <c r="BQ193" s="210"/>
      <c r="BR193" s="210"/>
      <c r="BS193" s="210"/>
      <c r="BT193" s="210"/>
      <c r="BU193" s="210"/>
      <c r="BV193" s="210"/>
      <c r="BW193" s="210"/>
      <c r="BX193" s="210"/>
      <c r="BY193" s="210"/>
      <c r="BZ193" s="210"/>
      <c r="CA193" s="210"/>
      <c r="CB193" s="210"/>
      <c r="CC193" s="210"/>
      <c r="EM193" s="120"/>
      <c r="ET193" s="210"/>
      <c r="EU193" s="210"/>
      <c r="EV193" s="210"/>
      <c r="EW193" s="210"/>
      <c r="EX193" s="210"/>
      <c r="EY193" s="210"/>
      <c r="EZ193" s="210"/>
      <c r="FA193" s="210"/>
      <c r="FB193" s="210"/>
      <c r="FC193" s="210"/>
      <c r="FD193" s="210"/>
      <c r="FE193" s="210"/>
      <c r="FF193" s="210"/>
      <c r="FG193" s="210"/>
      <c r="FH193" s="210"/>
      <c r="HR193" s="120"/>
      <c r="HY193" s="210"/>
      <c r="HZ193" s="210"/>
      <c r="IA193" s="210"/>
      <c r="IB193" s="210"/>
      <c r="IC193" s="210"/>
      <c r="ID193" s="210"/>
      <c r="IE193" s="210"/>
      <c r="IF193" s="210"/>
      <c r="IG193" s="210"/>
      <c r="IH193" s="210"/>
      <c r="II193" s="210"/>
      <c r="IJ193" s="210"/>
      <c r="IK193" s="210"/>
      <c r="IL193" s="210"/>
      <c r="IM193" s="210"/>
      <c r="KW193" s="120"/>
      <c r="LD193" s="210"/>
      <c r="LE193" s="210"/>
      <c r="LF193" s="210"/>
      <c r="LG193" s="210"/>
      <c r="LH193" s="210"/>
      <c r="LI193" s="210"/>
      <c r="LJ193" s="210"/>
      <c r="LK193" s="210"/>
      <c r="LL193" s="210"/>
      <c r="LM193" s="210"/>
      <c r="LN193" s="210"/>
      <c r="LO193" s="210"/>
      <c r="LP193" s="210"/>
      <c r="LQ193" s="210"/>
      <c r="LR193" s="210"/>
      <c r="OB193" s="120"/>
      <c r="OI193" s="210"/>
      <c r="OJ193" s="210"/>
      <c r="OK193" s="210"/>
      <c r="OL193" s="210"/>
      <c r="OM193" s="210"/>
      <c r="ON193" s="210"/>
      <c r="OO193" s="210"/>
      <c r="OP193" s="210"/>
      <c r="OQ193" s="210"/>
      <c r="OR193" s="210"/>
      <c r="OS193" s="210"/>
      <c r="OT193" s="210"/>
      <c r="OU193" s="210"/>
      <c r="OV193" s="210"/>
      <c r="OW193" s="210"/>
      <c r="RG193" s="120"/>
    </row>
    <row r="194" spans="1:475" x14ac:dyDescent="0.3">
      <c r="A194" s="7">
        <v>27</v>
      </c>
      <c r="B194" s="7">
        <v>184</v>
      </c>
      <c r="C194" s="7" t="s">
        <v>276</v>
      </c>
      <c r="D194" s="7" t="s">
        <v>359</v>
      </c>
      <c r="E194" s="7" t="s">
        <v>253</v>
      </c>
      <c r="F194" s="7" t="s">
        <v>274</v>
      </c>
      <c r="G194" s="41" t="str">
        <f t="shared" si="25"/>
        <v>X</v>
      </c>
      <c r="H194" s="41">
        <f>INDEX(환산공식!CI$16:CI$301,MATCH('배치점수 계산기'!$W194,환산공식!$A$16:$A$301,0))</f>
        <v>100</v>
      </c>
      <c r="I194" s="41" t="str">
        <f>CONCATENATE(ROUND(INDEX(환산공식!CJ$16:CJ$301,MATCH('배치점수 계산기'!$W194,환산공식!$A$16:$A$301,0)),1),"%")</f>
        <v>100%</v>
      </c>
      <c r="J194" s="41">
        <f>INDEX(환산공식!CK$16:CK$301,MATCH('배치점수 계산기'!$W194,환산공식!$A$16:$A$301,0))</f>
        <v>0</v>
      </c>
      <c r="K194" s="7">
        <f>INDEX(환산공식!$EF$16:$EF$301,MATCH('배치점수 계산기'!W194,환산공식!$A$16:$A$301,0))</f>
        <v>0</v>
      </c>
      <c r="L194" s="41" t="str">
        <f t="shared" si="23"/>
        <v>1% 이하</v>
      </c>
      <c r="M194" s="7">
        <v>897.65663010456581</v>
      </c>
      <c r="N194" s="7">
        <v>894.94486347635109</v>
      </c>
      <c r="O194" s="7">
        <v>892.0918762817812</v>
      </c>
      <c r="P194" s="7">
        <v>889.84078485154043</v>
      </c>
      <c r="Q194" s="7">
        <v>885.89663830467452</v>
      </c>
      <c r="R194" s="7">
        <f t="shared" si="24"/>
        <v>6</v>
      </c>
      <c r="T194" s="7">
        <f>COUNTIF($C$11:C194,C194)</f>
        <v>126</v>
      </c>
      <c r="U194" s="7" t="str">
        <f t="shared" si="26"/>
        <v>가126</v>
      </c>
      <c r="V194" s="7" t="str">
        <f>INDEX(환산공식!$C$16:$C$301,MATCH('배치점수 계산기'!W194,환산공식!$A$16:$A$301,0))</f>
        <v>한양 자연</v>
      </c>
      <c r="W194" s="7">
        <f t="shared" si="27"/>
        <v>27</v>
      </c>
      <c r="X194" s="7">
        <f t="shared" si="28"/>
        <v>1</v>
      </c>
      <c r="Y194" s="7">
        <f>IFERROR(INDEX(환산공식!Q$16:Q$200,MATCH($A194,환산공식!$A$16:$A$200,0)),"")</f>
        <v>1.3422818791946309</v>
      </c>
      <c r="Z194" s="7">
        <f>IFERROR(INDEX(환산공식!R$16:R$200,MATCH($A194,환산공식!$A$16:$A$200,0)),"")</f>
        <v>2.3809523809523809</v>
      </c>
      <c r="AA194" s="7">
        <f>IFERROR(INDEX(환산공식!U$16:U$200,MATCH($A194,환산공식!$A$16:$A$200,0)),"")</f>
        <v>2.4602839870659357</v>
      </c>
      <c r="AB194" s="7">
        <f t="shared" si="29"/>
        <v>0.21707413571547685</v>
      </c>
      <c r="AC194" s="7">
        <f t="shared" si="30"/>
        <v>0.38504816930483388</v>
      </c>
      <c r="AD194" s="7">
        <f t="shared" si="31"/>
        <v>0.39787769497968917</v>
      </c>
      <c r="AE194" s="7">
        <f>INDEX(환산공식!$AF$16:$AF$301,MATCH('배치점수 계산기'!W194,환산공식!$A$16:$A$301,0))</f>
        <v>12</v>
      </c>
      <c r="AF194" s="7">
        <f>INDEX(환산공식!$AP$16:$AP$301,MATCH('배치점수 계산기'!W194,환산공식!$A$16:$A$301,0))</f>
        <v>42</v>
      </c>
      <c r="AG194" s="7" t="str">
        <f t="shared" si="32"/>
        <v>표점/만점</v>
      </c>
      <c r="AH194" s="7" t="str">
        <f t="shared" si="33"/>
        <v>변표/만점</v>
      </c>
      <c r="BO194" s="210"/>
      <c r="BP194" s="210"/>
      <c r="BQ194" s="210"/>
      <c r="BR194" s="210"/>
      <c r="BS194" s="210"/>
      <c r="BT194" s="210"/>
      <c r="BU194" s="210"/>
      <c r="BV194" s="210"/>
      <c r="BW194" s="210"/>
      <c r="BX194" s="210"/>
      <c r="BY194" s="210"/>
      <c r="BZ194" s="210"/>
      <c r="CA194" s="210"/>
      <c r="CB194" s="210"/>
      <c r="CC194" s="210"/>
      <c r="EM194" s="120"/>
      <c r="ET194" s="210"/>
      <c r="EU194" s="210"/>
      <c r="EV194" s="210"/>
      <c r="EW194" s="210"/>
      <c r="EX194" s="210"/>
      <c r="EY194" s="210"/>
      <c r="EZ194" s="210"/>
      <c r="FA194" s="210"/>
      <c r="FB194" s="210"/>
      <c r="FC194" s="210"/>
      <c r="FD194" s="210"/>
      <c r="FE194" s="210"/>
      <c r="FF194" s="210"/>
      <c r="FG194" s="210"/>
      <c r="FH194" s="210"/>
      <c r="HR194" s="120"/>
      <c r="HY194" s="210"/>
      <c r="HZ194" s="210"/>
      <c r="IA194" s="210"/>
      <c r="IB194" s="210"/>
      <c r="IC194" s="210"/>
      <c r="ID194" s="210"/>
      <c r="IE194" s="210"/>
      <c r="IF194" s="210"/>
      <c r="IG194" s="210"/>
      <c r="IH194" s="210"/>
      <c r="II194" s="210"/>
      <c r="IJ194" s="210"/>
      <c r="IK194" s="210"/>
      <c r="IL194" s="210"/>
      <c r="IM194" s="210"/>
      <c r="KW194" s="120"/>
      <c r="LD194" s="210"/>
      <c r="LE194" s="210"/>
      <c r="LF194" s="210"/>
      <c r="LG194" s="210"/>
      <c r="LH194" s="210"/>
      <c r="LI194" s="210"/>
      <c r="LJ194" s="210"/>
      <c r="LK194" s="210"/>
      <c r="LL194" s="210"/>
      <c r="LM194" s="210"/>
      <c r="LN194" s="210"/>
      <c r="LO194" s="210"/>
      <c r="LP194" s="210"/>
      <c r="LQ194" s="210"/>
      <c r="LR194" s="210"/>
      <c r="OB194" s="120"/>
      <c r="OI194" s="210"/>
      <c r="OJ194" s="210"/>
      <c r="OK194" s="210"/>
      <c r="OL194" s="210"/>
      <c r="OM194" s="210"/>
      <c r="ON194" s="210"/>
      <c r="OO194" s="210"/>
      <c r="OP194" s="210"/>
      <c r="OQ194" s="210"/>
      <c r="OR194" s="210"/>
      <c r="OS194" s="210"/>
      <c r="OT194" s="210"/>
      <c r="OU194" s="210"/>
      <c r="OV194" s="210"/>
      <c r="OW194" s="210"/>
      <c r="RG194" s="120"/>
    </row>
    <row r="195" spans="1:475" x14ac:dyDescent="0.3">
      <c r="A195" s="7">
        <v>27</v>
      </c>
      <c r="B195" s="7">
        <v>185</v>
      </c>
      <c r="C195" s="7" t="s">
        <v>276</v>
      </c>
      <c r="D195" s="7" t="s">
        <v>359</v>
      </c>
      <c r="E195" s="7" t="s">
        <v>291</v>
      </c>
      <c r="F195" s="7" t="s">
        <v>274</v>
      </c>
      <c r="G195" s="41" t="str">
        <f t="shared" si="25"/>
        <v>X</v>
      </c>
      <c r="H195" s="41">
        <f>INDEX(환산공식!CI$16:CI$301,MATCH('배치점수 계산기'!$W195,환산공식!$A$16:$A$301,0))</f>
        <v>100</v>
      </c>
      <c r="I195" s="41" t="str">
        <f>CONCATENATE(ROUND(INDEX(환산공식!CJ$16:CJ$301,MATCH('배치점수 계산기'!$W195,환산공식!$A$16:$A$301,0)),1),"%")</f>
        <v>100%</v>
      </c>
      <c r="J195" s="41">
        <f>INDEX(환산공식!CK$16:CK$301,MATCH('배치점수 계산기'!$W195,환산공식!$A$16:$A$301,0))</f>
        <v>0</v>
      </c>
      <c r="K195" s="7">
        <f>INDEX(환산공식!$EF$16:$EF$301,MATCH('배치점수 계산기'!W195,환산공식!$A$16:$A$301,0))</f>
        <v>0</v>
      </c>
      <c r="L195" s="41" t="str">
        <f t="shared" si="23"/>
        <v>1% 이하</v>
      </c>
      <c r="M195" s="7">
        <v>896.46828939637066</v>
      </c>
      <c r="N195" s="7">
        <v>894.33889514905434</v>
      </c>
      <c r="O195" s="7">
        <v>891.40452815509911</v>
      </c>
      <c r="P195" s="7">
        <v>889.84078485154043</v>
      </c>
      <c r="Q195" s="7">
        <v>885.89663830467452</v>
      </c>
      <c r="R195" s="7">
        <f t="shared" si="24"/>
        <v>6</v>
      </c>
      <c r="T195" s="7">
        <f>COUNTIF($C$11:C195,C195)</f>
        <v>127</v>
      </c>
      <c r="U195" s="7" t="str">
        <f t="shared" si="26"/>
        <v>가127</v>
      </c>
      <c r="V195" s="7" t="str">
        <f>INDEX(환산공식!$C$16:$C$301,MATCH('배치점수 계산기'!W195,환산공식!$A$16:$A$301,0))</f>
        <v>한양 자연</v>
      </c>
      <c r="W195" s="7">
        <f t="shared" si="27"/>
        <v>27</v>
      </c>
      <c r="X195" s="7">
        <f t="shared" si="28"/>
        <v>1</v>
      </c>
      <c r="Y195" s="7">
        <f>IFERROR(INDEX(환산공식!Q$16:Q$200,MATCH($A195,환산공식!$A$16:$A$200,0)),"")</f>
        <v>1.3422818791946309</v>
      </c>
      <c r="Z195" s="7">
        <f>IFERROR(INDEX(환산공식!R$16:R$200,MATCH($A195,환산공식!$A$16:$A$200,0)),"")</f>
        <v>2.3809523809523809</v>
      </c>
      <c r="AA195" s="7">
        <f>IFERROR(INDEX(환산공식!U$16:U$200,MATCH($A195,환산공식!$A$16:$A$200,0)),"")</f>
        <v>2.4602839870659357</v>
      </c>
      <c r="AB195" s="7">
        <f t="shared" si="29"/>
        <v>0.21707413571547685</v>
      </c>
      <c r="AC195" s="7">
        <f t="shared" si="30"/>
        <v>0.38504816930483388</v>
      </c>
      <c r="AD195" s="7">
        <f t="shared" si="31"/>
        <v>0.39787769497968917</v>
      </c>
      <c r="AE195" s="7">
        <f>INDEX(환산공식!$AF$16:$AF$301,MATCH('배치점수 계산기'!W195,환산공식!$A$16:$A$301,0))</f>
        <v>12</v>
      </c>
      <c r="AF195" s="7">
        <f>INDEX(환산공식!$AP$16:$AP$301,MATCH('배치점수 계산기'!W195,환산공식!$A$16:$A$301,0))</f>
        <v>42</v>
      </c>
      <c r="AG195" s="7" t="str">
        <f t="shared" si="32"/>
        <v>표점/만점</v>
      </c>
      <c r="AH195" s="7" t="str">
        <f t="shared" si="33"/>
        <v>변표/만점</v>
      </c>
      <c r="BO195" s="210"/>
      <c r="BP195" s="210"/>
      <c r="BQ195" s="210"/>
      <c r="BR195" s="210"/>
      <c r="BS195" s="210"/>
      <c r="BT195" s="210"/>
      <c r="BU195" s="210"/>
      <c r="BV195" s="210"/>
      <c r="BW195" s="210"/>
      <c r="BX195" s="210"/>
      <c r="BY195" s="210"/>
      <c r="BZ195" s="210"/>
      <c r="CA195" s="210"/>
      <c r="CB195" s="210"/>
      <c r="CC195" s="210"/>
      <c r="EM195" s="120"/>
      <c r="ET195" s="210"/>
      <c r="EU195" s="210"/>
      <c r="EV195" s="210"/>
      <c r="EW195" s="210"/>
      <c r="EX195" s="210"/>
      <c r="EY195" s="210"/>
      <c r="EZ195" s="210"/>
      <c r="FA195" s="210"/>
      <c r="FB195" s="210"/>
      <c r="FC195" s="210"/>
      <c r="FD195" s="210"/>
      <c r="FE195" s="210"/>
      <c r="FF195" s="210"/>
      <c r="FG195" s="210"/>
      <c r="FH195" s="210"/>
      <c r="HR195" s="120"/>
      <c r="HY195" s="210"/>
      <c r="HZ195" s="210"/>
      <c r="IA195" s="210"/>
      <c r="IB195" s="210"/>
      <c r="IC195" s="210"/>
      <c r="ID195" s="210"/>
      <c r="IE195" s="210"/>
      <c r="IF195" s="210"/>
      <c r="IG195" s="210"/>
      <c r="IH195" s="210"/>
      <c r="II195" s="210"/>
      <c r="IJ195" s="210"/>
      <c r="IK195" s="210"/>
      <c r="IL195" s="210"/>
      <c r="IM195" s="210"/>
      <c r="KW195" s="120"/>
      <c r="LD195" s="210"/>
      <c r="LE195" s="210"/>
      <c r="LF195" s="210"/>
      <c r="LG195" s="210"/>
      <c r="LH195" s="210"/>
      <c r="LI195" s="210"/>
      <c r="LJ195" s="210"/>
      <c r="LK195" s="210"/>
      <c r="LL195" s="210"/>
      <c r="LM195" s="210"/>
      <c r="LN195" s="210"/>
      <c r="LO195" s="210"/>
      <c r="LP195" s="210"/>
      <c r="LQ195" s="210"/>
      <c r="LR195" s="210"/>
      <c r="OB195" s="120"/>
      <c r="OI195" s="210"/>
      <c r="OJ195" s="210"/>
      <c r="OK195" s="210"/>
      <c r="OL195" s="210"/>
      <c r="OM195" s="210"/>
      <c r="ON195" s="210"/>
      <c r="OO195" s="210"/>
      <c r="OP195" s="210"/>
      <c r="OQ195" s="210"/>
      <c r="OR195" s="210"/>
      <c r="OS195" s="210"/>
      <c r="OT195" s="210"/>
      <c r="OU195" s="210"/>
      <c r="OV195" s="210"/>
      <c r="OW195" s="210"/>
      <c r="RG195" s="120"/>
    </row>
    <row r="196" spans="1:475" x14ac:dyDescent="0.3">
      <c r="A196" s="7">
        <v>27</v>
      </c>
      <c r="B196" s="7">
        <v>186</v>
      </c>
      <c r="C196" s="7" t="s">
        <v>276</v>
      </c>
      <c r="D196" s="7" t="s">
        <v>359</v>
      </c>
      <c r="E196" s="7" t="s">
        <v>358</v>
      </c>
      <c r="F196" s="7" t="s">
        <v>274</v>
      </c>
      <c r="G196" s="41" t="str">
        <f t="shared" si="25"/>
        <v>X</v>
      </c>
      <c r="H196" s="41">
        <f>INDEX(환산공식!CI$16:CI$301,MATCH('배치점수 계산기'!$W196,환산공식!$A$16:$A$301,0))</f>
        <v>100</v>
      </c>
      <c r="I196" s="41" t="str">
        <f>CONCATENATE(ROUND(INDEX(환산공식!CJ$16:CJ$301,MATCH('배치점수 계산기'!$W196,환산공식!$A$16:$A$301,0)),1),"%")</f>
        <v>100%</v>
      </c>
      <c r="J196" s="41">
        <f>INDEX(환산공식!CK$16:CK$301,MATCH('배치점수 계산기'!$W196,환산공식!$A$16:$A$301,0))</f>
        <v>0</v>
      </c>
      <c r="K196" s="7">
        <f>INDEX(환산공식!$EF$16:$EF$301,MATCH('배치점수 계산기'!W196,환산공식!$A$16:$A$301,0))</f>
        <v>0</v>
      </c>
      <c r="L196" s="41" t="str">
        <f t="shared" si="23"/>
        <v>1% 이하</v>
      </c>
      <c r="M196" s="7">
        <v>896.12626912946462</v>
      </c>
      <c r="N196" s="7">
        <v>894.33889514905434</v>
      </c>
      <c r="O196" s="7">
        <v>891.28010396038223</v>
      </c>
      <c r="P196" s="7">
        <v>889.84078485154043</v>
      </c>
      <c r="Q196" s="7">
        <v>885.89663830467452</v>
      </c>
      <c r="R196" s="7">
        <f t="shared" si="24"/>
        <v>6</v>
      </c>
      <c r="T196" s="7">
        <f>COUNTIF($C$11:C196,C196)</f>
        <v>128</v>
      </c>
      <c r="U196" s="7" t="str">
        <f t="shared" si="26"/>
        <v>가128</v>
      </c>
      <c r="V196" s="7" t="str">
        <f>INDEX(환산공식!$C$16:$C$301,MATCH('배치점수 계산기'!W196,환산공식!$A$16:$A$301,0))</f>
        <v>한양 자연</v>
      </c>
      <c r="W196" s="7">
        <f t="shared" si="27"/>
        <v>27</v>
      </c>
      <c r="X196" s="7">
        <f t="shared" si="28"/>
        <v>1</v>
      </c>
      <c r="Y196" s="7">
        <f>IFERROR(INDEX(환산공식!Q$16:Q$200,MATCH($A196,환산공식!$A$16:$A$200,0)),"")</f>
        <v>1.3422818791946309</v>
      </c>
      <c r="Z196" s="7">
        <f>IFERROR(INDEX(환산공식!R$16:R$200,MATCH($A196,환산공식!$A$16:$A$200,0)),"")</f>
        <v>2.3809523809523809</v>
      </c>
      <c r="AA196" s="7">
        <f>IFERROR(INDEX(환산공식!U$16:U$200,MATCH($A196,환산공식!$A$16:$A$200,0)),"")</f>
        <v>2.4602839870659357</v>
      </c>
      <c r="AB196" s="7">
        <f t="shared" si="29"/>
        <v>0.21707413571547685</v>
      </c>
      <c r="AC196" s="7">
        <f t="shared" si="30"/>
        <v>0.38504816930483388</v>
      </c>
      <c r="AD196" s="7">
        <f t="shared" si="31"/>
        <v>0.39787769497968917</v>
      </c>
      <c r="AE196" s="7">
        <f>INDEX(환산공식!$AF$16:$AF$301,MATCH('배치점수 계산기'!W196,환산공식!$A$16:$A$301,0))</f>
        <v>12</v>
      </c>
      <c r="AF196" s="7">
        <f>INDEX(환산공식!$AP$16:$AP$301,MATCH('배치점수 계산기'!W196,환산공식!$A$16:$A$301,0))</f>
        <v>42</v>
      </c>
      <c r="AG196" s="7" t="str">
        <f t="shared" si="32"/>
        <v>표점/만점</v>
      </c>
      <c r="AH196" s="7" t="str">
        <f t="shared" si="33"/>
        <v>변표/만점</v>
      </c>
      <c r="BO196" s="210"/>
      <c r="BP196" s="210"/>
      <c r="BQ196" s="210"/>
      <c r="BR196" s="210"/>
      <c r="BS196" s="210"/>
      <c r="BT196" s="210"/>
      <c r="BU196" s="210"/>
      <c r="BV196" s="210"/>
      <c r="BW196" s="210"/>
      <c r="BX196" s="210"/>
      <c r="BY196" s="210"/>
      <c r="BZ196" s="210"/>
      <c r="CA196" s="210"/>
      <c r="CB196" s="210"/>
      <c r="CC196" s="210"/>
      <c r="EM196" s="120"/>
      <c r="ET196" s="210"/>
      <c r="EU196" s="210"/>
      <c r="EV196" s="210"/>
      <c r="EW196" s="210"/>
      <c r="EX196" s="210"/>
      <c r="EY196" s="210"/>
      <c r="EZ196" s="210"/>
      <c r="FA196" s="210"/>
      <c r="FB196" s="210"/>
      <c r="FC196" s="210"/>
      <c r="FD196" s="210"/>
      <c r="FE196" s="210"/>
      <c r="FF196" s="210"/>
      <c r="FG196" s="210"/>
      <c r="FH196" s="210"/>
      <c r="HR196" s="120"/>
      <c r="HY196" s="210"/>
      <c r="HZ196" s="210"/>
      <c r="IA196" s="210"/>
      <c r="IB196" s="210"/>
      <c r="IC196" s="210"/>
      <c r="ID196" s="210"/>
      <c r="IE196" s="210"/>
      <c r="IF196" s="210"/>
      <c r="IG196" s="210"/>
      <c r="IH196" s="210"/>
      <c r="II196" s="210"/>
      <c r="IJ196" s="210"/>
      <c r="IK196" s="210"/>
      <c r="IL196" s="210"/>
      <c r="IM196" s="210"/>
      <c r="KW196" s="120"/>
      <c r="LD196" s="210"/>
      <c r="LE196" s="210"/>
      <c r="LF196" s="210"/>
      <c r="LG196" s="210"/>
      <c r="LH196" s="210"/>
      <c r="LI196" s="210"/>
      <c r="LJ196" s="210"/>
      <c r="LK196" s="210"/>
      <c r="LL196" s="210"/>
      <c r="LM196" s="210"/>
      <c r="LN196" s="210"/>
      <c r="LO196" s="210"/>
      <c r="LP196" s="210"/>
      <c r="LQ196" s="210"/>
      <c r="LR196" s="210"/>
      <c r="OB196" s="120"/>
      <c r="OI196" s="210"/>
      <c r="OJ196" s="210"/>
      <c r="OK196" s="210"/>
      <c r="OL196" s="210"/>
      <c r="OM196" s="210"/>
      <c r="ON196" s="210"/>
      <c r="OO196" s="210"/>
      <c r="OP196" s="210"/>
      <c r="OQ196" s="210"/>
      <c r="OR196" s="210"/>
      <c r="OS196" s="210"/>
      <c r="OT196" s="210"/>
      <c r="OU196" s="210"/>
      <c r="OV196" s="210"/>
      <c r="OW196" s="210"/>
      <c r="RG196" s="120"/>
    </row>
    <row r="197" spans="1:475" x14ac:dyDescent="0.3">
      <c r="A197" s="7">
        <v>27</v>
      </c>
      <c r="B197" s="7">
        <v>187</v>
      </c>
      <c r="C197" s="7" t="s">
        <v>276</v>
      </c>
      <c r="D197" s="7" t="s">
        <v>359</v>
      </c>
      <c r="E197" s="7" t="s">
        <v>293</v>
      </c>
      <c r="F197" s="7" t="s">
        <v>274</v>
      </c>
      <c r="G197" s="41" t="str">
        <f t="shared" si="25"/>
        <v>X</v>
      </c>
      <c r="H197" s="41">
        <f>INDEX(환산공식!CI$16:CI$301,MATCH('배치점수 계산기'!$W197,환산공식!$A$16:$A$301,0))</f>
        <v>100</v>
      </c>
      <c r="I197" s="41" t="str">
        <f>CONCATENATE(ROUND(INDEX(환산공식!CJ$16:CJ$301,MATCH('배치점수 계산기'!$W197,환산공식!$A$16:$A$301,0)),1),"%")</f>
        <v>100%</v>
      </c>
      <c r="J197" s="41">
        <f>INDEX(환산공식!CK$16:CK$301,MATCH('배치점수 계산기'!$W197,환산공식!$A$16:$A$301,0))</f>
        <v>0</v>
      </c>
      <c r="K197" s="7">
        <f>INDEX(환산공식!$EF$16:$EF$301,MATCH('배치점수 계산기'!W197,환산공식!$A$16:$A$301,0))</f>
        <v>0</v>
      </c>
      <c r="L197" s="41" t="str">
        <f t="shared" si="23"/>
        <v>1% 이하</v>
      </c>
      <c r="M197" s="7">
        <v>896.12626912946462</v>
      </c>
      <c r="N197" s="7">
        <v>894.33889514905434</v>
      </c>
      <c r="O197" s="7">
        <v>891.28010396038223</v>
      </c>
      <c r="P197" s="7">
        <v>889.84078485154043</v>
      </c>
      <c r="Q197" s="7">
        <v>885.89663830467452</v>
      </c>
      <c r="R197" s="7">
        <f t="shared" si="24"/>
        <v>6</v>
      </c>
      <c r="T197" s="7">
        <f>COUNTIF($C$11:C197,C197)</f>
        <v>129</v>
      </c>
      <c r="U197" s="7" t="str">
        <f t="shared" si="26"/>
        <v>가129</v>
      </c>
      <c r="V197" s="7" t="str">
        <f>INDEX(환산공식!$C$16:$C$301,MATCH('배치점수 계산기'!W197,환산공식!$A$16:$A$301,0))</f>
        <v>한양 자연</v>
      </c>
      <c r="W197" s="7">
        <f t="shared" si="27"/>
        <v>27</v>
      </c>
      <c r="X197" s="7">
        <f t="shared" si="28"/>
        <v>1</v>
      </c>
      <c r="Y197" s="7">
        <f>IFERROR(INDEX(환산공식!Q$16:Q$200,MATCH($A197,환산공식!$A$16:$A$200,0)),"")</f>
        <v>1.3422818791946309</v>
      </c>
      <c r="Z197" s="7">
        <f>IFERROR(INDEX(환산공식!R$16:R$200,MATCH($A197,환산공식!$A$16:$A$200,0)),"")</f>
        <v>2.3809523809523809</v>
      </c>
      <c r="AA197" s="7">
        <f>IFERROR(INDEX(환산공식!U$16:U$200,MATCH($A197,환산공식!$A$16:$A$200,0)),"")</f>
        <v>2.4602839870659357</v>
      </c>
      <c r="AB197" s="7">
        <f t="shared" si="29"/>
        <v>0.21707413571547685</v>
      </c>
      <c r="AC197" s="7">
        <f t="shared" si="30"/>
        <v>0.38504816930483388</v>
      </c>
      <c r="AD197" s="7">
        <f t="shared" si="31"/>
        <v>0.39787769497968917</v>
      </c>
      <c r="AE197" s="7">
        <f>INDEX(환산공식!$AF$16:$AF$301,MATCH('배치점수 계산기'!W197,환산공식!$A$16:$A$301,0))</f>
        <v>12</v>
      </c>
      <c r="AF197" s="7">
        <f>INDEX(환산공식!$AP$16:$AP$301,MATCH('배치점수 계산기'!W197,환산공식!$A$16:$A$301,0))</f>
        <v>42</v>
      </c>
      <c r="AG197" s="7" t="str">
        <f t="shared" si="32"/>
        <v>표점/만점</v>
      </c>
      <c r="AH197" s="7" t="str">
        <f t="shared" si="33"/>
        <v>변표/만점</v>
      </c>
      <c r="BO197" s="210"/>
      <c r="BP197" s="210"/>
      <c r="BQ197" s="210"/>
      <c r="BR197" s="210"/>
      <c r="BS197" s="210"/>
      <c r="BT197" s="210"/>
      <c r="BU197" s="210"/>
      <c r="BV197" s="210"/>
      <c r="BW197" s="210"/>
      <c r="BX197" s="210"/>
      <c r="BY197" s="210"/>
      <c r="BZ197" s="210"/>
      <c r="CA197" s="210"/>
      <c r="CB197" s="210"/>
      <c r="CC197" s="210"/>
      <c r="EM197" s="120"/>
      <c r="ET197" s="210"/>
      <c r="EU197" s="210"/>
      <c r="EV197" s="210"/>
      <c r="EW197" s="210"/>
      <c r="EX197" s="210"/>
      <c r="EY197" s="210"/>
      <c r="EZ197" s="210"/>
      <c r="FA197" s="210"/>
      <c r="FB197" s="210"/>
      <c r="FC197" s="210"/>
      <c r="FD197" s="210"/>
      <c r="FE197" s="210"/>
      <c r="FF197" s="210"/>
      <c r="FG197" s="210"/>
      <c r="FH197" s="210"/>
      <c r="HR197" s="120"/>
      <c r="HY197" s="210"/>
      <c r="HZ197" s="210"/>
      <c r="IA197" s="210"/>
      <c r="IB197" s="210"/>
      <c r="IC197" s="210"/>
      <c r="ID197" s="210"/>
      <c r="IE197" s="210"/>
      <c r="IF197" s="210"/>
      <c r="IG197" s="210"/>
      <c r="IH197" s="210"/>
      <c r="II197" s="210"/>
      <c r="IJ197" s="210"/>
      <c r="IK197" s="210"/>
      <c r="IL197" s="210"/>
      <c r="IM197" s="210"/>
      <c r="KW197" s="120"/>
      <c r="LD197" s="210"/>
      <c r="LE197" s="210"/>
      <c r="LF197" s="210"/>
      <c r="LG197" s="210"/>
      <c r="LH197" s="210"/>
      <c r="LI197" s="210"/>
      <c r="LJ197" s="210"/>
      <c r="LK197" s="210"/>
      <c r="LL197" s="210"/>
      <c r="LM197" s="210"/>
      <c r="LN197" s="210"/>
      <c r="LO197" s="210"/>
      <c r="LP197" s="210"/>
      <c r="LQ197" s="210"/>
      <c r="LR197" s="210"/>
      <c r="OB197" s="120"/>
      <c r="OI197" s="210"/>
      <c r="OJ197" s="210"/>
      <c r="OK197" s="210"/>
      <c r="OL197" s="210"/>
      <c r="OM197" s="210"/>
      <c r="ON197" s="210"/>
      <c r="OO197" s="210"/>
      <c r="OP197" s="210"/>
      <c r="OQ197" s="210"/>
      <c r="OR197" s="210"/>
      <c r="OS197" s="210"/>
      <c r="OT197" s="210"/>
      <c r="OU197" s="210"/>
      <c r="OV197" s="210"/>
      <c r="OW197" s="210"/>
      <c r="RG197" s="120"/>
    </row>
    <row r="198" spans="1:475" x14ac:dyDescent="0.3">
      <c r="A198" s="7">
        <v>27</v>
      </c>
      <c r="B198" s="7">
        <v>188</v>
      </c>
      <c r="C198" s="7" t="s">
        <v>276</v>
      </c>
      <c r="D198" s="7" t="s">
        <v>359</v>
      </c>
      <c r="E198" s="7" t="s">
        <v>360</v>
      </c>
      <c r="F198" s="7" t="s">
        <v>274</v>
      </c>
      <c r="G198" s="41" t="str">
        <f t="shared" si="25"/>
        <v>X</v>
      </c>
      <c r="H198" s="41">
        <f>INDEX(환산공식!CI$16:CI$301,MATCH('배치점수 계산기'!$W198,환산공식!$A$16:$A$301,0))</f>
        <v>100</v>
      </c>
      <c r="I198" s="41" t="str">
        <f>CONCATENATE(ROUND(INDEX(환산공식!CJ$16:CJ$301,MATCH('배치점수 계산기'!$W198,환산공식!$A$16:$A$301,0)),1),"%")</f>
        <v>100%</v>
      </c>
      <c r="J198" s="41">
        <f>INDEX(환산공식!CK$16:CK$301,MATCH('배치점수 계산기'!$W198,환산공식!$A$16:$A$301,0))</f>
        <v>0</v>
      </c>
      <c r="K198" s="7">
        <f>INDEX(환산공식!$EF$16:$EF$301,MATCH('배치점수 계산기'!W198,환산공식!$A$16:$A$301,0))</f>
        <v>0</v>
      </c>
      <c r="L198" s="41" t="str">
        <f t="shared" si="23"/>
        <v>1% 이하</v>
      </c>
      <c r="M198" s="7">
        <v>896.12626912946462</v>
      </c>
      <c r="N198" s="7">
        <v>894.33889514905434</v>
      </c>
      <c r="O198" s="7">
        <v>891.28010396038223</v>
      </c>
      <c r="P198" s="7">
        <v>889.84078485154043</v>
      </c>
      <c r="Q198" s="7">
        <v>885.89663830467452</v>
      </c>
      <c r="R198" s="7">
        <f t="shared" si="24"/>
        <v>6</v>
      </c>
      <c r="T198" s="7">
        <f>COUNTIF($C$11:C198,C198)</f>
        <v>130</v>
      </c>
      <c r="U198" s="7" t="str">
        <f t="shared" si="26"/>
        <v>가130</v>
      </c>
      <c r="V198" s="7" t="str">
        <f>INDEX(환산공식!$C$16:$C$301,MATCH('배치점수 계산기'!W198,환산공식!$A$16:$A$301,0))</f>
        <v>한양 자연</v>
      </c>
      <c r="W198" s="7">
        <f t="shared" si="27"/>
        <v>27</v>
      </c>
      <c r="X198" s="7">
        <f t="shared" si="28"/>
        <v>1</v>
      </c>
      <c r="Y198" s="7">
        <f>IFERROR(INDEX(환산공식!Q$16:Q$200,MATCH($A198,환산공식!$A$16:$A$200,0)),"")</f>
        <v>1.3422818791946309</v>
      </c>
      <c r="Z198" s="7">
        <f>IFERROR(INDEX(환산공식!R$16:R$200,MATCH($A198,환산공식!$A$16:$A$200,0)),"")</f>
        <v>2.3809523809523809</v>
      </c>
      <c r="AA198" s="7">
        <f>IFERROR(INDEX(환산공식!U$16:U$200,MATCH($A198,환산공식!$A$16:$A$200,0)),"")</f>
        <v>2.4602839870659357</v>
      </c>
      <c r="AB198" s="7">
        <f t="shared" si="29"/>
        <v>0.21707413571547685</v>
      </c>
      <c r="AC198" s="7">
        <f t="shared" si="30"/>
        <v>0.38504816930483388</v>
      </c>
      <c r="AD198" s="7">
        <f t="shared" si="31"/>
        <v>0.39787769497968917</v>
      </c>
      <c r="AE198" s="7">
        <f>INDEX(환산공식!$AF$16:$AF$301,MATCH('배치점수 계산기'!W198,환산공식!$A$16:$A$301,0))</f>
        <v>12</v>
      </c>
      <c r="AF198" s="7">
        <f>INDEX(환산공식!$AP$16:$AP$301,MATCH('배치점수 계산기'!W198,환산공식!$A$16:$A$301,0))</f>
        <v>42</v>
      </c>
      <c r="AG198" s="7" t="str">
        <f t="shared" si="32"/>
        <v>표점/만점</v>
      </c>
      <c r="AH198" s="7" t="str">
        <f t="shared" si="33"/>
        <v>변표/만점</v>
      </c>
      <c r="BO198" s="210"/>
      <c r="BP198" s="210"/>
      <c r="BQ198" s="210"/>
      <c r="BR198" s="210"/>
      <c r="BS198" s="210"/>
      <c r="BT198" s="210"/>
      <c r="BU198" s="210"/>
      <c r="BV198" s="210"/>
      <c r="BW198" s="210"/>
      <c r="BX198" s="210"/>
      <c r="BY198" s="210"/>
      <c r="BZ198" s="210"/>
      <c r="CA198" s="210"/>
      <c r="CB198" s="210"/>
      <c r="CC198" s="210"/>
      <c r="EM198" s="120"/>
      <c r="ET198" s="210"/>
      <c r="EU198" s="210"/>
      <c r="EV198" s="210"/>
      <c r="EW198" s="210"/>
      <c r="EX198" s="210"/>
      <c r="EY198" s="210"/>
      <c r="EZ198" s="210"/>
      <c r="FA198" s="210"/>
      <c r="FB198" s="210"/>
      <c r="FC198" s="210"/>
      <c r="FD198" s="210"/>
      <c r="FE198" s="210"/>
      <c r="FF198" s="210"/>
      <c r="FG198" s="210"/>
      <c r="FH198" s="210"/>
      <c r="HR198" s="120"/>
      <c r="HY198" s="210"/>
      <c r="HZ198" s="210"/>
      <c r="IA198" s="210"/>
      <c r="IB198" s="210"/>
      <c r="IC198" s="210"/>
      <c r="ID198" s="210"/>
      <c r="IE198" s="210"/>
      <c r="IF198" s="210"/>
      <c r="IG198" s="210"/>
      <c r="IH198" s="210"/>
      <c r="II198" s="210"/>
      <c r="IJ198" s="210"/>
      <c r="IK198" s="210"/>
      <c r="IL198" s="210"/>
      <c r="IM198" s="210"/>
      <c r="KW198" s="120"/>
      <c r="LD198" s="210"/>
      <c r="LE198" s="210"/>
      <c r="LF198" s="210"/>
      <c r="LG198" s="210"/>
      <c r="LH198" s="210"/>
      <c r="LI198" s="210"/>
      <c r="LJ198" s="210"/>
      <c r="LK198" s="210"/>
      <c r="LL198" s="210"/>
      <c r="LM198" s="210"/>
      <c r="LN198" s="210"/>
      <c r="LO198" s="210"/>
      <c r="LP198" s="210"/>
      <c r="LQ198" s="210"/>
      <c r="LR198" s="210"/>
      <c r="OB198" s="120"/>
      <c r="OI198" s="210"/>
      <c r="OJ198" s="210"/>
      <c r="OK198" s="210"/>
      <c r="OL198" s="210"/>
      <c r="OM198" s="210"/>
      <c r="ON198" s="210"/>
      <c r="OO198" s="210"/>
      <c r="OP198" s="210"/>
      <c r="OQ198" s="210"/>
      <c r="OR198" s="210"/>
      <c r="OS198" s="210"/>
      <c r="OT198" s="210"/>
      <c r="OU198" s="210"/>
      <c r="OV198" s="210"/>
      <c r="OW198" s="210"/>
      <c r="RG198" s="120"/>
    </row>
    <row r="199" spans="1:475" x14ac:dyDescent="0.3">
      <c r="A199" s="7">
        <v>27</v>
      </c>
      <c r="B199" s="7">
        <v>189</v>
      </c>
      <c r="C199" s="7" t="s">
        <v>276</v>
      </c>
      <c r="D199" s="7" t="s">
        <v>359</v>
      </c>
      <c r="E199" s="7" t="s">
        <v>361</v>
      </c>
      <c r="F199" s="7" t="s">
        <v>274</v>
      </c>
      <c r="G199" s="41" t="str">
        <f t="shared" si="25"/>
        <v>X</v>
      </c>
      <c r="H199" s="41">
        <f>INDEX(환산공식!CI$16:CI$301,MATCH('배치점수 계산기'!$W199,환산공식!$A$16:$A$301,0))</f>
        <v>100</v>
      </c>
      <c r="I199" s="41" t="str">
        <f>CONCATENATE(ROUND(INDEX(환산공식!CJ$16:CJ$301,MATCH('배치점수 계산기'!$W199,환산공식!$A$16:$A$301,0)),1),"%")</f>
        <v>100%</v>
      </c>
      <c r="J199" s="41">
        <f>INDEX(환산공식!CK$16:CK$301,MATCH('배치점수 계산기'!$W199,환산공식!$A$16:$A$301,0))</f>
        <v>0</v>
      </c>
      <c r="K199" s="7">
        <f>INDEX(환산공식!$EF$16:$EF$301,MATCH('배치점수 계산기'!W199,환산공식!$A$16:$A$301,0))</f>
        <v>0</v>
      </c>
      <c r="L199" s="41" t="str">
        <f t="shared" si="23"/>
        <v>1% 이하</v>
      </c>
      <c r="M199" s="7">
        <v>906.50853645124516</v>
      </c>
      <c r="N199" s="7">
        <v>903.37279870920042</v>
      </c>
      <c r="O199" s="7">
        <v>901.21628032992476</v>
      </c>
      <c r="P199" s="7">
        <v>896.19381879833873</v>
      </c>
      <c r="Q199" s="7">
        <v>890.76846860574778</v>
      </c>
      <c r="R199" s="7">
        <f t="shared" si="24"/>
        <v>6</v>
      </c>
      <c r="T199" s="7">
        <f>COUNTIF($C$11:C199,C199)</f>
        <v>131</v>
      </c>
      <c r="U199" s="7" t="str">
        <f t="shared" si="26"/>
        <v>가131</v>
      </c>
      <c r="V199" s="7" t="str">
        <f>INDEX(환산공식!$C$16:$C$301,MATCH('배치점수 계산기'!W199,환산공식!$A$16:$A$301,0))</f>
        <v>한양 자연</v>
      </c>
      <c r="W199" s="7">
        <f t="shared" si="27"/>
        <v>27</v>
      </c>
      <c r="X199" s="7">
        <f t="shared" si="28"/>
        <v>1</v>
      </c>
      <c r="Y199" s="7">
        <f>IFERROR(INDEX(환산공식!Q$16:Q$200,MATCH($A199,환산공식!$A$16:$A$200,0)),"")</f>
        <v>1.3422818791946309</v>
      </c>
      <c r="Z199" s="7">
        <f>IFERROR(INDEX(환산공식!R$16:R$200,MATCH($A199,환산공식!$A$16:$A$200,0)),"")</f>
        <v>2.3809523809523809</v>
      </c>
      <c r="AA199" s="7">
        <f>IFERROR(INDEX(환산공식!U$16:U$200,MATCH($A199,환산공식!$A$16:$A$200,0)),"")</f>
        <v>2.4602839870659357</v>
      </c>
      <c r="AB199" s="7">
        <f t="shared" si="29"/>
        <v>0.21707413571547685</v>
      </c>
      <c r="AC199" s="7">
        <f t="shared" si="30"/>
        <v>0.38504816930483388</v>
      </c>
      <c r="AD199" s="7">
        <f t="shared" si="31"/>
        <v>0.39787769497968917</v>
      </c>
      <c r="AE199" s="7">
        <f>INDEX(환산공식!$AF$16:$AF$301,MATCH('배치점수 계산기'!W199,환산공식!$A$16:$A$301,0))</f>
        <v>12</v>
      </c>
      <c r="AF199" s="7">
        <f>INDEX(환산공식!$AP$16:$AP$301,MATCH('배치점수 계산기'!W199,환산공식!$A$16:$A$301,0))</f>
        <v>42</v>
      </c>
      <c r="AG199" s="7" t="str">
        <f t="shared" si="32"/>
        <v>표점/만점</v>
      </c>
      <c r="AH199" s="7" t="str">
        <f t="shared" si="33"/>
        <v>변표/만점</v>
      </c>
      <c r="BO199" s="210"/>
      <c r="BP199" s="210"/>
      <c r="BQ199" s="210"/>
      <c r="BR199" s="210"/>
      <c r="BS199" s="210"/>
      <c r="BT199" s="210"/>
      <c r="BU199" s="210"/>
      <c r="BV199" s="210"/>
      <c r="BW199" s="210"/>
      <c r="BX199" s="210"/>
      <c r="BY199" s="210"/>
      <c r="BZ199" s="210"/>
      <c r="CA199" s="210"/>
      <c r="CB199" s="210"/>
      <c r="CC199" s="210"/>
      <c r="EM199" s="120"/>
      <c r="ET199" s="210"/>
      <c r="EU199" s="210"/>
      <c r="EV199" s="210"/>
      <c r="EW199" s="210"/>
      <c r="EX199" s="210"/>
      <c r="EY199" s="210"/>
      <c r="EZ199" s="210"/>
      <c r="FA199" s="210"/>
      <c r="FB199" s="210"/>
      <c r="FC199" s="210"/>
      <c r="FD199" s="210"/>
      <c r="FE199" s="210"/>
      <c r="FF199" s="210"/>
      <c r="FG199" s="210"/>
      <c r="FH199" s="210"/>
      <c r="HR199" s="120"/>
      <c r="HY199" s="210"/>
      <c r="HZ199" s="210"/>
      <c r="IA199" s="210"/>
      <c r="IB199" s="210"/>
      <c r="IC199" s="210"/>
      <c r="ID199" s="210"/>
      <c r="IE199" s="210"/>
      <c r="IF199" s="210"/>
      <c r="IG199" s="210"/>
      <c r="IH199" s="210"/>
      <c r="II199" s="210"/>
      <c r="IJ199" s="210"/>
      <c r="IK199" s="210"/>
      <c r="IL199" s="210"/>
      <c r="IM199" s="210"/>
      <c r="KW199" s="120"/>
      <c r="LD199" s="210"/>
      <c r="LE199" s="210"/>
      <c r="LF199" s="210"/>
      <c r="LG199" s="210"/>
      <c r="LH199" s="210"/>
      <c r="LI199" s="210"/>
      <c r="LJ199" s="210"/>
      <c r="LK199" s="210"/>
      <c r="LL199" s="210"/>
      <c r="LM199" s="210"/>
      <c r="LN199" s="210"/>
      <c r="LO199" s="210"/>
      <c r="LP199" s="210"/>
      <c r="LQ199" s="210"/>
      <c r="LR199" s="210"/>
      <c r="OB199" s="120"/>
      <c r="OI199" s="210"/>
      <c r="OJ199" s="210"/>
      <c r="OK199" s="210"/>
      <c r="OL199" s="210"/>
      <c r="OM199" s="210"/>
      <c r="ON199" s="210"/>
      <c r="OO199" s="210"/>
      <c r="OP199" s="210"/>
      <c r="OQ199" s="210"/>
      <c r="OR199" s="210"/>
      <c r="OS199" s="210"/>
      <c r="OT199" s="210"/>
      <c r="OU199" s="210"/>
      <c r="OV199" s="210"/>
      <c r="OW199" s="210"/>
      <c r="RG199" s="120"/>
    </row>
    <row r="200" spans="1:475" x14ac:dyDescent="0.3">
      <c r="A200" s="7">
        <v>27</v>
      </c>
      <c r="B200" s="7">
        <v>190</v>
      </c>
      <c r="C200" s="7" t="s">
        <v>276</v>
      </c>
      <c r="D200" s="7" t="s">
        <v>359</v>
      </c>
      <c r="E200" s="7" t="s">
        <v>278</v>
      </c>
      <c r="F200" s="7" t="s">
        <v>274</v>
      </c>
      <c r="G200" s="41" t="str">
        <f t="shared" si="25"/>
        <v>X</v>
      </c>
      <c r="H200" s="41">
        <f>INDEX(환산공식!CI$16:CI$301,MATCH('배치점수 계산기'!$W200,환산공식!$A$16:$A$301,0))</f>
        <v>100</v>
      </c>
      <c r="I200" s="41" t="str">
        <f>CONCATENATE(ROUND(INDEX(환산공식!CJ$16:CJ$301,MATCH('배치점수 계산기'!$W200,환산공식!$A$16:$A$301,0)),1),"%")</f>
        <v>100%</v>
      </c>
      <c r="J200" s="41">
        <f>INDEX(환산공식!CK$16:CK$301,MATCH('배치점수 계산기'!$W200,환산공식!$A$16:$A$301,0))</f>
        <v>0</v>
      </c>
      <c r="K200" s="7">
        <f>INDEX(환산공식!$EF$16:$EF$301,MATCH('배치점수 계산기'!W200,환산공식!$A$16:$A$301,0))</f>
        <v>0</v>
      </c>
      <c r="L200" s="41" t="str">
        <f t="shared" si="23"/>
        <v>1% 이하</v>
      </c>
      <c r="M200" s="7">
        <v>904.20111651609955</v>
      </c>
      <c r="N200" s="7">
        <v>902.65313915477964</v>
      </c>
      <c r="O200" s="7">
        <v>900.86486472395018</v>
      </c>
      <c r="P200" s="7">
        <v>896.19381879833873</v>
      </c>
      <c r="Q200" s="7">
        <v>890.76846860574778</v>
      </c>
      <c r="R200" s="7">
        <f t="shared" si="24"/>
        <v>6</v>
      </c>
      <c r="T200" s="7">
        <f>COUNTIF($C$11:C200,C200)</f>
        <v>132</v>
      </c>
      <c r="U200" s="7" t="str">
        <f t="shared" si="26"/>
        <v>가132</v>
      </c>
      <c r="V200" s="7" t="str">
        <f>INDEX(환산공식!$C$16:$C$301,MATCH('배치점수 계산기'!W200,환산공식!$A$16:$A$301,0))</f>
        <v>한양 자연</v>
      </c>
      <c r="W200" s="7">
        <f t="shared" si="27"/>
        <v>27</v>
      </c>
      <c r="X200" s="7">
        <f t="shared" si="28"/>
        <v>1</v>
      </c>
      <c r="Y200" s="7">
        <f>IFERROR(INDEX(환산공식!Q$16:Q$200,MATCH($A200,환산공식!$A$16:$A$200,0)),"")</f>
        <v>1.3422818791946309</v>
      </c>
      <c r="Z200" s="7">
        <f>IFERROR(INDEX(환산공식!R$16:R$200,MATCH($A200,환산공식!$A$16:$A$200,0)),"")</f>
        <v>2.3809523809523809</v>
      </c>
      <c r="AA200" s="7">
        <f>IFERROR(INDEX(환산공식!U$16:U$200,MATCH($A200,환산공식!$A$16:$A$200,0)),"")</f>
        <v>2.4602839870659357</v>
      </c>
      <c r="AB200" s="7">
        <f t="shared" si="29"/>
        <v>0.21707413571547685</v>
      </c>
      <c r="AC200" s="7">
        <f t="shared" si="30"/>
        <v>0.38504816930483388</v>
      </c>
      <c r="AD200" s="7">
        <f t="shared" si="31"/>
        <v>0.39787769497968917</v>
      </c>
      <c r="AE200" s="7">
        <f>INDEX(환산공식!$AF$16:$AF$301,MATCH('배치점수 계산기'!W200,환산공식!$A$16:$A$301,0))</f>
        <v>12</v>
      </c>
      <c r="AF200" s="7">
        <f>INDEX(환산공식!$AP$16:$AP$301,MATCH('배치점수 계산기'!W200,환산공식!$A$16:$A$301,0))</f>
        <v>42</v>
      </c>
      <c r="AG200" s="7" t="str">
        <f t="shared" si="32"/>
        <v>표점/만점</v>
      </c>
      <c r="AH200" s="7" t="str">
        <f t="shared" si="33"/>
        <v>변표/만점</v>
      </c>
      <c r="BO200" s="210"/>
      <c r="BP200" s="210"/>
      <c r="BQ200" s="210"/>
      <c r="BR200" s="210"/>
      <c r="BS200" s="210"/>
      <c r="BT200" s="210"/>
      <c r="BU200" s="210"/>
      <c r="BV200" s="210"/>
      <c r="BW200" s="210"/>
      <c r="BX200" s="210"/>
      <c r="BY200" s="210"/>
      <c r="BZ200" s="210"/>
      <c r="CA200" s="210"/>
      <c r="CB200" s="210"/>
      <c r="CC200" s="210"/>
      <c r="EM200" s="120"/>
      <c r="ET200" s="210"/>
      <c r="EU200" s="210"/>
      <c r="EV200" s="210"/>
      <c r="EW200" s="210"/>
      <c r="EX200" s="210"/>
      <c r="EY200" s="210"/>
      <c r="EZ200" s="210"/>
      <c r="FA200" s="210"/>
      <c r="FB200" s="210"/>
      <c r="FC200" s="210"/>
      <c r="FD200" s="210"/>
      <c r="FE200" s="210"/>
      <c r="FF200" s="210"/>
      <c r="FG200" s="210"/>
      <c r="FH200" s="210"/>
      <c r="HR200" s="120"/>
      <c r="HY200" s="210"/>
      <c r="HZ200" s="210"/>
      <c r="IA200" s="210"/>
      <c r="IB200" s="210"/>
      <c r="IC200" s="210"/>
      <c r="ID200" s="210"/>
      <c r="IE200" s="210"/>
      <c r="IF200" s="210"/>
      <c r="IG200" s="210"/>
      <c r="IH200" s="210"/>
      <c r="II200" s="210"/>
      <c r="IJ200" s="210"/>
      <c r="IK200" s="210"/>
      <c r="IL200" s="210"/>
      <c r="IM200" s="210"/>
      <c r="KW200" s="120"/>
      <c r="LD200" s="210"/>
      <c r="LE200" s="210"/>
      <c r="LF200" s="210"/>
      <c r="LG200" s="210"/>
      <c r="LH200" s="210"/>
      <c r="LI200" s="210"/>
      <c r="LJ200" s="210"/>
      <c r="LK200" s="210"/>
      <c r="LL200" s="210"/>
      <c r="LM200" s="210"/>
      <c r="LN200" s="210"/>
      <c r="LO200" s="210"/>
      <c r="LP200" s="210"/>
      <c r="LQ200" s="210"/>
      <c r="LR200" s="210"/>
      <c r="OB200" s="120"/>
      <c r="OI200" s="210"/>
      <c r="OJ200" s="210"/>
      <c r="OK200" s="210"/>
      <c r="OL200" s="210"/>
      <c r="OM200" s="210"/>
      <c r="ON200" s="210"/>
      <c r="OO200" s="210"/>
      <c r="OP200" s="210"/>
      <c r="OQ200" s="210"/>
      <c r="OR200" s="210"/>
      <c r="OS200" s="210"/>
      <c r="OT200" s="210"/>
      <c r="OU200" s="210"/>
      <c r="OV200" s="210"/>
      <c r="OW200" s="210"/>
      <c r="RG200" s="120"/>
    </row>
    <row r="201" spans="1:475" x14ac:dyDescent="0.3">
      <c r="A201" s="7">
        <v>27</v>
      </c>
      <c r="B201" s="7">
        <v>191</v>
      </c>
      <c r="C201" s="7" t="s">
        <v>276</v>
      </c>
      <c r="D201" s="7" t="s">
        <v>359</v>
      </c>
      <c r="E201" s="7" t="s">
        <v>879</v>
      </c>
      <c r="F201" s="7" t="s">
        <v>274</v>
      </c>
      <c r="G201" s="41" t="str">
        <f t="shared" si="25"/>
        <v>X</v>
      </c>
      <c r="H201" s="41">
        <f>INDEX(환산공식!CI$16:CI$301,MATCH('배치점수 계산기'!$W201,환산공식!$A$16:$A$301,0))</f>
        <v>100</v>
      </c>
      <c r="I201" s="41" t="str">
        <f>CONCATENATE(ROUND(INDEX(환산공식!CJ$16:CJ$301,MATCH('배치점수 계산기'!$W201,환산공식!$A$16:$A$301,0)),1),"%")</f>
        <v>100%</v>
      </c>
      <c r="J201" s="41">
        <f>INDEX(환산공식!CK$16:CK$301,MATCH('배치점수 계산기'!$W201,환산공식!$A$16:$A$301,0))</f>
        <v>0</v>
      </c>
      <c r="K201" s="7">
        <f>INDEX(환산공식!$EF$16:$EF$301,MATCH('배치점수 계산기'!W201,환산공식!$A$16:$A$301,0))</f>
        <v>0</v>
      </c>
      <c r="L201" s="41" t="str">
        <f t="shared" si="23"/>
        <v>1% 이하</v>
      </c>
      <c r="M201" s="7">
        <v>898.13803575767906</v>
      </c>
      <c r="N201" s="7">
        <v>896.94972300808331</v>
      </c>
      <c r="O201" s="7">
        <v>894.94486347635109</v>
      </c>
      <c r="P201" s="7">
        <v>892.0918762817812</v>
      </c>
      <c r="Q201" s="7">
        <v>890.56846860574774</v>
      </c>
      <c r="R201" s="7">
        <f t="shared" si="24"/>
        <v>6</v>
      </c>
      <c r="T201" s="7">
        <f>COUNTIF($C$11:C201,C201)</f>
        <v>133</v>
      </c>
      <c r="U201" s="7" t="str">
        <f t="shared" si="26"/>
        <v>가133</v>
      </c>
      <c r="V201" s="7" t="str">
        <f>INDEX(환산공식!$C$16:$C$301,MATCH('배치점수 계산기'!W201,환산공식!$A$16:$A$301,0))</f>
        <v>한양 자연</v>
      </c>
      <c r="W201" s="7">
        <f t="shared" si="27"/>
        <v>27</v>
      </c>
      <c r="X201" s="7">
        <f t="shared" si="28"/>
        <v>1</v>
      </c>
      <c r="Y201" s="7">
        <f>IFERROR(INDEX(환산공식!Q$16:Q$200,MATCH($A201,환산공식!$A$16:$A$200,0)),"")</f>
        <v>1.3422818791946309</v>
      </c>
      <c r="Z201" s="7">
        <f>IFERROR(INDEX(환산공식!R$16:R$200,MATCH($A201,환산공식!$A$16:$A$200,0)),"")</f>
        <v>2.3809523809523809</v>
      </c>
      <c r="AA201" s="7">
        <f>IFERROR(INDEX(환산공식!U$16:U$200,MATCH($A201,환산공식!$A$16:$A$200,0)),"")</f>
        <v>2.4602839870659357</v>
      </c>
      <c r="AB201" s="7">
        <f t="shared" si="29"/>
        <v>0.21707413571547685</v>
      </c>
      <c r="AC201" s="7">
        <f t="shared" si="30"/>
        <v>0.38504816930483388</v>
      </c>
      <c r="AD201" s="7">
        <f t="shared" si="31"/>
        <v>0.39787769497968917</v>
      </c>
      <c r="AE201" s="7">
        <f>INDEX(환산공식!$AF$16:$AF$301,MATCH('배치점수 계산기'!W201,환산공식!$A$16:$A$301,0))</f>
        <v>12</v>
      </c>
      <c r="AF201" s="7">
        <f>INDEX(환산공식!$AP$16:$AP$301,MATCH('배치점수 계산기'!W201,환산공식!$A$16:$A$301,0))</f>
        <v>42</v>
      </c>
      <c r="AG201" s="7" t="str">
        <f t="shared" si="32"/>
        <v>표점/만점</v>
      </c>
      <c r="AH201" s="7" t="str">
        <f t="shared" si="33"/>
        <v>변표/만점</v>
      </c>
      <c r="BO201" s="210"/>
      <c r="BP201" s="210"/>
      <c r="BQ201" s="210"/>
      <c r="BR201" s="210"/>
      <c r="BS201" s="210"/>
      <c r="BT201" s="210"/>
      <c r="BU201" s="210"/>
      <c r="BV201" s="210"/>
      <c r="BW201" s="210"/>
      <c r="BX201" s="210"/>
      <c r="BY201" s="210"/>
      <c r="BZ201" s="210"/>
      <c r="CA201" s="210"/>
      <c r="CB201" s="210"/>
      <c r="CC201" s="210"/>
      <c r="EM201" s="120"/>
      <c r="ET201" s="210"/>
      <c r="EU201" s="210"/>
      <c r="EV201" s="210"/>
      <c r="EW201" s="210"/>
      <c r="EX201" s="210"/>
      <c r="EY201" s="210"/>
      <c r="EZ201" s="210"/>
      <c r="FA201" s="210"/>
      <c r="FB201" s="210"/>
      <c r="FC201" s="210"/>
      <c r="FD201" s="210"/>
      <c r="FE201" s="210"/>
      <c r="FF201" s="210"/>
      <c r="FG201" s="210"/>
      <c r="FH201" s="210"/>
      <c r="HR201" s="120"/>
      <c r="HY201" s="210"/>
      <c r="HZ201" s="210"/>
      <c r="IA201" s="210"/>
      <c r="IB201" s="210"/>
      <c r="IC201" s="210"/>
      <c r="ID201" s="210"/>
      <c r="IE201" s="210"/>
      <c r="IF201" s="210"/>
      <c r="IG201" s="210"/>
      <c r="IH201" s="210"/>
      <c r="II201" s="210"/>
      <c r="IJ201" s="210"/>
      <c r="IK201" s="210"/>
      <c r="IL201" s="210"/>
      <c r="IM201" s="210"/>
      <c r="KW201" s="120"/>
      <c r="LD201" s="210"/>
      <c r="LE201" s="210"/>
      <c r="LF201" s="210"/>
      <c r="LG201" s="210"/>
      <c r="LH201" s="210"/>
      <c r="LI201" s="210"/>
      <c r="LJ201" s="210"/>
      <c r="LK201" s="210"/>
      <c r="LL201" s="210"/>
      <c r="LM201" s="210"/>
      <c r="LN201" s="210"/>
      <c r="LO201" s="210"/>
      <c r="LP201" s="210"/>
      <c r="LQ201" s="210"/>
      <c r="LR201" s="210"/>
      <c r="OB201" s="120"/>
      <c r="OI201" s="210"/>
      <c r="OJ201" s="210"/>
      <c r="OK201" s="210"/>
      <c r="OL201" s="210"/>
      <c r="OM201" s="210"/>
      <c r="ON201" s="210"/>
      <c r="OO201" s="210"/>
      <c r="OP201" s="210"/>
      <c r="OQ201" s="210"/>
      <c r="OR201" s="210"/>
      <c r="OS201" s="210"/>
      <c r="OT201" s="210"/>
      <c r="OU201" s="210"/>
      <c r="OV201" s="210"/>
      <c r="OW201" s="210"/>
      <c r="RG201" s="120"/>
    </row>
    <row r="202" spans="1:475" x14ac:dyDescent="0.3">
      <c r="A202" s="7">
        <v>27</v>
      </c>
      <c r="B202" s="7">
        <v>192</v>
      </c>
      <c r="C202" s="7" t="s">
        <v>276</v>
      </c>
      <c r="D202" s="7" t="s">
        <v>359</v>
      </c>
      <c r="E202" s="7" t="s">
        <v>362</v>
      </c>
      <c r="F202" s="7" t="s">
        <v>274</v>
      </c>
      <c r="G202" s="41" t="str">
        <f t="shared" si="25"/>
        <v>X</v>
      </c>
      <c r="H202" s="41">
        <f>INDEX(환산공식!CI$16:CI$301,MATCH('배치점수 계산기'!$W202,환산공식!$A$16:$A$301,0))</f>
        <v>100</v>
      </c>
      <c r="I202" s="41" t="str">
        <f>CONCATENATE(ROUND(INDEX(환산공식!CJ$16:CJ$301,MATCH('배치점수 계산기'!$W202,환산공식!$A$16:$A$301,0)),1),"%")</f>
        <v>100%</v>
      </c>
      <c r="J202" s="41">
        <f>INDEX(환산공식!CK$16:CK$301,MATCH('배치점수 계산기'!$W202,환산공식!$A$16:$A$301,0))</f>
        <v>0</v>
      </c>
      <c r="K202" s="7">
        <f>INDEX(환산공식!$EF$16:$EF$301,MATCH('배치점수 계산기'!W202,환산공식!$A$16:$A$301,0))</f>
        <v>0</v>
      </c>
      <c r="L202" s="41" t="str">
        <f t="shared" si="23"/>
        <v>1% 이하</v>
      </c>
      <c r="M202" s="7">
        <v>896.94972300808331</v>
      </c>
      <c r="N202" s="7">
        <v>895.99381879833879</v>
      </c>
      <c r="O202" s="7">
        <v>893.39767415877861</v>
      </c>
      <c r="P202" s="7">
        <v>891.28010396038223</v>
      </c>
      <c r="Q202" s="7">
        <v>889.70833452041461</v>
      </c>
      <c r="R202" s="7">
        <f t="shared" si="24"/>
        <v>6</v>
      </c>
      <c r="T202" s="7">
        <f>COUNTIF($C$11:C202,C202)</f>
        <v>134</v>
      </c>
      <c r="U202" s="7" t="str">
        <f t="shared" si="26"/>
        <v>가134</v>
      </c>
      <c r="V202" s="7" t="str">
        <f>INDEX(환산공식!$C$16:$C$301,MATCH('배치점수 계산기'!W202,환산공식!$A$16:$A$301,0))</f>
        <v>한양 자연</v>
      </c>
      <c r="W202" s="7">
        <f t="shared" si="27"/>
        <v>27</v>
      </c>
      <c r="X202" s="7">
        <f t="shared" si="28"/>
        <v>1</v>
      </c>
      <c r="Y202" s="7">
        <f>IFERROR(INDEX(환산공식!Q$16:Q$200,MATCH($A202,환산공식!$A$16:$A$200,0)),"")</f>
        <v>1.3422818791946309</v>
      </c>
      <c r="Z202" s="7">
        <f>IFERROR(INDEX(환산공식!R$16:R$200,MATCH($A202,환산공식!$A$16:$A$200,0)),"")</f>
        <v>2.3809523809523809</v>
      </c>
      <c r="AA202" s="7">
        <f>IFERROR(INDEX(환산공식!U$16:U$200,MATCH($A202,환산공식!$A$16:$A$200,0)),"")</f>
        <v>2.4602839870659357</v>
      </c>
      <c r="AB202" s="7">
        <f t="shared" si="29"/>
        <v>0.21707413571547685</v>
      </c>
      <c r="AC202" s="7">
        <f t="shared" si="30"/>
        <v>0.38504816930483388</v>
      </c>
      <c r="AD202" s="7">
        <f t="shared" si="31"/>
        <v>0.39787769497968917</v>
      </c>
      <c r="AE202" s="7">
        <f>INDEX(환산공식!$AF$16:$AF$301,MATCH('배치점수 계산기'!W202,환산공식!$A$16:$A$301,0))</f>
        <v>12</v>
      </c>
      <c r="AF202" s="7">
        <f>INDEX(환산공식!$AP$16:$AP$301,MATCH('배치점수 계산기'!W202,환산공식!$A$16:$A$301,0))</f>
        <v>42</v>
      </c>
      <c r="AG202" s="7" t="str">
        <f t="shared" si="32"/>
        <v>표점/만점</v>
      </c>
      <c r="AH202" s="7" t="str">
        <f t="shared" si="33"/>
        <v>변표/만점</v>
      </c>
      <c r="BO202" s="210"/>
      <c r="BP202" s="210"/>
      <c r="BQ202" s="210"/>
      <c r="BR202" s="210"/>
      <c r="BS202" s="210"/>
      <c r="BT202" s="210"/>
      <c r="BU202" s="210"/>
      <c r="BV202" s="210"/>
      <c r="BW202" s="210"/>
      <c r="BX202" s="210"/>
      <c r="BY202" s="210"/>
      <c r="BZ202" s="210"/>
      <c r="CA202" s="210"/>
      <c r="CB202" s="210"/>
      <c r="CC202" s="210"/>
      <c r="EM202" s="120"/>
      <c r="ET202" s="210"/>
      <c r="EU202" s="210"/>
      <c r="EV202" s="210"/>
      <c r="EW202" s="210"/>
      <c r="EX202" s="210"/>
      <c r="EY202" s="210"/>
      <c r="EZ202" s="210"/>
      <c r="FA202" s="210"/>
      <c r="FB202" s="210"/>
      <c r="FC202" s="210"/>
      <c r="FD202" s="210"/>
      <c r="FE202" s="210"/>
      <c r="FF202" s="210"/>
      <c r="FG202" s="210"/>
      <c r="FH202" s="210"/>
      <c r="HR202" s="120"/>
      <c r="HY202" s="210"/>
      <c r="HZ202" s="210"/>
      <c r="IA202" s="210"/>
      <c r="IB202" s="210"/>
      <c r="IC202" s="210"/>
      <c r="ID202" s="210"/>
      <c r="IE202" s="210"/>
      <c r="IF202" s="210"/>
      <c r="IG202" s="210"/>
      <c r="IH202" s="210"/>
      <c r="II202" s="210"/>
      <c r="IJ202" s="210"/>
      <c r="IK202" s="210"/>
      <c r="IL202" s="210"/>
      <c r="IM202" s="210"/>
      <c r="KW202" s="120"/>
      <c r="LD202" s="210"/>
      <c r="LE202" s="210"/>
      <c r="LF202" s="210"/>
      <c r="LG202" s="210"/>
      <c r="LH202" s="210"/>
      <c r="LI202" s="210"/>
      <c r="LJ202" s="210"/>
      <c r="LK202" s="210"/>
      <c r="LL202" s="210"/>
      <c r="LM202" s="210"/>
      <c r="LN202" s="210"/>
      <c r="LO202" s="210"/>
      <c r="LP202" s="210"/>
      <c r="LQ202" s="210"/>
      <c r="LR202" s="210"/>
      <c r="OB202" s="120"/>
      <c r="OI202" s="210"/>
      <c r="OJ202" s="210"/>
      <c r="OK202" s="210"/>
      <c r="OL202" s="210"/>
      <c r="OM202" s="210"/>
      <c r="ON202" s="210"/>
      <c r="OO202" s="210"/>
      <c r="OP202" s="210"/>
      <c r="OQ202" s="210"/>
      <c r="OR202" s="210"/>
      <c r="OS202" s="210"/>
      <c r="OT202" s="210"/>
      <c r="OU202" s="210"/>
      <c r="OV202" s="210"/>
      <c r="OW202" s="210"/>
      <c r="RG202" s="120"/>
    </row>
    <row r="203" spans="1:475" x14ac:dyDescent="0.3">
      <c r="A203" s="7">
        <v>27</v>
      </c>
      <c r="B203" s="7">
        <v>193</v>
      </c>
      <c r="C203" s="7" t="s">
        <v>346</v>
      </c>
      <c r="D203" s="7" t="s">
        <v>359</v>
      </c>
      <c r="E203" s="7" t="s">
        <v>286</v>
      </c>
      <c r="F203" s="7" t="s">
        <v>274</v>
      </c>
      <c r="G203" s="41" t="str">
        <f t="shared" si="25"/>
        <v>X</v>
      </c>
      <c r="H203" s="41">
        <f>INDEX(환산공식!CI$16:CI$301,MATCH('배치점수 계산기'!$W203,환산공식!$A$16:$A$301,0))</f>
        <v>100</v>
      </c>
      <c r="I203" s="41" t="str">
        <f>CONCATENATE(ROUND(INDEX(환산공식!CJ$16:CJ$301,MATCH('배치점수 계산기'!$W203,환산공식!$A$16:$A$301,0)),1),"%")</f>
        <v>100%</v>
      </c>
      <c r="J203" s="41">
        <f>INDEX(환산공식!CK$16:CK$301,MATCH('배치점수 계산기'!$W203,환산공식!$A$16:$A$301,0))</f>
        <v>0</v>
      </c>
      <c r="K203" s="7">
        <f>INDEX(환산공식!$EF$16:$EF$301,MATCH('배치점수 계산기'!W203,환산공식!$A$16:$A$301,0))</f>
        <v>0</v>
      </c>
      <c r="L203" s="41" t="str">
        <f t="shared" ref="L203:L266" si="34">IF(K203&gt;M203,"90% 이상",IF(K203&gt;N203,CONCATENATE(ROUND(((K203-N203)/(M203-N203))*20+70,0),"%"),IF(K203&gt;O203,CONCATENATE(ROUND(((K203-O203)/(N203-O203))*30+40,0),"%"),IF(K203&gt;P203,CONCATENATE(ROUND(((K203-P203)/(O203-P203))*30+10,0),"%"),IF(K203&gt;Q203,CONCATENATE(ROUND(((K203-Q203)/(P203-Q203))*9+1,0),"%"),"1% 이하")))))</f>
        <v>1% 이하</v>
      </c>
      <c r="M203" s="7">
        <v>899.6929996108438</v>
      </c>
      <c r="N203" s="7">
        <v>898.13803575767906</v>
      </c>
      <c r="O203" s="7">
        <v>896.46828939637066</v>
      </c>
      <c r="P203" s="7">
        <v>892.0918762817812</v>
      </c>
      <c r="Q203" s="7">
        <v>890.56846860574774</v>
      </c>
      <c r="R203" s="7">
        <f t="shared" ref="R203:R266" si="35">IF(K203&gt;M203,1,IF(K203&gt;N203,2,IF(K203&gt;O203,3,IF(K203&gt;P203,4,IF(K203&gt;=Q203,5,IF(K203&lt;Q203,6))))))</f>
        <v>6</v>
      </c>
      <c r="T203" s="7">
        <f>COUNTIF($C$11:C203,C203)</f>
        <v>59</v>
      </c>
      <c r="U203" s="7" t="str">
        <f t="shared" si="26"/>
        <v>나59</v>
      </c>
      <c r="V203" s="7" t="str">
        <f>INDEX(환산공식!$C$16:$C$301,MATCH('배치점수 계산기'!W203,환산공식!$A$16:$A$301,0))</f>
        <v>한양 자연</v>
      </c>
      <c r="W203" s="7">
        <f t="shared" si="27"/>
        <v>27</v>
      </c>
      <c r="X203" s="7">
        <f t="shared" si="28"/>
        <v>1</v>
      </c>
      <c r="Y203" s="7">
        <f>IFERROR(INDEX(환산공식!Q$16:Q$200,MATCH($A203,환산공식!$A$16:$A$200,0)),"")</f>
        <v>1.3422818791946309</v>
      </c>
      <c r="Z203" s="7">
        <f>IFERROR(INDEX(환산공식!R$16:R$200,MATCH($A203,환산공식!$A$16:$A$200,0)),"")</f>
        <v>2.3809523809523809</v>
      </c>
      <c r="AA203" s="7">
        <f>IFERROR(INDEX(환산공식!U$16:U$200,MATCH($A203,환산공식!$A$16:$A$200,0)),"")</f>
        <v>2.4602839870659357</v>
      </c>
      <c r="AB203" s="7">
        <f t="shared" si="29"/>
        <v>0.21707413571547685</v>
      </c>
      <c r="AC203" s="7">
        <f t="shared" si="30"/>
        <v>0.38504816930483388</v>
      </c>
      <c r="AD203" s="7">
        <f t="shared" si="31"/>
        <v>0.39787769497968917</v>
      </c>
      <c r="AE203" s="7">
        <f>INDEX(환산공식!$AF$16:$AF$301,MATCH('배치점수 계산기'!W203,환산공식!$A$16:$A$301,0))</f>
        <v>12</v>
      </c>
      <c r="AF203" s="7">
        <f>INDEX(환산공식!$AP$16:$AP$301,MATCH('배치점수 계산기'!W203,환산공식!$A$16:$A$301,0))</f>
        <v>42</v>
      </c>
      <c r="AG203" s="7" t="str">
        <f t="shared" si="32"/>
        <v>표점/만점</v>
      </c>
      <c r="AH203" s="7" t="str">
        <f t="shared" si="33"/>
        <v>변표/만점</v>
      </c>
      <c r="BO203" s="210"/>
      <c r="BP203" s="210"/>
      <c r="BQ203" s="210"/>
      <c r="BR203" s="210"/>
      <c r="BS203" s="210"/>
      <c r="BT203" s="210"/>
      <c r="BU203" s="210"/>
      <c r="BV203" s="210"/>
      <c r="BW203" s="210"/>
      <c r="BX203" s="210"/>
      <c r="BY203" s="210"/>
      <c r="BZ203" s="210"/>
      <c r="CA203" s="210"/>
      <c r="CB203" s="210"/>
      <c r="CC203" s="210"/>
      <c r="EM203" s="120"/>
      <c r="ET203" s="210"/>
      <c r="EU203" s="210"/>
      <c r="EV203" s="210"/>
      <c r="EW203" s="210"/>
      <c r="EX203" s="210"/>
      <c r="EY203" s="210"/>
      <c r="EZ203" s="210"/>
      <c r="FA203" s="210"/>
      <c r="FB203" s="210"/>
      <c r="FC203" s="210"/>
      <c r="FD203" s="210"/>
      <c r="FE203" s="210"/>
      <c r="FF203" s="210"/>
      <c r="FG203" s="210"/>
      <c r="FH203" s="210"/>
      <c r="HR203" s="120"/>
      <c r="HY203" s="210"/>
      <c r="HZ203" s="210"/>
      <c r="IA203" s="210"/>
      <c r="IB203" s="210"/>
      <c r="IC203" s="210"/>
      <c r="ID203" s="210"/>
      <c r="IE203" s="210"/>
      <c r="IF203" s="210"/>
      <c r="IG203" s="210"/>
      <c r="IH203" s="210"/>
      <c r="II203" s="210"/>
      <c r="IJ203" s="210"/>
      <c r="IK203" s="210"/>
      <c r="IL203" s="210"/>
      <c r="IM203" s="210"/>
      <c r="KW203" s="120"/>
      <c r="LD203" s="210"/>
      <c r="LE203" s="210"/>
      <c r="LF203" s="210"/>
      <c r="LG203" s="210"/>
      <c r="LH203" s="210"/>
      <c r="LI203" s="210"/>
      <c r="LJ203" s="210"/>
      <c r="LK203" s="210"/>
      <c r="LL203" s="210"/>
      <c r="LM203" s="210"/>
      <c r="LN203" s="210"/>
      <c r="LO203" s="210"/>
      <c r="LP203" s="210"/>
      <c r="LQ203" s="210"/>
      <c r="LR203" s="210"/>
      <c r="OB203" s="120"/>
      <c r="OI203" s="210"/>
      <c r="OJ203" s="210"/>
      <c r="OK203" s="210"/>
      <c r="OL203" s="210"/>
      <c r="OM203" s="210"/>
      <c r="ON203" s="210"/>
      <c r="OO203" s="210"/>
      <c r="OP203" s="210"/>
      <c r="OQ203" s="210"/>
      <c r="OR203" s="210"/>
      <c r="OS203" s="210"/>
      <c r="OT203" s="210"/>
      <c r="OU203" s="210"/>
      <c r="OV203" s="210"/>
      <c r="OW203" s="210"/>
      <c r="RG203" s="120"/>
    </row>
    <row r="204" spans="1:475" x14ac:dyDescent="0.3">
      <c r="A204" s="7">
        <v>27</v>
      </c>
      <c r="B204" s="7">
        <v>194</v>
      </c>
      <c r="C204" s="7" t="s">
        <v>346</v>
      </c>
      <c r="D204" s="7" t="s">
        <v>359</v>
      </c>
      <c r="E204" s="7" t="s">
        <v>288</v>
      </c>
      <c r="F204" s="7" t="s">
        <v>274</v>
      </c>
      <c r="G204" s="41" t="str">
        <f t="shared" ref="G204:G267" si="36">IFERROR(IF(BJ204=0,"X","O"),"")</f>
        <v>X</v>
      </c>
      <c r="H204" s="41">
        <f>INDEX(환산공식!CI$16:CI$301,MATCH('배치점수 계산기'!$W204,환산공식!$A$16:$A$301,0))</f>
        <v>100</v>
      </c>
      <c r="I204" s="41" t="str">
        <f>CONCATENATE(ROUND(INDEX(환산공식!CJ$16:CJ$301,MATCH('배치점수 계산기'!$W204,환산공식!$A$16:$A$301,0)),1),"%")</f>
        <v>100%</v>
      </c>
      <c r="J204" s="41">
        <f>INDEX(환산공식!CK$16:CK$301,MATCH('배치점수 계산기'!$W204,환산공식!$A$16:$A$301,0))</f>
        <v>0</v>
      </c>
      <c r="K204" s="7">
        <f>INDEX(환산공식!$EF$16:$EF$301,MATCH('배치점수 계산기'!W204,환산공식!$A$16:$A$301,0))</f>
        <v>0</v>
      </c>
      <c r="L204" s="41" t="str">
        <f t="shared" si="34"/>
        <v>1% 이하</v>
      </c>
      <c r="M204" s="7">
        <v>904.20111651609955</v>
      </c>
      <c r="N204" s="7">
        <v>902.16681293369197</v>
      </c>
      <c r="O204" s="7">
        <v>898.33803575767911</v>
      </c>
      <c r="P204" s="7">
        <v>896.32626912946466</v>
      </c>
      <c r="Q204" s="7">
        <v>892.29187628178124</v>
      </c>
      <c r="R204" s="7">
        <f t="shared" si="35"/>
        <v>6</v>
      </c>
      <c r="T204" s="7">
        <f>COUNTIF($C$11:C204,C204)</f>
        <v>60</v>
      </c>
      <c r="U204" s="7" t="str">
        <f t="shared" ref="U204:U267" si="37">CONCATENATE(C204,T204)</f>
        <v>나60</v>
      </c>
      <c r="V204" s="7" t="str">
        <f>INDEX(환산공식!$C$16:$C$301,MATCH('배치점수 계산기'!W204,환산공식!$A$16:$A$301,0))</f>
        <v>한양 자연</v>
      </c>
      <c r="W204" s="7">
        <f t="shared" ref="W204:W267" si="38">A204</f>
        <v>27</v>
      </c>
      <c r="X204" s="7">
        <f t="shared" ref="X204:X267" si="39">IF(OR(D204=0,D204=""),"",IF(LEFT(D204,1)=LEFT(V204,1),1,2))</f>
        <v>1</v>
      </c>
      <c r="Y204" s="7">
        <f>IFERROR(INDEX(환산공식!Q$16:Q$200,MATCH($A204,환산공식!$A$16:$A$200,0)),"")</f>
        <v>1.3422818791946309</v>
      </c>
      <c r="Z204" s="7">
        <f>IFERROR(INDEX(환산공식!R$16:R$200,MATCH($A204,환산공식!$A$16:$A$200,0)),"")</f>
        <v>2.3809523809523809</v>
      </c>
      <c r="AA204" s="7">
        <f>IFERROR(INDEX(환산공식!U$16:U$200,MATCH($A204,환산공식!$A$16:$A$200,0)),"")</f>
        <v>2.4602839870659357</v>
      </c>
      <c r="AB204" s="7">
        <f t="shared" ref="AB204:AB267" si="40">Y204/($Y204+$Z204+$AA204)</f>
        <v>0.21707413571547685</v>
      </c>
      <c r="AC204" s="7">
        <f t="shared" ref="AC204:AC267" si="41">Z204/($Y204+$Z204+$AA204)</f>
        <v>0.38504816930483388</v>
      </c>
      <c r="AD204" s="7">
        <f t="shared" ref="AD204:AD267" si="42">AA204/($Y204+$Z204+$AA204)</f>
        <v>0.39787769497968917</v>
      </c>
      <c r="AE204" s="7">
        <f>INDEX(환산공식!$AF$16:$AF$301,MATCH('배치점수 계산기'!W204,환산공식!$A$16:$A$301,0))</f>
        <v>12</v>
      </c>
      <c r="AF204" s="7">
        <f>INDEX(환산공식!$AP$16:$AP$301,MATCH('배치점수 계산기'!W204,환산공식!$A$16:$A$301,0))</f>
        <v>42</v>
      </c>
      <c r="AG204" s="7" t="str">
        <f t="shared" ref="AG204:AG267" si="43">IF(AE204=1,"표점",IF(AE204=12,"표점/만점",IF(AE204=2,"백분위")))</f>
        <v>표점/만점</v>
      </c>
      <c r="AH204" s="7" t="str">
        <f t="shared" ref="AH204:AH267" si="44">IF(AF204=1,"표점",IF(AF204=12,"표점/만점",IF(AF204=2,"백분위",IF(AF204=4,"변표",IF(AF204=42,"변표/만점")))))</f>
        <v>변표/만점</v>
      </c>
      <c r="BO204" s="210"/>
      <c r="BP204" s="210"/>
      <c r="BQ204" s="210"/>
      <c r="BR204" s="210"/>
      <c r="BS204" s="210"/>
      <c r="BT204" s="210"/>
      <c r="BU204" s="210"/>
      <c r="BV204" s="210"/>
      <c r="BW204" s="210"/>
      <c r="BX204" s="210"/>
      <c r="BY204" s="210"/>
      <c r="BZ204" s="210"/>
      <c r="CA204" s="210"/>
      <c r="CB204" s="210"/>
      <c r="CC204" s="210"/>
      <c r="EM204" s="120"/>
      <c r="ET204" s="210"/>
      <c r="EU204" s="210"/>
      <c r="EV204" s="210"/>
      <c r="EW204" s="210"/>
      <c r="EX204" s="210"/>
      <c r="EY204" s="210"/>
      <c r="EZ204" s="210"/>
      <c r="FA204" s="210"/>
      <c r="FB204" s="210"/>
      <c r="FC204" s="210"/>
      <c r="FD204" s="210"/>
      <c r="FE204" s="210"/>
      <c r="FF204" s="210"/>
      <c r="FG204" s="210"/>
      <c r="FH204" s="210"/>
      <c r="HR204" s="120"/>
      <c r="HY204" s="210"/>
      <c r="HZ204" s="210"/>
      <c r="IA204" s="210"/>
      <c r="IB204" s="210"/>
      <c r="IC204" s="210"/>
      <c r="ID204" s="210"/>
      <c r="IE204" s="210"/>
      <c r="IF204" s="210"/>
      <c r="IG204" s="210"/>
      <c r="IH204" s="210"/>
      <c r="II204" s="210"/>
      <c r="IJ204" s="210"/>
      <c r="IK204" s="210"/>
      <c r="IL204" s="210"/>
      <c r="IM204" s="210"/>
      <c r="KW204" s="120"/>
      <c r="LD204" s="210"/>
      <c r="LE204" s="210"/>
      <c r="LF204" s="210"/>
      <c r="LG204" s="210"/>
      <c r="LH204" s="210"/>
      <c r="LI204" s="210"/>
      <c r="LJ204" s="210"/>
      <c r="LK204" s="210"/>
      <c r="LL204" s="210"/>
      <c r="LM204" s="210"/>
      <c r="LN204" s="210"/>
      <c r="LO204" s="210"/>
      <c r="LP204" s="210"/>
      <c r="LQ204" s="210"/>
      <c r="LR204" s="210"/>
      <c r="OB204" s="120"/>
      <c r="OI204" s="210"/>
      <c r="OJ204" s="210"/>
      <c r="OK204" s="210"/>
      <c r="OL204" s="210"/>
      <c r="OM204" s="210"/>
      <c r="ON204" s="210"/>
      <c r="OO204" s="210"/>
      <c r="OP204" s="210"/>
      <c r="OQ204" s="210"/>
      <c r="OR204" s="210"/>
      <c r="OS204" s="210"/>
      <c r="OT204" s="210"/>
      <c r="OU204" s="210"/>
      <c r="OV204" s="210"/>
      <c r="OW204" s="210"/>
      <c r="RG204" s="120"/>
    </row>
    <row r="205" spans="1:475" x14ac:dyDescent="0.3">
      <c r="A205" s="7">
        <v>27</v>
      </c>
      <c r="B205" s="7">
        <v>195</v>
      </c>
      <c r="C205" s="7" t="s">
        <v>346</v>
      </c>
      <c r="D205" s="7" t="s">
        <v>359</v>
      </c>
      <c r="E205" s="7" t="s">
        <v>329</v>
      </c>
      <c r="F205" s="7" t="s">
        <v>274</v>
      </c>
      <c r="G205" s="41" t="str">
        <f t="shared" si="36"/>
        <v>X</v>
      </c>
      <c r="H205" s="41">
        <f>INDEX(환산공식!CI$16:CI$301,MATCH('배치점수 계산기'!$W205,환산공식!$A$16:$A$301,0))</f>
        <v>100</v>
      </c>
      <c r="I205" s="41" t="str">
        <f>CONCATENATE(ROUND(INDEX(환산공식!CJ$16:CJ$301,MATCH('배치점수 계산기'!$W205,환산공식!$A$16:$A$301,0)),1),"%")</f>
        <v>100%</v>
      </c>
      <c r="J205" s="41">
        <f>INDEX(환산공식!CK$16:CK$301,MATCH('배치점수 계산기'!$W205,환산공식!$A$16:$A$301,0))</f>
        <v>0</v>
      </c>
      <c r="K205" s="7">
        <f>INDEX(환산공식!$EF$16:$EF$301,MATCH('배치점수 계산기'!W205,환산공식!$A$16:$A$301,0))</f>
        <v>0</v>
      </c>
      <c r="L205" s="41" t="str">
        <f t="shared" si="34"/>
        <v>1% 이하</v>
      </c>
      <c r="M205" s="7">
        <v>896.12626912946462</v>
      </c>
      <c r="N205" s="7">
        <v>894.94486347635109</v>
      </c>
      <c r="O205" s="7">
        <v>893.04871883679084</v>
      </c>
      <c r="P205" s="7">
        <v>889.84078485154043</v>
      </c>
      <c r="Q205" s="7">
        <v>885.89663830467452</v>
      </c>
      <c r="R205" s="7">
        <f t="shared" si="35"/>
        <v>6</v>
      </c>
      <c r="T205" s="7">
        <f>COUNTIF($C$11:C205,C205)</f>
        <v>61</v>
      </c>
      <c r="U205" s="7" t="str">
        <f t="shared" si="37"/>
        <v>나61</v>
      </c>
      <c r="V205" s="7" t="str">
        <f>INDEX(환산공식!$C$16:$C$301,MATCH('배치점수 계산기'!W205,환산공식!$A$16:$A$301,0))</f>
        <v>한양 자연</v>
      </c>
      <c r="W205" s="7">
        <f t="shared" si="38"/>
        <v>27</v>
      </c>
      <c r="X205" s="7">
        <f t="shared" si="39"/>
        <v>1</v>
      </c>
      <c r="Y205" s="7">
        <f>IFERROR(INDEX(환산공식!Q$16:Q$200,MATCH($A205,환산공식!$A$16:$A$200,0)),"")</f>
        <v>1.3422818791946309</v>
      </c>
      <c r="Z205" s="7">
        <f>IFERROR(INDEX(환산공식!R$16:R$200,MATCH($A205,환산공식!$A$16:$A$200,0)),"")</f>
        <v>2.3809523809523809</v>
      </c>
      <c r="AA205" s="7">
        <f>IFERROR(INDEX(환산공식!U$16:U$200,MATCH($A205,환산공식!$A$16:$A$200,0)),"")</f>
        <v>2.4602839870659357</v>
      </c>
      <c r="AB205" s="7">
        <f t="shared" si="40"/>
        <v>0.21707413571547685</v>
      </c>
      <c r="AC205" s="7">
        <f t="shared" si="41"/>
        <v>0.38504816930483388</v>
      </c>
      <c r="AD205" s="7">
        <f t="shared" si="42"/>
        <v>0.39787769497968917</v>
      </c>
      <c r="AE205" s="7">
        <f>INDEX(환산공식!$AF$16:$AF$301,MATCH('배치점수 계산기'!W205,환산공식!$A$16:$A$301,0))</f>
        <v>12</v>
      </c>
      <c r="AF205" s="7">
        <f>INDEX(환산공식!$AP$16:$AP$301,MATCH('배치점수 계산기'!W205,환산공식!$A$16:$A$301,0))</f>
        <v>42</v>
      </c>
      <c r="AG205" s="7" t="str">
        <f t="shared" si="43"/>
        <v>표점/만점</v>
      </c>
      <c r="AH205" s="7" t="str">
        <f t="shared" si="44"/>
        <v>변표/만점</v>
      </c>
      <c r="BO205" s="210"/>
      <c r="BP205" s="210"/>
      <c r="BQ205" s="210"/>
      <c r="BR205" s="210"/>
      <c r="BS205" s="210"/>
      <c r="BT205" s="210"/>
      <c r="BU205" s="210"/>
      <c r="BV205" s="210"/>
      <c r="BW205" s="210"/>
      <c r="BX205" s="210"/>
      <c r="BY205" s="210"/>
      <c r="BZ205" s="210"/>
      <c r="CA205" s="210"/>
      <c r="CB205" s="210"/>
      <c r="CC205" s="210"/>
      <c r="EM205" s="120"/>
      <c r="ET205" s="210"/>
      <c r="EU205" s="210"/>
      <c r="EV205" s="210"/>
      <c r="EW205" s="210"/>
      <c r="EX205" s="210"/>
      <c r="EY205" s="210"/>
      <c r="EZ205" s="210"/>
      <c r="FA205" s="210"/>
      <c r="FB205" s="210"/>
      <c r="FC205" s="210"/>
      <c r="FD205" s="210"/>
      <c r="FE205" s="210"/>
      <c r="FF205" s="210"/>
      <c r="FG205" s="210"/>
      <c r="FH205" s="210"/>
      <c r="HR205" s="120"/>
      <c r="HY205" s="210"/>
      <c r="HZ205" s="210"/>
      <c r="IA205" s="210"/>
      <c r="IB205" s="210"/>
      <c r="IC205" s="210"/>
      <c r="ID205" s="210"/>
      <c r="IE205" s="210"/>
      <c r="IF205" s="210"/>
      <c r="IG205" s="210"/>
      <c r="IH205" s="210"/>
      <c r="II205" s="210"/>
      <c r="IJ205" s="210"/>
      <c r="IK205" s="210"/>
      <c r="IL205" s="210"/>
      <c r="IM205" s="210"/>
      <c r="KW205" s="120"/>
      <c r="LD205" s="210"/>
      <c r="LE205" s="210"/>
      <c r="LF205" s="210"/>
      <c r="LG205" s="210"/>
      <c r="LH205" s="210"/>
      <c r="LI205" s="210"/>
      <c r="LJ205" s="210"/>
      <c r="LK205" s="210"/>
      <c r="LL205" s="210"/>
      <c r="LM205" s="210"/>
      <c r="LN205" s="210"/>
      <c r="LO205" s="210"/>
      <c r="LP205" s="210"/>
      <c r="LQ205" s="210"/>
      <c r="LR205" s="210"/>
      <c r="OB205" s="120"/>
      <c r="OI205" s="210"/>
      <c r="OJ205" s="210"/>
      <c r="OK205" s="210"/>
      <c r="OL205" s="210"/>
      <c r="OM205" s="210"/>
      <c r="ON205" s="210"/>
      <c r="OO205" s="210"/>
      <c r="OP205" s="210"/>
      <c r="OQ205" s="210"/>
      <c r="OR205" s="210"/>
      <c r="OS205" s="210"/>
      <c r="OT205" s="210"/>
      <c r="OU205" s="210"/>
      <c r="OV205" s="210"/>
      <c r="OW205" s="210"/>
      <c r="RG205" s="120"/>
    </row>
    <row r="206" spans="1:475" x14ac:dyDescent="0.3">
      <c r="A206" s="7">
        <v>27</v>
      </c>
      <c r="B206" s="7">
        <v>196</v>
      </c>
      <c r="C206" s="7" t="s">
        <v>276</v>
      </c>
      <c r="D206" s="7" t="s">
        <v>359</v>
      </c>
      <c r="E206" s="7" t="s">
        <v>363</v>
      </c>
      <c r="F206" s="7" t="s">
        <v>274</v>
      </c>
      <c r="G206" s="41" t="str">
        <f t="shared" si="36"/>
        <v>X</v>
      </c>
      <c r="H206" s="41">
        <f>INDEX(환산공식!CI$16:CI$301,MATCH('배치점수 계산기'!$W206,환산공식!$A$16:$A$301,0))</f>
        <v>100</v>
      </c>
      <c r="I206" s="41" t="str">
        <f>CONCATENATE(ROUND(INDEX(환산공식!CJ$16:CJ$301,MATCH('배치점수 계산기'!$W206,환산공식!$A$16:$A$301,0)),1),"%")</f>
        <v>100%</v>
      </c>
      <c r="J206" s="41">
        <f>INDEX(환산공식!CK$16:CK$301,MATCH('배치점수 계산기'!$W206,환산공식!$A$16:$A$301,0))</f>
        <v>0</v>
      </c>
      <c r="K206" s="7">
        <f>INDEX(환산공식!$EF$16:$EF$301,MATCH('배치점수 계산기'!W206,환산공식!$A$16:$A$301,0))</f>
        <v>0</v>
      </c>
      <c r="L206" s="41" t="str">
        <f t="shared" si="34"/>
        <v>1% 이하</v>
      </c>
      <c r="M206" s="7">
        <v>896.12626912946462</v>
      </c>
      <c r="N206" s="7">
        <v>894.94486347635109</v>
      </c>
      <c r="O206" s="7">
        <v>893.04871883679084</v>
      </c>
      <c r="P206" s="7">
        <v>891.28010396038223</v>
      </c>
      <c r="Q206" s="7">
        <v>888.40146574269852</v>
      </c>
      <c r="R206" s="7">
        <f t="shared" si="35"/>
        <v>6</v>
      </c>
      <c r="T206" s="7">
        <f>COUNTIF($C$11:C206,C206)</f>
        <v>135</v>
      </c>
      <c r="U206" s="7" t="str">
        <f t="shared" si="37"/>
        <v>가135</v>
      </c>
      <c r="V206" s="7" t="str">
        <f>INDEX(환산공식!$C$16:$C$301,MATCH('배치점수 계산기'!W206,환산공식!$A$16:$A$301,0))</f>
        <v>한양 자연</v>
      </c>
      <c r="W206" s="7">
        <f t="shared" si="38"/>
        <v>27</v>
      </c>
      <c r="X206" s="7">
        <f t="shared" si="39"/>
        <v>1</v>
      </c>
      <c r="Y206" s="7">
        <f>IFERROR(INDEX(환산공식!Q$16:Q$200,MATCH($A206,환산공식!$A$16:$A$200,0)),"")</f>
        <v>1.3422818791946309</v>
      </c>
      <c r="Z206" s="7">
        <f>IFERROR(INDEX(환산공식!R$16:R$200,MATCH($A206,환산공식!$A$16:$A$200,0)),"")</f>
        <v>2.3809523809523809</v>
      </c>
      <c r="AA206" s="7">
        <f>IFERROR(INDEX(환산공식!U$16:U$200,MATCH($A206,환산공식!$A$16:$A$200,0)),"")</f>
        <v>2.4602839870659357</v>
      </c>
      <c r="AB206" s="7">
        <f t="shared" si="40"/>
        <v>0.21707413571547685</v>
      </c>
      <c r="AC206" s="7">
        <f t="shared" si="41"/>
        <v>0.38504816930483388</v>
      </c>
      <c r="AD206" s="7">
        <f t="shared" si="42"/>
        <v>0.39787769497968917</v>
      </c>
      <c r="AE206" s="7">
        <f>INDEX(환산공식!$AF$16:$AF$301,MATCH('배치점수 계산기'!W206,환산공식!$A$16:$A$301,0))</f>
        <v>12</v>
      </c>
      <c r="AF206" s="7">
        <f>INDEX(환산공식!$AP$16:$AP$301,MATCH('배치점수 계산기'!W206,환산공식!$A$16:$A$301,0))</f>
        <v>42</v>
      </c>
      <c r="AG206" s="7" t="str">
        <f t="shared" si="43"/>
        <v>표점/만점</v>
      </c>
      <c r="AH206" s="7" t="str">
        <f t="shared" si="44"/>
        <v>변표/만점</v>
      </c>
      <c r="BO206" s="210"/>
      <c r="BP206" s="210"/>
      <c r="BQ206" s="210"/>
      <c r="BR206" s="210"/>
      <c r="BS206" s="210"/>
      <c r="BT206" s="210"/>
      <c r="BU206" s="210"/>
      <c r="BV206" s="210"/>
      <c r="BW206" s="210"/>
      <c r="BX206" s="210"/>
      <c r="BY206" s="210"/>
      <c r="BZ206" s="210"/>
      <c r="CA206" s="210"/>
      <c r="CB206" s="210"/>
      <c r="CC206" s="210"/>
      <c r="EM206" s="120"/>
      <c r="ET206" s="210"/>
      <c r="EU206" s="210"/>
      <c r="EV206" s="210"/>
      <c r="EW206" s="210"/>
      <c r="EX206" s="210"/>
      <c r="EY206" s="210"/>
      <c r="EZ206" s="210"/>
      <c r="FA206" s="210"/>
      <c r="FB206" s="210"/>
      <c r="FC206" s="210"/>
      <c r="FD206" s="210"/>
      <c r="FE206" s="210"/>
      <c r="FF206" s="210"/>
      <c r="FG206" s="210"/>
      <c r="FH206" s="210"/>
      <c r="HR206" s="120"/>
      <c r="HY206" s="210"/>
      <c r="HZ206" s="210"/>
      <c r="IA206" s="210"/>
      <c r="IB206" s="210"/>
      <c r="IC206" s="210"/>
      <c r="ID206" s="210"/>
      <c r="IE206" s="210"/>
      <c r="IF206" s="210"/>
      <c r="IG206" s="210"/>
      <c r="IH206" s="210"/>
      <c r="II206" s="210"/>
      <c r="IJ206" s="210"/>
      <c r="IK206" s="210"/>
      <c r="IL206" s="210"/>
      <c r="IM206" s="210"/>
      <c r="KW206" s="120"/>
      <c r="LD206" s="210"/>
      <c r="LE206" s="210"/>
      <c r="LF206" s="210"/>
      <c r="LG206" s="210"/>
      <c r="LH206" s="210"/>
      <c r="LI206" s="210"/>
      <c r="LJ206" s="210"/>
      <c r="LK206" s="210"/>
      <c r="LL206" s="210"/>
      <c r="LM206" s="210"/>
      <c r="LN206" s="210"/>
      <c r="LO206" s="210"/>
      <c r="LP206" s="210"/>
      <c r="LQ206" s="210"/>
      <c r="LR206" s="210"/>
      <c r="OB206" s="120"/>
      <c r="OI206" s="210"/>
      <c r="OJ206" s="210"/>
      <c r="OK206" s="210"/>
      <c r="OL206" s="210"/>
      <c r="OM206" s="210"/>
      <c r="ON206" s="210"/>
      <c r="OO206" s="210"/>
      <c r="OP206" s="210"/>
      <c r="OQ206" s="210"/>
      <c r="OR206" s="210"/>
      <c r="OS206" s="210"/>
      <c r="OT206" s="210"/>
      <c r="OU206" s="210"/>
      <c r="OV206" s="210"/>
      <c r="OW206" s="210"/>
      <c r="RG206" s="120"/>
    </row>
    <row r="207" spans="1:475" x14ac:dyDescent="0.3">
      <c r="A207" s="7">
        <v>27</v>
      </c>
      <c r="B207" s="7">
        <v>197</v>
      </c>
      <c r="C207" s="7" t="s">
        <v>346</v>
      </c>
      <c r="D207" s="7" t="s">
        <v>359</v>
      </c>
      <c r="E207" s="7" t="s">
        <v>364</v>
      </c>
      <c r="F207" s="7" t="s">
        <v>274</v>
      </c>
      <c r="G207" s="41" t="str">
        <f t="shared" si="36"/>
        <v>X</v>
      </c>
      <c r="H207" s="41">
        <f>INDEX(환산공식!CI$16:CI$301,MATCH('배치점수 계산기'!$W207,환산공식!$A$16:$A$301,0))</f>
        <v>100</v>
      </c>
      <c r="I207" s="41" t="str">
        <f>CONCATENATE(ROUND(INDEX(환산공식!CJ$16:CJ$301,MATCH('배치점수 계산기'!$W207,환산공식!$A$16:$A$301,0)),1),"%")</f>
        <v>100%</v>
      </c>
      <c r="J207" s="41">
        <f>INDEX(환산공식!CK$16:CK$301,MATCH('배치점수 계산기'!$W207,환산공식!$A$16:$A$301,0))</f>
        <v>0</v>
      </c>
      <c r="K207" s="7">
        <f>INDEX(환산공식!$EF$16:$EF$301,MATCH('배치점수 계산기'!W207,환산공식!$A$16:$A$301,0))</f>
        <v>0</v>
      </c>
      <c r="L207" s="41" t="str">
        <f t="shared" si="34"/>
        <v>1% 이하</v>
      </c>
      <c r="M207" s="7">
        <v>903.0189228192387</v>
      </c>
      <c r="N207" s="7">
        <v>899.89299961084384</v>
      </c>
      <c r="O207" s="7">
        <v>896.32626912946466</v>
      </c>
      <c r="P207" s="7">
        <v>892.29187628178124</v>
      </c>
      <c r="Q207" s="7">
        <v>890.76846860574778</v>
      </c>
      <c r="R207" s="7">
        <f t="shared" si="35"/>
        <v>6</v>
      </c>
      <c r="T207" s="7">
        <f>COUNTIF($C$11:C207,C207)</f>
        <v>62</v>
      </c>
      <c r="U207" s="7" t="str">
        <f t="shared" si="37"/>
        <v>나62</v>
      </c>
      <c r="V207" s="7" t="str">
        <f>INDEX(환산공식!$C$16:$C$301,MATCH('배치점수 계산기'!W207,환산공식!$A$16:$A$301,0))</f>
        <v>한양 자연</v>
      </c>
      <c r="W207" s="7">
        <f t="shared" si="38"/>
        <v>27</v>
      </c>
      <c r="X207" s="7">
        <f t="shared" si="39"/>
        <v>1</v>
      </c>
      <c r="Y207" s="7">
        <f>IFERROR(INDEX(환산공식!Q$16:Q$200,MATCH($A207,환산공식!$A$16:$A$200,0)),"")</f>
        <v>1.3422818791946309</v>
      </c>
      <c r="Z207" s="7">
        <f>IFERROR(INDEX(환산공식!R$16:R$200,MATCH($A207,환산공식!$A$16:$A$200,0)),"")</f>
        <v>2.3809523809523809</v>
      </c>
      <c r="AA207" s="7">
        <f>IFERROR(INDEX(환산공식!U$16:U$200,MATCH($A207,환산공식!$A$16:$A$200,0)),"")</f>
        <v>2.4602839870659357</v>
      </c>
      <c r="AB207" s="7">
        <f t="shared" si="40"/>
        <v>0.21707413571547685</v>
      </c>
      <c r="AC207" s="7">
        <f t="shared" si="41"/>
        <v>0.38504816930483388</v>
      </c>
      <c r="AD207" s="7">
        <f t="shared" si="42"/>
        <v>0.39787769497968917</v>
      </c>
      <c r="AE207" s="7">
        <f>INDEX(환산공식!$AF$16:$AF$301,MATCH('배치점수 계산기'!W207,환산공식!$A$16:$A$301,0))</f>
        <v>12</v>
      </c>
      <c r="AF207" s="7">
        <f>INDEX(환산공식!$AP$16:$AP$301,MATCH('배치점수 계산기'!W207,환산공식!$A$16:$A$301,0))</f>
        <v>42</v>
      </c>
      <c r="AG207" s="7" t="str">
        <f t="shared" si="43"/>
        <v>표점/만점</v>
      </c>
      <c r="AH207" s="7" t="str">
        <f t="shared" si="44"/>
        <v>변표/만점</v>
      </c>
      <c r="BO207" s="210"/>
      <c r="BP207" s="210"/>
      <c r="BQ207" s="210"/>
      <c r="BR207" s="210"/>
      <c r="BS207" s="210"/>
      <c r="BT207" s="210"/>
      <c r="BU207" s="210"/>
      <c r="BV207" s="210"/>
      <c r="BW207" s="210"/>
      <c r="BX207" s="210"/>
      <c r="BY207" s="210"/>
      <c r="BZ207" s="210"/>
      <c r="CA207" s="210"/>
      <c r="CB207" s="210"/>
      <c r="CC207" s="210"/>
      <c r="EM207" s="120"/>
      <c r="ET207" s="210"/>
      <c r="EU207" s="210"/>
      <c r="EV207" s="210"/>
      <c r="EW207" s="210"/>
      <c r="EX207" s="210"/>
      <c r="EY207" s="210"/>
      <c r="EZ207" s="210"/>
      <c r="FA207" s="210"/>
      <c r="FB207" s="210"/>
      <c r="FC207" s="210"/>
      <c r="FD207" s="210"/>
      <c r="FE207" s="210"/>
      <c r="FF207" s="210"/>
      <c r="FG207" s="210"/>
      <c r="FH207" s="210"/>
      <c r="HR207" s="120"/>
      <c r="HY207" s="210"/>
      <c r="HZ207" s="210"/>
      <c r="IA207" s="210"/>
      <c r="IB207" s="210"/>
      <c r="IC207" s="210"/>
      <c r="ID207" s="210"/>
      <c r="IE207" s="210"/>
      <c r="IF207" s="210"/>
      <c r="IG207" s="210"/>
      <c r="IH207" s="210"/>
      <c r="II207" s="210"/>
      <c r="IJ207" s="210"/>
      <c r="IK207" s="210"/>
      <c r="IL207" s="210"/>
      <c r="IM207" s="210"/>
      <c r="KW207" s="120"/>
      <c r="LD207" s="210"/>
      <c r="LE207" s="210"/>
      <c r="LF207" s="210"/>
      <c r="LG207" s="210"/>
      <c r="LH207" s="210"/>
      <c r="LI207" s="210"/>
      <c r="LJ207" s="210"/>
      <c r="LK207" s="210"/>
      <c r="LL207" s="210"/>
      <c r="LM207" s="210"/>
      <c r="LN207" s="210"/>
      <c r="LO207" s="210"/>
      <c r="LP207" s="210"/>
      <c r="LQ207" s="210"/>
      <c r="LR207" s="210"/>
      <c r="OB207" s="120"/>
      <c r="OI207" s="210"/>
      <c r="OJ207" s="210"/>
      <c r="OK207" s="210"/>
      <c r="OL207" s="210"/>
      <c r="OM207" s="210"/>
      <c r="ON207" s="210"/>
      <c r="OO207" s="210"/>
      <c r="OP207" s="210"/>
      <c r="OQ207" s="210"/>
      <c r="OR207" s="210"/>
      <c r="OS207" s="210"/>
      <c r="OT207" s="210"/>
      <c r="OU207" s="210"/>
      <c r="OV207" s="210"/>
      <c r="OW207" s="210"/>
      <c r="RG207" s="120"/>
    </row>
    <row r="208" spans="1:475" x14ac:dyDescent="0.3">
      <c r="A208" s="7">
        <v>27</v>
      </c>
      <c r="B208" s="7">
        <v>198</v>
      </c>
      <c r="C208" s="7" t="s">
        <v>276</v>
      </c>
      <c r="D208" s="7" t="s">
        <v>359</v>
      </c>
      <c r="E208" s="7" t="s">
        <v>280</v>
      </c>
      <c r="F208" s="7" t="s">
        <v>274</v>
      </c>
      <c r="G208" s="41" t="str">
        <f t="shared" si="36"/>
        <v>X</v>
      </c>
      <c r="H208" s="41">
        <f>INDEX(환산공식!CI$16:CI$301,MATCH('배치점수 계산기'!$W208,환산공식!$A$16:$A$301,0))</f>
        <v>100</v>
      </c>
      <c r="I208" s="41" t="str">
        <f>CONCATENATE(ROUND(INDEX(환산공식!CJ$16:CJ$301,MATCH('배치점수 계산기'!$W208,환산공식!$A$16:$A$301,0)),1),"%")</f>
        <v>100%</v>
      </c>
      <c r="J208" s="41">
        <f>INDEX(환산공식!CK$16:CK$301,MATCH('배치점수 계산기'!$W208,환산공식!$A$16:$A$301,0))</f>
        <v>0</v>
      </c>
      <c r="K208" s="7">
        <f>INDEX(환산공식!$EF$16:$EF$301,MATCH('배치점수 계산기'!W208,환산공식!$A$16:$A$301,0))</f>
        <v>0</v>
      </c>
      <c r="L208" s="41" t="str">
        <f t="shared" si="34"/>
        <v>1% 이하</v>
      </c>
      <c r="M208" s="7">
        <v>899.6929996108438</v>
      </c>
      <c r="N208" s="7">
        <v>898.13803575767906</v>
      </c>
      <c r="O208" s="7">
        <v>894.94486347635109</v>
      </c>
      <c r="P208" s="7">
        <v>890.56846860574774</v>
      </c>
      <c r="Q208" s="7">
        <v>888.99670152014505</v>
      </c>
      <c r="R208" s="7">
        <f t="shared" si="35"/>
        <v>6</v>
      </c>
      <c r="T208" s="7">
        <f>COUNTIF($C$11:C208,C208)</f>
        <v>136</v>
      </c>
      <c r="U208" s="7" t="str">
        <f t="shared" si="37"/>
        <v>가136</v>
      </c>
      <c r="V208" s="7" t="str">
        <f>INDEX(환산공식!$C$16:$C$301,MATCH('배치점수 계산기'!W208,환산공식!$A$16:$A$301,0))</f>
        <v>한양 자연</v>
      </c>
      <c r="W208" s="7">
        <f t="shared" si="38"/>
        <v>27</v>
      </c>
      <c r="X208" s="7">
        <f t="shared" si="39"/>
        <v>1</v>
      </c>
      <c r="Y208" s="7">
        <f>IFERROR(INDEX(환산공식!Q$16:Q$200,MATCH($A208,환산공식!$A$16:$A$200,0)),"")</f>
        <v>1.3422818791946309</v>
      </c>
      <c r="Z208" s="7">
        <f>IFERROR(INDEX(환산공식!R$16:R$200,MATCH($A208,환산공식!$A$16:$A$200,0)),"")</f>
        <v>2.3809523809523809</v>
      </c>
      <c r="AA208" s="7">
        <f>IFERROR(INDEX(환산공식!U$16:U$200,MATCH($A208,환산공식!$A$16:$A$200,0)),"")</f>
        <v>2.4602839870659357</v>
      </c>
      <c r="AB208" s="7">
        <f t="shared" si="40"/>
        <v>0.21707413571547685</v>
      </c>
      <c r="AC208" s="7">
        <f t="shared" si="41"/>
        <v>0.38504816930483388</v>
      </c>
      <c r="AD208" s="7">
        <f t="shared" si="42"/>
        <v>0.39787769497968917</v>
      </c>
      <c r="AE208" s="7">
        <f>INDEX(환산공식!$AF$16:$AF$301,MATCH('배치점수 계산기'!W208,환산공식!$A$16:$A$301,0))</f>
        <v>12</v>
      </c>
      <c r="AF208" s="7">
        <f>INDEX(환산공식!$AP$16:$AP$301,MATCH('배치점수 계산기'!W208,환산공식!$A$16:$A$301,0))</f>
        <v>42</v>
      </c>
      <c r="AG208" s="7" t="str">
        <f t="shared" si="43"/>
        <v>표점/만점</v>
      </c>
      <c r="AH208" s="7" t="str">
        <f t="shared" si="44"/>
        <v>변표/만점</v>
      </c>
      <c r="BO208" s="210"/>
      <c r="BP208" s="210"/>
      <c r="BQ208" s="210"/>
      <c r="BR208" s="210"/>
      <c r="BS208" s="210"/>
      <c r="BT208" s="210"/>
      <c r="BU208" s="210"/>
      <c r="BV208" s="210"/>
      <c r="BW208" s="210"/>
      <c r="BX208" s="210"/>
      <c r="BY208" s="210"/>
      <c r="BZ208" s="210"/>
      <c r="CA208" s="210"/>
      <c r="CB208" s="210"/>
      <c r="CC208" s="210"/>
      <c r="EM208" s="120"/>
      <c r="ET208" s="210"/>
      <c r="EU208" s="210"/>
      <c r="EV208" s="210"/>
      <c r="EW208" s="210"/>
      <c r="EX208" s="210"/>
      <c r="EY208" s="210"/>
      <c r="EZ208" s="210"/>
      <c r="FA208" s="210"/>
      <c r="FB208" s="210"/>
      <c r="FC208" s="210"/>
      <c r="FD208" s="210"/>
      <c r="FE208" s="210"/>
      <c r="FF208" s="210"/>
      <c r="FG208" s="210"/>
      <c r="FH208" s="210"/>
      <c r="HR208" s="120"/>
      <c r="HY208" s="210"/>
      <c r="HZ208" s="210"/>
      <c r="IA208" s="210"/>
      <c r="IB208" s="210"/>
      <c r="IC208" s="210"/>
      <c r="ID208" s="210"/>
      <c r="IE208" s="210"/>
      <c r="IF208" s="210"/>
      <c r="IG208" s="210"/>
      <c r="IH208" s="210"/>
      <c r="II208" s="210"/>
      <c r="IJ208" s="210"/>
      <c r="IK208" s="210"/>
      <c r="IL208" s="210"/>
      <c r="IM208" s="210"/>
      <c r="KW208" s="120"/>
      <c r="LD208" s="210"/>
      <c r="LE208" s="210"/>
      <c r="LF208" s="210"/>
      <c r="LG208" s="210"/>
      <c r="LH208" s="210"/>
      <c r="LI208" s="210"/>
      <c r="LJ208" s="210"/>
      <c r="LK208" s="210"/>
      <c r="LL208" s="210"/>
      <c r="LM208" s="210"/>
      <c r="LN208" s="210"/>
      <c r="LO208" s="210"/>
      <c r="LP208" s="210"/>
      <c r="LQ208" s="210"/>
      <c r="LR208" s="210"/>
      <c r="OB208" s="120"/>
      <c r="OI208" s="210"/>
      <c r="OJ208" s="210"/>
      <c r="OK208" s="210"/>
      <c r="OL208" s="210"/>
      <c r="OM208" s="210"/>
      <c r="ON208" s="210"/>
      <c r="OO208" s="210"/>
      <c r="OP208" s="210"/>
      <c r="OQ208" s="210"/>
      <c r="OR208" s="210"/>
      <c r="OS208" s="210"/>
      <c r="OT208" s="210"/>
      <c r="OU208" s="210"/>
      <c r="OV208" s="210"/>
      <c r="OW208" s="210"/>
      <c r="RG208" s="120"/>
    </row>
    <row r="209" spans="1:475" x14ac:dyDescent="0.3">
      <c r="A209" s="7">
        <v>27</v>
      </c>
      <c r="B209" s="7">
        <v>199</v>
      </c>
      <c r="C209" s="7" t="s">
        <v>276</v>
      </c>
      <c r="D209" s="7" t="s">
        <v>359</v>
      </c>
      <c r="E209" s="7" t="s">
        <v>365</v>
      </c>
      <c r="F209" s="7" t="s">
        <v>274</v>
      </c>
      <c r="G209" s="41" t="str">
        <f t="shared" si="36"/>
        <v>X</v>
      </c>
      <c r="H209" s="41">
        <f>INDEX(환산공식!CI$16:CI$301,MATCH('배치점수 계산기'!$W209,환산공식!$A$16:$A$301,0))</f>
        <v>100</v>
      </c>
      <c r="I209" s="41" t="str">
        <f>CONCATENATE(ROUND(INDEX(환산공식!CJ$16:CJ$301,MATCH('배치점수 계산기'!$W209,환산공식!$A$16:$A$301,0)),1),"%")</f>
        <v>100%</v>
      </c>
      <c r="J209" s="41">
        <f>INDEX(환산공식!CK$16:CK$301,MATCH('배치점수 계산기'!$W209,환산공식!$A$16:$A$301,0))</f>
        <v>0</v>
      </c>
      <c r="K209" s="7">
        <f>INDEX(환산공식!$EF$16:$EF$301,MATCH('배치점수 계산기'!W209,환산공식!$A$16:$A$301,0))</f>
        <v>0</v>
      </c>
      <c r="L209" s="41" t="str">
        <f t="shared" si="34"/>
        <v>1% 이하</v>
      </c>
      <c r="M209" s="7">
        <v>897.65663010456581</v>
      </c>
      <c r="N209" s="7">
        <v>894.94486347635109</v>
      </c>
      <c r="O209" s="7">
        <v>892.0918762817812</v>
      </c>
      <c r="P209" s="7">
        <v>890.56846860574774</v>
      </c>
      <c r="Q209" s="7">
        <v>887.36341089382631</v>
      </c>
      <c r="R209" s="7">
        <f t="shared" si="35"/>
        <v>6</v>
      </c>
      <c r="T209" s="7">
        <f>COUNTIF($C$11:C209,C209)</f>
        <v>137</v>
      </c>
      <c r="U209" s="7" t="str">
        <f t="shared" si="37"/>
        <v>가137</v>
      </c>
      <c r="V209" s="7" t="str">
        <f>INDEX(환산공식!$C$16:$C$301,MATCH('배치점수 계산기'!W209,환산공식!$A$16:$A$301,0))</f>
        <v>한양 자연</v>
      </c>
      <c r="W209" s="7">
        <f t="shared" si="38"/>
        <v>27</v>
      </c>
      <c r="X209" s="7">
        <f t="shared" si="39"/>
        <v>1</v>
      </c>
      <c r="Y209" s="7">
        <f>IFERROR(INDEX(환산공식!Q$16:Q$200,MATCH($A209,환산공식!$A$16:$A$200,0)),"")</f>
        <v>1.3422818791946309</v>
      </c>
      <c r="Z209" s="7">
        <f>IFERROR(INDEX(환산공식!R$16:R$200,MATCH($A209,환산공식!$A$16:$A$200,0)),"")</f>
        <v>2.3809523809523809</v>
      </c>
      <c r="AA209" s="7">
        <f>IFERROR(INDEX(환산공식!U$16:U$200,MATCH($A209,환산공식!$A$16:$A$200,0)),"")</f>
        <v>2.4602839870659357</v>
      </c>
      <c r="AB209" s="7">
        <f t="shared" si="40"/>
        <v>0.21707413571547685</v>
      </c>
      <c r="AC209" s="7">
        <f t="shared" si="41"/>
        <v>0.38504816930483388</v>
      </c>
      <c r="AD209" s="7">
        <f t="shared" si="42"/>
        <v>0.39787769497968917</v>
      </c>
      <c r="AE209" s="7">
        <f>INDEX(환산공식!$AF$16:$AF$301,MATCH('배치점수 계산기'!W209,환산공식!$A$16:$A$301,0))</f>
        <v>12</v>
      </c>
      <c r="AF209" s="7">
        <f>INDEX(환산공식!$AP$16:$AP$301,MATCH('배치점수 계산기'!W209,환산공식!$A$16:$A$301,0))</f>
        <v>42</v>
      </c>
      <c r="AG209" s="7" t="str">
        <f t="shared" si="43"/>
        <v>표점/만점</v>
      </c>
      <c r="AH209" s="7" t="str">
        <f t="shared" si="44"/>
        <v>변표/만점</v>
      </c>
      <c r="BO209" s="210"/>
      <c r="BP209" s="210"/>
      <c r="BQ209" s="210"/>
      <c r="BR209" s="210"/>
      <c r="BS209" s="210"/>
      <c r="BT209" s="210"/>
      <c r="BU209" s="210"/>
      <c r="BV209" s="210"/>
      <c r="BW209" s="210"/>
      <c r="BX209" s="210"/>
      <c r="BY209" s="210"/>
      <c r="BZ209" s="210"/>
      <c r="CA209" s="210"/>
      <c r="CB209" s="210"/>
      <c r="CC209" s="210"/>
      <c r="EM209" s="120"/>
      <c r="ET209" s="210"/>
      <c r="EU209" s="210"/>
      <c r="EV209" s="210"/>
      <c r="EW209" s="210"/>
      <c r="EX209" s="210"/>
      <c r="EY209" s="210"/>
      <c r="EZ209" s="210"/>
      <c r="FA209" s="210"/>
      <c r="FB209" s="210"/>
      <c r="FC209" s="210"/>
      <c r="FD209" s="210"/>
      <c r="FE209" s="210"/>
      <c r="FF209" s="210"/>
      <c r="FG209" s="210"/>
      <c r="FH209" s="210"/>
      <c r="HR209" s="120"/>
      <c r="HY209" s="210"/>
      <c r="HZ209" s="210"/>
      <c r="IA209" s="210"/>
      <c r="IB209" s="210"/>
      <c r="IC209" s="210"/>
      <c r="ID209" s="210"/>
      <c r="IE209" s="210"/>
      <c r="IF209" s="210"/>
      <c r="IG209" s="210"/>
      <c r="IH209" s="210"/>
      <c r="II209" s="210"/>
      <c r="IJ209" s="210"/>
      <c r="IK209" s="210"/>
      <c r="IL209" s="210"/>
      <c r="IM209" s="210"/>
      <c r="KW209" s="120"/>
      <c r="LD209" s="210"/>
      <c r="LE209" s="210"/>
      <c r="LF209" s="210"/>
      <c r="LG209" s="210"/>
      <c r="LH209" s="210"/>
      <c r="LI209" s="210"/>
      <c r="LJ209" s="210"/>
      <c r="LK209" s="210"/>
      <c r="LL209" s="210"/>
      <c r="LM209" s="210"/>
      <c r="LN209" s="210"/>
      <c r="LO209" s="210"/>
      <c r="LP209" s="210"/>
      <c r="LQ209" s="210"/>
      <c r="LR209" s="210"/>
      <c r="OB209" s="120"/>
      <c r="OI209" s="210"/>
      <c r="OJ209" s="210"/>
      <c r="OK209" s="210"/>
      <c r="OL209" s="210"/>
      <c r="OM209" s="210"/>
      <c r="ON209" s="210"/>
      <c r="OO209" s="210"/>
      <c r="OP209" s="210"/>
      <c r="OQ209" s="210"/>
      <c r="OR209" s="210"/>
      <c r="OS209" s="210"/>
      <c r="OT209" s="210"/>
      <c r="OU209" s="210"/>
      <c r="OV209" s="210"/>
      <c r="OW209" s="210"/>
      <c r="RG209" s="120"/>
    </row>
    <row r="210" spans="1:475" x14ac:dyDescent="0.3">
      <c r="A210" s="7">
        <v>27</v>
      </c>
      <c r="B210" s="7">
        <v>200</v>
      </c>
      <c r="C210" s="7" t="s">
        <v>276</v>
      </c>
      <c r="D210" s="7" t="s">
        <v>359</v>
      </c>
      <c r="E210" s="7" t="s">
        <v>281</v>
      </c>
      <c r="F210" s="7" t="s">
        <v>274</v>
      </c>
      <c r="G210" s="41" t="str">
        <f t="shared" si="36"/>
        <v>X</v>
      </c>
      <c r="H210" s="41">
        <f>INDEX(환산공식!CI$16:CI$301,MATCH('배치점수 계산기'!$W210,환산공식!$A$16:$A$301,0))</f>
        <v>100</v>
      </c>
      <c r="I210" s="41" t="str">
        <f>CONCATENATE(ROUND(INDEX(환산공식!CJ$16:CJ$301,MATCH('배치점수 계산기'!$W210,환산공식!$A$16:$A$301,0)),1),"%")</f>
        <v>100%</v>
      </c>
      <c r="J210" s="41">
        <f>INDEX(환산공식!CK$16:CK$301,MATCH('배치점수 계산기'!$W210,환산공식!$A$16:$A$301,0))</f>
        <v>0</v>
      </c>
      <c r="K210" s="7">
        <f>INDEX(환산공식!$EF$16:$EF$301,MATCH('배치점수 계산기'!W210,환산공식!$A$16:$A$301,0))</f>
        <v>0</v>
      </c>
      <c r="L210" s="41" t="str">
        <f t="shared" si="34"/>
        <v>1% 이하</v>
      </c>
      <c r="M210" s="7">
        <v>898.13803575767906</v>
      </c>
      <c r="N210" s="7">
        <v>896.94972300808331</v>
      </c>
      <c r="O210" s="7">
        <v>894.94486347635109</v>
      </c>
      <c r="P210" s="7">
        <v>892.0918762817812</v>
      </c>
      <c r="Q210" s="7">
        <v>890.56846860574774</v>
      </c>
      <c r="R210" s="7">
        <f t="shared" si="35"/>
        <v>6</v>
      </c>
      <c r="T210" s="7">
        <f>COUNTIF($C$11:C210,C210)</f>
        <v>138</v>
      </c>
      <c r="U210" s="7" t="str">
        <f t="shared" si="37"/>
        <v>가138</v>
      </c>
      <c r="V210" s="7" t="str">
        <f>INDEX(환산공식!$C$16:$C$301,MATCH('배치점수 계산기'!W210,환산공식!$A$16:$A$301,0))</f>
        <v>한양 자연</v>
      </c>
      <c r="W210" s="7">
        <f t="shared" si="38"/>
        <v>27</v>
      </c>
      <c r="X210" s="7">
        <f t="shared" si="39"/>
        <v>1</v>
      </c>
      <c r="Y210" s="7">
        <f>IFERROR(INDEX(환산공식!Q$16:Q$200,MATCH($A210,환산공식!$A$16:$A$200,0)),"")</f>
        <v>1.3422818791946309</v>
      </c>
      <c r="Z210" s="7">
        <f>IFERROR(INDEX(환산공식!R$16:R$200,MATCH($A210,환산공식!$A$16:$A$200,0)),"")</f>
        <v>2.3809523809523809</v>
      </c>
      <c r="AA210" s="7">
        <f>IFERROR(INDEX(환산공식!U$16:U$200,MATCH($A210,환산공식!$A$16:$A$200,0)),"")</f>
        <v>2.4602839870659357</v>
      </c>
      <c r="AB210" s="7">
        <f t="shared" si="40"/>
        <v>0.21707413571547685</v>
      </c>
      <c r="AC210" s="7">
        <f t="shared" si="41"/>
        <v>0.38504816930483388</v>
      </c>
      <c r="AD210" s="7">
        <f t="shared" si="42"/>
        <v>0.39787769497968917</v>
      </c>
      <c r="AE210" s="7">
        <f>INDEX(환산공식!$AF$16:$AF$301,MATCH('배치점수 계산기'!W210,환산공식!$A$16:$A$301,0))</f>
        <v>12</v>
      </c>
      <c r="AF210" s="7">
        <f>INDEX(환산공식!$AP$16:$AP$301,MATCH('배치점수 계산기'!W210,환산공식!$A$16:$A$301,0))</f>
        <v>42</v>
      </c>
      <c r="AG210" s="7" t="str">
        <f t="shared" si="43"/>
        <v>표점/만점</v>
      </c>
      <c r="AH210" s="7" t="str">
        <f t="shared" si="44"/>
        <v>변표/만점</v>
      </c>
      <c r="BO210" s="210"/>
      <c r="BP210" s="210"/>
      <c r="BQ210" s="210"/>
      <c r="BR210" s="210"/>
      <c r="BS210" s="210"/>
      <c r="BT210" s="210"/>
      <c r="BU210" s="210"/>
      <c r="BV210" s="210"/>
      <c r="BW210" s="210"/>
      <c r="BX210" s="210"/>
      <c r="BY210" s="210"/>
      <c r="BZ210" s="210"/>
      <c r="CA210" s="210"/>
      <c r="CB210" s="210"/>
      <c r="CC210" s="210"/>
      <c r="EM210" s="120"/>
      <c r="ET210" s="210"/>
      <c r="EU210" s="210"/>
      <c r="EV210" s="210"/>
      <c r="EW210" s="210"/>
      <c r="EX210" s="210"/>
      <c r="EY210" s="210"/>
      <c r="EZ210" s="210"/>
      <c r="FA210" s="210"/>
      <c r="FB210" s="210"/>
      <c r="FC210" s="210"/>
      <c r="FD210" s="210"/>
      <c r="FE210" s="210"/>
      <c r="FF210" s="210"/>
      <c r="FG210" s="210"/>
      <c r="FH210" s="210"/>
      <c r="HR210" s="120"/>
      <c r="HY210" s="210"/>
      <c r="HZ210" s="210"/>
      <c r="IA210" s="210"/>
      <c r="IB210" s="210"/>
      <c r="IC210" s="210"/>
      <c r="ID210" s="210"/>
      <c r="IE210" s="210"/>
      <c r="IF210" s="210"/>
      <c r="IG210" s="210"/>
      <c r="IH210" s="210"/>
      <c r="II210" s="210"/>
      <c r="IJ210" s="210"/>
      <c r="IK210" s="210"/>
      <c r="IL210" s="210"/>
      <c r="IM210" s="210"/>
      <c r="KW210" s="120"/>
      <c r="LD210" s="210"/>
      <c r="LE210" s="210"/>
      <c r="LF210" s="210"/>
      <c r="LG210" s="210"/>
      <c r="LH210" s="210"/>
      <c r="LI210" s="210"/>
      <c r="LJ210" s="210"/>
      <c r="LK210" s="210"/>
      <c r="LL210" s="210"/>
      <c r="LM210" s="210"/>
      <c r="LN210" s="210"/>
      <c r="LO210" s="210"/>
      <c r="LP210" s="210"/>
      <c r="LQ210" s="210"/>
      <c r="LR210" s="210"/>
      <c r="OB210" s="120"/>
      <c r="OI210" s="210"/>
      <c r="OJ210" s="210"/>
      <c r="OK210" s="210"/>
      <c r="OL210" s="210"/>
      <c r="OM210" s="210"/>
      <c r="ON210" s="210"/>
      <c r="OO210" s="210"/>
      <c r="OP210" s="210"/>
      <c r="OQ210" s="210"/>
      <c r="OR210" s="210"/>
      <c r="OS210" s="210"/>
      <c r="OT210" s="210"/>
      <c r="OU210" s="210"/>
      <c r="OV210" s="210"/>
      <c r="OW210" s="210"/>
      <c r="RG210" s="120"/>
    </row>
    <row r="211" spans="1:475" x14ac:dyDescent="0.3">
      <c r="A211" s="7">
        <v>27</v>
      </c>
      <c r="B211" s="7">
        <v>201</v>
      </c>
      <c r="C211" s="7" t="s">
        <v>346</v>
      </c>
      <c r="D211" s="7" t="s">
        <v>359</v>
      </c>
      <c r="E211" s="7" t="s">
        <v>366</v>
      </c>
      <c r="F211" s="7" t="s">
        <v>274</v>
      </c>
      <c r="G211" s="41" t="str">
        <f t="shared" si="36"/>
        <v>X</v>
      </c>
      <c r="H211" s="41">
        <f>INDEX(환산공식!CI$16:CI$301,MATCH('배치점수 계산기'!$W211,환산공식!$A$16:$A$301,0))</f>
        <v>100</v>
      </c>
      <c r="I211" s="41" t="str">
        <f>CONCATENATE(ROUND(INDEX(환산공식!CJ$16:CJ$301,MATCH('배치점수 계산기'!$W211,환산공식!$A$16:$A$301,0)),1),"%")</f>
        <v>100%</v>
      </c>
      <c r="J211" s="41">
        <f>INDEX(환산공식!CK$16:CK$301,MATCH('배치점수 계산기'!$W211,환산공식!$A$16:$A$301,0))</f>
        <v>0</v>
      </c>
      <c r="K211" s="7">
        <f>INDEX(환산공식!$EF$16:$EF$301,MATCH('배치점수 계산기'!W211,환산공식!$A$16:$A$301,0))</f>
        <v>0</v>
      </c>
      <c r="L211" s="41" t="str">
        <f t="shared" si="34"/>
        <v>1% 이하</v>
      </c>
      <c r="M211" s="7">
        <v>904.20111651609955</v>
      </c>
      <c r="N211" s="7">
        <v>902.65313915477964</v>
      </c>
      <c r="O211" s="7">
        <v>900.86486472395018</v>
      </c>
      <c r="P211" s="7">
        <v>896.19381879833873</v>
      </c>
      <c r="Q211" s="7">
        <v>890.76846860574778</v>
      </c>
      <c r="R211" s="7">
        <f t="shared" si="35"/>
        <v>6</v>
      </c>
      <c r="T211" s="7">
        <f>COUNTIF($C$11:C211,C211)</f>
        <v>63</v>
      </c>
      <c r="U211" s="7" t="str">
        <f t="shared" si="37"/>
        <v>나63</v>
      </c>
      <c r="V211" s="7" t="str">
        <f>INDEX(환산공식!$C$16:$C$301,MATCH('배치점수 계산기'!W211,환산공식!$A$16:$A$301,0))</f>
        <v>한양 자연</v>
      </c>
      <c r="W211" s="7">
        <f t="shared" si="38"/>
        <v>27</v>
      </c>
      <c r="X211" s="7">
        <f t="shared" si="39"/>
        <v>1</v>
      </c>
      <c r="Y211" s="7">
        <f>IFERROR(INDEX(환산공식!Q$16:Q$200,MATCH($A211,환산공식!$A$16:$A$200,0)),"")</f>
        <v>1.3422818791946309</v>
      </c>
      <c r="Z211" s="7">
        <f>IFERROR(INDEX(환산공식!R$16:R$200,MATCH($A211,환산공식!$A$16:$A$200,0)),"")</f>
        <v>2.3809523809523809</v>
      </c>
      <c r="AA211" s="7">
        <f>IFERROR(INDEX(환산공식!U$16:U$200,MATCH($A211,환산공식!$A$16:$A$200,0)),"")</f>
        <v>2.4602839870659357</v>
      </c>
      <c r="AB211" s="7">
        <f t="shared" si="40"/>
        <v>0.21707413571547685</v>
      </c>
      <c r="AC211" s="7">
        <f t="shared" si="41"/>
        <v>0.38504816930483388</v>
      </c>
      <c r="AD211" s="7">
        <f t="shared" si="42"/>
        <v>0.39787769497968917</v>
      </c>
      <c r="AE211" s="7">
        <f>INDEX(환산공식!$AF$16:$AF$301,MATCH('배치점수 계산기'!W211,환산공식!$A$16:$A$301,0))</f>
        <v>12</v>
      </c>
      <c r="AF211" s="7">
        <f>INDEX(환산공식!$AP$16:$AP$301,MATCH('배치점수 계산기'!W211,환산공식!$A$16:$A$301,0))</f>
        <v>42</v>
      </c>
      <c r="AG211" s="7" t="str">
        <f t="shared" si="43"/>
        <v>표점/만점</v>
      </c>
      <c r="AH211" s="7" t="str">
        <f t="shared" si="44"/>
        <v>변표/만점</v>
      </c>
      <c r="BO211" s="210"/>
      <c r="BP211" s="210"/>
      <c r="BQ211" s="210"/>
      <c r="BR211" s="210"/>
      <c r="BS211" s="210"/>
      <c r="BT211" s="210"/>
      <c r="BU211" s="210"/>
      <c r="BV211" s="210"/>
      <c r="BW211" s="210"/>
      <c r="BX211" s="210"/>
      <c r="BY211" s="210"/>
      <c r="BZ211" s="210"/>
      <c r="CA211" s="210"/>
      <c r="CB211" s="210"/>
      <c r="CC211" s="210"/>
      <c r="EM211" s="120"/>
      <c r="ET211" s="210"/>
      <c r="EU211" s="210"/>
      <c r="EV211" s="210"/>
      <c r="EW211" s="210"/>
      <c r="EX211" s="210"/>
      <c r="EY211" s="210"/>
      <c r="EZ211" s="210"/>
      <c r="FA211" s="210"/>
      <c r="FB211" s="210"/>
      <c r="FC211" s="210"/>
      <c r="FD211" s="210"/>
      <c r="FE211" s="210"/>
      <c r="FF211" s="210"/>
      <c r="FG211" s="210"/>
      <c r="FH211" s="210"/>
      <c r="HR211" s="120"/>
      <c r="HY211" s="210"/>
      <c r="HZ211" s="210"/>
      <c r="IA211" s="210"/>
      <c r="IB211" s="210"/>
      <c r="IC211" s="210"/>
      <c r="ID211" s="210"/>
      <c r="IE211" s="210"/>
      <c r="IF211" s="210"/>
      <c r="IG211" s="210"/>
      <c r="IH211" s="210"/>
      <c r="II211" s="210"/>
      <c r="IJ211" s="210"/>
      <c r="IK211" s="210"/>
      <c r="IL211" s="210"/>
      <c r="IM211" s="210"/>
      <c r="KW211" s="120"/>
      <c r="LD211" s="210"/>
      <c r="LE211" s="210"/>
      <c r="LF211" s="210"/>
      <c r="LG211" s="210"/>
      <c r="LH211" s="210"/>
      <c r="LI211" s="210"/>
      <c r="LJ211" s="210"/>
      <c r="LK211" s="210"/>
      <c r="LL211" s="210"/>
      <c r="LM211" s="210"/>
      <c r="LN211" s="210"/>
      <c r="LO211" s="210"/>
      <c r="LP211" s="210"/>
      <c r="LQ211" s="210"/>
      <c r="LR211" s="210"/>
      <c r="OB211" s="120"/>
      <c r="OI211" s="210"/>
      <c r="OJ211" s="210"/>
      <c r="OK211" s="210"/>
      <c r="OL211" s="210"/>
      <c r="OM211" s="210"/>
      <c r="ON211" s="210"/>
      <c r="OO211" s="210"/>
      <c r="OP211" s="210"/>
      <c r="OQ211" s="210"/>
      <c r="OR211" s="210"/>
      <c r="OS211" s="210"/>
      <c r="OT211" s="210"/>
      <c r="OU211" s="210"/>
      <c r="OV211" s="210"/>
      <c r="OW211" s="210"/>
      <c r="RG211" s="120"/>
    </row>
    <row r="212" spans="1:475" x14ac:dyDescent="0.3">
      <c r="A212" s="7">
        <v>27</v>
      </c>
      <c r="B212" s="7">
        <v>202</v>
      </c>
      <c r="C212" s="7" t="s">
        <v>346</v>
      </c>
      <c r="D212" s="7" t="s">
        <v>359</v>
      </c>
      <c r="E212" s="7" t="s">
        <v>319</v>
      </c>
      <c r="F212" s="7" t="s">
        <v>274</v>
      </c>
      <c r="G212" s="41" t="str">
        <f t="shared" si="36"/>
        <v>X</v>
      </c>
      <c r="H212" s="41">
        <f>INDEX(환산공식!CI$16:CI$301,MATCH('배치점수 계산기'!$W212,환산공식!$A$16:$A$301,0))</f>
        <v>100</v>
      </c>
      <c r="I212" s="41" t="str">
        <f>CONCATENATE(ROUND(INDEX(환산공식!CJ$16:CJ$301,MATCH('배치점수 계산기'!$W212,환산공식!$A$16:$A$301,0)),1),"%")</f>
        <v>100%</v>
      </c>
      <c r="J212" s="41">
        <f>INDEX(환산공식!CK$16:CK$301,MATCH('배치점수 계산기'!$W212,환산공식!$A$16:$A$301,0))</f>
        <v>0</v>
      </c>
      <c r="K212" s="7">
        <f>INDEX(환산공식!$EF$16:$EF$301,MATCH('배치점수 계산기'!W212,환산공식!$A$16:$A$301,0))</f>
        <v>0</v>
      </c>
      <c r="L212" s="41" t="str">
        <f t="shared" si="34"/>
        <v>1% 이하</v>
      </c>
      <c r="M212" s="7">
        <v>898.13803575767906</v>
      </c>
      <c r="N212" s="7">
        <v>896.94972300808331</v>
      </c>
      <c r="O212" s="7">
        <v>894.94486347635109</v>
      </c>
      <c r="P212" s="7">
        <v>891.28010396038223</v>
      </c>
      <c r="Q212" s="7">
        <v>889.70833452041461</v>
      </c>
      <c r="R212" s="7">
        <f t="shared" si="35"/>
        <v>6</v>
      </c>
      <c r="T212" s="7">
        <f>COUNTIF($C$11:C212,C212)</f>
        <v>64</v>
      </c>
      <c r="U212" s="7" t="str">
        <f t="shared" si="37"/>
        <v>나64</v>
      </c>
      <c r="V212" s="7" t="str">
        <f>INDEX(환산공식!$C$16:$C$301,MATCH('배치점수 계산기'!W212,환산공식!$A$16:$A$301,0))</f>
        <v>한양 자연</v>
      </c>
      <c r="W212" s="7">
        <f t="shared" si="38"/>
        <v>27</v>
      </c>
      <c r="X212" s="7">
        <f t="shared" si="39"/>
        <v>1</v>
      </c>
      <c r="Y212" s="7">
        <f>IFERROR(INDEX(환산공식!Q$16:Q$200,MATCH($A212,환산공식!$A$16:$A$200,0)),"")</f>
        <v>1.3422818791946309</v>
      </c>
      <c r="Z212" s="7">
        <f>IFERROR(INDEX(환산공식!R$16:R$200,MATCH($A212,환산공식!$A$16:$A$200,0)),"")</f>
        <v>2.3809523809523809</v>
      </c>
      <c r="AA212" s="7">
        <f>IFERROR(INDEX(환산공식!U$16:U$200,MATCH($A212,환산공식!$A$16:$A$200,0)),"")</f>
        <v>2.4602839870659357</v>
      </c>
      <c r="AB212" s="7">
        <f t="shared" si="40"/>
        <v>0.21707413571547685</v>
      </c>
      <c r="AC212" s="7">
        <f t="shared" si="41"/>
        <v>0.38504816930483388</v>
      </c>
      <c r="AD212" s="7">
        <f t="shared" si="42"/>
        <v>0.39787769497968917</v>
      </c>
      <c r="AE212" s="7">
        <f>INDEX(환산공식!$AF$16:$AF$301,MATCH('배치점수 계산기'!W212,환산공식!$A$16:$A$301,0))</f>
        <v>12</v>
      </c>
      <c r="AF212" s="7">
        <f>INDEX(환산공식!$AP$16:$AP$301,MATCH('배치점수 계산기'!W212,환산공식!$A$16:$A$301,0))</f>
        <v>42</v>
      </c>
      <c r="AG212" s="7" t="str">
        <f t="shared" si="43"/>
        <v>표점/만점</v>
      </c>
      <c r="AH212" s="7" t="str">
        <f t="shared" si="44"/>
        <v>변표/만점</v>
      </c>
      <c r="BO212" s="210"/>
      <c r="BP212" s="210"/>
      <c r="BQ212" s="210"/>
      <c r="BR212" s="210"/>
      <c r="BS212" s="210"/>
      <c r="BT212" s="210"/>
      <c r="BU212" s="210"/>
      <c r="BV212" s="210"/>
      <c r="BW212" s="210"/>
      <c r="BX212" s="210"/>
      <c r="BY212" s="210"/>
      <c r="BZ212" s="210"/>
      <c r="CA212" s="210"/>
      <c r="CB212" s="210"/>
      <c r="CC212" s="210"/>
      <c r="EM212" s="120"/>
      <c r="ET212" s="210"/>
      <c r="EU212" s="210"/>
      <c r="EV212" s="210"/>
      <c r="EW212" s="210"/>
      <c r="EX212" s="210"/>
      <c r="EY212" s="210"/>
      <c r="EZ212" s="210"/>
      <c r="FA212" s="210"/>
      <c r="FB212" s="210"/>
      <c r="FC212" s="210"/>
      <c r="FD212" s="210"/>
      <c r="FE212" s="210"/>
      <c r="FF212" s="210"/>
      <c r="FG212" s="210"/>
      <c r="FH212" s="210"/>
      <c r="HR212" s="120"/>
      <c r="HY212" s="210"/>
      <c r="HZ212" s="210"/>
      <c r="IA212" s="210"/>
      <c r="IB212" s="210"/>
      <c r="IC212" s="210"/>
      <c r="ID212" s="210"/>
      <c r="IE212" s="210"/>
      <c r="IF212" s="210"/>
      <c r="IG212" s="210"/>
      <c r="IH212" s="210"/>
      <c r="II212" s="210"/>
      <c r="IJ212" s="210"/>
      <c r="IK212" s="210"/>
      <c r="IL212" s="210"/>
      <c r="IM212" s="210"/>
      <c r="KW212" s="120"/>
      <c r="LD212" s="210"/>
      <c r="LE212" s="210"/>
      <c r="LF212" s="210"/>
      <c r="LG212" s="210"/>
      <c r="LH212" s="210"/>
      <c r="LI212" s="210"/>
      <c r="LJ212" s="210"/>
      <c r="LK212" s="210"/>
      <c r="LL212" s="210"/>
      <c r="LM212" s="210"/>
      <c r="LN212" s="210"/>
      <c r="LO212" s="210"/>
      <c r="LP212" s="210"/>
      <c r="LQ212" s="210"/>
      <c r="LR212" s="210"/>
      <c r="OB212" s="120"/>
      <c r="OI212" s="210"/>
      <c r="OJ212" s="210"/>
      <c r="OK212" s="210"/>
      <c r="OL212" s="210"/>
      <c r="OM212" s="210"/>
      <c r="ON212" s="210"/>
      <c r="OO212" s="210"/>
      <c r="OP212" s="210"/>
      <c r="OQ212" s="210"/>
      <c r="OR212" s="210"/>
      <c r="OS212" s="210"/>
      <c r="OT212" s="210"/>
      <c r="OU212" s="210"/>
      <c r="OV212" s="210"/>
      <c r="OW212" s="210"/>
      <c r="RG212" s="120"/>
    </row>
    <row r="213" spans="1:475" x14ac:dyDescent="0.3">
      <c r="A213" s="7">
        <v>28</v>
      </c>
      <c r="B213" s="7">
        <v>203</v>
      </c>
      <c r="C213" s="7" t="s">
        <v>276</v>
      </c>
      <c r="D213" s="7" t="s">
        <v>359</v>
      </c>
      <c r="E213" s="7" t="s">
        <v>303</v>
      </c>
      <c r="F213" s="7" t="s">
        <v>275</v>
      </c>
      <c r="G213" s="41" t="str">
        <f t="shared" si="36"/>
        <v>X</v>
      </c>
      <c r="H213" s="41">
        <f>INDEX(환산공식!CI$16:CI$301,MATCH('배치점수 계산기'!$W213,환산공식!$A$16:$A$301,0))</f>
        <v>100</v>
      </c>
      <c r="I213" s="41" t="str">
        <f>CONCATENATE(ROUND(INDEX(환산공식!CJ$16:CJ$301,MATCH('배치점수 계산기'!$W213,환산공식!$A$16:$A$301,0)),1),"%")</f>
        <v>100%</v>
      </c>
      <c r="J213" s="41">
        <f>INDEX(환산공식!CK$16:CK$301,MATCH('배치점수 계산기'!$W213,환산공식!$A$16:$A$301,0))</f>
        <v>0</v>
      </c>
      <c r="K213" s="7">
        <f>INDEX(환산공식!$EF$16:$EF$301,MATCH('배치점수 계산기'!W213,환산공식!$A$16:$A$301,0))</f>
        <v>0</v>
      </c>
      <c r="L213" s="41" t="str">
        <f t="shared" si="34"/>
        <v>1% 이하</v>
      </c>
      <c r="M213" s="7">
        <v>887.50442116561442</v>
      </c>
      <c r="N213" s="7">
        <v>885.80614087898846</v>
      </c>
      <c r="O213" s="7">
        <v>884.17410719901818</v>
      </c>
      <c r="P213" s="7">
        <v>883.11247862797541</v>
      </c>
      <c r="Q213" s="7">
        <v>882.41116859035913</v>
      </c>
      <c r="R213" s="7">
        <f t="shared" si="35"/>
        <v>6</v>
      </c>
      <c r="T213" s="7">
        <f>COUNTIF($C$11:C213,C213)</f>
        <v>139</v>
      </c>
      <c r="U213" s="7" t="str">
        <f t="shared" si="37"/>
        <v>가139</v>
      </c>
      <c r="V213" s="7" t="str">
        <f>INDEX(환산공식!$C$16:$C$301,MATCH('배치점수 계산기'!W213,환산공식!$A$16:$A$301,0))</f>
        <v>한양 통합</v>
      </c>
      <c r="W213" s="7">
        <f t="shared" si="38"/>
        <v>28</v>
      </c>
      <c r="X213" s="7">
        <f t="shared" si="39"/>
        <v>1</v>
      </c>
      <c r="Y213" s="7">
        <f>IFERROR(INDEX(환산공식!Q$16:Q$200,MATCH($A213,환산공식!$A$16:$A$200,0)),"")</f>
        <v>2.0134228187919465</v>
      </c>
      <c r="Z213" s="7">
        <f>IFERROR(INDEX(환산공식!R$16:R$200,MATCH($A213,환산공식!$A$16:$A$200,0)),"")</f>
        <v>2.0408163265306123</v>
      </c>
      <c r="AA213" s="7">
        <f>IFERROR(INDEX(환산공식!U$16:U$200,MATCH($A213,환산공식!$A$16:$A$200,0)),"")</f>
        <v>2.2727272727272729</v>
      </c>
      <c r="AB213" s="7">
        <f t="shared" si="40"/>
        <v>0.31822878228782286</v>
      </c>
      <c r="AC213" s="7">
        <f t="shared" si="41"/>
        <v>0.32255842558425585</v>
      </c>
      <c r="AD213" s="7">
        <f t="shared" si="42"/>
        <v>0.35921279212792129</v>
      </c>
      <c r="AE213" s="7">
        <f>INDEX(환산공식!$AF$16:$AF$301,MATCH('배치점수 계산기'!W213,환산공식!$A$16:$A$301,0))</f>
        <v>12</v>
      </c>
      <c r="AF213" s="7">
        <f>INDEX(환산공식!$AP$16:$AP$301,MATCH('배치점수 계산기'!W213,환산공식!$A$16:$A$301,0))</f>
        <v>42</v>
      </c>
      <c r="AG213" s="7" t="str">
        <f t="shared" si="43"/>
        <v>표점/만점</v>
      </c>
      <c r="AH213" s="7" t="str">
        <f t="shared" si="44"/>
        <v>변표/만점</v>
      </c>
      <c r="BO213" s="210"/>
      <c r="BP213" s="210"/>
      <c r="BQ213" s="210"/>
      <c r="BR213" s="210"/>
      <c r="BS213" s="210"/>
      <c r="BT213" s="210"/>
      <c r="BU213" s="210"/>
      <c r="BV213" s="210"/>
      <c r="BW213" s="210"/>
      <c r="BX213" s="210"/>
      <c r="BY213" s="210"/>
      <c r="BZ213" s="210"/>
      <c r="CA213" s="210"/>
      <c r="CB213" s="210"/>
      <c r="CC213" s="210"/>
      <c r="EM213" s="120"/>
      <c r="ET213" s="210"/>
      <c r="EU213" s="210"/>
      <c r="EV213" s="210"/>
      <c r="EW213" s="210"/>
      <c r="EX213" s="210"/>
      <c r="EY213" s="210"/>
      <c r="EZ213" s="210"/>
      <c r="FA213" s="210"/>
      <c r="FB213" s="210"/>
      <c r="FC213" s="210"/>
      <c r="FD213" s="210"/>
      <c r="FE213" s="210"/>
      <c r="FF213" s="210"/>
      <c r="FG213" s="210"/>
      <c r="FH213" s="210"/>
      <c r="HR213" s="120"/>
      <c r="HY213" s="210"/>
      <c r="HZ213" s="210"/>
      <c r="IA213" s="210"/>
      <c r="IB213" s="210"/>
      <c r="IC213" s="210"/>
      <c r="ID213" s="210"/>
      <c r="IE213" s="210"/>
      <c r="IF213" s="210"/>
      <c r="IG213" s="210"/>
      <c r="IH213" s="210"/>
      <c r="II213" s="210"/>
      <c r="IJ213" s="210"/>
      <c r="IK213" s="210"/>
      <c r="IL213" s="210"/>
      <c r="IM213" s="210"/>
      <c r="KW213" s="120"/>
      <c r="LD213" s="210"/>
      <c r="LE213" s="210"/>
      <c r="LF213" s="210"/>
      <c r="LG213" s="210"/>
      <c r="LH213" s="210"/>
      <c r="LI213" s="210"/>
      <c r="LJ213" s="210"/>
      <c r="LK213" s="210"/>
      <c r="LL213" s="210"/>
      <c r="LM213" s="210"/>
      <c r="LN213" s="210"/>
      <c r="LO213" s="210"/>
      <c r="LP213" s="210"/>
      <c r="LQ213" s="210"/>
      <c r="LR213" s="210"/>
      <c r="OB213" s="120"/>
      <c r="OI213" s="210"/>
      <c r="OJ213" s="210"/>
      <c r="OK213" s="210"/>
      <c r="OL213" s="210"/>
      <c r="OM213" s="210"/>
      <c r="ON213" s="210"/>
      <c r="OO213" s="210"/>
      <c r="OP213" s="210"/>
      <c r="OQ213" s="210"/>
      <c r="OR213" s="210"/>
      <c r="OS213" s="210"/>
      <c r="OT213" s="210"/>
      <c r="OU213" s="210"/>
      <c r="OV213" s="210"/>
      <c r="OW213" s="210"/>
      <c r="RG213" s="120"/>
    </row>
    <row r="214" spans="1:475" x14ac:dyDescent="0.3">
      <c r="A214" s="7">
        <v>28</v>
      </c>
      <c r="B214" s="7">
        <v>204</v>
      </c>
      <c r="C214" s="7" t="s">
        <v>276</v>
      </c>
      <c r="D214" s="7" t="s">
        <v>359</v>
      </c>
      <c r="E214" s="7" t="s">
        <v>312</v>
      </c>
      <c r="F214" s="7" t="s">
        <v>275</v>
      </c>
      <c r="G214" s="41" t="str">
        <f t="shared" si="36"/>
        <v>X</v>
      </c>
      <c r="H214" s="41">
        <f>INDEX(환산공식!CI$16:CI$301,MATCH('배치점수 계산기'!$W214,환산공식!$A$16:$A$301,0))</f>
        <v>100</v>
      </c>
      <c r="I214" s="41" t="str">
        <f>CONCATENATE(ROUND(INDEX(환산공식!CJ$16:CJ$301,MATCH('배치점수 계산기'!$W214,환산공식!$A$16:$A$301,0)),1),"%")</f>
        <v>100%</v>
      </c>
      <c r="J214" s="41">
        <f>INDEX(환산공식!CK$16:CK$301,MATCH('배치점수 계산기'!$W214,환산공식!$A$16:$A$301,0))</f>
        <v>0</v>
      </c>
      <c r="K214" s="7">
        <f>INDEX(환산공식!$EF$16:$EF$301,MATCH('배치점수 계산기'!W214,환산공식!$A$16:$A$301,0))</f>
        <v>0</v>
      </c>
      <c r="L214" s="41" t="str">
        <f t="shared" si="34"/>
        <v>1% 이하</v>
      </c>
      <c r="M214" s="7">
        <v>885.80614087898846</v>
      </c>
      <c r="N214" s="7">
        <v>884.17410719901818</v>
      </c>
      <c r="O214" s="7">
        <v>883.24458157736296</v>
      </c>
      <c r="P214" s="7">
        <v>882.84590608067424</v>
      </c>
      <c r="Q214" s="7">
        <v>882.01113230050316</v>
      </c>
      <c r="R214" s="7">
        <f t="shared" si="35"/>
        <v>6</v>
      </c>
      <c r="T214" s="7">
        <f>COUNTIF($C$11:C214,C214)</f>
        <v>140</v>
      </c>
      <c r="U214" s="7" t="str">
        <f t="shared" si="37"/>
        <v>가140</v>
      </c>
      <c r="V214" s="7" t="str">
        <f>INDEX(환산공식!$C$16:$C$301,MATCH('배치점수 계산기'!W214,환산공식!$A$16:$A$301,0))</f>
        <v>한양 통합</v>
      </c>
      <c r="W214" s="7">
        <f t="shared" si="38"/>
        <v>28</v>
      </c>
      <c r="X214" s="7">
        <f t="shared" si="39"/>
        <v>1</v>
      </c>
      <c r="Y214" s="7">
        <f>IFERROR(INDEX(환산공식!Q$16:Q$200,MATCH($A214,환산공식!$A$16:$A$200,0)),"")</f>
        <v>2.0134228187919465</v>
      </c>
      <c r="Z214" s="7">
        <f>IFERROR(INDEX(환산공식!R$16:R$200,MATCH($A214,환산공식!$A$16:$A$200,0)),"")</f>
        <v>2.0408163265306123</v>
      </c>
      <c r="AA214" s="7">
        <f>IFERROR(INDEX(환산공식!U$16:U$200,MATCH($A214,환산공식!$A$16:$A$200,0)),"")</f>
        <v>2.2727272727272729</v>
      </c>
      <c r="AB214" s="7">
        <f t="shared" si="40"/>
        <v>0.31822878228782286</v>
      </c>
      <c r="AC214" s="7">
        <f t="shared" si="41"/>
        <v>0.32255842558425585</v>
      </c>
      <c r="AD214" s="7">
        <f t="shared" si="42"/>
        <v>0.35921279212792129</v>
      </c>
      <c r="AE214" s="7">
        <f>INDEX(환산공식!$AF$16:$AF$301,MATCH('배치점수 계산기'!W214,환산공식!$A$16:$A$301,0))</f>
        <v>12</v>
      </c>
      <c r="AF214" s="7">
        <f>INDEX(환산공식!$AP$16:$AP$301,MATCH('배치점수 계산기'!W214,환산공식!$A$16:$A$301,0))</f>
        <v>42</v>
      </c>
      <c r="AG214" s="7" t="str">
        <f t="shared" si="43"/>
        <v>표점/만점</v>
      </c>
      <c r="AH214" s="7" t="str">
        <f t="shared" si="44"/>
        <v>변표/만점</v>
      </c>
      <c r="BO214" s="210"/>
      <c r="BP214" s="210"/>
      <c r="BQ214" s="210"/>
      <c r="BR214" s="210"/>
      <c r="BS214" s="210"/>
      <c r="BT214" s="210"/>
      <c r="BU214" s="210"/>
      <c r="BV214" s="210"/>
      <c r="BW214" s="210"/>
      <c r="BX214" s="210"/>
      <c r="BY214" s="210"/>
      <c r="BZ214" s="210"/>
      <c r="CA214" s="210"/>
      <c r="CB214" s="210"/>
      <c r="CC214" s="210"/>
      <c r="EM214" s="120"/>
      <c r="ET214" s="210"/>
      <c r="EU214" s="210"/>
      <c r="EV214" s="210"/>
      <c r="EW214" s="210"/>
      <c r="EX214" s="210"/>
      <c r="EY214" s="210"/>
      <c r="EZ214" s="210"/>
      <c r="FA214" s="210"/>
      <c r="FB214" s="210"/>
      <c r="FC214" s="210"/>
      <c r="FD214" s="210"/>
      <c r="FE214" s="210"/>
      <c r="FF214" s="210"/>
      <c r="FG214" s="210"/>
      <c r="FH214" s="210"/>
      <c r="HR214" s="120"/>
      <c r="HY214" s="210"/>
      <c r="HZ214" s="210"/>
      <c r="IA214" s="210"/>
      <c r="IB214" s="210"/>
      <c r="IC214" s="210"/>
      <c r="ID214" s="210"/>
      <c r="IE214" s="210"/>
      <c r="IF214" s="210"/>
      <c r="IG214" s="210"/>
      <c r="IH214" s="210"/>
      <c r="II214" s="210"/>
      <c r="IJ214" s="210"/>
      <c r="IK214" s="210"/>
      <c r="IL214" s="210"/>
      <c r="IM214" s="210"/>
      <c r="KW214" s="120"/>
      <c r="LD214" s="210"/>
      <c r="LE214" s="210"/>
      <c r="LF214" s="210"/>
      <c r="LG214" s="210"/>
      <c r="LH214" s="210"/>
      <c r="LI214" s="210"/>
      <c r="LJ214" s="210"/>
      <c r="LK214" s="210"/>
      <c r="LL214" s="210"/>
      <c r="LM214" s="210"/>
      <c r="LN214" s="210"/>
      <c r="LO214" s="210"/>
      <c r="LP214" s="210"/>
      <c r="LQ214" s="210"/>
      <c r="LR214" s="210"/>
      <c r="OB214" s="120"/>
      <c r="OI214" s="210"/>
      <c r="OJ214" s="210"/>
      <c r="OK214" s="210"/>
      <c r="OL214" s="210"/>
      <c r="OM214" s="210"/>
      <c r="ON214" s="210"/>
      <c r="OO214" s="210"/>
      <c r="OP214" s="210"/>
      <c r="OQ214" s="210"/>
      <c r="OR214" s="210"/>
      <c r="OS214" s="210"/>
      <c r="OT214" s="210"/>
      <c r="OU214" s="210"/>
      <c r="OV214" s="210"/>
      <c r="OW214" s="210"/>
      <c r="RG214" s="120"/>
    </row>
    <row r="215" spans="1:475" x14ac:dyDescent="0.3">
      <c r="A215" s="7">
        <v>28</v>
      </c>
      <c r="B215" s="7">
        <v>205</v>
      </c>
      <c r="C215" s="7" t="s">
        <v>276</v>
      </c>
      <c r="D215" s="7" t="s">
        <v>359</v>
      </c>
      <c r="E215" s="7" t="s">
        <v>299</v>
      </c>
      <c r="F215" s="7" t="s">
        <v>275</v>
      </c>
      <c r="G215" s="41" t="str">
        <f t="shared" si="36"/>
        <v>X</v>
      </c>
      <c r="H215" s="41">
        <f>INDEX(환산공식!CI$16:CI$301,MATCH('배치점수 계산기'!$W215,환산공식!$A$16:$A$301,0))</f>
        <v>100</v>
      </c>
      <c r="I215" s="41" t="str">
        <f>CONCATENATE(ROUND(INDEX(환산공식!CJ$16:CJ$301,MATCH('배치점수 계산기'!$W215,환산공식!$A$16:$A$301,0)),1),"%")</f>
        <v>100%</v>
      </c>
      <c r="J215" s="41">
        <f>INDEX(환산공식!CK$16:CK$301,MATCH('배치점수 계산기'!$W215,환산공식!$A$16:$A$301,0))</f>
        <v>0</v>
      </c>
      <c r="K215" s="7">
        <f>INDEX(환산공식!$EF$16:$EF$301,MATCH('배치점수 계산기'!W215,환산공식!$A$16:$A$301,0))</f>
        <v>0</v>
      </c>
      <c r="L215" s="41" t="str">
        <f t="shared" si="34"/>
        <v>1% 이하</v>
      </c>
      <c r="M215" s="7">
        <v>887.50442116561442</v>
      </c>
      <c r="N215" s="7">
        <v>885.80614087898846</v>
      </c>
      <c r="O215" s="7">
        <v>884.17410719901818</v>
      </c>
      <c r="P215" s="7">
        <v>883.11247862797541</v>
      </c>
      <c r="Q215" s="7">
        <v>882.41116859035913</v>
      </c>
      <c r="R215" s="7">
        <f t="shared" si="35"/>
        <v>6</v>
      </c>
      <c r="T215" s="7">
        <f>COUNTIF($C$11:C215,C215)</f>
        <v>141</v>
      </c>
      <c r="U215" s="7" t="str">
        <f t="shared" si="37"/>
        <v>가141</v>
      </c>
      <c r="V215" s="7" t="str">
        <f>INDEX(환산공식!$C$16:$C$301,MATCH('배치점수 계산기'!W215,환산공식!$A$16:$A$301,0))</f>
        <v>한양 통합</v>
      </c>
      <c r="W215" s="7">
        <f t="shared" si="38"/>
        <v>28</v>
      </c>
      <c r="X215" s="7">
        <f t="shared" si="39"/>
        <v>1</v>
      </c>
      <c r="Y215" s="7">
        <f>IFERROR(INDEX(환산공식!Q$16:Q$200,MATCH($A215,환산공식!$A$16:$A$200,0)),"")</f>
        <v>2.0134228187919465</v>
      </c>
      <c r="Z215" s="7">
        <f>IFERROR(INDEX(환산공식!R$16:R$200,MATCH($A215,환산공식!$A$16:$A$200,0)),"")</f>
        <v>2.0408163265306123</v>
      </c>
      <c r="AA215" s="7">
        <f>IFERROR(INDEX(환산공식!U$16:U$200,MATCH($A215,환산공식!$A$16:$A$200,0)),"")</f>
        <v>2.2727272727272729</v>
      </c>
      <c r="AB215" s="7">
        <f t="shared" si="40"/>
        <v>0.31822878228782286</v>
      </c>
      <c r="AC215" s="7">
        <f t="shared" si="41"/>
        <v>0.32255842558425585</v>
      </c>
      <c r="AD215" s="7">
        <f t="shared" si="42"/>
        <v>0.35921279212792129</v>
      </c>
      <c r="AE215" s="7">
        <f>INDEX(환산공식!$AF$16:$AF$301,MATCH('배치점수 계산기'!W215,환산공식!$A$16:$A$301,0))</f>
        <v>12</v>
      </c>
      <c r="AF215" s="7">
        <f>INDEX(환산공식!$AP$16:$AP$301,MATCH('배치점수 계산기'!W215,환산공식!$A$16:$A$301,0))</f>
        <v>42</v>
      </c>
      <c r="AG215" s="7" t="str">
        <f t="shared" si="43"/>
        <v>표점/만점</v>
      </c>
      <c r="AH215" s="7" t="str">
        <f t="shared" si="44"/>
        <v>변표/만점</v>
      </c>
      <c r="BO215" s="210"/>
      <c r="BP215" s="210"/>
      <c r="BQ215" s="210"/>
      <c r="BR215" s="210"/>
      <c r="BS215" s="210"/>
      <c r="BT215" s="210"/>
      <c r="BU215" s="210"/>
      <c r="BV215" s="210"/>
      <c r="BW215" s="210"/>
      <c r="BX215" s="210"/>
      <c r="BY215" s="210"/>
      <c r="BZ215" s="210"/>
      <c r="CA215" s="210"/>
      <c r="CB215" s="210"/>
      <c r="CC215" s="210"/>
      <c r="EM215" s="120"/>
      <c r="ET215" s="210"/>
      <c r="EU215" s="210"/>
      <c r="EV215" s="210"/>
      <c r="EW215" s="210"/>
      <c r="EX215" s="210"/>
      <c r="EY215" s="210"/>
      <c r="EZ215" s="210"/>
      <c r="FA215" s="210"/>
      <c r="FB215" s="210"/>
      <c r="FC215" s="210"/>
      <c r="FD215" s="210"/>
      <c r="FE215" s="210"/>
      <c r="FF215" s="210"/>
      <c r="FG215" s="210"/>
      <c r="FH215" s="210"/>
      <c r="HR215" s="120"/>
      <c r="HY215" s="210"/>
      <c r="HZ215" s="210"/>
      <c r="IA215" s="210"/>
      <c r="IB215" s="210"/>
      <c r="IC215" s="210"/>
      <c r="ID215" s="210"/>
      <c r="IE215" s="210"/>
      <c r="IF215" s="210"/>
      <c r="IG215" s="210"/>
      <c r="IH215" s="210"/>
      <c r="II215" s="210"/>
      <c r="IJ215" s="210"/>
      <c r="IK215" s="210"/>
      <c r="IL215" s="210"/>
      <c r="IM215" s="210"/>
      <c r="KW215" s="120"/>
      <c r="LD215" s="210"/>
      <c r="LE215" s="210"/>
      <c r="LF215" s="210"/>
      <c r="LG215" s="210"/>
      <c r="LH215" s="210"/>
      <c r="LI215" s="210"/>
      <c r="LJ215" s="210"/>
      <c r="LK215" s="210"/>
      <c r="LL215" s="210"/>
      <c r="LM215" s="210"/>
      <c r="LN215" s="210"/>
      <c r="LO215" s="210"/>
      <c r="LP215" s="210"/>
      <c r="LQ215" s="210"/>
      <c r="LR215" s="210"/>
      <c r="OB215" s="120"/>
      <c r="OI215" s="210"/>
      <c r="OJ215" s="210"/>
      <c r="OK215" s="210"/>
      <c r="OL215" s="210"/>
      <c r="OM215" s="210"/>
      <c r="ON215" s="210"/>
      <c r="OO215" s="210"/>
      <c r="OP215" s="210"/>
      <c r="OQ215" s="210"/>
      <c r="OR215" s="210"/>
      <c r="OS215" s="210"/>
      <c r="OT215" s="210"/>
      <c r="OU215" s="210"/>
      <c r="OV215" s="210"/>
      <c r="OW215" s="210"/>
      <c r="RG215" s="120"/>
    </row>
    <row r="216" spans="1:475" x14ac:dyDescent="0.3">
      <c r="A216" s="7">
        <v>28</v>
      </c>
      <c r="B216" s="7">
        <v>206</v>
      </c>
      <c r="C216" s="7" t="s">
        <v>276</v>
      </c>
      <c r="D216" s="7" t="s">
        <v>359</v>
      </c>
      <c r="E216" s="7" t="s">
        <v>308</v>
      </c>
      <c r="F216" s="7" t="s">
        <v>275</v>
      </c>
      <c r="G216" s="41" t="str">
        <f t="shared" si="36"/>
        <v>X</v>
      </c>
      <c r="H216" s="41">
        <f>INDEX(환산공식!CI$16:CI$301,MATCH('배치점수 계산기'!$W216,환산공식!$A$16:$A$301,0))</f>
        <v>100</v>
      </c>
      <c r="I216" s="41" t="str">
        <f>CONCATENATE(ROUND(INDEX(환산공식!CJ$16:CJ$301,MATCH('배치점수 계산기'!$W216,환산공식!$A$16:$A$301,0)),1),"%")</f>
        <v>100%</v>
      </c>
      <c r="J216" s="41">
        <f>INDEX(환산공식!CK$16:CK$301,MATCH('배치점수 계산기'!$W216,환산공식!$A$16:$A$301,0))</f>
        <v>0</v>
      </c>
      <c r="K216" s="7">
        <f>INDEX(환산공식!$EF$16:$EF$301,MATCH('배치점수 계산기'!W216,환산공식!$A$16:$A$301,0))</f>
        <v>0</v>
      </c>
      <c r="L216" s="41" t="str">
        <f t="shared" si="34"/>
        <v>1% 이하</v>
      </c>
      <c r="M216" s="7">
        <v>887.50442116561442</v>
      </c>
      <c r="N216" s="7">
        <v>885.80614087898846</v>
      </c>
      <c r="O216" s="7">
        <v>884.17410719901818</v>
      </c>
      <c r="P216" s="7">
        <v>883.11247862797541</v>
      </c>
      <c r="Q216" s="7">
        <v>882.41116859035913</v>
      </c>
      <c r="R216" s="7">
        <f t="shared" si="35"/>
        <v>6</v>
      </c>
      <c r="T216" s="7">
        <f>COUNTIF($C$11:C216,C216)</f>
        <v>142</v>
      </c>
      <c r="U216" s="7" t="str">
        <f t="shared" si="37"/>
        <v>가142</v>
      </c>
      <c r="V216" s="7" t="str">
        <f>INDEX(환산공식!$C$16:$C$301,MATCH('배치점수 계산기'!W216,환산공식!$A$16:$A$301,0))</f>
        <v>한양 통합</v>
      </c>
      <c r="W216" s="7">
        <f t="shared" si="38"/>
        <v>28</v>
      </c>
      <c r="X216" s="7">
        <f t="shared" si="39"/>
        <v>1</v>
      </c>
      <c r="Y216" s="7">
        <f>IFERROR(INDEX(환산공식!Q$16:Q$200,MATCH($A216,환산공식!$A$16:$A$200,0)),"")</f>
        <v>2.0134228187919465</v>
      </c>
      <c r="Z216" s="7">
        <f>IFERROR(INDEX(환산공식!R$16:R$200,MATCH($A216,환산공식!$A$16:$A$200,0)),"")</f>
        <v>2.0408163265306123</v>
      </c>
      <c r="AA216" s="7">
        <f>IFERROR(INDEX(환산공식!U$16:U$200,MATCH($A216,환산공식!$A$16:$A$200,0)),"")</f>
        <v>2.2727272727272729</v>
      </c>
      <c r="AB216" s="7">
        <f t="shared" si="40"/>
        <v>0.31822878228782286</v>
      </c>
      <c r="AC216" s="7">
        <f t="shared" si="41"/>
        <v>0.32255842558425585</v>
      </c>
      <c r="AD216" s="7">
        <f t="shared" si="42"/>
        <v>0.35921279212792129</v>
      </c>
      <c r="AE216" s="7">
        <f>INDEX(환산공식!$AF$16:$AF$301,MATCH('배치점수 계산기'!W216,환산공식!$A$16:$A$301,0))</f>
        <v>12</v>
      </c>
      <c r="AF216" s="7">
        <f>INDEX(환산공식!$AP$16:$AP$301,MATCH('배치점수 계산기'!W216,환산공식!$A$16:$A$301,0))</f>
        <v>42</v>
      </c>
      <c r="AG216" s="7" t="str">
        <f t="shared" si="43"/>
        <v>표점/만점</v>
      </c>
      <c r="AH216" s="7" t="str">
        <f t="shared" si="44"/>
        <v>변표/만점</v>
      </c>
      <c r="BO216" s="210"/>
      <c r="BP216" s="210"/>
      <c r="BQ216" s="210"/>
      <c r="BR216" s="210"/>
      <c r="BS216" s="210"/>
      <c r="BT216" s="210"/>
      <c r="BU216" s="210"/>
      <c r="BV216" s="210"/>
      <c r="BW216" s="210"/>
      <c r="BX216" s="210"/>
      <c r="BY216" s="210"/>
      <c r="BZ216" s="210"/>
      <c r="CA216" s="210"/>
      <c r="CB216" s="210"/>
      <c r="CC216" s="210"/>
      <c r="EM216" s="120"/>
      <c r="ET216" s="210"/>
      <c r="EU216" s="210"/>
      <c r="EV216" s="210"/>
      <c r="EW216" s="210"/>
      <c r="EX216" s="210"/>
      <c r="EY216" s="210"/>
      <c r="EZ216" s="210"/>
      <c r="FA216" s="210"/>
      <c r="FB216" s="210"/>
      <c r="FC216" s="210"/>
      <c r="FD216" s="210"/>
      <c r="FE216" s="210"/>
      <c r="FF216" s="210"/>
      <c r="FG216" s="210"/>
      <c r="FH216" s="210"/>
      <c r="HR216" s="120"/>
      <c r="HY216" s="210"/>
      <c r="HZ216" s="210"/>
      <c r="IA216" s="210"/>
      <c r="IB216" s="210"/>
      <c r="IC216" s="210"/>
      <c r="ID216" s="210"/>
      <c r="IE216" s="210"/>
      <c r="IF216" s="210"/>
      <c r="IG216" s="210"/>
      <c r="IH216" s="210"/>
      <c r="II216" s="210"/>
      <c r="IJ216" s="210"/>
      <c r="IK216" s="210"/>
      <c r="IL216" s="210"/>
      <c r="IM216" s="210"/>
      <c r="KW216" s="120"/>
      <c r="LD216" s="210"/>
      <c r="LE216" s="210"/>
      <c r="LF216" s="210"/>
      <c r="LG216" s="210"/>
      <c r="LH216" s="210"/>
      <c r="LI216" s="210"/>
      <c r="LJ216" s="210"/>
      <c r="LK216" s="210"/>
      <c r="LL216" s="210"/>
      <c r="LM216" s="210"/>
      <c r="LN216" s="210"/>
      <c r="LO216" s="210"/>
      <c r="LP216" s="210"/>
      <c r="LQ216" s="210"/>
      <c r="LR216" s="210"/>
      <c r="OB216" s="120"/>
      <c r="OI216" s="210"/>
      <c r="OJ216" s="210"/>
      <c r="OK216" s="210"/>
      <c r="OL216" s="210"/>
      <c r="OM216" s="210"/>
      <c r="ON216" s="210"/>
      <c r="OO216" s="210"/>
      <c r="OP216" s="210"/>
      <c r="OQ216" s="210"/>
      <c r="OR216" s="210"/>
      <c r="OS216" s="210"/>
      <c r="OT216" s="210"/>
      <c r="OU216" s="210"/>
      <c r="OV216" s="210"/>
      <c r="OW216" s="210"/>
      <c r="RG216" s="120"/>
    </row>
    <row r="217" spans="1:475" x14ac:dyDescent="0.3">
      <c r="A217" s="7">
        <v>28</v>
      </c>
      <c r="B217" s="7">
        <v>207</v>
      </c>
      <c r="C217" s="7" t="s">
        <v>276</v>
      </c>
      <c r="D217" s="7" t="s">
        <v>359</v>
      </c>
      <c r="E217" s="7" t="s">
        <v>307</v>
      </c>
      <c r="F217" s="7" t="s">
        <v>275</v>
      </c>
      <c r="G217" s="41" t="str">
        <f t="shared" si="36"/>
        <v>X</v>
      </c>
      <c r="H217" s="41">
        <f>INDEX(환산공식!CI$16:CI$301,MATCH('배치점수 계산기'!$W217,환산공식!$A$16:$A$301,0))</f>
        <v>100</v>
      </c>
      <c r="I217" s="41" t="str">
        <f>CONCATENATE(ROUND(INDEX(환산공식!CJ$16:CJ$301,MATCH('배치점수 계산기'!$W217,환산공식!$A$16:$A$301,0)),1),"%")</f>
        <v>100%</v>
      </c>
      <c r="J217" s="41">
        <f>INDEX(환산공식!CK$16:CK$301,MATCH('배치점수 계산기'!$W217,환산공식!$A$16:$A$301,0))</f>
        <v>0</v>
      </c>
      <c r="K217" s="7">
        <f>INDEX(환산공식!$EF$16:$EF$301,MATCH('배치점수 계산기'!W217,환산공식!$A$16:$A$301,0))</f>
        <v>0</v>
      </c>
      <c r="L217" s="41" t="str">
        <f t="shared" si="34"/>
        <v>1% 이하</v>
      </c>
      <c r="M217" s="7">
        <v>886.53709956039688</v>
      </c>
      <c r="N217" s="7">
        <v>885.27527156578174</v>
      </c>
      <c r="O217" s="7">
        <v>883.24458157736296</v>
      </c>
      <c r="P217" s="7">
        <v>882.84590608067424</v>
      </c>
      <c r="Q217" s="7">
        <v>882.01113230050316</v>
      </c>
      <c r="R217" s="7">
        <f t="shared" si="35"/>
        <v>6</v>
      </c>
      <c r="T217" s="7">
        <f>COUNTIF($C$11:C217,C217)</f>
        <v>143</v>
      </c>
      <c r="U217" s="7" t="str">
        <f t="shared" si="37"/>
        <v>가143</v>
      </c>
      <c r="V217" s="7" t="str">
        <f>INDEX(환산공식!$C$16:$C$301,MATCH('배치점수 계산기'!W217,환산공식!$A$16:$A$301,0))</f>
        <v>한양 통합</v>
      </c>
      <c r="W217" s="7">
        <f t="shared" si="38"/>
        <v>28</v>
      </c>
      <c r="X217" s="7">
        <f t="shared" si="39"/>
        <v>1</v>
      </c>
      <c r="Y217" s="7">
        <f>IFERROR(INDEX(환산공식!Q$16:Q$200,MATCH($A217,환산공식!$A$16:$A$200,0)),"")</f>
        <v>2.0134228187919465</v>
      </c>
      <c r="Z217" s="7">
        <f>IFERROR(INDEX(환산공식!R$16:R$200,MATCH($A217,환산공식!$A$16:$A$200,0)),"")</f>
        <v>2.0408163265306123</v>
      </c>
      <c r="AA217" s="7">
        <f>IFERROR(INDEX(환산공식!U$16:U$200,MATCH($A217,환산공식!$A$16:$A$200,0)),"")</f>
        <v>2.2727272727272729</v>
      </c>
      <c r="AB217" s="7">
        <f t="shared" si="40"/>
        <v>0.31822878228782286</v>
      </c>
      <c r="AC217" s="7">
        <f t="shared" si="41"/>
        <v>0.32255842558425585</v>
      </c>
      <c r="AD217" s="7">
        <f t="shared" si="42"/>
        <v>0.35921279212792129</v>
      </c>
      <c r="AE217" s="7">
        <f>INDEX(환산공식!$AF$16:$AF$301,MATCH('배치점수 계산기'!W217,환산공식!$A$16:$A$301,0))</f>
        <v>12</v>
      </c>
      <c r="AF217" s="7">
        <f>INDEX(환산공식!$AP$16:$AP$301,MATCH('배치점수 계산기'!W217,환산공식!$A$16:$A$301,0))</f>
        <v>42</v>
      </c>
      <c r="AG217" s="7" t="str">
        <f t="shared" si="43"/>
        <v>표점/만점</v>
      </c>
      <c r="AH217" s="7" t="str">
        <f t="shared" si="44"/>
        <v>변표/만점</v>
      </c>
      <c r="BO217" s="210"/>
      <c r="BP217" s="210"/>
      <c r="BQ217" s="210"/>
      <c r="BR217" s="210"/>
      <c r="BS217" s="210"/>
      <c r="BT217" s="210"/>
      <c r="BU217" s="210"/>
      <c r="BV217" s="210"/>
      <c r="BW217" s="210"/>
      <c r="BX217" s="210"/>
      <c r="BY217" s="210"/>
      <c r="BZ217" s="210"/>
      <c r="CA217" s="210"/>
      <c r="CB217" s="210"/>
      <c r="CC217" s="210"/>
      <c r="EM217" s="120"/>
      <c r="ET217" s="210"/>
      <c r="EU217" s="210"/>
      <c r="EV217" s="210"/>
      <c r="EW217" s="210"/>
      <c r="EX217" s="210"/>
      <c r="EY217" s="210"/>
      <c r="EZ217" s="210"/>
      <c r="FA217" s="210"/>
      <c r="FB217" s="210"/>
      <c r="FC217" s="210"/>
      <c r="FD217" s="210"/>
      <c r="FE217" s="210"/>
      <c r="FF217" s="210"/>
      <c r="FG217" s="210"/>
      <c r="FH217" s="210"/>
      <c r="HR217" s="120"/>
      <c r="HY217" s="210"/>
      <c r="HZ217" s="210"/>
      <c r="IA217" s="210"/>
      <c r="IB217" s="210"/>
      <c r="IC217" s="210"/>
      <c r="ID217" s="210"/>
      <c r="IE217" s="210"/>
      <c r="IF217" s="210"/>
      <c r="IG217" s="210"/>
      <c r="IH217" s="210"/>
      <c r="II217" s="210"/>
      <c r="IJ217" s="210"/>
      <c r="IK217" s="210"/>
      <c r="IL217" s="210"/>
      <c r="IM217" s="210"/>
      <c r="KW217" s="120"/>
      <c r="LD217" s="210"/>
      <c r="LE217" s="210"/>
      <c r="LF217" s="210"/>
      <c r="LG217" s="210"/>
      <c r="LH217" s="210"/>
      <c r="LI217" s="210"/>
      <c r="LJ217" s="210"/>
      <c r="LK217" s="210"/>
      <c r="LL217" s="210"/>
      <c r="LM217" s="210"/>
      <c r="LN217" s="210"/>
      <c r="LO217" s="210"/>
      <c r="LP217" s="210"/>
      <c r="LQ217" s="210"/>
      <c r="LR217" s="210"/>
      <c r="OB217" s="120"/>
      <c r="OI217" s="210"/>
      <c r="OJ217" s="210"/>
      <c r="OK217" s="210"/>
      <c r="OL217" s="210"/>
      <c r="OM217" s="210"/>
      <c r="ON217" s="210"/>
      <c r="OO217" s="210"/>
      <c r="OP217" s="210"/>
      <c r="OQ217" s="210"/>
      <c r="OR217" s="210"/>
      <c r="OS217" s="210"/>
      <c r="OT217" s="210"/>
      <c r="OU217" s="210"/>
      <c r="OV217" s="210"/>
      <c r="OW217" s="210"/>
      <c r="RG217" s="120"/>
    </row>
    <row r="218" spans="1:475" x14ac:dyDescent="0.3">
      <c r="A218" s="7">
        <v>28</v>
      </c>
      <c r="B218" s="7">
        <v>208</v>
      </c>
      <c r="C218" s="7" t="s">
        <v>276</v>
      </c>
      <c r="D218" s="7" t="s">
        <v>359</v>
      </c>
      <c r="E218" s="7" t="s">
        <v>309</v>
      </c>
      <c r="F218" s="7" t="s">
        <v>275</v>
      </c>
      <c r="G218" s="41" t="str">
        <f t="shared" si="36"/>
        <v>X</v>
      </c>
      <c r="H218" s="41">
        <f>INDEX(환산공식!CI$16:CI$301,MATCH('배치점수 계산기'!$W218,환산공식!$A$16:$A$301,0))</f>
        <v>100</v>
      </c>
      <c r="I218" s="41" t="str">
        <f>CONCATENATE(ROUND(INDEX(환산공식!CJ$16:CJ$301,MATCH('배치점수 계산기'!$W218,환산공식!$A$16:$A$301,0)),1),"%")</f>
        <v>100%</v>
      </c>
      <c r="J218" s="41">
        <f>INDEX(환산공식!CK$16:CK$301,MATCH('배치점수 계산기'!$W218,환산공식!$A$16:$A$301,0))</f>
        <v>0</v>
      </c>
      <c r="K218" s="7">
        <f>INDEX(환산공식!$EF$16:$EF$301,MATCH('배치점수 계산기'!W218,환산공식!$A$16:$A$301,0))</f>
        <v>0</v>
      </c>
      <c r="L218" s="41" t="str">
        <f t="shared" si="34"/>
        <v>1% 이하</v>
      </c>
      <c r="M218" s="7">
        <v>885.80614087898846</v>
      </c>
      <c r="N218" s="7">
        <v>884.17410719901818</v>
      </c>
      <c r="O218" s="7">
        <v>883.24458157736296</v>
      </c>
      <c r="P218" s="7">
        <v>882.84590608067424</v>
      </c>
      <c r="Q218" s="7">
        <v>882.01113230050316</v>
      </c>
      <c r="R218" s="7">
        <f t="shared" si="35"/>
        <v>6</v>
      </c>
      <c r="T218" s="7">
        <f>COUNTIF($C$11:C218,C218)</f>
        <v>144</v>
      </c>
      <c r="U218" s="7" t="str">
        <f t="shared" si="37"/>
        <v>가144</v>
      </c>
      <c r="V218" s="7" t="str">
        <f>INDEX(환산공식!$C$16:$C$301,MATCH('배치점수 계산기'!W218,환산공식!$A$16:$A$301,0))</f>
        <v>한양 통합</v>
      </c>
      <c r="W218" s="7">
        <f t="shared" si="38"/>
        <v>28</v>
      </c>
      <c r="X218" s="7">
        <f t="shared" si="39"/>
        <v>1</v>
      </c>
      <c r="Y218" s="7">
        <f>IFERROR(INDEX(환산공식!Q$16:Q$200,MATCH($A218,환산공식!$A$16:$A$200,0)),"")</f>
        <v>2.0134228187919465</v>
      </c>
      <c r="Z218" s="7">
        <f>IFERROR(INDEX(환산공식!R$16:R$200,MATCH($A218,환산공식!$A$16:$A$200,0)),"")</f>
        <v>2.0408163265306123</v>
      </c>
      <c r="AA218" s="7">
        <f>IFERROR(INDEX(환산공식!U$16:U$200,MATCH($A218,환산공식!$A$16:$A$200,0)),"")</f>
        <v>2.2727272727272729</v>
      </c>
      <c r="AB218" s="7">
        <f t="shared" si="40"/>
        <v>0.31822878228782286</v>
      </c>
      <c r="AC218" s="7">
        <f t="shared" si="41"/>
        <v>0.32255842558425585</v>
      </c>
      <c r="AD218" s="7">
        <f t="shared" si="42"/>
        <v>0.35921279212792129</v>
      </c>
      <c r="AE218" s="7">
        <f>INDEX(환산공식!$AF$16:$AF$301,MATCH('배치점수 계산기'!W218,환산공식!$A$16:$A$301,0))</f>
        <v>12</v>
      </c>
      <c r="AF218" s="7">
        <f>INDEX(환산공식!$AP$16:$AP$301,MATCH('배치점수 계산기'!W218,환산공식!$A$16:$A$301,0))</f>
        <v>42</v>
      </c>
      <c r="AG218" s="7" t="str">
        <f t="shared" si="43"/>
        <v>표점/만점</v>
      </c>
      <c r="AH218" s="7" t="str">
        <f t="shared" si="44"/>
        <v>변표/만점</v>
      </c>
      <c r="BO218" s="210"/>
      <c r="BP218" s="210"/>
      <c r="BQ218" s="210"/>
      <c r="BR218" s="210"/>
      <c r="BS218" s="210"/>
      <c r="BT218" s="210"/>
      <c r="BU218" s="210"/>
      <c r="BV218" s="210"/>
      <c r="BW218" s="210"/>
      <c r="BX218" s="210"/>
      <c r="BY218" s="210"/>
      <c r="BZ218" s="210"/>
      <c r="CA218" s="210"/>
      <c r="CB218" s="210"/>
      <c r="CC218" s="210"/>
      <c r="EM218" s="120"/>
      <c r="ET218" s="210"/>
      <c r="EU218" s="210"/>
      <c r="EV218" s="210"/>
      <c r="EW218" s="210"/>
      <c r="EX218" s="210"/>
      <c r="EY218" s="210"/>
      <c r="EZ218" s="210"/>
      <c r="FA218" s="210"/>
      <c r="FB218" s="210"/>
      <c r="FC218" s="210"/>
      <c r="FD218" s="210"/>
      <c r="FE218" s="210"/>
      <c r="FF218" s="210"/>
      <c r="FG218" s="210"/>
      <c r="FH218" s="210"/>
      <c r="HR218" s="120"/>
      <c r="HY218" s="210"/>
      <c r="HZ218" s="210"/>
      <c r="IA218" s="210"/>
      <c r="IB218" s="210"/>
      <c r="IC218" s="210"/>
      <c r="ID218" s="210"/>
      <c r="IE218" s="210"/>
      <c r="IF218" s="210"/>
      <c r="IG218" s="210"/>
      <c r="IH218" s="210"/>
      <c r="II218" s="210"/>
      <c r="IJ218" s="210"/>
      <c r="IK218" s="210"/>
      <c r="IL218" s="210"/>
      <c r="IM218" s="210"/>
      <c r="KW218" s="120"/>
      <c r="LD218" s="210"/>
      <c r="LE218" s="210"/>
      <c r="LF218" s="210"/>
      <c r="LG218" s="210"/>
      <c r="LH218" s="210"/>
      <c r="LI218" s="210"/>
      <c r="LJ218" s="210"/>
      <c r="LK218" s="210"/>
      <c r="LL218" s="210"/>
      <c r="LM218" s="210"/>
      <c r="LN218" s="210"/>
      <c r="LO218" s="210"/>
      <c r="LP218" s="210"/>
      <c r="LQ218" s="210"/>
      <c r="LR218" s="210"/>
      <c r="OB218" s="120"/>
      <c r="OI218" s="210"/>
      <c r="OJ218" s="210"/>
      <c r="OK218" s="210"/>
      <c r="OL218" s="210"/>
      <c r="OM218" s="210"/>
      <c r="ON218" s="210"/>
      <c r="OO218" s="210"/>
      <c r="OP218" s="210"/>
      <c r="OQ218" s="210"/>
      <c r="OR218" s="210"/>
      <c r="OS218" s="210"/>
      <c r="OT218" s="210"/>
      <c r="OU218" s="210"/>
      <c r="OV218" s="210"/>
      <c r="OW218" s="210"/>
      <c r="RG218" s="120"/>
    </row>
    <row r="219" spans="1:475" x14ac:dyDescent="0.3">
      <c r="A219" s="7">
        <v>28</v>
      </c>
      <c r="B219" s="7">
        <v>209</v>
      </c>
      <c r="C219" s="7" t="s">
        <v>276</v>
      </c>
      <c r="D219" s="7" t="s">
        <v>359</v>
      </c>
      <c r="E219" s="7" t="s">
        <v>263</v>
      </c>
      <c r="F219" s="7" t="s">
        <v>275</v>
      </c>
      <c r="G219" s="41" t="str">
        <f t="shared" si="36"/>
        <v>X</v>
      </c>
      <c r="H219" s="41">
        <f>INDEX(환산공식!CI$16:CI$301,MATCH('배치점수 계산기'!$W219,환산공식!$A$16:$A$301,0))</f>
        <v>100</v>
      </c>
      <c r="I219" s="41" t="str">
        <f>CONCATENATE(ROUND(INDEX(환산공식!CJ$16:CJ$301,MATCH('배치점수 계산기'!$W219,환산공식!$A$16:$A$301,0)),1),"%")</f>
        <v>100%</v>
      </c>
      <c r="J219" s="41">
        <f>INDEX(환산공식!CK$16:CK$301,MATCH('배치점수 계산기'!$W219,환산공식!$A$16:$A$301,0))</f>
        <v>0</v>
      </c>
      <c r="K219" s="7">
        <f>INDEX(환산공식!$EF$16:$EF$301,MATCH('배치점수 계산기'!W219,환산공식!$A$16:$A$301,0))</f>
        <v>0</v>
      </c>
      <c r="L219" s="41" t="str">
        <f t="shared" si="34"/>
        <v>1% 이하</v>
      </c>
      <c r="M219" s="7">
        <v>889.69751306824162</v>
      </c>
      <c r="N219" s="7">
        <v>887.70438527047088</v>
      </c>
      <c r="O219" s="7">
        <v>886.00614087898839</v>
      </c>
      <c r="P219" s="7">
        <v>884.17410719901818</v>
      </c>
      <c r="Q219" s="7">
        <v>882.84590608067424</v>
      </c>
      <c r="R219" s="7">
        <f t="shared" si="35"/>
        <v>6</v>
      </c>
      <c r="T219" s="7">
        <f>COUNTIF($C$11:C219,C219)</f>
        <v>145</v>
      </c>
      <c r="U219" s="7" t="str">
        <f t="shared" si="37"/>
        <v>가145</v>
      </c>
      <c r="V219" s="7" t="str">
        <f>INDEX(환산공식!$C$16:$C$301,MATCH('배치점수 계산기'!W219,환산공식!$A$16:$A$301,0))</f>
        <v>한양 통합</v>
      </c>
      <c r="W219" s="7">
        <f t="shared" si="38"/>
        <v>28</v>
      </c>
      <c r="X219" s="7">
        <f t="shared" si="39"/>
        <v>1</v>
      </c>
      <c r="Y219" s="7">
        <f>IFERROR(INDEX(환산공식!Q$16:Q$200,MATCH($A219,환산공식!$A$16:$A$200,0)),"")</f>
        <v>2.0134228187919465</v>
      </c>
      <c r="Z219" s="7">
        <f>IFERROR(INDEX(환산공식!R$16:R$200,MATCH($A219,환산공식!$A$16:$A$200,0)),"")</f>
        <v>2.0408163265306123</v>
      </c>
      <c r="AA219" s="7">
        <f>IFERROR(INDEX(환산공식!U$16:U$200,MATCH($A219,환산공식!$A$16:$A$200,0)),"")</f>
        <v>2.2727272727272729</v>
      </c>
      <c r="AB219" s="7">
        <f t="shared" si="40"/>
        <v>0.31822878228782286</v>
      </c>
      <c r="AC219" s="7">
        <f t="shared" si="41"/>
        <v>0.32255842558425585</v>
      </c>
      <c r="AD219" s="7">
        <f t="shared" si="42"/>
        <v>0.35921279212792129</v>
      </c>
      <c r="AE219" s="7">
        <f>INDEX(환산공식!$AF$16:$AF$301,MATCH('배치점수 계산기'!W219,환산공식!$A$16:$A$301,0))</f>
        <v>12</v>
      </c>
      <c r="AF219" s="7">
        <f>INDEX(환산공식!$AP$16:$AP$301,MATCH('배치점수 계산기'!W219,환산공식!$A$16:$A$301,0))</f>
        <v>42</v>
      </c>
      <c r="AG219" s="7" t="str">
        <f t="shared" si="43"/>
        <v>표점/만점</v>
      </c>
      <c r="AH219" s="7" t="str">
        <f t="shared" si="44"/>
        <v>변표/만점</v>
      </c>
      <c r="BO219" s="210"/>
      <c r="BP219" s="210"/>
      <c r="BQ219" s="210"/>
      <c r="BR219" s="210"/>
      <c r="BS219" s="210"/>
      <c r="BT219" s="210"/>
      <c r="BU219" s="210"/>
      <c r="BV219" s="210"/>
      <c r="BW219" s="210"/>
      <c r="BX219" s="210"/>
      <c r="BY219" s="210"/>
      <c r="BZ219" s="210"/>
      <c r="CA219" s="210"/>
      <c r="CB219" s="210"/>
      <c r="CC219" s="210"/>
      <c r="EM219" s="120"/>
      <c r="ET219" s="210"/>
      <c r="EU219" s="210"/>
      <c r="EV219" s="210"/>
      <c r="EW219" s="210"/>
      <c r="EX219" s="210"/>
      <c r="EY219" s="210"/>
      <c r="EZ219" s="210"/>
      <c r="FA219" s="210"/>
      <c r="FB219" s="210"/>
      <c r="FC219" s="210"/>
      <c r="FD219" s="210"/>
      <c r="FE219" s="210"/>
      <c r="FF219" s="210"/>
      <c r="FG219" s="210"/>
      <c r="FH219" s="210"/>
      <c r="HR219" s="120"/>
      <c r="HY219" s="210"/>
      <c r="HZ219" s="210"/>
      <c r="IA219" s="210"/>
      <c r="IB219" s="210"/>
      <c r="IC219" s="210"/>
      <c r="ID219" s="210"/>
      <c r="IE219" s="210"/>
      <c r="IF219" s="210"/>
      <c r="IG219" s="210"/>
      <c r="IH219" s="210"/>
      <c r="II219" s="210"/>
      <c r="IJ219" s="210"/>
      <c r="IK219" s="210"/>
      <c r="IL219" s="210"/>
      <c r="IM219" s="210"/>
      <c r="KW219" s="120"/>
      <c r="LD219" s="210"/>
      <c r="LE219" s="210"/>
      <c r="LF219" s="210"/>
      <c r="LG219" s="210"/>
      <c r="LH219" s="210"/>
      <c r="LI219" s="210"/>
      <c r="LJ219" s="210"/>
      <c r="LK219" s="210"/>
      <c r="LL219" s="210"/>
      <c r="LM219" s="210"/>
      <c r="LN219" s="210"/>
      <c r="LO219" s="210"/>
      <c r="LP219" s="210"/>
      <c r="LQ219" s="210"/>
      <c r="LR219" s="210"/>
      <c r="OB219" s="120"/>
      <c r="OI219" s="210"/>
      <c r="OJ219" s="210"/>
      <c r="OK219" s="210"/>
      <c r="OL219" s="210"/>
      <c r="OM219" s="210"/>
      <c r="ON219" s="210"/>
      <c r="OO219" s="210"/>
      <c r="OP219" s="210"/>
      <c r="OQ219" s="210"/>
      <c r="OR219" s="210"/>
      <c r="OS219" s="210"/>
      <c r="OT219" s="210"/>
      <c r="OU219" s="210"/>
      <c r="OV219" s="210"/>
      <c r="OW219" s="210"/>
      <c r="RG219" s="120"/>
    </row>
    <row r="220" spans="1:475" x14ac:dyDescent="0.3">
      <c r="A220" s="7">
        <v>28</v>
      </c>
      <c r="B220" s="7">
        <v>210</v>
      </c>
      <c r="C220" s="7" t="s">
        <v>276</v>
      </c>
      <c r="D220" s="7" t="s">
        <v>359</v>
      </c>
      <c r="E220" s="7" t="s">
        <v>264</v>
      </c>
      <c r="F220" s="7" t="s">
        <v>275</v>
      </c>
      <c r="G220" s="41" t="str">
        <f t="shared" si="36"/>
        <v>X</v>
      </c>
      <c r="H220" s="41">
        <f>INDEX(환산공식!CI$16:CI$301,MATCH('배치점수 계산기'!$W220,환산공식!$A$16:$A$301,0))</f>
        <v>100</v>
      </c>
      <c r="I220" s="41" t="str">
        <f>CONCATENATE(ROUND(INDEX(환산공식!CJ$16:CJ$301,MATCH('배치점수 계산기'!$W220,환산공식!$A$16:$A$301,0)),1),"%")</f>
        <v>100%</v>
      </c>
      <c r="J220" s="41">
        <f>INDEX(환산공식!CK$16:CK$301,MATCH('배치점수 계산기'!$W220,환산공식!$A$16:$A$301,0))</f>
        <v>0</v>
      </c>
      <c r="K220" s="7">
        <f>INDEX(환산공식!$EF$16:$EF$301,MATCH('배치점수 계산기'!W220,환산공식!$A$16:$A$301,0))</f>
        <v>0</v>
      </c>
      <c r="L220" s="41" t="str">
        <f t="shared" si="34"/>
        <v>1% 이하</v>
      </c>
      <c r="M220" s="7">
        <v>888.76637567730279</v>
      </c>
      <c r="N220" s="7">
        <v>887.03942512823858</v>
      </c>
      <c r="O220" s="7">
        <v>885.27527156578174</v>
      </c>
      <c r="P220" s="7">
        <v>883.64325707405169</v>
      </c>
      <c r="Q220" s="7">
        <v>882.84590608067424</v>
      </c>
      <c r="R220" s="7">
        <f t="shared" si="35"/>
        <v>6</v>
      </c>
      <c r="T220" s="7">
        <f>COUNTIF($C$11:C220,C220)</f>
        <v>146</v>
      </c>
      <c r="U220" s="7" t="str">
        <f t="shared" si="37"/>
        <v>가146</v>
      </c>
      <c r="V220" s="7" t="str">
        <f>INDEX(환산공식!$C$16:$C$301,MATCH('배치점수 계산기'!W220,환산공식!$A$16:$A$301,0))</f>
        <v>한양 통합</v>
      </c>
      <c r="W220" s="7">
        <f t="shared" si="38"/>
        <v>28</v>
      </c>
      <c r="X220" s="7">
        <f t="shared" si="39"/>
        <v>1</v>
      </c>
      <c r="Y220" s="7">
        <f>IFERROR(INDEX(환산공식!Q$16:Q$200,MATCH($A220,환산공식!$A$16:$A$200,0)),"")</f>
        <v>2.0134228187919465</v>
      </c>
      <c r="Z220" s="7">
        <f>IFERROR(INDEX(환산공식!R$16:R$200,MATCH($A220,환산공식!$A$16:$A$200,0)),"")</f>
        <v>2.0408163265306123</v>
      </c>
      <c r="AA220" s="7">
        <f>IFERROR(INDEX(환산공식!U$16:U$200,MATCH($A220,환산공식!$A$16:$A$200,0)),"")</f>
        <v>2.2727272727272729</v>
      </c>
      <c r="AB220" s="7">
        <f t="shared" si="40"/>
        <v>0.31822878228782286</v>
      </c>
      <c r="AC220" s="7">
        <f t="shared" si="41"/>
        <v>0.32255842558425585</v>
      </c>
      <c r="AD220" s="7">
        <f t="shared" si="42"/>
        <v>0.35921279212792129</v>
      </c>
      <c r="AE220" s="7">
        <f>INDEX(환산공식!$AF$16:$AF$301,MATCH('배치점수 계산기'!W220,환산공식!$A$16:$A$301,0))</f>
        <v>12</v>
      </c>
      <c r="AF220" s="7">
        <f>INDEX(환산공식!$AP$16:$AP$301,MATCH('배치점수 계산기'!W220,환산공식!$A$16:$A$301,0))</f>
        <v>42</v>
      </c>
      <c r="AG220" s="7" t="str">
        <f t="shared" si="43"/>
        <v>표점/만점</v>
      </c>
      <c r="AH220" s="7" t="str">
        <f t="shared" si="44"/>
        <v>변표/만점</v>
      </c>
      <c r="BO220" s="210"/>
      <c r="BP220" s="210"/>
      <c r="BQ220" s="210"/>
      <c r="BR220" s="210"/>
      <c r="BS220" s="210"/>
      <c r="BT220" s="210"/>
      <c r="BU220" s="210"/>
      <c r="BV220" s="210"/>
      <c r="BW220" s="210"/>
      <c r="BX220" s="210"/>
      <c r="BY220" s="210"/>
      <c r="BZ220" s="210"/>
      <c r="CA220" s="210"/>
      <c r="CB220" s="210"/>
      <c r="CC220" s="210"/>
      <c r="EM220" s="120"/>
      <c r="ET220" s="210"/>
      <c r="EU220" s="210"/>
      <c r="EV220" s="210"/>
      <c r="EW220" s="210"/>
      <c r="EX220" s="210"/>
      <c r="EY220" s="210"/>
      <c r="EZ220" s="210"/>
      <c r="FA220" s="210"/>
      <c r="FB220" s="210"/>
      <c r="FC220" s="210"/>
      <c r="FD220" s="210"/>
      <c r="FE220" s="210"/>
      <c r="FF220" s="210"/>
      <c r="FG220" s="210"/>
      <c r="FH220" s="210"/>
      <c r="HR220" s="120"/>
      <c r="HY220" s="210"/>
      <c r="HZ220" s="210"/>
      <c r="IA220" s="210"/>
      <c r="IB220" s="210"/>
      <c r="IC220" s="210"/>
      <c r="ID220" s="210"/>
      <c r="IE220" s="210"/>
      <c r="IF220" s="210"/>
      <c r="IG220" s="210"/>
      <c r="IH220" s="210"/>
      <c r="II220" s="210"/>
      <c r="IJ220" s="210"/>
      <c r="IK220" s="210"/>
      <c r="IL220" s="210"/>
      <c r="IM220" s="210"/>
      <c r="KW220" s="120"/>
      <c r="LD220" s="210"/>
      <c r="LE220" s="210"/>
      <c r="LF220" s="210"/>
      <c r="LG220" s="210"/>
      <c r="LH220" s="210"/>
      <c r="LI220" s="210"/>
      <c r="LJ220" s="210"/>
      <c r="LK220" s="210"/>
      <c r="LL220" s="210"/>
      <c r="LM220" s="210"/>
      <c r="LN220" s="210"/>
      <c r="LO220" s="210"/>
      <c r="LP220" s="210"/>
      <c r="LQ220" s="210"/>
      <c r="LR220" s="210"/>
      <c r="OB220" s="120"/>
      <c r="OI220" s="210"/>
      <c r="OJ220" s="210"/>
      <c r="OK220" s="210"/>
      <c r="OL220" s="210"/>
      <c r="OM220" s="210"/>
      <c r="ON220" s="210"/>
      <c r="OO220" s="210"/>
      <c r="OP220" s="210"/>
      <c r="OQ220" s="210"/>
      <c r="OR220" s="210"/>
      <c r="OS220" s="210"/>
      <c r="OT220" s="210"/>
      <c r="OU220" s="210"/>
      <c r="OV220" s="210"/>
      <c r="OW220" s="210"/>
      <c r="RG220" s="120"/>
    </row>
    <row r="221" spans="1:475" x14ac:dyDescent="0.3">
      <c r="A221" s="7">
        <v>28</v>
      </c>
      <c r="B221" s="7">
        <v>211</v>
      </c>
      <c r="C221" s="7" t="s">
        <v>346</v>
      </c>
      <c r="D221" s="7" t="s">
        <v>359</v>
      </c>
      <c r="E221" s="7" t="s">
        <v>335</v>
      </c>
      <c r="F221" s="7" t="s">
        <v>275</v>
      </c>
      <c r="G221" s="41" t="str">
        <f t="shared" si="36"/>
        <v>X</v>
      </c>
      <c r="H221" s="41">
        <f>INDEX(환산공식!CI$16:CI$301,MATCH('배치점수 계산기'!$W221,환산공식!$A$16:$A$301,0))</f>
        <v>100</v>
      </c>
      <c r="I221" s="41" t="str">
        <f>CONCATENATE(ROUND(INDEX(환산공식!CJ$16:CJ$301,MATCH('배치점수 계산기'!$W221,환산공식!$A$16:$A$301,0)),1),"%")</f>
        <v>100%</v>
      </c>
      <c r="J221" s="41">
        <f>INDEX(환산공식!CK$16:CK$301,MATCH('배치점수 계산기'!$W221,환산공식!$A$16:$A$301,0))</f>
        <v>0</v>
      </c>
      <c r="K221" s="7">
        <f>INDEX(환산공식!$EF$16:$EF$301,MATCH('배치점수 계산기'!W221,환산공식!$A$16:$A$301,0))</f>
        <v>0</v>
      </c>
      <c r="L221" s="41" t="str">
        <f t="shared" si="34"/>
        <v>1% 이하</v>
      </c>
      <c r="M221" s="7">
        <v>893.0605570243174</v>
      </c>
      <c r="N221" s="7">
        <v>890.0975130682416</v>
      </c>
      <c r="O221" s="7">
        <v>888.10438527047086</v>
      </c>
      <c r="P221" s="7">
        <v>886.40614087898848</v>
      </c>
      <c r="Q221" s="7">
        <v>884.04325707405178</v>
      </c>
      <c r="R221" s="7">
        <f t="shared" si="35"/>
        <v>6</v>
      </c>
      <c r="T221" s="7">
        <f>COUNTIF($C$11:C221,C221)</f>
        <v>65</v>
      </c>
      <c r="U221" s="7" t="str">
        <f t="shared" si="37"/>
        <v>나65</v>
      </c>
      <c r="V221" s="7" t="str">
        <f>INDEX(환산공식!$C$16:$C$301,MATCH('배치점수 계산기'!W221,환산공식!$A$16:$A$301,0))</f>
        <v>한양 통합</v>
      </c>
      <c r="W221" s="7">
        <f t="shared" si="38"/>
        <v>28</v>
      </c>
      <c r="X221" s="7">
        <f t="shared" si="39"/>
        <v>1</v>
      </c>
      <c r="Y221" s="7">
        <f>IFERROR(INDEX(환산공식!Q$16:Q$200,MATCH($A221,환산공식!$A$16:$A$200,0)),"")</f>
        <v>2.0134228187919465</v>
      </c>
      <c r="Z221" s="7">
        <f>IFERROR(INDEX(환산공식!R$16:R$200,MATCH($A221,환산공식!$A$16:$A$200,0)),"")</f>
        <v>2.0408163265306123</v>
      </c>
      <c r="AA221" s="7">
        <f>IFERROR(INDEX(환산공식!U$16:U$200,MATCH($A221,환산공식!$A$16:$A$200,0)),"")</f>
        <v>2.2727272727272729</v>
      </c>
      <c r="AB221" s="7">
        <f t="shared" si="40"/>
        <v>0.31822878228782286</v>
      </c>
      <c r="AC221" s="7">
        <f t="shared" si="41"/>
        <v>0.32255842558425585</v>
      </c>
      <c r="AD221" s="7">
        <f t="shared" si="42"/>
        <v>0.35921279212792129</v>
      </c>
      <c r="AE221" s="7">
        <f>INDEX(환산공식!$AF$16:$AF$301,MATCH('배치점수 계산기'!W221,환산공식!$A$16:$A$301,0))</f>
        <v>12</v>
      </c>
      <c r="AF221" s="7">
        <f>INDEX(환산공식!$AP$16:$AP$301,MATCH('배치점수 계산기'!W221,환산공식!$A$16:$A$301,0))</f>
        <v>42</v>
      </c>
      <c r="AG221" s="7" t="str">
        <f t="shared" si="43"/>
        <v>표점/만점</v>
      </c>
      <c r="AH221" s="7" t="str">
        <f t="shared" si="44"/>
        <v>변표/만점</v>
      </c>
      <c r="BO221" s="210"/>
      <c r="BP221" s="210"/>
      <c r="BQ221" s="210"/>
      <c r="BR221" s="210"/>
      <c r="BS221" s="210"/>
      <c r="BT221" s="210"/>
      <c r="BU221" s="210"/>
      <c r="BV221" s="210"/>
      <c r="BW221" s="210"/>
      <c r="BX221" s="210"/>
      <c r="BY221" s="210"/>
      <c r="BZ221" s="210"/>
      <c r="CA221" s="210"/>
      <c r="CB221" s="210"/>
      <c r="CC221" s="210"/>
      <c r="EM221" s="120"/>
      <c r="ET221" s="210"/>
      <c r="EU221" s="210"/>
      <c r="EV221" s="210"/>
      <c r="EW221" s="210"/>
      <c r="EX221" s="210"/>
      <c r="EY221" s="210"/>
      <c r="EZ221" s="210"/>
      <c r="FA221" s="210"/>
      <c r="FB221" s="210"/>
      <c r="FC221" s="210"/>
      <c r="FD221" s="210"/>
      <c r="FE221" s="210"/>
      <c r="FF221" s="210"/>
      <c r="FG221" s="210"/>
      <c r="FH221" s="210"/>
      <c r="HR221" s="120"/>
      <c r="HY221" s="210"/>
      <c r="HZ221" s="210"/>
      <c r="IA221" s="210"/>
      <c r="IB221" s="210"/>
      <c r="IC221" s="210"/>
      <c r="ID221" s="210"/>
      <c r="IE221" s="210"/>
      <c r="IF221" s="210"/>
      <c r="IG221" s="210"/>
      <c r="IH221" s="210"/>
      <c r="II221" s="210"/>
      <c r="IJ221" s="210"/>
      <c r="IK221" s="210"/>
      <c r="IL221" s="210"/>
      <c r="IM221" s="210"/>
      <c r="KW221" s="120"/>
      <c r="LD221" s="210"/>
      <c r="LE221" s="210"/>
      <c r="LF221" s="210"/>
      <c r="LG221" s="210"/>
      <c r="LH221" s="210"/>
      <c r="LI221" s="210"/>
      <c r="LJ221" s="210"/>
      <c r="LK221" s="210"/>
      <c r="LL221" s="210"/>
      <c r="LM221" s="210"/>
      <c r="LN221" s="210"/>
      <c r="LO221" s="210"/>
      <c r="LP221" s="210"/>
      <c r="LQ221" s="210"/>
      <c r="LR221" s="210"/>
      <c r="OB221" s="120"/>
      <c r="OI221" s="210"/>
      <c r="OJ221" s="210"/>
      <c r="OK221" s="210"/>
      <c r="OL221" s="210"/>
      <c r="OM221" s="210"/>
      <c r="ON221" s="210"/>
      <c r="OO221" s="210"/>
      <c r="OP221" s="210"/>
      <c r="OQ221" s="210"/>
      <c r="OR221" s="210"/>
      <c r="OS221" s="210"/>
      <c r="OT221" s="210"/>
      <c r="OU221" s="210"/>
      <c r="OV221" s="210"/>
      <c r="OW221" s="210"/>
      <c r="RG221" s="120"/>
    </row>
    <row r="222" spans="1:475" x14ac:dyDescent="0.3">
      <c r="A222" s="7">
        <v>28</v>
      </c>
      <c r="B222" s="7">
        <v>212</v>
      </c>
      <c r="C222" s="7" t="s">
        <v>346</v>
      </c>
      <c r="D222" s="7" t="s">
        <v>359</v>
      </c>
      <c r="E222" s="7" t="s">
        <v>367</v>
      </c>
      <c r="F222" s="7" t="s">
        <v>275</v>
      </c>
      <c r="G222" s="41" t="str">
        <f t="shared" si="36"/>
        <v>X</v>
      </c>
      <c r="H222" s="41">
        <f>INDEX(환산공식!CI$16:CI$301,MATCH('배치점수 계산기'!$W222,환산공식!$A$16:$A$301,0))</f>
        <v>100</v>
      </c>
      <c r="I222" s="41" t="str">
        <f>CONCATENATE(ROUND(INDEX(환산공식!CJ$16:CJ$301,MATCH('배치점수 계산기'!$W222,환산공식!$A$16:$A$301,0)),1),"%")</f>
        <v>100%</v>
      </c>
      <c r="J222" s="41">
        <f>INDEX(환산공식!CK$16:CK$301,MATCH('배치점수 계산기'!$W222,환산공식!$A$16:$A$301,0))</f>
        <v>0</v>
      </c>
      <c r="K222" s="7">
        <f>INDEX(환산공식!$EF$16:$EF$301,MATCH('배치점수 계산기'!W222,환산공식!$A$16:$A$301,0))</f>
        <v>0</v>
      </c>
      <c r="L222" s="41" t="str">
        <f t="shared" si="34"/>
        <v>1% 이하</v>
      </c>
      <c r="M222" s="7">
        <v>888.76637567730279</v>
      </c>
      <c r="N222" s="7">
        <v>887.03942512823858</v>
      </c>
      <c r="O222" s="7">
        <v>885.27527156578174</v>
      </c>
      <c r="P222" s="7">
        <v>883.64325707405169</v>
      </c>
      <c r="Q222" s="7">
        <v>882.84590608067424</v>
      </c>
      <c r="R222" s="7">
        <f t="shared" si="35"/>
        <v>6</v>
      </c>
      <c r="T222" s="7">
        <f>COUNTIF($C$11:C222,C222)</f>
        <v>66</v>
      </c>
      <c r="U222" s="7" t="str">
        <f t="shared" si="37"/>
        <v>나66</v>
      </c>
      <c r="V222" s="7" t="str">
        <f>INDEX(환산공식!$C$16:$C$301,MATCH('배치점수 계산기'!W222,환산공식!$A$16:$A$301,0))</f>
        <v>한양 통합</v>
      </c>
      <c r="W222" s="7">
        <f t="shared" si="38"/>
        <v>28</v>
      </c>
      <c r="X222" s="7">
        <f t="shared" si="39"/>
        <v>1</v>
      </c>
      <c r="Y222" s="7">
        <f>IFERROR(INDEX(환산공식!Q$16:Q$200,MATCH($A222,환산공식!$A$16:$A$200,0)),"")</f>
        <v>2.0134228187919465</v>
      </c>
      <c r="Z222" s="7">
        <f>IFERROR(INDEX(환산공식!R$16:R$200,MATCH($A222,환산공식!$A$16:$A$200,0)),"")</f>
        <v>2.0408163265306123</v>
      </c>
      <c r="AA222" s="7">
        <f>IFERROR(INDEX(환산공식!U$16:U$200,MATCH($A222,환산공식!$A$16:$A$200,0)),"")</f>
        <v>2.2727272727272729</v>
      </c>
      <c r="AB222" s="7">
        <f t="shared" si="40"/>
        <v>0.31822878228782286</v>
      </c>
      <c r="AC222" s="7">
        <f t="shared" si="41"/>
        <v>0.32255842558425585</v>
      </c>
      <c r="AD222" s="7">
        <f t="shared" si="42"/>
        <v>0.35921279212792129</v>
      </c>
      <c r="AE222" s="7">
        <f>INDEX(환산공식!$AF$16:$AF$301,MATCH('배치점수 계산기'!W222,환산공식!$A$16:$A$301,0))</f>
        <v>12</v>
      </c>
      <c r="AF222" s="7">
        <f>INDEX(환산공식!$AP$16:$AP$301,MATCH('배치점수 계산기'!W222,환산공식!$A$16:$A$301,0))</f>
        <v>42</v>
      </c>
      <c r="AG222" s="7" t="str">
        <f t="shared" si="43"/>
        <v>표점/만점</v>
      </c>
      <c r="AH222" s="7" t="str">
        <f t="shared" si="44"/>
        <v>변표/만점</v>
      </c>
      <c r="BO222" s="210"/>
      <c r="BP222" s="210"/>
      <c r="BQ222" s="210"/>
      <c r="BR222" s="210"/>
      <c r="BS222" s="210"/>
      <c r="BT222" s="210"/>
      <c r="BU222" s="210"/>
      <c r="BV222" s="210"/>
      <c r="BW222" s="210"/>
      <c r="BX222" s="210"/>
      <c r="BY222" s="210"/>
      <c r="BZ222" s="210"/>
      <c r="CA222" s="210"/>
      <c r="CB222" s="210"/>
      <c r="CC222" s="210"/>
      <c r="EM222" s="120"/>
      <c r="ET222" s="210"/>
      <c r="EU222" s="210"/>
      <c r="EV222" s="210"/>
      <c r="EW222" s="210"/>
      <c r="EX222" s="210"/>
      <c r="EY222" s="210"/>
      <c r="EZ222" s="210"/>
      <c r="FA222" s="210"/>
      <c r="FB222" s="210"/>
      <c r="FC222" s="210"/>
      <c r="FD222" s="210"/>
      <c r="FE222" s="210"/>
      <c r="FF222" s="210"/>
      <c r="FG222" s="210"/>
      <c r="FH222" s="210"/>
      <c r="HR222" s="120"/>
      <c r="HY222" s="210"/>
      <c r="HZ222" s="210"/>
      <c r="IA222" s="210"/>
      <c r="IB222" s="210"/>
      <c r="IC222" s="210"/>
      <c r="ID222" s="210"/>
      <c r="IE222" s="210"/>
      <c r="IF222" s="210"/>
      <c r="IG222" s="210"/>
      <c r="IH222" s="210"/>
      <c r="II222" s="210"/>
      <c r="IJ222" s="210"/>
      <c r="IK222" s="210"/>
      <c r="IL222" s="210"/>
      <c r="IM222" s="210"/>
      <c r="KW222" s="120"/>
      <c r="LD222" s="210"/>
      <c r="LE222" s="210"/>
      <c r="LF222" s="210"/>
      <c r="LG222" s="210"/>
      <c r="LH222" s="210"/>
      <c r="LI222" s="210"/>
      <c r="LJ222" s="210"/>
      <c r="LK222" s="210"/>
      <c r="LL222" s="210"/>
      <c r="LM222" s="210"/>
      <c r="LN222" s="210"/>
      <c r="LO222" s="210"/>
      <c r="LP222" s="210"/>
      <c r="LQ222" s="210"/>
      <c r="LR222" s="210"/>
      <c r="OB222" s="120"/>
      <c r="OI222" s="210"/>
      <c r="OJ222" s="210"/>
      <c r="OK222" s="210"/>
      <c r="OL222" s="210"/>
      <c r="OM222" s="210"/>
      <c r="ON222" s="210"/>
      <c r="OO222" s="210"/>
      <c r="OP222" s="210"/>
      <c r="OQ222" s="210"/>
      <c r="OR222" s="210"/>
      <c r="OS222" s="210"/>
      <c r="OT222" s="210"/>
      <c r="OU222" s="210"/>
      <c r="OV222" s="210"/>
      <c r="OW222" s="210"/>
      <c r="RG222" s="120"/>
    </row>
    <row r="223" spans="1:475" x14ac:dyDescent="0.3">
      <c r="A223" s="7">
        <v>27</v>
      </c>
      <c r="B223" s="7">
        <v>213</v>
      </c>
      <c r="C223" s="7" t="s">
        <v>346</v>
      </c>
      <c r="D223" s="7" t="s">
        <v>359</v>
      </c>
      <c r="E223" s="7" t="s">
        <v>292</v>
      </c>
      <c r="F223" s="7" t="s">
        <v>274</v>
      </c>
      <c r="G223" s="41" t="str">
        <f t="shared" si="36"/>
        <v>X</v>
      </c>
      <c r="H223" s="41">
        <f>INDEX(환산공식!CI$16:CI$301,MATCH('배치점수 계산기'!$W223,환산공식!$A$16:$A$301,0))</f>
        <v>100</v>
      </c>
      <c r="I223" s="41" t="str">
        <f>CONCATENATE(ROUND(INDEX(환산공식!CJ$16:CJ$301,MATCH('배치점수 계산기'!$W223,환산공식!$A$16:$A$301,0)),1),"%")</f>
        <v>100%</v>
      </c>
      <c r="J223" s="41">
        <f>INDEX(환산공식!CK$16:CK$301,MATCH('배치점수 계산기'!$W223,환산공식!$A$16:$A$301,0))</f>
        <v>0</v>
      </c>
      <c r="K223" s="7">
        <f>INDEX(환산공식!$EF$16:$EF$301,MATCH('배치점수 계산기'!W223,환산공식!$A$16:$A$301,0))</f>
        <v>0</v>
      </c>
      <c r="L223" s="41" t="str">
        <f t="shared" si="34"/>
        <v>1% 이하</v>
      </c>
      <c r="M223" s="7">
        <v>898.73715275547147</v>
      </c>
      <c r="N223" s="7">
        <v>896.94972300808331</v>
      </c>
      <c r="O223" s="7">
        <v>894.94486347635109</v>
      </c>
      <c r="P223" s="7">
        <v>891.28010396038223</v>
      </c>
      <c r="Q223" s="7">
        <v>888.99670152014505</v>
      </c>
      <c r="R223" s="7">
        <f t="shared" si="35"/>
        <v>6</v>
      </c>
      <c r="T223" s="7">
        <f>COUNTIF($C$11:C223,C223)</f>
        <v>67</v>
      </c>
      <c r="U223" s="7" t="str">
        <f t="shared" si="37"/>
        <v>나67</v>
      </c>
      <c r="V223" s="7" t="str">
        <f>INDEX(환산공식!$C$16:$C$301,MATCH('배치점수 계산기'!W223,환산공식!$A$16:$A$301,0))</f>
        <v>한양 자연</v>
      </c>
      <c r="W223" s="7">
        <f t="shared" si="38"/>
        <v>27</v>
      </c>
      <c r="X223" s="7">
        <f t="shared" si="39"/>
        <v>1</v>
      </c>
      <c r="Y223" s="7">
        <f>IFERROR(INDEX(환산공식!Q$16:Q$200,MATCH($A223,환산공식!$A$16:$A$200,0)),"")</f>
        <v>1.3422818791946309</v>
      </c>
      <c r="Z223" s="7">
        <f>IFERROR(INDEX(환산공식!R$16:R$200,MATCH($A223,환산공식!$A$16:$A$200,0)),"")</f>
        <v>2.3809523809523809</v>
      </c>
      <c r="AA223" s="7">
        <f>IFERROR(INDEX(환산공식!U$16:U$200,MATCH($A223,환산공식!$A$16:$A$200,0)),"")</f>
        <v>2.4602839870659357</v>
      </c>
      <c r="AB223" s="7">
        <f t="shared" si="40"/>
        <v>0.21707413571547685</v>
      </c>
      <c r="AC223" s="7">
        <f t="shared" si="41"/>
        <v>0.38504816930483388</v>
      </c>
      <c r="AD223" s="7">
        <f t="shared" si="42"/>
        <v>0.39787769497968917</v>
      </c>
      <c r="AE223" s="7">
        <f>INDEX(환산공식!$AF$16:$AF$301,MATCH('배치점수 계산기'!W223,환산공식!$A$16:$A$301,0))</f>
        <v>12</v>
      </c>
      <c r="AF223" s="7">
        <f>INDEX(환산공식!$AP$16:$AP$301,MATCH('배치점수 계산기'!W223,환산공식!$A$16:$A$301,0))</f>
        <v>42</v>
      </c>
      <c r="AG223" s="7" t="str">
        <f t="shared" si="43"/>
        <v>표점/만점</v>
      </c>
      <c r="AH223" s="7" t="str">
        <f t="shared" si="44"/>
        <v>변표/만점</v>
      </c>
      <c r="BO223" s="210"/>
      <c r="BP223" s="210"/>
      <c r="BQ223" s="210"/>
      <c r="BR223" s="210"/>
      <c r="BS223" s="210"/>
      <c r="BT223" s="210"/>
      <c r="BU223" s="210"/>
      <c r="BV223" s="210"/>
      <c r="BW223" s="210"/>
      <c r="BX223" s="210"/>
      <c r="BY223" s="210"/>
      <c r="BZ223" s="210"/>
      <c r="CA223" s="210"/>
      <c r="CB223" s="210"/>
      <c r="CC223" s="210"/>
      <c r="EM223" s="120"/>
      <c r="ET223" s="210"/>
      <c r="EU223" s="210"/>
      <c r="EV223" s="210"/>
      <c r="EW223" s="210"/>
      <c r="EX223" s="210"/>
      <c r="EY223" s="210"/>
      <c r="EZ223" s="210"/>
      <c r="FA223" s="210"/>
      <c r="FB223" s="210"/>
      <c r="FC223" s="210"/>
      <c r="FD223" s="210"/>
      <c r="FE223" s="210"/>
      <c r="FF223" s="210"/>
      <c r="FG223" s="210"/>
      <c r="FH223" s="210"/>
      <c r="HR223" s="120"/>
      <c r="HY223" s="210"/>
      <c r="HZ223" s="210"/>
      <c r="IA223" s="210"/>
      <c r="IB223" s="210"/>
      <c r="IC223" s="210"/>
      <c r="ID223" s="210"/>
      <c r="IE223" s="210"/>
      <c r="IF223" s="210"/>
      <c r="IG223" s="210"/>
      <c r="IH223" s="210"/>
      <c r="II223" s="210"/>
      <c r="IJ223" s="210"/>
      <c r="IK223" s="210"/>
      <c r="IL223" s="210"/>
      <c r="IM223" s="210"/>
      <c r="KW223" s="120"/>
      <c r="LD223" s="210"/>
      <c r="LE223" s="210"/>
      <c r="LF223" s="210"/>
      <c r="LG223" s="210"/>
      <c r="LH223" s="210"/>
      <c r="LI223" s="210"/>
      <c r="LJ223" s="210"/>
      <c r="LK223" s="210"/>
      <c r="LL223" s="210"/>
      <c r="LM223" s="210"/>
      <c r="LN223" s="210"/>
      <c r="LO223" s="210"/>
      <c r="LP223" s="210"/>
      <c r="LQ223" s="210"/>
      <c r="LR223" s="210"/>
      <c r="OB223" s="120"/>
      <c r="OI223" s="210"/>
      <c r="OJ223" s="210"/>
      <c r="OK223" s="210"/>
      <c r="OL223" s="210"/>
      <c r="OM223" s="210"/>
      <c r="ON223" s="210"/>
      <c r="OO223" s="210"/>
      <c r="OP223" s="210"/>
      <c r="OQ223" s="210"/>
      <c r="OR223" s="210"/>
      <c r="OS223" s="210"/>
      <c r="OT223" s="210"/>
      <c r="OU223" s="210"/>
      <c r="OV223" s="210"/>
      <c r="OW223" s="210"/>
      <c r="RG223" s="120"/>
    </row>
    <row r="224" spans="1:475" x14ac:dyDescent="0.3">
      <c r="A224" s="7">
        <v>27</v>
      </c>
      <c r="B224" s="7">
        <v>214</v>
      </c>
      <c r="C224" s="7" t="s">
        <v>276</v>
      </c>
      <c r="D224" s="7" t="s">
        <v>359</v>
      </c>
      <c r="E224" s="7" t="s">
        <v>252</v>
      </c>
      <c r="F224" s="7" t="s">
        <v>274</v>
      </c>
      <c r="G224" s="41" t="str">
        <f t="shared" si="36"/>
        <v>X</v>
      </c>
      <c r="H224" s="41">
        <f>INDEX(환산공식!CI$16:CI$301,MATCH('배치점수 계산기'!$W224,환산공식!$A$16:$A$301,0))</f>
        <v>100</v>
      </c>
      <c r="I224" s="41" t="str">
        <f>CONCATENATE(ROUND(INDEX(환산공식!CJ$16:CJ$301,MATCH('배치점수 계산기'!$W224,환산공식!$A$16:$A$301,0)),1),"%")</f>
        <v>100%</v>
      </c>
      <c r="J224" s="41">
        <f>INDEX(환산공식!CK$16:CK$301,MATCH('배치점수 계산기'!$W224,환산공식!$A$16:$A$301,0))</f>
        <v>0</v>
      </c>
      <c r="K224" s="7">
        <f>INDEX(환산공식!$EF$16:$EF$301,MATCH('배치점수 계산기'!W224,환산공식!$A$16:$A$301,0))</f>
        <v>0</v>
      </c>
      <c r="L224" s="41" t="str">
        <f t="shared" si="34"/>
        <v>1% 이하</v>
      </c>
      <c r="M224" s="7">
        <v>896.94972300808331</v>
      </c>
      <c r="N224" s="7">
        <v>894.33889514905434</v>
      </c>
      <c r="O224" s="7">
        <v>891.86485289969028</v>
      </c>
      <c r="P224" s="7">
        <v>890.56846860574774</v>
      </c>
      <c r="Q224" s="7">
        <v>888.40146574269852</v>
      </c>
      <c r="R224" s="7">
        <f t="shared" si="35"/>
        <v>6</v>
      </c>
      <c r="T224" s="7">
        <f>COUNTIF($C$11:C224,C224)</f>
        <v>147</v>
      </c>
      <c r="U224" s="7" t="str">
        <f t="shared" si="37"/>
        <v>가147</v>
      </c>
      <c r="V224" s="7" t="str">
        <f>INDEX(환산공식!$C$16:$C$301,MATCH('배치점수 계산기'!W224,환산공식!$A$16:$A$301,0))</f>
        <v>한양 자연</v>
      </c>
      <c r="W224" s="7">
        <f t="shared" si="38"/>
        <v>27</v>
      </c>
      <c r="X224" s="7">
        <f t="shared" si="39"/>
        <v>1</v>
      </c>
      <c r="Y224" s="7">
        <f>IFERROR(INDEX(환산공식!Q$16:Q$200,MATCH($A224,환산공식!$A$16:$A$200,0)),"")</f>
        <v>1.3422818791946309</v>
      </c>
      <c r="Z224" s="7">
        <f>IFERROR(INDEX(환산공식!R$16:R$200,MATCH($A224,환산공식!$A$16:$A$200,0)),"")</f>
        <v>2.3809523809523809</v>
      </c>
      <c r="AA224" s="7">
        <f>IFERROR(INDEX(환산공식!U$16:U$200,MATCH($A224,환산공식!$A$16:$A$200,0)),"")</f>
        <v>2.4602839870659357</v>
      </c>
      <c r="AB224" s="7">
        <f t="shared" si="40"/>
        <v>0.21707413571547685</v>
      </c>
      <c r="AC224" s="7">
        <f t="shared" si="41"/>
        <v>0.38504816930483388</v>
      </c>
      <c r="AD224" s="7">
        <f t="shared" si="42"/>
        <v>0.39787769497968917</v>
      </c>
      <c r="AE224" s="7">
        <f>INDEX(환산공식!$AF$16:$AF$301,MATCH('배치점수 계산기'!W224,환산공식!$A$16:$A$301,0))</f>
        <v>12</v>
      </c>
      <c r="AF224" s="7">
        <f>INDEX(환산공식!$AP$16:$AP$301,MATCH('배치점수 계산기'!W224,환산공식!$A$16:$A$301,0))</f>
        <v>42</v>
      </c>
      <c r="AG224" s="7" t="str">
        <f t="shared" si="43"/>
        <v>표점/만점</v>
      </c>
      <c r="AH224" s="7" t="str">
        <f t="shared" si="44"/>
        <v>변표/만점</v>
      </c>
      <c r="BO224" s="210"/>
      <c r="BP224" s="210"/>
      <c r="BQ224" s="210"/>
      <c r="BR224" s="210"/>
      <c r="BS224" s="210"/>
      <c r="BT224" s="210"/>
      <c r="BU224" s="210"/>
      <c r="BV224" s="210"/>
      <c r="BW224" s="210"/>
      <c r="BX224" s="210"/>
      <c r="BY224" s="210"/>
      <c r="BZ224" s="210"/>
      <c r="CA224" s="210"/>
      <c r="CB224" s="210"/>
      <c r="CC224" s="210"/>
      <c r="EM224" s="120"/>
      <c r="ET224" s="210"/>
      <c r="EU224" s="210"/>
      <c r="EV224" s="210"/>
      <c r="EW224" s="210"/>
      <c r="EX224" s="210"/>
      <c r="EY224" s="210"/>
      <c r="EZ224" s="210"/>
      <c r="FA224" s="210"/>
      <c r="FB224" s="210"/>
      <c r="FC224" s="210"/>
      <c r="FD224" s="210"/>
      <c r="FE224" s="210"/>
      <c r="FF224" s="210"/>
      <c r="FG224" s="210"/>
      <c r="FH224" s="210"/>
      <c r="HR224" s="120"/>
      <c r="HY224" s="210"/>
      <c r="HZ224" s="210"/>
      <c r="IA224" s="210"/>
      <c r="IB224" s="210"/>
      <c r="IC224" s="210"/>
      <c r="ID224" s="210"/>
      <c r="IE224" s="210"/>
      <c r="IF224" s="210"/>
      <c r="IG224" s="210"/>
      <c r="IH224" s="210"/>
      <c r="II224" s="210"/>
      <c r="IJ224" s="210"/>
      <c r="IK224" s="210"/>
      <c r="IL224" s="210"/>
      <c r="IM224" s="210"/>
      <c r="KW224" s="120"/>
      <c r="LD224" s="210"/>
      <c r="LE224" s="210"/>
      <c r="LF224" s="210"/>
      <c r="LG224" s="210"/>
      <c r="LH224" s="210"/>
      <c r="LI224" s="210"/>
      <c r="LJ224" s="210"/>
      <c r="LK224" s="210"/>
      <c r="LL224" s="210"/>
      <c r="LM224" s="210"/>
      <c r="LN224" s="210"/>
      <c r="LO224" s="210"/>
      <c r="LP224" s="210"/>
      <c r="LQ224" s="210"/>
      <c r="LR224" s="210"/>
      <c r="OB224" s="120"/>
      <c r="OI224" s="210"/>
      <c r="OJ224" s="210"/>
      <c r="OK224" s="210"/>
      <c r="OL224" s="210"/>
      <c r="OM224" s="210"/>
      <c r="ON224" s="210"/>
      <c r="OO224" s="210"/>
      <c r="OP224" s="210"/>
      <c r="OQ224" s="210"/>
      <c r="OR224" s="210"/>
      <c r="OS224" s="210"/>
      <c r="OT224" s="210"/>
      <c r="OU224" s="210"/>
      <c r="OV224" s="210"/>
      <c r="OW224" s="210"/>
      <c r="RG224" s="120"/>
    </row>
    <row r="225" spans="1:475" x14ac:dyDescent="0.3">
      <c r="A225" s="7">
        <v>27</v>
      </c>
      <c r="B225" s="7">
        <v>215</v>
      </c>
      <c r="C225" s="7" t="s">
        <v>276</v>
      </c>
      <c r="D225" s="7" t="s">
        <v>359</v>
      </c>
      <c r="E225" s="7" t="s">
        <v>256</v>
      </c>
      <c r="F225" s="7" t="s">
        <v>274</v>
      </c>
      <c r="G225" s="41" t="str">
        <f t="shared" si="36"/>
        <v>X</v>
      </c>
      <c r="H225" s="41">
        <f>INDEX(환산공식!CI$16:CI$301,MATCH('배치점수 계산기'!$W225,환산공식!$A$16:$A$301,0))</f>
        <v>100</v>
      </c>
      <c r="I225" s="41" t="str">
        <f>CONCATENATE(ROUND(INDEX(환산공식!CJ$16:CJ$301,MATCH('배치점수 계산기'!$W225,환산공식!$A$16:$A$301,0)),1),"%")</f>
        <v>100%</v>
      </c>
      <c r="J225" s="41">
        <f>INDEX(환산공식!CK$16:CK$301,MATCH('배치점수 계산기'!$W225,환산공식!$A$16:$A$301,0))</f>
        <v>0</v>
      </c>
      <c r="K225" s="7">
        <f>INDEX(환산공식!$EF$16:$EF$301,MATCH('배치점수 계산기'!W225,환산공식!$A$16:$A$301,0))</f>
        <v>0</v>
      </c>
      <c r="L225" s="41" t="str">
        <f t="shared" si="34"/>
        <v>1% 이하</v>
      </c>
      <c r="M225" s="7">
        <v>896.12626912946462</v>
      </c>
      <c r="N225" s="7">
        <v>894.33889514905434</v>
      </c>
      <c r="O225" s="7">
        <v>891.86485289969028</v>
      </c>
      <c r="P225" s="7">
        <v>889.84078485154043</v>
      </c>
      <c r="Q225" s="7">
        <v>887.36341089382631</v>
      </c>
      <c r="R225" s="7">
        <f t="shared" si="35"/>
        <v>6</v>
      </c>
      <c r="T225" s="7">
        <f>COUNTIF($C$11:C225,C225)</f>
        <v>148</v>
      </c>
      <c r="U225" s="7" t="str">
        <f t="shared" si="37"/>
        <v>가148</v>
      </c>
      <c r="V225" s="7" t="str">
        <f>INDEX(환산공식!$C$16:$C$301,MATCH('배치점수 계산기'!W225,환산공식!$A$16:$A$301,0))</f>
        <v>한양 자연</v>
      </c>
      <c r="W225" s="7">
        <f t="shared" si="38"/>
        <v>27</v>
      </c>
      <c r="X225" s="7">
        <f t="shared" si="39"/>
        <v>1</v>
      </c>
      <c r="Y225" s="7">
        <f>IFERROR(INDEX(환산공식!Q$16:Q$200,MATCH($A225,환산공식!$A$16:$A$200,0)),"")</f>
        <v>1.3422818791946309</v>
      </c>
      <c r="Z225" s="7">
        <f>IFERROR(INDEX(환산공식!R$16:R$200,MATCH($A225,환산공식!$A$16:$A$200,0)),"")</f>
        <v>2.3809523809523809</v>
      </c>
      <c r="AA225" s="7">
        <f>IFERROR(INDEX(환산공식!U$16:U$200,MATCH($A225,환산공식!$A$16:$A$200,0)),"")</f>
        <v>2.4602839870659357</v>
      </c>
      <c r="AB225" s="7">
        <f t="shared" si="40"/>
        <v>0.21707413571547685</v>
      </c>
      <c r="AC225" s="7">
        <f t="shared" si="41"/>
        <v>0.38504816930483388</v>
      </c>
      <c r="AD225" s="7">
        <f t="shared" si="42"/>
        <v>0.39787769497968917</v>
      </c>
      <c r="AE225" s="7">
        <f>INDEX(환산공식!$AF$16:$AF$301,MATCH('배치점수 계산기'!W225,환산공식!$A$16:$A$301,0))</f>
        <v>12</v>
      </c>
      <c r="AF225" s="7">
        <f>INDEX(환산공식!$AP$16:$AP$301,MATCH('배치점수 계산기'!W225,환산공식!$A$16:$A$301,0))</f>
        <v>42</v>
      </c>
      <c r="AG225" s="7" t="str">
        <f t="shared" si="43"/>
        <v>표점/만점</v>
      </c>
      <c r="AH225" s="7" t="str">
        <f t="shared" si="44"/>
        <v>변표/만점</v>
      </c>
      <c r="BO225" s="210"/>
      <c r="BP225" s="210"/>
      <c r="BQ225" s="210"/>
      <c r="BR225" s="210"/>
      <c r="BS225" s="210"/>
      <c r="BT225" s="210"/>
      <c r="BU225" s="210"/>
      <c r="BV225" s="210"/>
      <c r="BW225" s="210"/>
      <c r="BX225" s="210"/>
      <c r="BY225" s="210"/>
      <c r="BZ225" s="210"/>
      <c r="CA225" s="210"/>
      <c r="CB225" s="210"/>
      <c r="CC225" s="210"/>
      <c r="EM225" s="120"/>
      <c r="ET225" s="210"/>
      <c r="EU225" s="210"/>
      <c r="EV225" s="210"/>
      <c r="EW225" s="210"/>
      <c r="EX225" s="210"/>
      <c r="EY225" s="210"/>
      <c r="EZ225" s="210"/>
      <c r="FA225" s="210"/>
      <c r="FB225" s="210"/>
      <c r="FC225" s="210"/>
      <c r="FD225" s="210"/>
      <c r="FE225" s="210"/>
      <c r="FF225" s="210"/>
      <c r="FG225" s="210"/>
      <c r="FH225" s="210"/>
      <c r="HR225" s="120"/>
      <c r="HY225" s="210"/>
      <c r="HZ225" s="210"/>
      <c r="IA225" s="210"/>
      <c r="IB225" s="210"/>
      <c r="IC225" s="210"/>
      <c r="ID225" s="210"/>
      <c r="IE225" s="210"/>
      <c r="IF225" s="210"/>
      <c r="IG225" s="210"/>
      <c r="IH225" s="210"/>
      <c r="II225" s="210"/>
      <c r="IJ225" s="210"/>
      <c r="IK225" s="210"/>
      <c r="IL225" s="210"/>
      <c r="IM225" s="210"/>
      <c r="KW225" s="120"/>
      <c r="LD225" s="210"/>
      <c r="LE225" s="210"/>
      <c r="LF225" s="210"/>
      <c r="LG225" s="210"/>
      <c r="LH225" s="210"/>
      <c r="LI225" s="210"/>
      <c r="LJ225" s="210"/>
      <c r="LK225" s="210"/>
      <c r="LL225" s="210"/>
      <c r="LM225" s="210"/>
      <c r="LN225" s="210"/>
      <c r="LO225" s="210"/>
      <c r="LP225" s="210"/>
      <c r="LQ225" s="210"/>
      <c r="LR225" s="210"/>
      <c r="OB225" s="120"/>
      <c r="OI225" s="210"/>
      <c r="OJ225" s="210"/>
      <c r="OK225" s="210"/>
      <c r="OL225" s="210"/>
      <c r="OM225" s="210"/>
      <c r="ON225" s="210"/>
      <c r="OO225" s="210"/>
      <c r="OP225" s="210"/>
      <c r="OQ225" s="210"/>
      <c r="OR225" s="210"/>
      <c r="OS225" s="210"/>
      <c r="OT225" s="210"/>
      <c r="OU225" s="210"/>
      <c r="OV225" s="210"/>
      <c r="OW225" s="210"/>
      <c r="RG225" s="120"/>
    </row>
    <row r="226" spans="1:475" x14ac:dyDescent="0.3">
      <c r="A226" s="7">
        <v>27</v>
      </c>
      <c r="B226" s="7">
        <v>216</v>
      </c>
      <c r="C226" s="7" t="s">
        <v>346</v>
      </c>
      <c r="D226" s="7" t="s">
        <v>359</v>
      </c>
      <c r="E226" s="7" t="s">
        <v>368</v>
      </c>
      <c r="F226" s="7" t="s">
        <v>274</v>
      </c>
      <c r="G226" s="41" t="str">
        <f t="shared" si="36"/>
        <v>X</v>
      </c>
      <c r="H226" s="41">
        <f>INDEX(환산공식!CI$16:CI$301,MATCH('배치점수 계산기'!$W226,환산공식!$A$16:$A$301,0))</f>
        <v>100</v>
      </c>
      <c r="I226" s="41" t="str">
        <f>CONCATENATE(ROUND(INDEX(환산공식!CJ$16:CJ$301,MATCH('배치점수 계산기'!$W226,환산공식!$A$16:$A$301,0)),1),"%")</f>
        <v>100%</v>
      </c>
      <c r="J226" s="41">
        <f>INDEX(환산공식!CK$16:CK$301,MATCH('배치점수 계산기'!$W226,환산공식!$A$16:$A$301,0))</f>
        <v>0</v>
      </c>
      <c r="K226" s="7">
        <f>INDEX(환산공식!$EF$16:$EF$301,MATCH('배치점수 계산기'!W226,환산공식!$A$16:$A$301,0))</f>
        <v>0</v>
      </c>
      <c r="L226" s="41" t="str">
        <f t="shared" si="34"/>
        <v>1% 이하</v>
      </c>
      <c r="M226" s="7">
        <v>896.12626912946462</v>
      </c>
      <c r="N226" s="7">
        <v>894.33889514905434</v>
      </c>
      <c r="O226" s="7">
        <v>891.86485289969028</v>
      </c>
      <c r="P226" s="7">
        <v>889.84078485154043</v>
      </c>
      <c r="Q226" s="7">
        <v>887.36341089382631</v>
      </c>
      <c r="R226" s="7">
        <f t="shared" si="35"/>
        <v>6</v>
      </c>
      <c r="T226" s="7">
        <f>COUNTIF($C$11:C226,C226)</f>
        <v>68</v>
      </c>
      <c r="U226" s="7" t="str">
        <f t="shared" si="37"/>
        <v>나68</v>
      </c>
      <c r="V226" s="7" t="str">
        <f>INDEX(환산공식!$C$16:$C$301,MATCH('배치점수 계산기'!W226,환산공식!$A$16:$A$301,0))</f>
        <v>한양 자연</v>
      </c>
      <c r="W226" s="7">
        <f t="shared" si="38"/>
        <v>27</v>
      </c>
      <c r="X226" s="7">
        <f t="shared" si="39"/>
        <v>1</v>
      </c>
      <c r="Y226" s="7">
        <f>IFERROR(INDEX(환산공식!Q$16:Q$200,MATCH($A226,환산공식!$A$16:$A$200,0)),"")</f>
        <v>1.3422818791946309</v>
      </c>
      <c r="Z226" s="7">
        <f>IFERROR(INDEX(환산공식!R$16:R$200,MATCH($A226,환산공식!$A$16:$A$200,0)),"")</f>
        <v>2.3809523809523809</v>
      </c>
      <c r="AA226" s="7">
        <f>IFERROR(INDEX(환산공식!U$16:U$200,MATCH($A226,환산공식!$A$16:$A$200,0)),"")</f>
        <v>2.4602839870659357</v>
      </c>
      <c r="AB226" s="7">
        <f t="shared" si="40"/>
        <v>0.21707413571547685</v>
      </c>
      <c r="AC226" s="7">
        <f t="shared" si="41"/>
        <v>0.38504816930483388</v>
      </c>
      <c r="AD226" s="7">
        <f t="shared" si="42"/>
        <v>0.39787769497968917</v>
      </c>
      <c r="AE226" s="7">
        <f>INDEX(환산공식!$AF$16:$AF$301,MATCH('배치점수 계산기'!W226,환산공식!$A$16:$A$301,0))</f>
        <v>12</v>
      </c>
      <c r="AF226" s="7">
        <f>INDEX(환산공식!$AP$16:$AP$301,MATCH('배치점수 계산기'!W226,환산공식!$A$16:$A$301,0))</f>
        <v>42</v>
      </c>
      <c r="AG226" s="7" t="str">
        <f t="shared" si="43"/>
        <v>표점/만점</v>
      </c>
      <c r="AH226" s="7" t="str">
        <f t="shared" si="44"/>
        <v>변표/만점</v>
      </c>
      <c r="BO226" s="210"/>
      <c r="BP226" s="210"/>
      <c r="BQ226" s="210"/>
      <c r="BR226" s="210"/>
      <c r="BS226" s="210"/>
      <c r="BT226" s="210"/>
      <c r="BU226" s="210"/>
      <c r="BV226" s="210"/>
      <c r="BW226" s="210"/>
      <c r="BX226" s="210"/>
      <c r="BY226" s="210"/>
      <c r="BZ226" s="210"/>
      <c r="CA226" s="210"/>
      <c r="CB226" s="210"/>
      <c r="CC226" s="210"/>
      <c r="EM226" s="120"/>
      <c r="ET226" s="210"/>
      <c r="EU226" s="210"/>
      <c r="EV226" s="210"/>
      <c r="EW226" s="210"/>
      <c r="EX226" s="210"/>
      <c r="EY226" s="210"/>
      <c r="EZ226" s="210"/>
      <c r="FA226" s="210"/>
      <c r="FB226" s="210"/>
      <c r="FC226" s="210"/>
      <c r="FD226" s="210"/>
      <c r="FE226" s="210"/>
      <c r="FF226" s="210"/>
      <c r="FG226" s="210"/>
      <c r="FH226" s="210"/>
      <c r="HR226" s="120"/>
      <c r="HY226" s="210"/>
      <c r="HZ226" s="210"/>
      <c r="IA226" s="210"/>
      <c r="IB226" s="210"/>
      <c r="IC226" s="210"/>
      <c r="ID226" s="210"/>
      <c r="IE226" s="210"/>
      <c r="IF226" s="210"/>
      <c r="IG226" s="210"/>
      <c r="IH226" s="210"/>
      <c r="II226" s="210"/>
      <c r="IJ226" s="210"/>
      <c r="IK226" s="210"/>
      <c r="IL226" s="210"/>
      <c r="IM226" s="210"/>
      <c r="KW226" s="120"/>
      <c r="LD226" s="210"/>
      <c r="LE226" s="210"/>
      <c r="LF226" s="210"/>
      <c r="LG226" s="210"/>
      <c r="LH226" s="210"/>
      <c r="LI226" s="210"/>
      <c r="LJ226" s="210"/>
      <c r="LK226" s="210"/>
      <c r="LL226" s="210"/>
      <c r="LM226" s="210"/>
      <c r="LN226" s="210"/>
      <c r="LO226" s="210"/>
      <c r="LP226" s="210"/>
      <c r="LQ226" s="210"/>
      <c r="LR226" s="210"/>
      <c r="OB226" s="120"/>
      <c r="OI226" s="210"/>
      <c r="OJ226" s="210"/>
      <c r="OK226" s="210"/>
      <c r="OL226" s="210"/>
      <c r="OM226" s="210"/>
      <c r="ON226" s="210"/>
      <c r="OO226" s="210"/>
      <c r="OP226" s="210"/>
      <c r="OQ226" s="210"/>
      <c r="OR226" s="210"/>
      <c r="OS226" s="210"/>
      <c r="OT226" s="210"/>
      <c r="OU226" s="210"/>
      <c r="OV226" s="210"/>
      <c r="OW226" s="210"/>
      <c r="RG226" s="120"/>
    </row>
    <row r="227" spans="1:475" x14ac:dyDescent="0.3">
      <c r="A227" s="7">
        <v>28</v>
      </c>
      <c r="B227" s="7">
        <v>217</v>
      </c>
      <c r="C227" s="7" t="s">
        <v>276</v>
      </c>
      <c r="D227" s="7" t="s">
        <v>359</v>
      </c>
      <c r="E227" s="7" t="s">
        <v>369</v>
      </c>
      <c r="F227" s="7" t="s">
        <v>275</v>
      </c>
      <c r="G227" s="41" t="str">
        <f t="shared" si="36"/>
        <v>X</v>
      </c>
      <c r="H227" s="41">
        <f>INDEX(환산공식!CI$16:CI$301,MATCH('배치점수 계산기'!$W227,환산공식!$A$16:$A$301,0))</f>
        <v>100</v>
      </c>
      <c r="I227" s="41" t="str">
        <f>CONCATENATE(ROUND(INDEX(환산공식!CJ$16:CJ$301,MATCH('배치점수 계산기'!$W227,환산공식!$A$16:$A$301,0)),1),"%")</f>
        <v>100%</v>
      </c>
      <c r="J227" s="41">
        <f>INDEX(환산공식!CK$16:CK$301,MATCH('배치점수 계산기'!$W227,환산공식!$A$16:$A$301,0))</f>
        <v>0</v>
      </c>
      <c r="K227" s="7">
        <f>INDEX(환산공식!$EF$16:$EF$301,MATCH('배치점수 계산기'!W227,환산공식!$A$16:$A$301,0))</f>
        <v>0</v>
      </c>
      <c r="L227" s="41" t="str">
        <f t="shared" si="34"/>
        <v>1% 이하</v>
      </c>
      <c r="M227" s="7">
        <v>893.76218720491761</v>
      </c>
      <c r="N227" s="7">
        <v>890.0975130682416</v>
      </c>
      <c r="O227" s="7">
        <v>888.10438527047086</v>
      </c>
      <c r="P227" s="7">
        <v>886.40614087898848</v>
      </c>
      <c r="Q227" s="7">
        <v>884.04325707405178</v>
      </c>
      <c r="R227" s="7">
        <f t="shared" si="35"/>
        <v>6</v>
      </c>
      <c r="T227" s="7">
        <f>COUNTIF($C$11:C227,C227)</f>
        <v>149</v>
      </c>
      <c r="U227" s="7" t="str">
        <f t="shared" si="37"/>
        <v>가149</v>
      </c>
      <c r="V227" s="7" t="str">
        <f>INDEX(환산공식!$C$16:$C$301,MATCH('배치점수 계산기'!W227,환산공식!$A$16:$A$301,0))</f>
        <v>한양 통합</v>
      </c>
      <c r="W227" s="7">
        <f t="shared" si="38"/>
        <v>28</v>
      </c>
      <c r="X227" s="7">
        <f t="shared" si="39"/>
        <v>1</v>
      </c>
      <c r="Y227" s="7">
        <f>IFERROR(INDEX(환산공식!Q$16:Q$200,MATCH($A227,환산공식!$A$16:$A$200,0)),"")</f>
        <v>2.0134228187919465</v>
      </c>
      <c r="Z227" s="7">
        <f>IFERROR(INDEX(환산공식!R$16:R$200,MATCH($A227,환산공식!$A$16:$A$200,0)),"")</f>
        <v>2.0408163265306123</v>
      </c>
      <c r="AA227" s="7">
        <f>IFERROR(INDEX(환산공식!U$16:U$200,MATCH($A227,환산공식!$A$16:$A$200,0)),"")</f>
        <v>2.2727272727272729</v>
      </c>
      <c r="AB227" s="7">
        <f t="shared" si="40"/>
        <v>0.31822878228782286</v>
      </c>
      <c r="AC227" s="7">
        <f t="shared" si="41"/>
        <v>0.32255842558425585</v>
      </c>
      <c r="AD227" s="7">
        <f t="shared" si="42"/>
        <v>0.35921279212792129</v>
      </c>
      <c r="AE227" s="7">
        <f>INDEX(환산공식!$AF$16:$AF$301,MATCH('배치점수 계산기'!W227,환산공식!$A$16:$A$301,0))</f>
        <v>12</v>
      </c>
      <c r="AF227" s="7">
        <f>INDEX(환산공식!$AP$16:$AP$301,MATCH('배치점수 계산기'!W227,환산공식!$A$16:$A$301,0))</f>
        <v>42</v>
      </c>
      <c r="AG227" s="7" t="str">
        <f t="shared" si="43"/>
        <v>표점/만점</v>
      </c>
      <c r="AH227" s="7" t="str">
        <f t="shared" si="44"/>
        <v>변표/만점</v>
      </c>
      <c r="BO227" s="210"/>
      <c r="BP227" s="210"/>
      <c r="BQ227" s="210"/>
      <c r="BR227" s="210"/>
      <c r="BS227" s="210"/>
      <c r="BT227" s="210"/>
      <c r="BU227" s="210"/>
      <c r="BV227" s="210"/>
      <c r="BW227" s="210"/>
      <c r="BX227" s="210"/>
      <c r="BY227" s="210"/>
      <c r="BZ227" s="210"/>
      <c r="CA227" s="210"/>
      <c r="CB227" s="210"/>
      <c r="CC227" s="210"/>
      <c r="EM227" s="120"/>
      <c r="ET227" s="210"/>
      <c r="EU227" s="210"/>
      <c r="EV227" s="210"/>
      <c r="EW227" s="210"/>
      <c r="EX227" s="210"/>
      <c r="EY227" s="210"/>
      <c r="EZ227" s="210"/>
      <c r="FA227" s="210"/>
      <c r="FB227" s="210"/>
      <c r="FC227" s="210"/>
      <c r="FD227" s="210"/>
      <c r="FE227" s="210"/>
      <c r="FF227" s="210"/>
      <c r="FG227" s="210"/>
      <c r="FH227" s="210"/>
      <c r="HR227" s="120"/>
      <c r="HY227" s="210"/>
      <c r="HZ227" s="210"/>
      <c r="IA227" s="210"/>
      <c r="IB227" s="210"/>
      <c r="IC227" s="210"/>
      <c r="ID227" s="210"/>
      <c r="IE227" s="210"/>
      <c r="IF227" s="210"/>
      <c r="IG227" s="210"/>
      <c r="IH227" s="210"/>
      <c r="II227" s="210"/>
      <c r="IJ227" s="210"/>
      <c r="IK227" s="210"/>
      <c r="IL227" s="210"/>
      <c r="IM227" s="210"/>
      <c r="KW227" s="120"/>
      <c r="LD227" s="210"/>
      <c r="LE227" s="210"/>
      <c r="LF227" s="210"/>
      <c r="LG227" s="210"/>
      <c r="LH227" s="210"/>
      <c r="LI227" s="210"/>
      <c r="LJ227" s="210"/>
      <c r="LK227" s="210"/>
      <c r="LL227" s="210"/>
      <c r="LM227" s="210"/>
      <c r="LN227" s="210"/>
      <c r="LO227" s="210"/>
      <c r="LP227" s="210"/>
      <c r="LQ227" s="210"/>
      <c r="LR227" s="210"/>
      <c r="OB227" s="120"/>
      <c r="OI227" s="210"/>
      <c r="OJ227" s="210"/>
      <c r="OK227" s="210"/>
      <c r="OL227" s="210"/>
      <c r="OM227" s="210"/>
      <c r="ON227" s="210"/>
      <c r="OO227" s="210"/>
      <c r="OP227" s="210"/>
      <c r="OQ227" s="210"/>
      <c r="OR227" s="210"/>
      <c r="OS227" s="210"/>
      <c r="OT227" s="210"/>
      <c r="OU227" s="210"/>
      <c r="OV227" s="210"/>
      <c r="OW227" s="210"/>
      <c r="RG227" s="120"/>
    </row>
    <row r="228" spans="1:475" x14ac:dyDescent="0.3">
      <c r="A228" s="7">
        <v>28</v>
      </c>
      <c r="B228" s="7">
        <v>218</v>
      </c>
      <c r="C228" s="7" t="s">
        <v>346</v>
      </c>
      <c r="D228" s="7" t="s">
        <v>359</v>
      </c>
      <c r="E228" s="7" t="s">
        <v>301</v>
      </c>
      <c r="F228" s="7" t="s">
        <v>275</v>
      </c>
      <c r="G228" s="41" t="str">
        <f t="shared" si="36"/>
        <v>X</v>
      </c>
      <c r="H228" s="41">
        <f>INDEX(환산공식!CI$16:CI$301,MATCH('배치점수 계산기'!$W228,환산공식!$A$16:$A$301,0))</f>
        <v>100</v>
      </c>
      <c r="I228" s="41" t="str">
        <f>CONCATENATE(ROUND(INDEX(환산공식!CJ$16:CJ$301,MATCH('배치점수 계산기'!$W228,환산공식!$A$16:$A$301,0)),1),"%")</f>
        <v>100%</v>
      </c>
      <c r="J228" s="41">
        <f>INDEX(환산공식!CK$16:CK$301,MATCH('배치점수 계산기'!$W228,환산공식!$A$16:$A$301,0))</f>
        <v>0</v>
      </c>
      <c r="K228" s="7">
        <f>INDEX(환산공식!$EF$16:$EF$301,MATCH('배치점수 계산기'!W228,환산공식!$A$16:$A$301,0))</f>
        <v>0</v>
      </c>
      <c r="L228" s="41" t="str">
        <f t="shared" si="34"/>
        <v>1% 이하</v>
      </c>
      <c r="M228" s="7">
        <v>897.98655339147854</v>
      </c>
      <c r="N228" s="7">
        <v>894.82481854709772</v>
      </c>
      <c r="O228" s="7">
        <v>891.73058398555077</v>
      </c>
      <c r="P228" s="7">
        <v>886.40614087898848</v>
      </c>
      <c r="Q228" s="7">
        <v>884.04325707405178</v>
      </c>
      <c r="R228" s="7">
        <f t="shared" si="35"/>
        <v>6</v>
      </c>
      <c r="T228" s="7">
        <f>COUNTIF($C$11:C228,C228)</f>
        <v>69</v>
      </c>
      <c r="U228" s="7" t="str">
        <f t="shared" si="37"/>
        <v>나69</v>
      </c>
      <c r="V228" s="7" t="str">
        <f>INDEX(환산공식!$C$16:$C$301,MATCH('배치점수 계산기'!W228,환산공식!$A$16:$A$301,0))</f>
        <v>한양 통합</v>
      </c>
      <c r="W228" s="7">
        <f t="shared" si="38"/>
        <v>28</v>
      </c>
      <c r="X228" s="7">
        <f t="shared" si="39"/>
        <v>1</v>
      </c>
      <c r="Y228" s="7">
        <f>IFERROR(INDEX(환산공식!Q$16:Q$200,MATCH($A228,환산공식!$A$16:$A$200,0)),"")</f>
        <v>2.0134228187919465</v>
      </c>
      <c r="Z228" s="7">
        <f>IFERROR(INDEX(환산공식!R$16:R$200,MATCH($A228,환산공식!$A$16:$A$200,0)),"")</f>
        <v>2.0408163265306123</v>
      </c>
      <c r="AA228" s="7">
        <f>IFERROR(INDEX(환산공식!U$16:U$200,MATCH($A228,환산공식!$A$16:$A$200,0)),"")</f>
        <v>2.2727272727272729</v>
      </c>
      <c r="AB228" s="7">
        <f t="shared" si="40"/>
        <v>0.31822878228782286</v>
      </c>
      <c r="AC228" s="7">
        <f t="shared" si="41"/>
        <v>0.32255842558425585</v>
      </c>
      <c r="AD228" s="7">
        <f t="shared" si="42"/>
        <v>0.35921279212792129</v>
      </c>
      <c r="AE228" s="7">
        <f>INDEX(환산공식!$AF$16:$AF$301,MATCH('배치점수 계산기'!W228,환산공식!$A$16:$A$301,0))</f>
        <v>12</v>
      </c>
      <c r="AF228" s="7">
        <f>INDEX(환산공식!$AP$16:$AP$301,MATCH('배치점수 계산기'!W228,환산공식!$A$16:$A$301,0))</f>
        <v>42</v>
      </c>
      <c r="AG228" s="7" t="str">
        <f t="shared" si="43"/>
        <v>표점/만점</v>
      </c>
      <c r="AH228" s="7" t="str">
        <f t="shared" si="44"/>
        <v>변표/만점</v>
      </c>
      <c r="BO228" s="210"/>
      <c r="BP228" s="210"/>
      <c r="BQ228" s="210"/>
      <c r="BR228" s="210"/>
      <c r="BS228" s="210"/>
      <c r="BT228" s="210"/>
      <c r="BU228" s="210"/>
      <c r="BV228" s="210"/>
      <c r="BW228" s="210"/>
      <c r="BX228" s="210"/>
      <c r="BY228" s="210"/>
      <c r="BZ228" s="210"/>
      <c r="CA228" s="210"/>
      <c r="CB228" s="210"/>
      <c r="CC228" s="210"/>
      <c r="EM228" s="120"/>
      <c r="ET228" s="210"/>
      <c r="EU228" s="210"/>
      <c r="EV228" s="210"/>
      <c r="EW228" s="210"/>
      <c r="EX228" s="210"/>
      <c r="EY228" s="210"/>
      <c r="EZ228" s="210"/>
      <c r="FA228" s="210"/>
      <c r="FB228" s="210"/>
      <c r="FC228" s="210"/>
      <c r="FD228" s="210"/>
      <c r="FE228" s="210"/>
      <c r="FF228" s="210"/>
      <c r="FG228" s="210"/>
      <c r="FH228" s="210"/>
      <c r="HR228" s="120"/>
      <c r="HY228" s="210"/>
      <c r="HZ228" s="210"/>
      <c r="IA228" s="210"/>
      <c r="IB228" s="210"/>
      <c r="IC228" s="210"/>
      <c r="ID228" s="210"/>
      <c r="IE228" s="210"/>
      <c r="IF228" s="210"/>
      <c r="IG228" s="210"/>
      <c r="IH228" s="210"/>
      <c r="II228" s="210"/>
      <c r="IJ228" s="210"/>
      <c r="IK228" s="210"/>
      <c r="IL228" s="210"/>
      <c r="IM228" s="210"/>
      <c r="KW228" s="120"/>
      <c r="LD228" s="210"/>
      <c r="LE228" s="210"/>
      <c r="LF228" s="210"/>
      <c r="LG228" s="210"/>
      <c r="LH228" s="210"/>
      <c r="LI228" s="210"/>
      <c r="LJ228" s="210"/>
      <c r="LK228" s="210"/>
      <c r="LL228" s="210"/>
      <c r="LM228" s="210"/>
      <c r="LN228" s="210"/>
      <c r="LO228" s="210"/>
      <c r="LP228" s="210"/>
      <c r="LQ228" s="210"/>
      <c r="LR228" s="210"/>
      <c r="OB228" s="120"/>
      <c r="OI228" s="210"/>
      <c r="OJ228" s="210"/>
      <c r="OK228" s="210"/>
      <c r="OL228" s="210"/>
      <c r="OM228" s="210"/>
      <c r="ON228" s="210"/>
      <c r="OO228" s="210"/>
      <c r="OP228" s="210"/>
      <c r="OQ228" s="210"/>
      <c r="OR228" s="210"/>
      <c r="OS228" s="210"/>
      <c r="OT228" s="210"/>
      <c r="OU228" s="210"/>
      <c r="OV228" s="210"/>
      <c r="OW228" s="210"/>
      <c r="RG228" s="120"/>
    </row>
    <row r="229" spans="1:475" x14ac:dyDescent="0.3">
      <c r="A229" s="7">
        <v>2802</v>
      </c>
      <c r="B229" s="7">
        <v>219</v>
      </c>
      <c r="C229" s="7" t="s">
        <v>276</v>
      </c>
      <c r="D229" s="7" t="s">
        <v>359</v>
      </c>
      <c r="E229" s="7" t="s">
        <v>370</v>
      </c>
      <c r="F229" s="7" t="s">
        <v>275</v>
      </c>
      <c r="G229" s="41" t="str">
        <f t="shared" si="36"/>
        <v>X</v>
      </c>
      <c r="H229" s="41">
        <f>INDEX(환산공식!CI$16:CI$301,MATCH('배치점수 계산기'!$W229,환산공식!$A$16:$A$301,0))</f>
        <v>100</v>
      </c>
      <c r="I229" s="41" t="str">
        <f>CONCATENATE(ROUND(INDEX(환산공식!CJ$16:CJ$301,MATCH('배치점수 계산기'!$W229,환산공식!$A$16:$A$301,0)),1),"%")</f>
        <v>100%</v>
      </c>
      <c r="J229" s="41">
        <f>INDEX(환산공식!CK$16:CK$301,MATCH('배치점수 계산기'!$W229,환산공식!$A$16:$A$301,0))</f>
        <v>0</v>
      </c>
      <c r="K229" s="7">
        <f>INDEX(환산공식!$EF$16:$EF$301,MATCH('배치점수 계산기'!W229,환산공식!$A$16:$A$301,0))</f>
        <v>0</v>
      </c>
      <c r="L229" s="41" t="str">
        <f t="shared" si="34"/>
        <v>1% 이하</v>
      </c>
      <c r="M229" s="7">
        <v>879.20854446169596</v>
      </c>
      <c r="N229" s="7">
        <v>873.48133654425033</v>
      </c>
      <c r="O229" s="7">
        <v>871.93137005521521</v>
      </c>
      <c r="P229" s="7">
        <v>870.64250451535213</v>
      </c>
      <c r="Q229" s="7">
        <v>867.80367248645393</v>
      </c>
      <c r="R229" s="7">
        <f t="shared" si="35"/>
        <v>6</v>
      </c>
      <c r="T229" s="7">
        <f>COUNTIF($C$11:C229,C229)</f>
        <v>150</v>
      </c>
      <c r="U229" s="7" t="str">
        <f t="shared" si="37"/>
        <v>가150</v>
      </c>
      <c r="V229" s="7" t="str">
        <f>INDEX(환산공식!$C$16:$C$301,MATCH('배치점수 계산기'!W229,환산공식!$A$16:$A$301,0))</f>
        <v>한양 상경</v>
      </c>
      <c r="W229" s="7">
        <f t="shared" si="38"/>
        <v>2802</v>
      </c>
      <c r="X229" s="7">
        <f t="shared" si="39"/>
        <v>1</v>
      </c>
      <c r="Y229" s="7">
        <f>IFERROR(INDEX(환산공식!Q$16:Q$200,MATCH($A229,환산공식!$A$16:$A$200,0)),"")</f>
        <v>2.0134228187919465</v>
      </c>
      <c r="Z229" s="7">
        <f>IFERROR(INDEX(환산공식!R$16:R$200,MATCH($A229,환산공식!$A$16:$A$200,0)),"")</f>
        <v>2.7210884353741496</v>
      </c>
      <c r="AA229" s="7">
        <f>IFERROR(INDEX(환산공식!U$16:U$200,MATCH($A229,환산공식!$A$16:$A$200,0)),"")</f>
        <v>1.5151515151515151</v>
      </c>
      <c r="AB229" s="7">
        <f t="shared" si="40"/>
        <v>0.32216503403619462</v>
      </c>
      <c r="AC229" s="7">
        <f t="shared" si="41"/>
        <v>0.4353976423709115</v>
      </c>
      <c r="AD229" s="7">
        <f t="shared" si="42"/>
        <v>0.24243732359289391</v>
      </c>
      <c r="AE229" s="7">
        <f>INDEX(환산공식!$AF$16:$AF$301,MATCH('배치점수 계산기'!W229,환산공식!$A$16:$A$301,0))</f>
        <v>12</v>
      </c>
      <c r="AF229" s="7">
        <f>INDEX(환산공식!$AP$16:$AP$301,MATCH('배치점수 계산기'!W229,환산공식!$A$16:$A$301,0))</f>
        <v>42</v>
      </c>
      <c r="AG229" s="7" t="str">
        <f t="shared" si="43"/>
        <v>표점/만점</v>
      </c>
      <c r="AH229" s="7" t="str">
        <f t="shared" si="44"/>
        <v>변표/만점</v>
      </c>
      <c r="BO229" s="210"/>
      <c r="BP229" s="210"/>
      <c r="BQ229" s="210"/>
      <c r="BR229" s="210"/>
      <c r="BS229" s="210"/>
      <c r="BT229" s="210"/>
      <c r="BU229" s="210"/>
      <c r="BV229" s="210"/>
      <c r="BW229" s="210"/>
      <c r="BX229" s="210"/>
      <c r="BY229" s="210"/>
      <c r="BZ229" s="210"/>
      <c r="CA229" s="210"/>
      <c r="CB229" s="210"/>
      <c r="CC229" s="210"/>
      <c r="EM229" s="120"/>
      <c r="ET229" s="210"/>
      <c r="EU229" s="210"/>
      <c r="EV229" s="210"/>
      <c r="EW229" s="210"/>
      <c r="EX229" s="210"/>
      <c r="EY229" s="210"/>
      <c r="EZ229" s="210"/>
      <c r="FA229" s="210"/>
      <c r="FB229" s="210"/>
      <c r="FC229" s="210"/>
      <c r="FD229" s="210"/>
      <c r="FE229" s="210"/>
      <c r="FF229" s="210"/>
      <c r="FG229" s="210"/>
      <c r="FH229" s="210"/>
      <c r="HR229" s="120"/>
      <c r="HY229" s="210"/>
      <c r="HZ229" s="210"/>
      <c r="IA229" s="210"/>
      <c r="IB229" s="210"/>
      <c r="IC229" s="210"/>
      <c r="ID229" s="210"/>
      <c r="IE229" s="210"/>
      <c r="IF229" s="210"/>
      <c r="IG229" s="210"/>
      <c r="IH229" s="210"/>
      <c r="II229" s="210"/>
      <c r="IJ229" s="210"/>
      <c r="IK229" s="210"/>
      <c r="IL229" s="210"/>
      <c r="IM229" s="210"/>
      <c r="KW229" s="120"/>
      <c r="LD229" s="210"/>
      <c r="LE229" s="210"/>
      <c r="LF229" s="210"/>
      <c r="LG229" s="210"/>
      <c r="LH229" s="210"/>
      <c r="LI229" s="210"/>
      <c r="LJ229" s="210"/>
      <c r="LK229" s="210"/>
      <c r="LL229" s="210"/>
      <c r="LM229" s="210"/>
      <c r="LN229" s="210"/>
      <c r="LO229" s="210"/>
      <c r="LP229" s="210"/>
      <c r="LQ229" s="210"/>
      <c r="LR229" s="210"/>
      <c r="OB229" s="120"/>
      <c r="OI229" s="210"/>
      <c r="OJ229" s="210"/>
      <c r="OK229" s="210"/>
      <c r="OL229" s="210"/>
      <c r="OM229" s="210"/>
      <c r="ON229" s="210"/>
      <c r="OO229" s="210"/>
      <c r="OP229" s="210"/>
      <c r="OQ229" s="210"/>
      <c r="OR229" s="210"/>
      <c r="OS229" s="210"/>
      <c r="OT229" s="210"/>
      <c r="OU229" s="210"/>
      <c r="OV229" s="210"/>
      <c r="OW229" s="210"/>
      <c r="RG229" s="120"/>
    </row>
    <row r="230" spans="1:475" x14ac:dyDescent="0.3">
      <c r="A230" s="7">
        <v>2802</v>
      </c>
      <c r="B230" s="7">
        <v>220</v>
      </c>
      <c r="C230" s="7" t="s">
        <v>276</v>
      </c>
      <c r="D230" s="7" t="s">
        <v>359</v>
      </c>
      <c r="E230" s="7" t="s">
        <v>262</v>
      </c>
      <c r="F230" s="7" t="s">
        <v>275</v>
      </c>
      <c r="G230" s="41" t="str">
        <f t="shared" si="36"/>
        <v>X</v>
      </c>
      <c r="H230" s="41">
        <f>INDEX(환산공식!CI$16:CI$301,MATCH('배치점수 계산기'!$W230,환산공식!$A$16:$A$301,0))</f>
        <v>100</v>
      </c>
      <c r="I230" s="41" t="str">
        <f>CONCATENATE(ROUND(INDEX(환산공식!CJ$16:CJ$301,MATCH('배치점수 계산기'!$W230,환산공식!$A$16:$A$301,0)),1),"%")</f>
        <v>100%</v>
      </c>
      <c r="J230" s="41">
        <f>INDEX(환산공식!CK$16:CK$301,MATCH('배치점수 계산기'!$W230,환산공식!$A$16:$A$301,0))</f>
        <v>0</v>
      </c>
      <c r="K230" s="7">
        <f>INDEX(환산공식!$EF$16:$EF$301,MATCH('배치점수 계산기'!W230,환산공식!$A$16:$A$301,0))</f>
        <v>0</v>
      </c>
      <c r="L230" s="41" t="str">
        <f t="shared" si="34"/>
        <v>1% 이하</v>
      </c>
      <c r="M230" s="7">
        <v>879.20854446169596</v>
      </c>
      <c r="N230" s="7">
        <v>873.48133654425033</v>
      </c>
      <c r="O230" s="7">
        <v>871.93137005521521</v>
      </c>
      <c r="P230" s="7">
        <v>870.64250451535213</v>
      </c>
      <c r="Q230" s="7">
        <v>867.80367248645393</v>
      </c>
      <c r="R230" s="7">
        <f t="shared" si="35"/>
        <v>6</v>
      </c>
      <c r="T230" s="7">
        <f>COUNTIF($C$11:C230,C230)</f>
        <v>151</v>
      </c>
      <c r="U230" s="7" t="str">
        <f t="shared" si="37"/>
        <v>가151</v>
      </c>
      <c r="V230" s="7" t="str">
        <f>INDEX(환산공식!$C$16:$C$301,MATCH('배치점수 계산기'!W230,환산공식!$A$16:$A$301,0))</f>
        <v>한양 상경</v>
      </c>
      <c r="W230" s="7">
        <f t="shared" si="38"/>
        <v>2802</v>
      </c>
      <c r="X230" s="7">
        <f t="shared" si="39"/>
        <v>1</v>
      </c>
      <c r="Y230" s="7">
        <f>IFERROR(INDEX(환산공식!Q$16:Q$200,MATCH($A230,환산공식!$A$16:$A$200,0)),"")</f>
        <v>2.0134228187919465</v>
      </c>
      <c r="Z230" s="7">
        <f>IFERROR(INDEX(환산공식!R$16:R$200,MATCH($A230,환산공식!$A$16:$A$200,0)),"")</f>
        <v>2.7210884353741496</v>
      </c>
      <c r="AA230" s="7">
        <f>IFERROR(INDEX(환산공식!U$16:U$200,MATCH($A230,환산공식!$A$16:$A$200,0)),"")</f>
        <v>1.5151515151515151</v>
      </c>
      <c r="AB230" s="7">
        <f t="shared" si="40"/>
        <v>0.32216503403619462</v>
      </c>
      <c r="AC230" s="7">
        <f t="shared" si="41"/>
        <v>0.4353976423709115</v>
      </c>
      <c r="AD230" s="7">
        <f t="shared" si="42"/>
        <v>0.24243732359289391</v>
      </c>
      <c r="AE230" s="7">
        <f>INDEX(환산공식!$AF$16:$AF$301,MATCH('배치점수 계산기'!W230,환산공식!$A$16:$A$301,0))</f>
        <v>12</v>
      </c>
      <c r="AF230" s="7">
        <f>INDEX(환산공식!$AP$16:$AP$301,MATCH('배치점수 계산기'!W230,환산공식!$A$16:$A$301,0))</f>
        <v>42</v>
      </c>
      <c r="AG230" s="7" t="str">
        <f t="shared" si="43"/>
        <v>표점/만점</v>
      </c>
      <c r="AH230" s="7" t="str">
        <f t="shared" si="44"/>
        <v>변표/만점</v>
      </c>
      <c r="BO230" s="210"/>
      <c r="BP230" s="210"/>
      <c r="BQ230" s="210"/>
      <c r="BR230" s="210"/>
      <c r="BS230" s="210"/>
      <c r="BT230" s="210"/>
      <c r="BU230" s="210"/>
      <c r="BV230" s="210"/>
      <c r="BW230" s="210"/>
      <c r="BX230" s="210"/>
      <c r="BY230" s="210"/>
      <c r="BZ230" s="210"/>
      <c r="CA230" s="210"/>
      <c r="CB230" s="210"/>
      <c r="CC230" s="210"/>
      <c r="EM230" s="120"/>
      <c r="ET230" s="210"/>
      <c r="EU230" s="210"/>
      <c r="EV230" s="210"/>
      <c r="EW230" s="210"/>
      <c r="EX230" s="210"/>
      <c r="EY230" s="210"/>
      <c r="EZ230" s="210"/>
      <c r="FA230" s="210"/>
      <c r="FB230" s="210"/>
      <c r="FC230" s="210"/>
      <c r="FD230" s="210"/>
      <c r="FE230" s="210"/>
      <c r="FF230" s="210"/>
      <c r="FG230" s="210"/>
      <c r="FH230" s="210"/>
      <c r="HR230" s="120"/>
      <c r="HY230" s="210"/>
      <c r="HZ230" s="210"/>
      <c r="IA230" s="210"/>
      <c r="IB230" s="210"/>
      <c r="IC230" s="210"/>
      <c r="ID230" s="210"/>
      <c r="IE230" s="210"/>
      <c r="IF230" s="210"/>
      <c r="IG230" s="210"/>
      <c r="IH230" s="210"/>
      <c r="II230" s="210"/>
      <c r="IJ230" s="210"/>
      <c r="IK230" s="210"/>
      <c r="IL230" s="210"/>
      <c r="IM230" s="210"/>
      <c r="KW230" s="120"/>
      <c r="LD230" s="210"/>
      <c r="LE230" s="210"/>
      <c r="LF230" s="210"/>
      <c r="LG230" s="210"/>
      <c r="LH230" s="210"/>
      <c r="LI230" s="210"/>
      <c r="LJ230" s="210"/>
      <c r="LK230" s="210"/>
      <c r="LL230" s="210"/>
      <c r="LM230" s="210"/>
      <c r="LN230" s="210"/>
      <c r="LO230" s="210"/>
      <c r="LP230" s="210"/>
      <c r="LQ230" s="210"/>
      <c r="LR230" s="210"/>
      <c r="OB230" s="120"/>
      <c r="OI230" s="210"/>
      <c r="OJ230" s="210"/>
      <c r="OK230" s="210"/>
      <c r="OL230" s="210"/>
      <c r="OM230" s="210"/>
      <c r="ON230" s="210"/>
      <c r="OO230" s="210"/>
      <c r="OP230" s="210"/>
      <c r="OQ230" s="210"/>
      <c r="OR230" s="210"/>
      <c r="OS230" s="210"/>
      <c r="OT230" s="210"/>
      <c r="OU230" s="210"/>
      <c r="OV230" s="210"/>
      <c r="OW230" s="210"/>
      <c r="RG230" s="120"/>
    </row>
    <row r="231" spans="1:475" x14ac:dyDescent="0.3">
      <c r="A231" s="7">
        <v>2802</v>
      </c>
      <c r="B231" s="7">
        <v>221</v>
      </c>
      <c r="C231" s="7" t="s">
        <v>346</v>
      </c>
      <c r="D231" s="7" t="s">
        <v>359</v>
      </c>
      <c r="E231" s="7" t="s">
        <v>371</v>
      </c>
      <c r="F231" s="7" t="s">
        <v>275</v>
      </c>
      <c r="G231" s="41" t="str">
        <f t="shared" si="36"/>
        <v>X</v>
      </c>
      <c r="H231" s="41">
        <f>INDEX(환산공식!CI$16:CI$301,MATCH('배치점수 계산기'!$W231,환산공식!$A$16:$A$301,0))</f>
        <v>100</v>
      </c>
      <c r="I231" s="41" t="str">
        <f>CONCATENATE(ROUND(INDEX(환산공식!CJ$16:CJ$301,MATCH('배치점수 계산기'!$W231,환산공식!$A$16:$A$301,0)),1),"%")</f>
        <v>100%</v>
      </c>
      <c r="J231" s="41">
        <f>INDEX(환산공식!CK$16:CK$301,MATCH('배치점수 계산기'!$W231,환산공식!$A$16:$A$301,0))</f>
        <v>0</v>
      </c>
      <c r="K231" s="7">
        <f>INDEX(환산공식!$EF$16:$EF$301,MATCH('배치점수 계산기'!W231,환산공식!$A$16:$A$301,0))</f>
        <v>0</v>
      </c>
      <c r="L231" s="41" t="str">
        <f t="shared" si="34"/>
        <v>1% 이하</v>
      </c>
      <c r="M231" s="7">
        <v>891.56451321103077</v>
      </c>
      <c r="N231" s="7">
        <v>889.8114790286977</v>
      </c>
      <c r="O231" s="7">
        <v>887.32622729961236</v>
      </c>
      <c r="P231" s="7">
        <v>884.82060090080336</v>
      </c>
      <c r="Q231" s="7">
        <v>879.60854446169606</v>
      </c>
      <c r="R231" s="7">
        <f t="shared" si="35"/>
        <v>6</v>
      </c>
      <c r="T231" s="7">
        <f>COUNTIF($C$11:C231,C231)</f>
        <v>70</v>
      </c>
      <c r="U231" s="7" t="str">
        <f t="shared" si="37"/>
        <v>나70</v>
      </c>
      <c r="V231" s="7" t="str">
        <f>INDEX(환산공식!$C$16:$C$301,MATCH('배치점수 계산기'!W231,환산공식!$A$16:$A$301,0))</f>
        <v>한양 상경</v>
      </c>
      <c r="W231" s="7">
        <f t="shared" si="38"/>
        <v>2802</v>
      </c>
      <c r="X231" s="7">
        <f t="shared" si="39"/>
        <v>1</v>
      </c>
      <c r="Y231" s="7">
        <f>IFERROR(INDEX(환산공식!Q$16:Q$200,MATCH($A231,환산공식!$A$16:$A$200,0)),"")</f>
        <v>2.0134228187919465</v>
      </c>
      <c r="Z231" s="7">
        <f>IFERROR(INDEX(환산공식!R$16:R$200,MATCH($A231,환산공식!$A$16:$A$200,0)),"")</f>
        <v>2.7210884353741496</v>
      </c>
      <c r="AA231" s="7">
        <f>IFERROR(INDEX(환산공식!U$16:U$200,MATCH($A231,환산공식!$A$16:$A$200,0)),"")</f>
        <v>1.5151515151515151</v>
      </c>
      <c r="AB231" s="7">
        <f t="shared" si="40"/>
        <v>0.32216503403619462</v>
      </c>
      <c r="AC231" s="7">
        <f t="shared" si="41"/>
        <v>0.4353976423709115</v>
      </c>
      <c r="AD231" s="7">
        <f t="shared" si="42"/>
        <v>0.24243732359289391</v>
      </c>
      <c r="AE231" s="7">
        <f>INDEX(환산공식!$AF$16:$AF$301,MATCH('배치점수 계산기'!W231,환산공식!$A$16:$A$301,0))</f>
        <v>12</v>
      </c>
      <c r="AF231" s="7">
        <f>INDEX(환산공식!$AP$16:$AP$301,MATCH('배치점수 계산기'!W231,환산공식!$A$16:$A$301,0))</f>
        <v>42</v>
      </c>
      <c r="AG231" s="7" t="str">
        <f t="shared" si="43"/>
        <v>표점/만점</v>
      </c>
      <c r="AH231" s="7" t="str">
        <f t="shared" si="44"/>
        <v>변표/만점</v>
      </c>
      <c r="BO231" s="210"/>
      <c r="BP231" s="210"/>
      <c r="BQ231" s="210"/>
      <c r="BR231" s="210"/>
      <c r="BS231" s="210"/>
      <c r="BT231" s="210"/>
      <c r="BU231" s="210"/>
      <c r="BV231" s="210"/>
      <c r="BW231" s="210"/>
      <c r="BX231" s="210"/>
      <c r="BY231" s="210"/>
      <c r="BZ231" s="210"/>
      <c r="CA231" s="210"/>
      <c r="CB231" s="210"/>
      <c r="CC231" s="210"/>
      <c r="EM231" s="120"/>
      <c r="ET231" s="210"/>
      <c r="EU231" s="210"/>
      <c r="EV231" s="210"/>
      <c r="EW231" s="210"/>
      <c r="EX231" s="210"/>
      <c r="EY231" s="210"/>
      <c r="EZ231" s="210"/>
      <c r="FA231" s="210"/>
      <c r="FB231" s="210"/>
      <c r="FC231" s="210"/>
      <c r="FD231" s="210"/>
      <c r="FE231" s="210"/>
      <c r="FF231" s="210"/>
      <c r="FG231" s="210"/>
      <c r="FH231" s="210"/>
      <c r="HR231" s="120"/>
      <c r="HY231" s="210"/>
      <c r="HZ231" s="210"/>
      <c r="IA231" s="210"/>
      <c r="IB231" s="210"/>
      <c r="IC231" s="210"/>
      <c r="ID231" s="210"/>
      <c r="IE231" s="210"/>
      <c r="IF231" s="210"/>
      <c r="IG231" s="210"/>
      <c r="IH231" s="210"/>
      <c r="II231" s="210"/>
      <c r="IJ231" s="210"/>
      <c r="IK231" s="210"/>
      <c r="IL231" s="210"/>
      <c r="IM231" s="210"/>
      <c r="KW231" s="120"/>
      <c r="LD231" s="210"/>
      <c r="LE231" s="210"/>
      <c r="LF231" s="210"/>
      <c r="LG231" s="210"/>
      <c r="LH231" s="210"/>
      <c r="LI231" s="210"/>
      <c r="LJ231" s="210"/>
      <c r="LK231" s="210"/>
      <c r="LL231" s="210"/>
      <c r="LM231" s="210"/>
      <c r="LN231" s="210"/>
      <c r="LO231" s="210"/>
      <c r="LP231" s="210"/>
      <c r="LQ231" s="210"/>
      <c r="LR231" s="210"/>
      <c r="OB231" s="120"/>
      <c r="OI231" s="210"/>
      <c r="OJ231" s="210"/>
      <c r="OK231" s="210"/>
      <c r="OL231" s="210"/>
      <c r="OM231" s="210"/>
      <c r="ON231" s="210"/>
      <c r="OO231" s="210"/>
      <c r="OP231" s="210"/>
      <c r="OQ231" s="210"/>
      <c r="OR231" s="210"/>
      <c r="OS231" s="210"/>
      <c r="OT231" s="210"/>
      <c r="OU231" s="210"/>
      <c r="OV231" s="210"/>
      <c r="OW231" s="210"/>
      <c r="RG231" s="120"/>
    </row>
    <row r="232" spans="1:475" x14ac:dyDescent="0.3">
      <c r="A232" s="7">
        <v>28</v>
      </c>
      <c r="B232" s="7">
        <v>222</v>
      </c>
      <c r="C232" s="7" t="s">
        <v>276</v>
      </c>
      <c r="D232" s="7" t="s">
        <v>359</v>
      </c>
      <c r="E232" s="7" t="s">
        <v>302</v>
      </c>
      <c r="F232" s="7" t="s">
        <v>275</v>
      </c>
      <c r="G232" s="41" t="str">
        <f t="shared" si="36"/>
        <v>X</v>
      </c>
      <c r="H232" s="41">
        <f>INDEX(환산공식!CI$16:CI$301,MATCH('배치점수 계산기'!$W232,환산공식!$A$16:$A$301,0))</f>
        <v>100</v>
      </c>
      <c r="I232" s="41" t="str">
        <f>CONCATENATE(ROUND(INDEX(환산공식!CJ$16:CJ$301,MATCH('배치점수 계산기'!$W232,환산공식!$A$16:$A$301,0)),1),"%")</f>
        <v>100%</v>
      </c>
      <c r="J232" s="41">
        <f>INDEX(환산공식!CK$16:CK$301,MATCH('배치점수 계산기'!$W232,환산공식!$A$16:$A$301,0))</f>
        <v>0</v>
      </c>
      <c r="K232" s="7">
        <f>INDEX(환산공식!$EF$16:$EF$301,MATCH('배치점수 계산기'!W232,환산공식!$A$16:$A$301,0))</f>
        <v>0</v>
      </c>
      <c r="L232" s="41" t="str">
        <f t="shared" si="34"/>
        <v>1% 이하</v>
      </c>
      <c r="M232" s="7">
        <v>887.50442116561442</v>
      </c>
      <c r="N232" s="7">
        <v>885.80614087898846</v>
      </c>
      <c r="O232" s="7">
        <v>884.17410719901818</v>
      </c>
      <c r="P232" s="7">
        <v>883.11247862797541</v>
      </c>
      <c r="Q232" s="7">
        <v>882.41116859035913</v>
      </c>
      <c r="R232" s="7">
        <f t="shared" si="35"/>
        <v>6</v>
      </c>
      <c r="T232" s="7">
        <f>COUNTIF($C$11:C232,C232)</f>
        <v>152</v>
      </c>
      <c r="U232" s="7" t="str">
        <f t="shared" si="37"/>
        <v>가152</v>
      </c>
      <c r="V232" s="7" t="str">
        <f>INDEX(환산공식!$C$16:$C$301,MATCH('배치점수 계산기'!W232,환산공식!$A$16:$A$301,0))</f>
        <v>한양 통합</v>
      </c>
      <c r="W232" s="7">
        <f t="shared" si="38"/>
        <v>28</v>
      </c>
      <c r="X232" s="7">
        <f t="shared" si="39"/>
        <v>1</v>
      </c>
      <c r="Y232" s="7">
        <f>IFERROR(INDEX(환산공식!Q$16:Q$200,MATCH($A232,환산공식!$A$16:$A$200,0)),"")</f>
        <v>2.0134228187919465</v>
      </c>
      <c r="Z232" s="7">
        <f>IFERROR(INDEX(환산공식!R$16:R$200,MATCH($A232,환산공식!$A$16:$A$200,0)),"")</f>
        <v>2.0408163265306123</v>
      </c>
      <c r="AA232" s="7">
        <f>IFERROR(INDEX(환산공식!U$16:U$200,MATCH($A232,환산공식!$A$16:$A$200,0)),"")</f>
        <v>2.2727272727272729</v>
      </c>
      <c r="AB232" s="7">
        <f t="shared" si="40"/>
        <v>0.31822878228782286</v>
      </c>
      <c r="AC232" s="7">
        <f t="shared" si="41"/>
        <v>0.32255842558425585</v>
      </c>
      <c r="AD232" s="7">
        <f t="shared" si="42"/>
        <v>0.35921279212792129</v>
      </c>
      <c r="AE232" s="7">
        <f>INDEX(환산공식!$AF$16:$AF$301,MATCH('배치점수 계산기'!W232,환산공식!$A$16:$A$301,0))</f>
        <v>12</v>
      </c>
      <c r="AF232" s="7">
        <f>INDEX(환산공식!$AP$16:$AP$301,MATCH('배치점수 계산기'!W232,환산공식!$A$16:$A$301,0))</f>
        <v>42</v>
      </c>
      <c r="AG232" s="7" t="str">
        <f t="shared" si="43"/>
        <v>표점/만점</v>
      </c>
      <c r="AH232" s="7" t="str">
        <f t="shared" si="44"/>
        <v>변표/만점</v>
      </c>
      <c r="BO232" s="210"/>
      <c r="BP232" s="210"/>
      <c r="BQ232" s="210"/>
      <c r="BR232" s="210"/>
      <c r="BS232" s="210"/>
      <c r="BT232" s="210"/>
      <c r="BU232" s="210"/>
      <c r="BV232" s="210"/>
      <c r="BW232" s="210"/>
      <c r="BX232" s="210"/>
      <c r="BY232" s="210"/>
      <c r="BZ232" s="210"/>
      <c r="CA232" s="210"/>
      <c r="CB232" s="210"/>
      <c r="CC232" s="210"/>
      <c r="EM232" s="120"/>
      <c r="ET232" s="210"/>
      <c r="EU232" s="210"/>
      <c r="EV232" s="210"/>
      <c r="EW232" s="210"/>
      <c r="EX232" s="210"/>
      <c r="EY232" s="210"/>
      <c r="EZ232" s="210"/>
      <c r="FA232" s="210"/>
      <c r="FB232" s="210"/>
      <c r="FC232" s="210"/>
      <c r="FD232" s="210"/>
      <c r="FE232" s="210"/>
      <c r="FF232" s="210"/>
      <c r="FG232" s="210"/>
      <c r="FH232" s="210"/>
      <c r="HR232" s="120"/>
      <c r="HY232" s="210"/>
      <c r="HZ232" s="210"/>
      <c r="IA232" s="210"/>
      <c r="IB232" s="210"/>
      <c r="IC232" s="210"/>
      <c r="ID232" s="210"/>
      <c r="IE232" s="210"/>
      <c r="IF232" s="210"/>
      <c r="IG232" s="210"/>
      <c r="IH232" s="210"/>
      <c r="II232" s="210"/>
      <c r="IJ232" s="210"/>
      <c r="IK232" s="210"/>
      <c r="IL232" s="210"/>
      <c r="IM232" s="210"/>
      <c r="KW232" s="120"/>
      <c r="LD232" s="210"/>
      <c r="LE232" s="210"/>
      <c r="LF232" s="210"/>
      <c r="LG232" s="210"/>
      <c r="LH232" s="210"/>
      <c r="LI232" s="210"/>
      <c r="LJ232" s="210"/>
      <c r="LK232" s="210"/>
      <c r="LL232" s="210"/>
      <c r="LM232" s="210"/>
      <c r="LN232" s="210"/>
      <c r="LO232" s="210"/>
      <c r="LP232" s="210"/>
      <c r="LQ232" s="210"/>
      <c r="LR232" s="210"/>
      <c r="OB232" s="120"/>
      <c r="OI232" s="210"/>
      <c r="OJ232" s="210"/>
      <c r="OK232" s="210"/>
      <c r="OL232" s="210"/>
      <c r="OM232" s="210"/>
      <c r="ON232" s="210"/>
      <c r="OO232" s="210"/>
      <c r="OP232" s="210"/>
      <c r="OQ232" s="210"/>
      <c r="OR232" s="210"/>
      <c r="OS232" s="210"/>
      <c r="OT232" s="210"/>
      <c r="OU232" s="210"/>
      <c r="OV232" s="210"/>
      <c r="OW232" s="210"/>
      <c r="RG232" s="120"/>
    </row>
    <row r="233" spans="1:475" x14ac:dyDescent="0.3">
      <c r="A233" s="7">
        <v>28</v>
      </c>
      <c r="B233" s="7">
        <v>223</v>
      </c>
      <c r="C233" s="7" t="s">
        <v>276</v>
      </c>
      <c r="D233" s="7" t="s">
        <v>359</v>
      </c>
      <c r="E233" s="7" t="s">
        <v>372</v>
      </c>
      <c r="F233" s="7" t="s">
        <v>275</v>
      </c>
      <c r="G233" s="41" t="str">
        <f t="shared" si="36"/>
        <v>X</v>
      </c>
      <c r="H233" s="41">
        <f>INDEX(환산공식!CI$16:CI$301,MATCH('배치점수 계산기'!$W233,환산공식!$A$16:$A$301,0))</f>
        <v>100</v>
      </c>
      <c r="I233" s="41" t="str">
        <f>CONCATENATE(ROUND(INDEX(환산공식!CJ$16:CJ$301,MATCH('배치점수 계산기'!$W233,환산공식!$A$16:$A$301,0)),1),"%")</f>
        <v>100%</v>
      </c>
      <c r="J233" s="41">
        <f>INDEX(환산공식!CK$16:CK$301,MATCH('배치점수 계산기'!$W233,환산공식!$A$16:$A$301,0))</f>
        <v>0</v>
      </c>
      <c r="K233" s="7">
        <f>INDEX(환산공식!$EF$16:$EF$301,MATCH('배치점수 계산기'!W233,환산공식!$A$16:$A$301,0))</f>
        <v>0</v>
      </c>
      <c r="L233" s="41" t="str">
        <f t="shared" si="34"/>
        <v>1% 이하</v>
      </c>
      <c r="M233" s="7">
        <v>887.50442116561442</v>
      </c>
      <c r="N233" s="7">
        <v>885.80614087898846</v>
      </c>
      <c r="O233" s="7">
        <v>884.17410719901818</v>
      </c>
      <c r="P233" s="7">
        <v>883.11247862797541</v>
      </c>
      <c r="Q233" s="7">
        <v>882.41116859035913</v>
      </c>
      <c r="R233" s="7">
        <f t="shared" si="35"/>
        <v>6</v>
      </c>
      <c r="T233" s="7">
        <f>COUNTIF($C$11:C233,C233)</f>
        <v>153</v>
      </c>
      <c r="U233" s="7" t="str">
        <f t="shared" si="37"/>
        <v>가153</v>
      </c>
      <c r="V233" s="7" t="str">
        <f>INDEX(환산공식!$C$16:$C$301,MATCH('배치점수 계산기'!W233,환산공식!$A$16:$A$301,0))</f>
        <v>한양 통합</v>
      </c>
      <c r="W233" s="7">
        <f t="shared" si="38"/>
        <v>28</v>
      </c>
      <c r="X233" s="7">
        <f t="shared" si="39"/>
        <v>1</v>
      </c>
      <c r="Y233" s="7">
        <f>IFERROR(INDEX(환산공식!Q$16:Q$200,MATCH($A233,환산공식!$A$16:$A$200,0)),"")</f>
        <v>2.0134228187919465</v>
      </c>
      <c r="Z233" s="7">
        <f>IFERROR(INDEX(환산공식!R$16:R$200,MATCH($A233,환산공식!$A$16:$A$200,0)),"")</f>
        <v>2.0408163265306123</v>
      </c>
      <c r="AA233" s="7">
        <f>IFERROR(INDEX(환산공식!U$16:U$200,MATCH($A233,환산공식!$A$16:$A$200,0)),"")</f>
        <v>2.2727272727272729</v>
      </c>
      <c r="AB233" s="7">
        <f t="shared" si="40"/>
        <v>0.31822878228782286</v>
      </c>
      <c r="AC233" s="7">
        <f t="shared" si="41"/>
        <v>0.32255842558425585</v>
      </c>
      <c r="AD233" s="7">
        <f t="shared" si="42"/>
        <v>0.35921279212792129</v>
      </c>
      <c r="AE233" s="7">
        <f>INDEX(환산공식!$AF$16:$AF$301,MATCH('배치점수 계산기'!W233,환산공식!$A$16:$A$301,0))</f>
        <v>12</v>
      </c>
      <c r="AF233" s="7">
        <f>INDEX(환산공식!$AP$16:$AP$301,MATCH('배치점수 계산기'!W233,환산공식!$A$16:$A$301,0))</f>
        <v>42</v>
      </c>
      <c r="AG233" s="7" t="str">
        <f t="shared" si="43"/>
        <v>표점/만점</v>
      </c>
      <c r="AH233" s="7" t="str">
        <f t="shared" si="44"/>
        <v>변표/만점</v>
      </c>
      <c r="BO233" s="210"/>
      <c r="BP233" s="210"/>
      <c r="BQ233" s="210"/>
      <c r="BR233" s="210"/>
      <c r="BS233" s="210"/>
      <c r="BT233" s="210"/>
      <c r="BU233" s="210"/>
      <c r="BV233" s="210"/>
      <c r="BW233" s="210"/>
      <c r="BX233" s="210"/>
      <c r="BY233" s="210"/>
      <c r="BZ233" s="210"/>
      <c r="CA233" s="210"/>
      <c r="CB233" s="210"/>
      <c r="CC233" s="210"/>
      <c r="EM233" s="120"/>
      <c r="ET233" s="210"/>
      <c r="EU233" s="210"/>
      <c r="EV233" s="210"/>
      <c r="EW233" s="210"/>
      <c r="EX233" s="210"/>
      <c r="EY233" s="210"/>
      <c r="EZ233" s="210"/>
      <c r="FA233" s="210"/>
      <c r="FB233" s="210"/>
      <c r="FC233" s="210"/>
      <c r="FD233" s="210"/>
      <c r="FE233" s="210"/>
      <c r="FF233" s="210"/>
      <c r="FG233" s="210"/>
      <c r="FH233" s="210"/>
      <c r="HR233" s="120"/>
      <c r="HY233" s="210"/>
      <c r="HZ233" s="210"/>
      <c r="IA233" s="210"/>
      <c r="IB233" s="210"/>
      <c r="IC233" s="210"/>
      <c r="ID233" s="210"/>
      <c r="IE233" s="210"/>
      <c r="IF233" s="210"/>
      <c r="IG233" s="210"/>
      <c r="IH233" s="210"/>
      <c r="II233" s="210"/>
      <c r="IJ233" s="210"/>
      <c r="IK233" s="210"/>
      <c r="IL233" s="210"/>
      <c r="IM233" s="210"/>
      <c r="KW233" s="120"/>
      <c r="LD233" s="210"/>
      <c r="LE233" s="210"/>
      <c r="LF233" s="210"/>
      <c r="LG233" s="210"/>
      <c r="LH233" s="210"/>
      <c r="LI233" s="210"/>
      <c r="LJ233" s="210"/>
      <c r="LK233" s="210"/>
      <c r="LL233" s="210"/>
      <c r="LM233" s="210"/>
      <c r="LN233" s="210"/>
      <c r="LO233" s="210"/>
      <c r="LP233" s="210"/>
      <c r="LQ233" s="210"/>
      <c r="LR233" s="210"/>
      <c r="OB233" s="120"/>
      <c r="OI233" s="210"/>
      <c r="OJ233" s="210"/>
      <c r="OK233" s="210"/>
      <c r="OL233" s="210"/>
      <c r="OM233" s="210"/>
      <c r="ON233" s="210"/>
      <c r="OO233" s="210"/>
      <c r="OP233" s="210"/>
      <c r="OQ233" s="210"/>
      <c r="OR233" s="210"/>
      <c r="OS233" s="210"/>
      <c r="OT233" s="210"/>
      <c r="OU233" s="210"/>
      <c r="OV233" s="210"/>
      <c r="OW233" s="210"/>
      <c r="RG233" s="120"/>
    </row>
    <row r="234" spans="1:475" x14ac:dyDescent="0.3">
      <c r="A234" s="7">
        <v>28</v>
      </c>
      <c r="B234" s="7">
        <v>224</v>
      </c>
      <c r="C234" s="7" t="s">
        <v>276</v>
      </c>
      <c r="D234" s="7" t="s">
        <v>359</v>
      </c>
      <c r="E234" s="7" t="s">
        <v>268</v>
      </c>
      <c r="F234" s="7" t="s">
        <v>275</v>
      </c>
      <c r="G234" s="41" t="str">
        <f t="shared" si="36"/>
        <v>X</v>
      </c>
      <c r="H234" s="41">
        <f>INDEX(환산공식!CI$16:CI$301,MATCH('배치점수 계산기'!$W234,환산공식!$A$16:$A$301,0))</f>
        <v>100</v>
      </c>
      <c r="I234" s="41" t="str">
        <f>CONCATENATE(ROUND(INDEX(환산공식!CJ$16:CJ$301,MATCH('배치점수 계산기'!$W234,환산공식!$A$16:$A$301,0)),1),"%")</f>
        <v>100%</v>
      </c>
      <c r="J234" s="41">
        <f>INDEX(환산공식!CK$16:CK$301,MATCH('배치점수 계산기'!$W234,환산공식!$A$16:$A$301,0))</f>
        <v>0</v>
      </c>
      <c r="K234" s="7">
        <f>INDEX(환산공식!$EF$16:$EF$301,MATCH('배치점수 계산기'!W234,환산공식!$A$16:$A$301,0))</f>
        <v>0</v>
      </c>
      <c r="L234" s="41" t="str">
        <f t="shared" si="34"/>
        <v>1% 이하</v>
      </c>
      <c r="M234" s="7">
        <v>887.50442116561442</v>
      </c>
      <c r="N234" s="7">
        <v>885.80614087898846</v>
      </c>
      <c r="O234" s="7">
        <v>884.17410719901818</v>
      </c>
      <c r="P234" s="7">
        <v>883.11247862797541</v>
      </c>
      <c r="Q234" s="7">
        <v>882.41116859035913</v>
      </c>
      <c r="R234" s="7">
        <f t="shared" si="35"/>
        <v>6</v>
      </c>
      <c r="T234" s="7">
        <f>COUNTIF($C$11:C234,C234)</f>
        <v>154</v>
      </c>
      <c r="U234" s="7" t="str">
        <f t="shared" si="37"/>
        <v>가154</v>
      </c>
      <c r="V234" s="7" t="str">
        <f>INDEX(환산공식!$C$16:$C$301,MATCH('배치점수 계산기'!W234,환산공식!$A$16:$A$301,0))</f>
        <v>한양 통합</v>
      </c>
      <c r="W234" s="7">
        <f t="shared" si="38"/>
        <v>28</v>
      </c>
      <c r="X234" s="7">
        <f t="shared" si="39"/>
        <v>1</v>
      </c>
      <c r="Y234" s="7">
        <f>IFERROR(INDEX(환산공식!Q$16:Q$200,MATCH($A234,환산공식!$A$16:$A$200,0)),"")</f>
        <v>2.0134228187919465</v>
      </c>
      <c r="Z234" s="7">
        <f>IFERROR(INDEX(환산공식!R$16:R$200,MATCH($A234,환산공식!$A$16:$A$200,0)),"")</f>
        <v>2.0408163265306123</v>
      </c>
      <c r="AA234" s="7">
        <f>IFERROR(INDEX(환산공식!U$16:U$200,MATCH($A234,환산공식!$A$16:$A$200,0)),"")</f>
        <v>2.2727272727272729</v>
      </c>
      <c r="AB234" s="7">
        <f t="shared" si="40"/>
        <v>0.31822878228782286</v>
      </c>
      <c r="AC234" s="7">
        <f t="shared" si="41"/>
        <v>0.32255842558425585</v>
      </c>
      <c r="AD234" s="7">
        <f t="shared" si="42"/>
        <v>0.35921279212792129</v>
      </c>
      <c r="AE234" s="7">
        <f>INDEX(환산공식!$AF$16:$AF$301,MATCH('배치점수 계산기'!W234,환산공식!$A$16:$A$301,0))</f>
        <v>12</v>
      </c>
      <c r="AF234" s="7">
        <f>INDEX(환산공식!$AP$16:$AP$301,MATCH('배치점수 계산기'!W234,환산공식!$A$16:$A$301,0))</f>
        <v>42</v>
      </c>
      <c r="AG234" s="7" t="str">
        <f t="shared" si="43"/>
        <v>표점/만점</v>
      </c>
      <c r="AH234" s="7" t="str">
        <f t="shared" si="44"/>
        <v>변표/만점</v>
      </c>
      <c r="BO234" s="210"/>
      <c r="BP234" s="210"/>
      <c r="BQ234" s="210"/>
      <c r="BR234" s="210"/>
      <c r="BS234" s="210"/>
      <c r="BT234" s="210"/>
      <c r="BU234" s="210"/>
      <c r="BV234" s="210"/>
      <c r="BW234" s="210"/>
      <c r="BX234" s="210"/>
      <c r="BY234" s="210"/>
      <c r="BZ234" s="210"/>
      <c r="CA234" s="210"/>
      <c r="CB234" s="210"/>
      <c r="CC234" s="210"/>
      <c r="EM234" s="120"/>
      <c r="ET234" s="210"/>
      <c r="EU234" s="210"/>
      <c r="EV234" s="210"/>
      <c r="EW234" s="210"/>
      <c r="EX234" s="210"/>
      <c r="EY234" s="210"/>
      <c r="EZ234" s="210"/>
      <c r="FA234" s="210"/>
      <c r="FB234" s="210"/>
      <c r="FC234" s="210"/>
      <c r="FD234" s="210"/>
      <c r="FE234" s="210"/>
      <c r="FF234" s="210"/>
      <c r="FG234" s="210"/>
      <c r="FH234" s="210"/>
      <c r="HR234" s="120"/>
      <c r="HY234" s="210"/>
      <c r="HZ234" s="210"/>
      <c r="IA234" s="210"/>
      <c r="IB234" s="210"/>
      <c r="IC234" s="210"/>
      <c r="ID234" s="210"/>
      <c r="IE234" s="210"/>
      <c r="IF234" s="210"/>
      <c r="IG234" s="210"/>
      <c r="IH234" s="210"/>
      <c r="II234" s="210"/>
      <c r="IJ234" s="210"/>
      <c r="IK234" s="210"/>
      <c r="IL234" s="210"/>
      <c r="IM234" s="210"/>
      <c r="KW234" s="120"/>
      <c r="LD234" s="210"/>
      <c r="LE234" s="210"/>
      <c r="LF234" s="210"/>
      <c r="LG234" s="210"/>
      <c r="LH234" s="210"/>
      <c r="LI234" s="210"/>
      <c r="LJ234" s="210"/>
      <c r="LK234" s="210"/>
      <c r="LL234" s="210"/>
      <c r="LM234" s="210"/>
      <c r="LN234" s="210"/>
      <c r="LO234" s="210"/>
      <c r="LP234" s="210"/>
      <c r="LQ234" s="210"/>
      <c r="LR234" s="210"/>
      <c r="OB234" s="120"/>
      <c r="OI234" s="210"/>
      <c r="OJ234" s="210"/>
      <c r="OK234" s="210"/>
      <c r="OL234" s="210"/>
      <c r="OM234" s="210"/>
      <c r="ON234" s="210"/>
      <c r="OO234" s="210"/>
      <c r="OP234" s="210"/>
      <c r="OQ234" s="210"/>
      <c r="OR234" s="210"/>
      <c r="OS234" s="210"/>
      <c r="OT234" s="210"/>
      <c r="OU234" s="210"/>
      <c r="OV234" s="210"/>
      <c r="OW234" s="210"/>
      <c r="RG234" s="120"/>
    </row>
    <row r="235" spans="1:475" x14ac:dyDescent="0.3">
      <c r="A235" s="7">
        <v>28</v>
      </c>
      <c r="B235" s="7">
        <v>225</v>
      </c>
      <c r="C235" s="7" t="s">
        <v>276</v>
      </c>
      <c r="D235" s="7" t="s">
        <v>359</v>
      </c>
      <c r="E235" s="7" t="s">
        <v>269</v>
      </c>
      <c r="F235" s="7" t="s">
        <v>275</v>
      </c>
      <c r="G235" s="41" t="str">
        <f t="shared" si="36"/>
        <v>X</v>
      </c>
      <c r="H235" s="41">
        <f>INDEX(환산공식!CI$16:CI$301,MATCH('배치점수 계산기'!$W235,환산공식!$A$16:$A$301,0))</f>
        <v>100</v>
      </c>
      <c r="I235" s="41" t="str">
        <f>CONCATENATE(ROUND(INDEX(환산공식!CJ$16:CJ$301,MATCH('배치점수 계산기'!$W235,환산공식!$A$16:$A$301,0)),1),"%")</f>
        <v>100%</v>
      </c>
      <c r="J235" s="41">
        <f>INDEX(환산공식!CK$16:CK$301,MATCH('배치점수 계산기'!$W235,환산공식!$A$16:$A$301,0))</f>
        <v>0</v>
      </c>
      <c r="K235" s="7">
        <f>INDEX(환산공식!$EF$16:$EF$301,MATCH('배치점수 계산기'!W235,환산공식!$A$16:$A$301,0))</f>
        <v>0</v>
      </c>
      <c r="L235" s="41" t="str">
        <f t="shared" si="34"/>
        <v>1% 이하</v>
      </c>
      <c r="M235" s="7">
        <v>887.50442116561442</v>
      </c>
      <c r="N235" s="7">
        <v>885.80614087898846</v>
      </c>
      <c r="O235" s="7">
        <v>884.17410719901818</v>
      </c>
      <c r="P235" s="7">
        <v>883.11247862797541</v>
      </c>
      <c r="Q235" s="7">
        <v>882.41116859035913</v>
      </c>
      <c r="R235" s="7">
        <f t="shared" si="35"/>
        <v>6</v>
      </c>
      <c r="T235" s="7">
        <f>COUNTIF($C$11:C235,C235)</f>
        <v>155</v>
      </c>
      <c r="U235" s="7" t="str">
        <f t="shared" si="37"/>
        <v>가155</v>
      </c>
      <c r="V235" s="7" t="str">
        <f>INDEX(환산공식!$C$16:$C$301,MATCH('배치점수 계산기'!W235,환산공식!$A$16:$A$301,0))</f>
        <v>한양 통합</v>
      </c>
      <c r="W235" s="7">
        <f t="shared" si="38"/>
        <v>28</v>
      </c>
      <c r="X235" s="7">
        <f t="shared" si="39"/>
        <v>1</v>
      </c>
      <c r="Y235" s="7">
        <f>IFERROR(INDEX(환산공식!Q$16:Q$200,MATCH($A235,환산공식!$A$16:$A$200,0)),"")</f>
        <v>2.0134228187919465</v>
      </c>
      <c r="Z235" s="7">
        <f>IFERROR(INDEX(환산공식!R$16:R$200,MATCH($A235,환산공식!$A$16:$A$200,0)),"")</f>
        <v>2.0408163265306123</v>
      </c>
      <c r="AA235" s="7">
        <f>IFERROR(INDEX(환산공식!U$16:U$200,MATCH($A235,환산공식!$A$16:$A$200,0)),"")</f>
        <v>2.2727272727272729</v>
      </c>
      <c r="AB235" s="7">
        <f t="shared" si="40"/>
        <v>0.31822878228782286</v>
      </c>
      <c r="AC235" s="7">
        <f t="shared" si="41"/>
        <v>0.32255842558425585</v>
      </c>
      <c r="AD235" s="7">
        <f t="shared" si="42"/>
        <v>0.35921279212792129</v>
      </c>
      <c r="AE235" s="7">
        <f>INDEX(환산공식!$AF$16:$AF$301,MATCH('배치점수 계산기'!W235,환산공식!$A$16:$A$301,0))</f>
        <v>12</v>
      </c>
      <c r="AF235" s="7">
        <f>INDEX(환산공식!$AP$16:$AP$301,MATCH('배치점수 계산기'!W235,환산공식!$A$16:$A$301,0))</f>
        <v>42</v>
      </c>
      <c r="AG235" s="7" t="str">
        <f t="shared" si="43"/>
        <v>표점/만점</v>
      </c>
      <c r="AH235" s="7" t="str">
        <f t="shared" si="44"/>
        <v>변표/만점</v>
      </c>
      <c r="BO235" s="210"/>
      <c r="BP235" s="210"/>
      <c r="BQ235" s="210"/>
      <c r="BR235" s="210"/>
      <c r="BS235" s="210"/>
      <c r="BT235" s="210"/>
      <c r="BU235" s="210"/>
      <c r="BV235" s="210"/>
      <c r="BW235" s="210"/>
      <c r="BX235" s="210"/>
      <c r="BY235" s="210"/>
      <c r="BZ235" s="210"/>
      <c r="CA235" s="210"/>
      <c r="CB235" s="210"/>
      <c r="CC235" s="210"/>
      <c r="EM235" s="120"/>
      <c r="ET235" s="210"/>
      <c r="EU235" s="210"/>
      <c r="EV235" s="210"/>
      <c r="EW235" s="210"/>
      <c r="EX235" s="210"/>
      <c r="EY235" s="210"/>
      <c r="EZ235" s="210"/>
      <c r="FA235" s="210"/>
      <c r="FB235" s="210"/>
      <c r="FC235" s="210"/>
      <c r="FD235" s="210"/>
      <c r="FE235" s="210"/>
      <c r="FF235" s="210"/>
      <c r="FG235" s="210"/>
      <c r="FH235" s="210"/>
      <c r="HR235" s="120"/>
      <c r="HY235" s="210"/>
      <c r="HZ235" s="210"/>
      <c r="IA235" s="210"/>
      <c r="IB235" s="210"/>
      <c r="IC235" s="210"/>
      <c r="ID235" s="210"/>
      <c r="IE235" s="210"/>
      <c r="IF235" s="210"/>
      <c r="IG235" s="210"/>
      <c r="IH235" s="210"/>
      <c r="II235" s="210"/>
      <c r="IJ235" s="210"/>
      <c r="IK235" s="210"/>
      <c r="IL235" s="210"/>
      <c r="IM235" s="210"/>
      <c r="KW235" s="120"/>
      <c r="LD235" s="210"/>
      <c r="LE235" s="210"/>
      <c r="LF235" s="210"/>
      <c r="LG235" s="210"/>
      <c r="LH235" s="210"/>
      <c r="LI235" s="210"/>
      <c r="LJ235" s="210"/>
      <c r="LK235" s="210"/>
      <c r="LL235" s="210"/>
      <c r="LM235" s="210"/>
      <c r="LN235" s="210"/>
      <c r="LO235" s="210"/>
      <c r="LP235" s="210"/>
      <c r="LQ235" s="210"/>
      <c r="LR235" s="210"/>
      <c r="OB235" s="120"/>
      <c r="OI235" s="210"/>
      <c r="OJ235" s="210"/>
      <c r="OK235" s="210"/>
      <c r="OL235" s="210"/>
      <c r="OM235" s="210"/>
      <c r="ON235" s="210"/>
      <c r="OO235" s="210"/>
      <c r="OP235" s="210"/>
      <c r="OQ235" s="210"/>
      <c r="OR235" s="210"/>
      <c r="OS235" s="210"/>
      <c r="OT235" s="210"/>
      <c r="OU235" s="210"/>
      <c r="OV235" s="210"/>
      <c r="OW235" s="210"/>
      <c r="RG235" s="120"/>
    </row>
    <row r="236" spans="1:475" x14ac:dyDescent="0.3">
      <c r="A236" s="7">
        <v>27</v>
      </c>
      <c r="B236" s="7">
        <v>226</v>
      </c>
      <c r="C236" s="7" t="s">
        <v>276</v>
      </c>
      <c r="D236" s="7" t="s">
        <v>359</v>
      </c>
      <c r="E236" s="7" t="s">
        <v>258</v>
      </c>
      <c r="F236" s="7" t="s">
        <v>274</v>
      </c>
      <c r="G236" s="41" t="str">
        <f t="shared" si="36"/>
        <v>X</v>
      </c>
      <c r="H236" s="41">
        <f>INDEX(환산공식!CI$16:CI$301,MATCH('배치점수 계산기'!$W236,환산공식!$A$16:$A$301,0))</f>
        <v>100</v>
      </c>
      <c r="I236" s="41" t="str">
        <f>CONCATENATE(ROUND(INDEX(환산공식!CJ$16:CJ$301,MATCH('배치점수 계산기'!$W236,환산공식!$A$16:$A$301,0)),1),"%")</f>
        <v>100%</v>
      </c>
      <c r="J236" s="41">
        <f>INDEX(환산공식!CK$16:CK$301,MATCH('배치점수 계산기'!$W236,환산공식!$A$16:$A$301,0))</f>
        <v>0</v>
      </c>
      <c r="K236" s="7">
        <f>INDEX(환산공식!$EF$16:$EF$301,MATCH('배치점수 계산기'!W236,환산공식!$A$16:$A$301,0))</f>
        <v>0</v>
      </c>
      <c r="L236" s="41" t="str">
        <f t="shared" si="34"/>
        <v>1% 이하</v>
      </c>
      <c r="M236" s="7">
        <v>897.65663010456581</v>
      </c>
      <c r="N236" s="7">
        <v>894.94486347635109</v>
      </c>
      <c r="O236" s="7">
        <v>892.0918762817812</v>
      </c>
      <c r="P236" s="7">
        <v>890.56846860574774</v>
      </c>
      <c r="Q236" s="7">
        <v>888.40146574269852</v>
      </c>
      <c r="R236" s="7">
        <f t="shared" si="35"/>
        <v>6</v>
      </c>
      <c r="T236" s="7">
        <f>COUNTIF($C$11:C236,C236)</f>
        <v>156</v>
      </c>
      <c r="U236" s="7" t="str">
        <f t="shared" si="37"/>
        <v>가156</v>
      </c>
      <c r="V236" s="7" t="str">
        <f>INDEX(환산공식!$C$16:$C$301,MATCH('배치점수 계산기'!W236,환산공식!$A$16:$A$301,0))</f>
        <v>한양 자연</v>
      </c>
      <c r="W236" s="7">
        <f t="shared" si="38"/>
        <v>27</v>
      </c>
      <c r="X236" s="7">
        <f t="shared" si="39"/>
        <v>1</v>
      </c>
      <c r="Y236" s="7">
        <f>IFERROR(INDEX(환산공식!Q$16:Q$200,MATCH($A236,환산공식!$A$16:$A$200,0)),"")</f>
        <v>1.3422818791946309</v>
      </c>
      <c r="Z236" s="7">
        <f>IFERROR(INDEX(환산공식!R$16:R$200,MATCH($A236,환산공식!$A$16:$A$200,0)),"")</f>
        <v>2.3809523809523809</v>
      </c>
      <c r="AA236" s="7">
        <f>IFERROR(INDEX(환산공식!U$16:U$200,MATCH($A236,환산공식!$A$16:$A$200,0)),"")</f>
        <v>2.4602839870659357</v>
      </c>
      <c r="AB236" s="7">
        <f t="shared" si="40"/>
        <v>0.21707413571547685</v>
      </c>
      <c r="AC236" s="7">
        <f t="shared" si="41"/>
        <v>0.38504816930483388</v>
      </c>
      <c r="AD236" s="7">
        <f t="shared" si="42"/>
        <v>0.39787769497968917</v>
      </c>
      <c r="AE236" s="7">
        <f>INDEX(환산공식!$AF$16:$AF$301,MATCH('배치점수 계산기'!W236,환산공식!$A$16:$A$301,0))</f>
        <v>12</v>
      </c>
      <c r="AF236" s="7">
        <f>INDEX(환산공식!$AP$16:$AP$301,MATCH('배치점수 계산기'!W236,환산공식!$A$16:$A$301,0))</f>
        <v>42</v>
      </c>
      <c r="AG236" s="7" t="str">
        <f t="shared" si="43"/>
        <v>표점/만점</v>
      </c>
      <c r="AH236" s="7" t="str">
        <f t="shared" si="44"/>
        <v>변표/만점</v>
      </c>
      <c r="BO236" s="210"/>
      <c r="BP236" s="210"/>
      <c r="BQ236" s="210"/>
      <c r="BR236" s="210"/>
      <c r="BS236" s="210"/>
      <c r="BT236" s="210"/>
      <c r="BU236" s="210"/>
      <c r="BV236" s="210"/>
      <c r="BW236" s="210"/>
      <c r="BX236" s="210"/>
      <c r="BY236" s="210"/>
      <c r="BZ236" s="210"/>
      <c r="CA236" s="210"/>
      <c r="CB236" s="210"/>
      <c r="CC236" s="210"/>
      <c r="EM236" s="120"/>
      <c r="ET236" s="210"/>
      <c r="EU236" s="210"/>
      <c r="EV236" s="210"/>
      <c r="EW236" s="210"/>
      <c r="EX236" s="210"/>
      <c r="EY236" s="210"/>
      <c r="EZ236" s="210"/>
      <c r="FA236" s="210"/>
      <c r="FB236" s="210"/>
      <c r="FC236" s="210"/>
      <c r="FD236" s="210"/>
      <c r="FE236" s="210"/>
      <c r="FF236" s="210"/>
      <c r="FG236" s="210"/>
      <c r="FH236" s="210"/>
      <c r="HR236" s="120"/>
      <c r="HY236" s="210"/>
      <c r="HZ236" s="210"/>
      <c r="IA236" s="210"/>
      <c r="IB236" s="210"/>
      <c r="IC236" s="210"/>
      <c r="ID236" s="210"/>
      <c r="IE236" s="210"/>
      <c r="IF236" s="210"/>
      <c r="IG236" s="210"/>
      <c r="IH236" s="210"/>
      <c r="II236" s="210"/>
      <c r="IJ236" s="210"/>
      <c r="IK236" s="210"/>
      <c r="IL236" s="210"/>
      <c r="IM236" s="210"/>
      <c r="KW236" s="120"/>
      <c r="LD236" s="210"/>
      <c r="LE236" s="210"/>
      <c r="LF236" s="210"/>
      <c r="LG236" s="210"/>
      <c r="LH236" s="210"/>
      <c r="LI236" s="210"/>
      <c r="LJ236" s="210"/>
      <c r="LK236" s="210"/>
      <c r="LL236" s="210"/>
      <c r="LM236" s="210"/>
      <c r="LN236" s="210"/>
      <c r="LO236" s="210"/>
      <c r="LP236" s="210"/>
      <c r="LQ236" s="210"/>
      <c r="LR236" s="210"/>
      <c r="OB236" s="120"/>
      <c r="OI236" s="210"/>
      <c r="OJ236" s="210"/>
      <c r="OK236" s="210"/>
      <c r="OL236" s="210"/>
      <c r="OM236" s="210"/>
      <c r="ON236" s="210"/>
      <c r="OO236" s="210"/>
      <c r="OP236" s="210"/>
      <c r="OQ236" s="210"/>
      <c r="OR236" s="210"/>
      <c r="OS236" s="210"/>
      <c r="OT236" s="210"/>
      <c r="OU236" s="210"/>
      <c r="OV236" s="210"/>
      <c r="OW236" s="210"/>
      <c r="RG236" s="120"/>
    </row>
    <row r="237" spans="1:475" x14ac:dyDescent="0.3">
      <c r="A237" s="7">
        <v>27</v>
      </c>
      <c r="B237" s="7">
        <v>227</v>
      </c>
      <c r="C237" s="7" t="s">
        <v>276</v>
      </c>
      <c r="D237" s="7" t="s">
        <v>359</v>
      </c>
      <c r="E237" s="7" t="s">
        <v>374</v>
      </c>
      <c r="F237" s="7" t="s">
        <v>274</v>
      </c>
      <c r="G237" s="41" t="str">
        <f t="shared" si="36"/>
        <v>X</v>
      </c>
      <c r="H237" s="41">
        <f>INDEX(환산공식!CI$16:CI$301,MATCH('배치점수 계산기'!$W237,환산공식!$A$16:$A$301,0))</f>
        <v>100</v>
      </c>
      <c r="I237" s="41" t="str">
        <f>CONCATENATE(ROUND(INDEX(환산공식!CJ$16:CJ$301,MATCH('배치점수 계산기'!$W237,환산공식!$A$16:$A$301,0)),1),"%")</f>
        <v>100%</v>
      </c>
      <c r="J237" s="41">
        <f>INDEX(환산공식!CK$16:CK$301,MATCH('배치점수 계산기'!$W237,환산공식!$A$16:$A$301,0))</f>
        <v>0</v>
      </c>
      <c r="K237" s="7">
        <f>INDEX(환산공식!$EF$16:$EF$301,MATCH('배치점수 계산기'!W237,환산공식!$A$16:$A$301,0))</f>
        <v>0</v>
      </c>
      <c r="L237" s="41" t="str">
        <f t="shared" si="34"/>
        <v>1% 이하</v>
      </c>
      <c r="M237" s="7">
        <v>896.12626912946462</v>
      </c>
      <c r="N237" s="7">
        <v>892.0918762817812</v>
      </c>
      <c r="O237" s="7">
        <v>890.56846860574774</v>
      </c>
      <c r="P237" s="7">
        <v>888.99670152014505</v>
      </c>
      <c r="Q237" s="7">
        <v>887.57109340885961</v>
      </c>
      <c r="R237" s="7">
        <f t="shared" si="35"/>
        <v>6</v>
      </c>
      <c r="T237" s="7">
        <f>COUNTIF($C$11:C237,C237)</f>
        <v>157</v>
      </c>
      <c r="U237" s="7" t="str">
        <f t="shared" si="37"/>
        <v>가157</v>
      </c>
      <c r="V237" s="7" t="str">
        <f>INDEX(환산공식!$C$16:$C$301,MATCH('배치점수 계산기'!W237,환산공식!$A$16:$A$301,0))</f>
        <v>한양 자연</v>
      </c>
      <c r="W237" s="7">
        <f t="shared" si="38"/>
        <v>27</v>
      </c>
      <c r="X237" s="7">
        <f t="shared" si="39"/>
        <v>1</v>
      </c>
      <c r="Y237" s="7">
        <f>IFERROR(INDEX(환산공식!Q$16:Q$200,MATCH($A237,환산공식!$A$16:$A$200,0)),"")</f>
        <v>1.3422818791946309</v>
      </c>
      <c r="Z237" s="7">
        <f>IFERROR(INDEX(환산공식!R$16:R$200,MATCH($A237,환산공식!$A$16:$A$200,0)),"")</f>
        <v>2.3809523809523809</v>
      </c>
      <c r="AA237" s="7">
        <f>IFERROR(INDEX(환산공식!U$16:U$200,MATCH($A237,환산공식!$A$16:$A$200,0)),"")</f>
        <v>2.4602839870659357</v>
      </c>
      <c r="AB237" s="7">
        <f t="shared" si="40"/>
        <v>0.21707413571547685</v>
      </c>
      <c r="AC237" s="7">
        <f t="shared" si="41"/>
        <v>0.38504816930483388</v>
      </c>
      <c r="AD237" s="7">
        <f t="shared" si="42"/>
        <v>0.39787769497968917</v>
      </c>
      <c r="AE237" s="7">
        <f>INDEX(환산공식!$AF$16:$AF$301,MATCH('배치점수 계산기'!W237,환산공식!$A$16:$A$301,0))</f>
        <v>12</v>
      </c>
      <c r="AF237" s="7">
        <f>INDEX(환산공식!$AP$16:$AP$301,MATCH('배치점수 계산기'!W237,환산공식!$A$16:$A$301,0))</f>
        <v>42</v>
      </c>
      <c r="AG237" s="7" t="str">
        <f t="shared" si="43"/>
        <v>표점/만점</v>
      </c>
      <c r="AH237" s="7" t="str">
        <f t="shared" si="44"/>
        <v>변표/만점</v>
      </c>
      <c r="BO237" s="210"/>
      <c r="BP237" s="210"/>
      <c r="BQ237" s="210"/>
      <c r="BR237" s="210"/>
      <c r="BS237" s="210"/>
      <c r="BT237" s="210"/>
      <c r="BU237" s="210"/>
      <c r="BV237" s="210"/>
      <c r="BW237" s="210"/>
      <c r="BX237" s="210"/>
      <c r="BY237" s="210"/>
      <c r="BZ237" s="210"/>
      <c r="CA237" s="210"/>
      <c r="CB237" s="210"/>
      <c r="CC237" s="210"/>
      <c r="EM237" s="120"/>
      <c r="ET237" s="210"/>
      <c r="EU237" s="210"/>
      <c r="EV237" s="210"/>
      <c r="EW237" s="210"/>
      <c r="EX237" s="210"/>
      <c r="EY237" s="210"/>
      <c r="EZ237" s="210"/>
      <c r="FA237" s="210"/>
      <c r="FB237" s="210"/>
      <c r="FC237" s="210"/>
      <c r="FD237" s="210"/>
      <c r="FE237" s="210"/>
      <c r="FF237" s="210"/>
      <c r="FG237" s="210"/>
      <c r="FH237" s="210"/>
      <c r="HR237" s="120"/>
      <c r="HY237" s="210"/>
      <c r="HZ237" s="210"/>
      <c r="IA237" s="210"/>
      <c r="IB237" s="210"/>
      <c r="IC237" s="210"/>
      <c r="ID237" s="210"/>
      <c r="IE237" s="210"/>
      <c r="IF237" s="210"/>
      <c r="IG237" s="210"/>
      <c r="IH237" s="210"/>
      <c r="II237" s="210"/>
      <c r="IJ237" s="210"/>
      <c r="IK237" s="210"/>
      <c r="IL237" s="210"/>
      <c r="IM237" s="210"/>
      <c r="KW237" s="120"/>
      <c r="LD237" s="210"/>
      <c r="LE237" s="210"/>
      <c r="LF237" s="210"/>
      <c r="LG237" s="210"/>
      <c r="LH237" s="210"/>
      <c r="LI237" s="210"/>
      <c r="LJ237" s="210"/>
      <c r="LK237" s="210"/>
      <c r="LL237" s="210"/>
      <c r="LM237" s="210"/>
      <c r="LN237" s="210"/>
      <c r="LO237" s="210"/>
      <c r="LP237" s="210"/>
      <c r="LQ237" s="210"/>
      <c r="LR237" s="210"/>
      <c r="OB237" s="120"/>
      <c r="OI237" s="210"/>
      <c r="OJ237" s="210"/>
      <c r="OK237" s="210"/>
      <c r="OL237" s="210"/>
      <c r="OM237" s="210"/>
      <c r="ON237" s="210"/>
      <c r="OO237" s="210"/>
      <c r="OP237" s="210"/>
      <c r="OQ237" s="210"/>
      <c r="OR237" s="210"/>
      <c r="OS237" s="210"/>
      <c r="OT237" s="210"/>
      <c r="OU237" s="210"/>
      <c r="OV237" s="210"/>
      <c r="OW237" s="210"/>
      <c r="RG237" s="120"/>
    </row>
    <row r="238" spans="1:475" x14ac:dyDescent="0.3">
      <c r="A238" s="7">
        <v>28</v>
      </c>
      <c r="B238" s="7">
        <v>228</v>
      </c>
      <c r="C238" s="7" t="s">
        <v>346</v>
      </c>
      <c r="D238" s="7" t="s">
        <v>359</v>
      </c>
      <c r="E238" s="7" t="s">
        <v>375</v>
      </c>
      <c r="F238" s="7" t="s">
        <v>275</v>
      </c>
      <c r="G238" s="41" t="str">
        <f t="shared" si="36"/>
        <v>X</v>
      </c>
      <c r="H238" s="41">
        <f>INDEX(환산공식!CI$16:CI$301,MATCH('배치점수 계산기'!$W238,환산공식!$A$16:$A$301,0))</f>
        <v>100</v>
      </c>
      <c r="I238" s="41" t="str">
        <f>CONCATENATE(ROUND(INDEX(환산공식!CJ$16:CJ$301,MATCH('배치점수 계산기'!$W238,환산공식!$A$16:$A$301,0)),1),"%")</f>
        <v>100%</v>
      </c>
      <c r="J238" s="41">
        <f>INDEX(환산공식!CK$16:CK$301,MATCH('배치점수 계산기'!$W238,환산공식!$A$16:$A$301,0))</f>
        <v>0</v>
      </c>
      <c r="K238" s="7">
        <f>INDEX(환산공식!$EF$16:$EF$301,MATCH('배치점수 계산기'!W238,환산공식!$A$16:$A$301,0))</f>
        <v>0</v>
      </c>
      <c r="L238" s="41" t="str">
        <f t="shared" si="34"/>
        <v>1% 이하</v>
      </c>
      <c r="M238" s="7">
        <v>903.90994926408825</v>
      </c>
      <c r="N238" s="7">
        <v>902.17947019867552</v>
      </c>
      <c r="O238" s="7">
        <v>899.61791089705002</v>
      </c>
      <c r="P238" s="7">
        <v>896.85635159542437</v>
      </c>
      <c r="Q238" s="7">
        <v>895.22481854709781</v>
      </c>
      <c r="R238" s="7">
        <f t="shared" si="35"/>
        <v>6</v>
      </c>
      <c r="T238" s="7">
        <f>COUNTIF($C$11:C238,C238)</f>
        <v>71</v>
      </c>
      <c r="U238" s="7" t="str">
        <f t="shared" si="37"/>
        <v>나71</v>
      </c>
      <c r="V238" s="7" t="str">
        <f>INDEX(환산공식!$C$16:$C$301,MATCH('배치점수 계산기'!W238,환산공식!$A$16:$A$301,0))</f>
        <v>한양 통합</v>
      </c>
      <c r="W238" s="7">
        <f t="shared" si="38"/>
        <v>28</v>
      </c>
      <c r="X238" s="7">
        <f t="shared" si="39"/>
        <v>1</v>
      </c>
      <c r="Y238" s="7">
        <f>IFERROR(INDEX(환산공식!Q$16:Q$200,MATCH($A238,환산공식!$A$16:$A$200,0)),"")</f>
        <v>2.0134228187919465</v>
      </c>
      <c r="Z238" s="7">
        <f>IFERROR(INDEX(환산공식!R$16:R$200,MATCH($A238,환산공식!$A$16:$A$200,0)),"")</f>
        <v>2.0408163265306123</v>
      </c>
      <c r="AA238" s="7">
        <f>IFERROR(INDEX(환산공식!U$16:U$200,MATCH($A238,환산공식!$A$16:$A$200,0)),"")</f>
        <v>2.2727272727272729</v>
      </c>
      <c r="AB238" s="7">
        <f t="shared" si="40"/>
        <v>0.31822878228782286</v>
      </c>
      <c r="AC238" s="7">
        <f t="shared" si="41"/>
        <v>0.32255842558425585</v>
      </c>
      <c r="AD238" s="7">
        <f t="shared" si="42"/>
        <v>0.35921279212792129</v>
      </c>
      <c r="AE238" s="7">
        <f>INDEX(환산공식!$AF$16:$AF$301,MATCH('배치점수 계산기'!W238,환산공식!$A$16:$A$301,0))</f>
        <v>12</v>
      </c>
      <c r="AF238" s="7">
        <f>INDEX(환산공식!$AP$16:$AP$301,MATCH('배치점수 계산기'!W238,환산공식!$A$16:$A$301,0))</f>
        <v>42</v>
      </c>
      <c r="AG238" s="7" t="str">
        <f t="shared" si="43"/>
        <v>표점/만점</v>
      </c>
      <c r="AH238" s="7" t="str">
        <f t="shared" si="44"/>
        <v>변표/만점</v>
      </c>
      <c r="BO238" s="210"/>
      <c r="BP238" s="210"/>
      <c r="BQ238" s="210"/>
      <c r="BR238" s="210"/>
      <c r="BS238" s="210"/>
      <c r="BT238" s="210"/>
      <c r="BU238" s="210"/>
      <c r="BV238" s="210"/>
      <c r="BW238" s="210"/>
      <c r="BX238" s="210"/>
      <c r="BY238" s="210"/>
      <c r="BZ238" s="210"/>
      <c r="CA238" s="210"/>
      <c r="CB238" s="210"/>
      <c r="CC238" s="210"/>
      <c r="EM238" s="120"/>
      <c r="ET238" s="210"/>
      <c r="EU238" s="210"/>
      <c r="EV238" s="210"/>
      <c r="EW238" s="210"/>
      <c r="EX238" s="210"/>
      <c r="EY238" s="210"/>
      <c r="EZ238" s="210"/>
      <c r="FA238" s="210"/>
      <c r="FB238" s="210"/>
      <c r="FC238" s="210"/>
      <c r="FD238" s="210"/>
      <c r="FE238" s="210"/>
      <c r="FF238" s="210"/>
      <c r="FG238" s="210"/>
      <c r="FH238" s="210"/>
      <c r="HR238" s="120"/>
      <c r="HY238" s="210"/>
      <c r="HZ238" s="210"/>
      <c r="IA238" s="210"/>
      <c r="IB238" s="210"/>
      <c r="IC238" s="210"/>
      <c r="ID238" s="210"/>
      <c r="IE238" s="210"/>
      <c r="IF238" s="210"/>
      <c r="IG238" s="210"/>
      <c r="IH238" s="210"/>
      <c r="II238" s="210"/>
      <c r="IJ238" s="210"/>
      <c r="IK238" s="210"/>
      <c r="IL238" s="210"/>
      <c r="IM238" s="210"/>
      <c r="KW238" s="120"/>
      <c r="LD238" s="210"/>
      <c r="LE238" s="210"/>
      <c r="LF238" s="210"/>
      <c r="LG238" s="210"/>
      <c r="LH238" s="210"/>
      <c r="LI238" s="210"/>
      <c r="LJ238" s="210"/>
      <c r="LK238" s="210"/>
      <c r="LL238" s="210"/>
      <c r="LM238" s="210"/>
      <c r="LN238" s="210"/>
      <c r="LO238" s="210"/>
      <c r="LP238" s="210"/>
      <c r="LQ238" s="210"/>
      <c r="LR238" s="210"/>
      <c r="OB238" s="120"/>
      <c r="OI238" s="210"/>
      <c r="OJ238" s="210"/>
      <c r="OK238" s="210"/>
      <c r="OL238" s="210"/>
      <c r="OM238" s="210"/>
      <c r="ON238" s="210"/>
      <c r="OO238" s="210"/>
      <c r="OP238" s="210"/>
      <c r="OQ238" s="210"/>
      <c r="OR238" s="210"/>
      <c r="OS238" s="210"/>
      <c r="OT238" s="210"/>
      <c r="OU238" s="210"/>
      <c r="OV238" s="210"/>
      <c r="OW238" s="210"/>
      <c r="RG238" s="120"/>
    </row>
    <row r="239" spans="1:475" x14ac:dyDescent="0.3">
      <c r="A239" s="7">
        <v>28</v>
      </c>
      <c r="B239" s="7">
        <v>229</v>
      </c>
      <c r="C239" s="7" t="s">
        <v>276</v>
      </c>
      <c r="D239" s="7" t="s">
        <v>359</v>
      </c>
      <c r="E239" s="7" t="s">
        <v>376</v>
      </c>
      <c r="F239" s="7" t="s">
        <v>275</v>
      </c>
      <c r="G239" s="41" t="str">
        <f t="shared" si="36"/>
        <v>X</v>
      </c>
      <c r="H239" s="41">
        <f>INDEX(환산공식!CI$16:CI$301,MATCH('배치점수 계산기'!$W239,환산공식!$A$16:$A$301,0))</f>
        <v>100</v>
      </c>
      <c r="I239" s="41" t="str">
        <f>CONCATENATE(ROUND(INDEX(환산공식!CJ$16:CJ$301,MATCH('배치점수 계산기'!$W239,환산공식!$A$16:$A$301,0)),1),"%")</f>
        <v>100%</v>
      </c>
      <c r="J239" s="41">
        <f>INDEX(환산공식!CK$16:CK$301,MATCH('배치점수 계산기'!$W239,환산공식!$A$16:$A$301,0))</f>
        <v>0</v>
      </c>
      <c r="K239" s="7">
        <f>INDEX(환산공식!$EF$16:$EF$301,MATCH('배치점수 계산기'!W239,환산공식!$A$16:$A$301,0))</f>
        <v>0</v>
      </c>
      <c r="L239" s="41" t="str">
        <f t="shared" si="34"/>
        <v>1% 이하</v>
      </c>
      <c r="M239" s="7">
        <v>887.50442116561442</v>
      </c>
      <c r="N239" s="7">
        <v>885.80614087898846</v>
      </c>
      <c r="O239" s="7">
        <v>884.17410719901818</v>
      </c>
      <c r="P239" s="7">
        <v>883.11247862797541</v>
      </c>
      <c r="Q239" s="7">
        <v>882.01113230050316</v>
      </c>
      <c r="R239" s="7">
        <f t="shared" si="35"/>
        <v>6</v>
      </c>
      <c r="T239" s="7">
        <f>COUNTIF($C$11:C239,C239)</f>
        <v>158</v>
      </c>
      <c r="U239" s="7" t="str">
        <f t="shared" si="37"/>
        <v>가158</v>
      </c>
      <c r="V239" s="7" t="str">
        <f>INDEX(환산공식!$C$16:$C$301,MATCH('배치점수 계산기'!W239,환산공식!$A$16:$A$301,0))</f>
        <v>한양 통합</v>
      </c>
      <c r="W239" s="7">
        <f t="shared" si="38"/>
        <v>28</v>
      </c>
      <c r="X239" s="7">
        <f t="shared" si="39"/>
        <v>1</v>
      </c>
      <c r="Y239" s="7">
        <f>IFERROR(INDEX(환산공식!Q$16:Q$200,MATCH($A239,환산공식!$A$16:$A$200,0)),"")</f>
        <v>2.0134228187919465</v>
      </c>
      <c r="Z239" s="7">
        <f>IFERROR(INDEX(환산공식!R$16:R$200,MATCH($A239,환산공식!$A$16:$A$200,0)),"")</f>
        <v>2.0408163265306123</v>
      </c>
      <c r="AA239" s="7">
        <f>IFERROR(INDEX(환산공식!U$16:U$200,MATCH($A239,환산공식!$A$16:$A$200,0)),"")</f>
        <v>2.2727272727272729</v>
      </c>
      <c r="AB239" s="7">
        <f t="shared" si="40"/>
        <v>0.31822878228782286</v>
      </c>
      <c r="AC239" s="7">
        <f t="shared" si="41"/>
        <v>0.32255842558425585</v>
      </c>
      <c r="AD239" s="7">
        <f t="shared" si="42"/>
        <v>0.35921279212792129</v>
      </c>
      <c r="AE239" s="7">
        <f>INDEX(환산공식!$AF$16:$AF$301,MATCH('배치점수 계산기'!W239,환산공식!$A$16:$A$301,0))</f>
        <v>12</v>
      </c>
      <c r="AF239" s="7">
        <f>INDEX(환산공식!$AP$16:$AP$301,MATCH('배치점수 계산기'!W239,환산공식!$A$16:$A$301,0))</f>
        <v>42</v>
      </c>
      <c r="AG239" s="7" t="str">
        <f t="shared" si="43"/>
        <v>표점/만점</v>
      </c>
      <c r="AH239" s="7" t="str">
        <f t="shared" si="44"/>
        <v>변표/만점</v>
      </c>
      <c r="BO239" s="210"/>
      <c r="BP239" s="210"/>
      <c r="BQ239" s="210"/>
      <c r="BR239" s="210"/>
      <c r="BS239" s="210"/>
      <c r="BT239" s="210"/>
      <c r="BU239" s="210"/>
      <c r="BV239" s="210"/>
      <c r="BW239" s="210"/>
      <c r="BX239" s="210"/>
      <c r="BY239" s="210"/>
      <c r="BZ239" s="210"/>
      <c r="CA239" s="210"/>
      <c r="CB239" s="210"/>
      <c r="CC239" s="210"/>
      <c r="EM239" s="120"/>
      <c r="ET239" s="210"/>
      <c r="EU239" s="210"/>
      <c r="EV239" s="210"/>
      <c r="EW239" s="210"/>
      <c r="EX239" s="210"/>
      <c r="EY239" s="210"/>
      <c r="EZ239" s="210"/>
      <c r="FA239" s="210"/>
      <c r="FB239" s="210"/>
      <c r="FC239" s="210"/>
      <c r="FD239" s="210"/>
      <c r="FE239" s="210"/>
      <c r="FF239" s="210"/>
      <c r="FG239" s="210"/>
      <c r="FH239" s="210"/>
      <c r="HR239" s="120"/>
      <c r="HY239" s="210"/>
      <c r="HZ239" s="210"/>
      <c r="IA239" s="210"/>
      <c r="IB239" s="210"/>
      <c r="IC239" s="210"/>
      <c r="ID239" s="210"/>
      <c r="IE239" s="210"/>
      <c r="IF239" s="210"/>
      <c r="IG239" s="210"/>
      <c r="IH239" s="210"/>
      <c r="II239" s="210"/>
      <c r="IJ239" s="210"/>
      <c r="IK239" s="210"/>
      <c r="IL239" s="210"/>
      <c r="IM239" s="210"/>
      <c r="KW239" s="120"/>
      <c r="LD239" s="210"/>
      <c r="LE239" s="210"/>
      <c r="LF239" s="210"/>
      <c r="LG239" s="210"/>
      <c r="LH239" s="210"/>
      <c r="LI239" s="210"/>
      <c r="LJ239" s="210"/>
      <c r="LK239" s="210"/>
      <c r="LL239" s="210"/>
      <c r="LM239" s="210"/>
      <c r="LN239" s="210"/>
      <c r="LO239" s="210"/>
      <c r="LP239" s="210"/>
      <c r="LQ239" s="210"/>
      <c r="LR239" s="210"/>
      <c r="OB239" s="120"/>
      <c r="OI239" s="210"/>
      <c r="OJ239" s="210"/>
      <c r="OK239" s="210"/>
      <c r="OL239" s="210"/>
      <c r="OM239" s="210"/>
      <c r="ON239" s="210"/>
      <c r="OO239" s="210"/>
      <c r="OP239" s="210"/>
      <c r="OQ239" s="210"/>
      <c r="OR239" s="210"/>
      <c r="OS239" s="210"/>
      <c r="OT239" s="210"/>
      <c r="OU239" s="210"/>
      <c r="OV239" s="210"/>
      <c r="OW239" s="210"/>
      <c r="RG239" s="120"/>
    </row>
    <row r="240" spans="1:475" x14ac:dyDescent="0.3">
      <c r="A240" s="7">
        <v>30</v>
      </c>
      <c r="B240" s="7">
        <v>230</v>
      </c>
      <c r="C240" s="7" t="s">
        <v>346</v>
      </c>
      <c r="D240" s="7" t="s">
        <v>747</v>
      </c>
      <c r="E240" s="7" t="s">
        <v>343</v>
      </c>
      <c r="F240" s="7" t="s">
        <v>275</v>
      </c>
      <c r="G240" s="41" t="str">
        <f t="shared" si="36"/>
        <v>X</v>
      </c>
      <c r="H240" s="41">
        <f>INDEX(환산공식!CI$16:CI$301,MATCH('배치점수 계산기'!$W240,환산공식!$A$16:$A$301,0))</f>
        <v>100</v>
      </c>
      <c r="I240" s="41" t="str">
        <f>CONCATENATE(ROUND(INDEX(환산공식!CJ$16:CJ$301,MATCH('배치점수 계산기'!$W240,환산공식!$A$16:$A$301,0)),1),"%")</f>
        <v>100%</v>
      </c>
      <c r="J240" s="41">
        <f>INDEX(환산공식!CK$16:CK$301,MATCH('배치점수 계산기'!$W240,환산공식!$A$16:$A$301,0))</f>
        <v>10</v>
      </c>
      <c r="K240" s="7">
        <f>INDEX(환산공식!$EF$16:$EF$301,MATCH('배치점수 계산기'!W240,환산공식!$A$16:$A$301,0))</f>
        <v>0</v>
      </c>
      <c r="L240" s="41" t="str">
        <f t="shared" si="34"/>
        <v>1% 이하</v>
      </c>
      <c r="M240" s="7">
        <v>738.53</v>
      </c>
      <c r="N240" s="7">
        <v>734.73865849760261</v>
      </c>
      <c r="O240" s="7">
        <v>730.48199999999997</v>
      </c>
      <c r="P240" s="7">
        <v>728.53069481043292</v>
      </c>
      <c r="Q240" s="7">
        <v>727.06599999999992</v>
      </c>
      <c r="R240" s="7">
        <f t="shared" si="35"/>
        <v>6</v>
      </c>
      <c r="T240" s="7">
        <f>COUNTIF($C$11:C240,C240)</f>
        <v>72</v>
      </c>
      <c r="U240" s="7" t="str">
        <f t="shared" si="37"/>
        <v>나72</v>
      </c>
      <c r="V240" s="7" t="str">
        <f>INDEX(환산공식!$C$16:$C$301,MATCH('배치점수 계산기'!W240,환산공식!$A$16:$A$301,0))</f>
        <v>중앙 통합</v>
      </c>
      <c r="W240" s="7">
        <f t="shared" si="38"/>
        <v>30</v>
      </c>
      <c r="X240" s="7">
        <f t="shared" si="39"/>
        <v>1</v>
      </c>
      <c r="Y240" s="7">
        <f>IFERROR(INDEX(환산공식!Q$16:Q$200,MATCH($A240,환산공식!$A$16:$A$200,0)),"")</f>
        <v>2</v>
      </c>
      <c r="Z240" s="7">
        <f>IFERROR(INDEX(환산공식!R$16:R$200,MATCH($A240,환산공식!$A$16:$A$200,0)),"")</f>
        <v>2</v>
      </c>
      <c r="AA240" s="7">
        <f>IFERROR(INDEX(환산공식!U$16:U$200,MATCH($A240,환산공식!$A$16:$A$200,0)),"")</f>
        <v>1</v>
      </c>
      <c r="AB240" s="7">
        <f t="shared" si="40"/>
        <v>0.4</v>
      </c>
      <c r="AC240" s="7">
        <f t="shared" si="41"/>
        <v>0.4</v>
      </c>
      <c r="AD240" s="7">
        <f t="shared" si="42"/>
        <v>0.2</v>
      </c>
      <c r="AE240" s="7">
        <f>INDEX(환산공식!$AF$16:$AF$301,MATCH('배치점수 계산기'!W240,환산공식!$A$16:$A$301,0))</f>
        <v>1</v>
      </c>
      <c r="AF240" s="7">
        <f>INDEX(환산공식!$AP$16:$AP$301,MATCH('배치점수 계산기'!W240,환산공식!$A$16:$A$301,0))</f>
        <v>4</v>
      </c>
      <c r="AG240" s="7" t="str">
        <f t="shared" si="43"/>
        <v>표점</v>
      </c>
      <c r="AH240" s="7" t="str">
        <f t="shared" si="44"/>
        <v>변표</v>
      </c>
      <c r="BO240" s="210"/>
      <c r="BP240" s="210"/>
      <c r="BQ240" s="210"/>
      <c r="BR240" s="210"/>
      <c r="BS240" s="210"/>
      <c r="BT240" s="210"/>
      <c r="BU240" s="210"/>
      <c r="BV240" s="210"/>
      <c r="BW240" s="210"/>
      <c r="BX240" s="210"/>
      <c r="BY240" s="210"/>
      <c r="BZ240" s="210"/>
      <c r="CA240" s="210"/>
      <c r="CB240" s="210"/>
      <c r="CC240" s="210"/>
      <c r="EM240" s="120"/>
      <c r="ET240" s="210"/>
      <c r="EU240" s="210"/>
      <c r="EV240" s="210"/>
      <c r="EW240" s="210"/>
      <c r="EX240" s="210"/>
      <c r="EY240" s="210"/>
      <c r="EZ240" s="210"/>
      <c r="FA240" s="210"/>
      <c r="FB240" s="210"/>
      <c r="FC240" s="210"/>
      <c r="FD240" s="210"/>
      <c r="FE240" s="210"/>
      <c r="FF240" s="210"/>
      <c r="FG240" s="210"/>
      <c r="FH240" s="210"/>
      <c r="HR240" s="120"/>
      <c r="HY240" s="210"/>
      <c r="HZ240" s="210"/>
      <c r="IA240" s="210"/>
      <c r="IB240" s="210"/>
      <c r="IC240" s="210"/>
      <c r="ID240" s="210"/>
      <c r="IE240" s="210"/>
      <c r="IF240" s="210"/>
      <c r="IG240" s="210"/>
      <c r="IH240" s="210"/>
      <c r="II240" s="210"/>
      <c r="IJ240" s="210"/>
      <c r="IK240" s="210"/>
      <c r="IL240" s="210"/>
      <c r="IM240" s="210"/>
      <c r="KW240" s="120"/>
      <c r="LD240" s="210"/>
      <c r="LE240" s="210"/>
      <c r="LF240" s="210"/>
      <c r="LG240" s="210"/>
      <c r="LH240" s="210"/>
      <c r="LI240" s="210"/>
      <c r="LJ240" s="210"/>
      <c r="LK240" s="210"/>
      <c r="LL240" s="210"/>
      <c r="LM240" s="210"/>
      <c r="LN240" s="210"/>
      <c r="LO240" s="210"/>
      <c r="LP240" s="210"/>
      <c r="LQ240" s="210"/>
      <c r="LR240" s="210"/>
      <c r="OB240" s="120"/>
      <c r="OI240" s="210"/>
      <c r="OJ240" s="210"/>
      <c r="OK240" s="210"/>
      <c r="OL240" s="210"/>
      <c r="OM240" s="210"/>
      <c r="ON240" s="210"/>
      <c r="OO240" s="210"/>
      <c r="OP240" s="210"/>
      <c r="OQ240" s="210"/>
      <c r="OR240" s="210"/>
      <c r="OS240" s="210"/>
      <c r="OT240" s="210"/>
      <c r="OU240" s="210"/>
      <c r="OV240" s="210"/>
      <c r="OW240" s="210"/>
      <c r="RG240" s="120"/>
    </row>
    <row r="241" spans="1:475" x14ac:dyDescent="0.3">
      <c r="A241" s="7">
        <v>30</v>
      </c>
      <c r="B241" s="7">
        <v>231</v>
      </c>
      <c r="C241" s="7" t="s">
        <v>346</v>
      </c>
      <c r="D241" s="7" t="s">
        <v>747</v>
      </c>
      <c r="E241" s="7" t="s">
        <v>748</v>
      </c>
      <c r="F241" s="7" t="s">
        <v>275</v>
      </c>
      <c r="G241" s="41" t="str">
        <f t="shared" si="36"/>
        <v>X</v>
      </c>
      <c r="H241" s="41">
        <f>INDEX(환산공식!CI$16:CI$301,MATCH('배치점수 계산기'!$W241,환산공식!$A$16:$A$301,0))</f>
        <v>100</v>
      </c>
      <c r="I241" s="41" t="str">
        <f>CONCATENATE(ROUND(INDEX(환산공식!CJ$16:CJ$301,MATCH('배치점수 계산기'!$W241,환산공식!$A$16:$A$301,0)),1),"%")</f>
        <v>100%</v>
      </c>
      <c r="J241" s="41">
        <f>INDEX(환산공식!CK$16:CK$301,MATCH('배치점수 계산기'!$W241,환산공식!$A$16:$A$301,0))</f>
        <v>10</v>
      </c>
      <c r="K241" s="7">
        <f>INDEX(환산공식!$EF$16:$EF$301,MATCH('배치점수 계산기'!W241,환산공식!$A$16:$A$301,0))</f>
        <v>0</v>
      </c>
      <c r="L241" s="41" t="str">
        <f t="shared" si="34"/>
        <v>1% 이하</v>
      </c>
      <c r="M241" s="7">
        <v>737.46446447507947</v>
      </c>
      <c r="N241" s="7">
        <v>733.40600000000006</v>
      </c>
      <c r="O241" s="7">
        <v>729.88200000000006</v>
      </c>
      <c r="P241" s="7">
        <v>727.86599999999987</v>
      </c>
      <c r="Q241" s="7">
        <v>726.05000000000007</v>
      </c>
      <c r="R241" s="7">
        <f t="shared" si="35"/>
        <v>6</v>
      </c>
      <c r="T241" s="7">
        <f>COUNTIF($C$11:C241,C241)</f>
        <v>73</v>
      </c>
      <c r="U241" s="7" t="str">
        <f t="shared" si="37"/>
        <v>나73</v>
      </c>
      <c r="V241" s="7" t="str">
        <f>INDEX(환산공식!$C$16:$C$301,MATCH('배치점수 계산기'!W241,환산공식!$A$16:$A$301,0))</f>
        <v>중앙 통합</v>
      </c>
      <c r="W241" s="7">
        <f t="shared" si="38"/>
        <v>30</v>
      </c>
      <c r="X241" s="7">
        <f t="shared" si="39"/>
        <v>1</v>
      </c>
      <c r="Y241" s="7">
        <f>IFERROR(INDEX(환산공식!Q$16:Q$200,MATCH($A241,환산공식!$A$16:$A$200,0)),"")</f>
        <v>2</v>
      </c>
      <c r="Z241" s="7">
        <f>IFERROR(INDEX(환산공식!R$16:R$200,MATCH($A241,환산공식!$A$16:$A$200,0)),"")</f>
        <v>2</v>
      </c>
      <c r="AA241" s="7">
        <f>IFERROR(INDEX(환산공식!U$16:U$200,MATCH($A241,환산공식!$A$16:$A$200,0)),"")</f>
        <v>1</v>
      </c>
      <c r="AB241" s="7">
        <f t="shared" si="40"/>
        <v>0.4</v>
      </c>
      <c r="AC241" s="7">
        <f t="shared" si="41"/>
        <v>0.4</v>
      </c>
      <c r="AD241" s="7">
        <f t="shared" si="42"/>
        <v>0.2</v>
      </c>
      <c r="AE241" s="7">
        <f>INDEX(환산공식!$AF$16:$AF$301,MATCH('배치점수 계산기'!W241,환산공식!$A$16:$A$301,0))</f>
        <v>1</v>
      </c>
      <c r="AF241" s="7">
        <f>INDEX(환산공식!$AP$16:$AP$301,MATCH('배치점수 계산기'!W241,환산공식!$A$16:$A$301,0))</f>
        <v>4</v>
      </c>
      <c r="AG241" s="7" t="str">
        <f t="shared" si="43"/>
        <v>표점</v>
      </c>
      <c r="AH241" s="7" t="str">
        <f t="shared" si="44"/>
        <v>변표</v>
      </c>
      <c r="BO241" s="210"/>
      <c r="BP241" s="210"/>
      <c r="BQ241" s="210"/>
      <c r="BR241" s="210"/>
      <c r="BS241" s="210"/>
      <c r="BT241" s="210"/>
      <c r="BU241" s="210"/>
      <c r="BV241" s="210"/>
      <c r="BW241" s="210"/>
      <c r="BX241" s="210"/>
      <c r="BY241" s="210"/>
      <c r="BZ241" s="210"/>
      <c r="CA241" s="210"/>
      <c r="CB241" s="210"/>
      <c r="CC241" s="210"/>
      <c r="EM241" s="120"/>
      <c r="ET241" s="210"/>
      <c r="EU241" s="210"/>
      <c r="EV241" s="210"/>
      <c r="EW241" s="210"/>
      <c r="EX241" s="210"/>
      <c r="EY241" s="210"/>
      <c r="EZ241" s="210"/>
      <c r="FA241" s="210"/>
      <c r="FB241" s="210"/>
      <c r="FC241" s="210"/>
      <c r="FD241" s="210"/>
      <c r="FE241" s="210"/>
      <c r="FF241" s="210"/>
      <c r="FG241" s="210"/>
      <c r="FH241" s="210"/>
      <c r="HR241" s="120"/>
      <c r="HY241" s="210"/>
      <c r="HZ241" s="210"/>
      <c r="IA241" s="210"/>
      <c r="IB241" s="210"/>
      <c r="IC241" s="210"/>
      <c r="ID241" s="210"/>
      <c r="IE241" s="210"/>
      <c r="IF241" s="210"/>
      <c r="IG241" s="210"/>
      <c r="IH241" s="210"/>
      <c r="II241" s="210"/>
      <c r="IJ241" s="210"/>
      <c r="IK241" s="210"/>
      <c r="IL241" s="210"/>
      <c r="IM241" s="210"/>
      <c r="KW241" s="120"/>
      <c r="LD241" s="210"/>
      <c r="LE241" s="210"/>
      <c r="LF241" s="210"/>
      <c r="LG241" s="210"/>
      <c r="LH241" s="210"/>
      <c r="LI241" s="210"/>
      <c r="LJ241" s="210"/>
      <c r="LK241" s="210"/>
      <c r="LL241" s="210"/>
      <c r="LM241" s="210"/>
      <c r="LN241" s="210"/>
      <c r="LO241" s="210"/>
      <c r="LP241" s="210"/>
      <c r="LQ241" s="210"/>
      <c r="LR241" s="210"/>
      <c r="OB241" s="120"/>
      <c r="OI241" s="210"/>
      <c r="OJ241" s="210"/>
      <c r="OK241" s="210"/>
      <c r="OL241" s="210"/>
      <c r="OM241" s="210"/>
      <c r="ON241" s="210"/>
      <c r="OO241" s="210"/>
      <c r="OP241" s="210"/>
      <c r="OQ241" s="210"/>
      <c r="OR241" s="210"/>
      <c r="OS241" s="210"/>
      <c r="OT241" s="210"/>
      <c r="OU241" s="210"/>
      <c r="OV241" s="210"/>
      <c r="OW241" s="210"/>
      <c r="RG241" s="120"/>
    </row>
    <row r="242" spans="1:475" x14ac:dyDescent="0.3">
      <c r="A242" s="7">
        <v>30</v>
      </c>
      <c r="B242" s="7">
        <v>232</v>
      </c>
      <c r="C242" s="7" t="s">
        <v>276</v>
      </c>
      <c r="D242" s="7" t="s">
        <v>747</v>
      </c>
      <c r="E242" s="7" t="s">
        <v>335</v>
      </c>
      <c r="F242" s="7" t="s">
        <v>275</v>
      </c>
      <c r="G242" s="41" t="str">
        <f t="shared" si="36"/>
        <v>X</v>
      </c>
      <c r="H242" s="41">
        <f>INDEX(환산공식!CI$16:CI$301,MATCH('배치점수 계산기'!$W242,환산공식!$A$16:$A$301,0))</f>
        <v>100</v>
      </c>
      <c r="I242" s="41" t="str">
        <f>CONCATENATE(ROUND(INDEX(환산공식!CJ$16:CJ$301,MATCH('배치점수 계산기'!$W242,환산공식!$A$16:$A$301,0)),1),"%")</f>
        <v>100%</v>
      </c>
      <c r="J242" s="41">
        <f>INDEX(환산공식!CK$16:CK$301,MATCH('배치점수 계산기'!$W242,환산공식!$A$16:$A$301,0))</f>
        <v>10</v>
      </c>
      <c r="K242" s="7">
        <f>INDEX(환산공식!$EF$16:$EF$301,MATCH('배치점수 계산기'!W242,환산공식!$A$16:$A$301,0))</f>
        <v>0</v>
      </c>
      <c r="L242" s="41" t="str">
        <f t="shared" si="34"/>
        <v>1% 이하</v>
      </c>
      <c r="M242" s="7">
        <v>737.46446447507947</v>
      </c>
      <c r="N242" s="7">
        <v>733.40600000000006</v>
      </c>
      <c r="O242" s="7">
        <v>729.88200000000006</v>
      </c>
      <c r="P242" s="7">
        <v>727.86599999999987</v>
      </c>
      <c r="Q242" s="7">
        <v>726.05000000000007</v>
      </c>
      <c r="R242" s="7">
        <f t="shared" si="35"/>
        <v>6</v>
      </c>
      <c r="T242" s="7">
        <f>COUNTIF($C$11:C242,C242)</f>
        <v>159</v>
      </c>
      <c r="U242" s="7" t="str">
        <f t="shared" si="37"/>
        <v>가159</v>
      </c>
      <c r="V242" s="7" t="str">
        <f>INDEX(환산공식!$C$16:$C$301,MATCH('배치점수 계산기'!W242,환산공식!$A$16:$A$301,0))</f>
        <v>중앙 통합</v>
      </c>
      <c r="W242" s="7">
        <f t="shared" si="38"/>
        <v>30</v>
      </c>
      <c r="X242" s="7">
        <f t="shared" si="39"/>
        <v>1</v>
      </c>
      <c r="Y242" s="7">
        <f>IFERROR(INDEX(환산공식!Q$16:Q$200,MATCH($A242,환산공식!$A$16:$A$200,0)),"")</f>
        <v>2</v>
      </c>
      <c r="Z242" s="7">
        <f>IFERROR(INDEX(환산공식!R$16:R$200,MATCH($A242,환산공식!$A$16:$A$200,0)),"")</f>
        <v>2</v>
      </c>
      <c r="AA242" s="7">
        <f>IFERROR(INDEX(환산공식!U$16:U$200,MATCH($A242,환산공식!$A$16:$A$200,0)),"")</f>
        <v>1</v>
      </c>
      <c r="AB242" s="7">
        <f t="shared" si="40"/>
        <v>0.4</v>
      </c>
      <c r="AC242" s="7">
        <f t="shared" si="41"/>
        <v>0.4</v>
      </c>
      <c r="AD242" s="7">
        <f t="shared" si="42"/>
        <v>0.2</v>
      </c>
      <c r="AE242" s="7">
        <f>INDEX(환산공식!$AF$16:$AF$301,MATCH('배치점수 계산기'!W242,환산공식!$A$16:$A$301,0))</f>
        <v>1</v>
      </c>
      <c r="AF242" s="7">
        <f>INDEX(환산공식!$AP$16:$AP$301,MATCH('배치점수 계산기'!W242,환산공식!$A$16:$A$301,0))</f>
        <v>4</v>
      </c>
      <c r="AG242" s="7" t="str">
        <f t="shared" si="43"/>
        <v>표점</v>
      </c>
      <c r="AH242" s="7" t="str">
        <f t="shared" si="44"/>
        <v>변표</v>
      </c>
      <c r="BO242" s="210"/>
      <c r="BP242" s="210"/>
      <c r="BQ242" s="210"/>
      <c r="BR242" s="210"/>
      <c r="BS242" s="210"/>
      <c r="BT242" s="210"/>
      <c r="BU242" s="210"/>
      <c r="BV242" s="210"/>
      <c r="BW242" s="210"/>
      <c r="BX242" s="210"/>
      <c r="BY242" s="210"/>
      <c r="BZ242" s="210"/>
      <c r="CA242" s="210"/>
      <c r="CB242" s="210"/>
      <c r="CC242" s="210"/>
      <c r="EM242" s="120"/>
      <c r="ET242" s="210"/>
      <c r="EU242" s="210"/>
      <c r="EV242" s="210"/>
      <c r="EW242" s="210"/>
      <c r="EX242" s="210"/>
      <c r="EY242" s="210"/>
      <c r="EZ242" s="210"/>
      <c r="FA242" s="210"/>
      <c r="FB242" s="210"/>
      <c r="FC242" s="210"/>
      <c r="FD242" s="210"/>
      <c r="FE242" s="210"/>
      <c r="FF242" s="210"/>
      <c r="FG242" s="210"/>
      <c r="FH242" s="210"/>
      <c r="HR242" s="120"/>
      <c r="HY242" s="210"/>
      <c r="HZ242" s="210"/>
      <c r="IA242" s="210"/>
      <c r="IB242" s="210"/>
      <c r="IC242" s="210"/>
      <c r="ID242" s="210"/>
      <c r="IE242" s="210"/>
      <c r="IF242" s="210"/>
      <c r="IG242" s="210"/>
      <c r="IH242" s="210"/>
      <c r="II242" s="210"/>
      <c r="IJ242" s="210"/>
      <c r="IK242" s="210"/>
      <c r="IL242" s="210"/>
      <c r="IM242" s="210"/>
      <c r="KW242" s="120"/>
      <c r="LD242" s="210"/>
      <c r="LE242" s="210"/>
      <c r="LF242" s="210"/>
      <c r="LG242" s="210"/>
      <c r="LH242" s="210"/>
      <c r="LI242" s="210"/>
      <c r="LJ242" s="210"/>
      <c r="LK242" s="210"/>
      <c r="LL242" s="210"/>
      <c r="LM242" s="210"/>
      <c r="LN242" s="210"/>
      <c r="LO242" s="210"/>
      <c r="LP242" s="210"/>
      <c r="LQ242" s="210"/>
      <c r="LR242" s="210"/>
      <c r="OB242" s="120"/>
      <c r="OI242" s="210"/>
      <c r="OJ242" s="210"/>
      <c r="OK242" s="210"/>
      <c r="OL242" s="210"/>
      <c r="OM242" s="210"/>
      <c r="ON242" s="210"/>
      <c r="OO242" s="210"/>
      <c r="OP242" s="210"/>
      <c r="OQ242" s="210"/>
      <c r="OR242" s="210"/>
      <c r="OS242" s="210"/>
      <c r="OT242" s="210"/>
      <c r="OU242" s="210"/>
      <c r="OV242" s="210"/>
      <c r="OW242" s="210"/>
      <c r="RG242" s="120"/>
    </row>
    <row r="243" spans="1:475" x14ac:dyDescent="0.3">
      <c r="A243" s="7">
        <v>30</v>
      </c>
      <c r="B243" s="7">
        <v>233</v>
      </c>
      <c r="C243" s="7" t="s">
        <v>276</v>
      </c>
      <c r="D243" s="7" t="s">
        <v>747</v>
      </c>
      <c r="E243" s="7" t="s">
        <v>749</v>
      </c>
      <c r="F243" s="7" t="s">
        <v>275</v>
      </c>
      <c r="G243" s="41" t="str">
        <f t="shared" si="36"/>
        <v>X</v>
      </c>
      <c r="H243" s="41">
        <f>INDEX(환산공식!CI$16:CI$301,MATCH('배치점수 계산기'!$W243,환산공식!$A$16:$A$301,0))</f>
        <v>100</v>
      </c>
      <c r="I243" s="41" t="str">
        <f>CONCATENATE(ROUND(INDEX(환산공식!CJ$16:CJ$301,MATCH('배치점수 계산기'!$W243,환산공식!$A$16:$A$301,0)),1),"%")</f>
        <v>100%</v>
      </c>
      <c r="J243" s="41">
        <f>INDEX(환산공식!CK$16:CK$301,MATCH('배치점수 계산기'!$W243,환산공식!$A$16:$A$301,0))</f>
        <v>10</v>
      </c>
      <c r="K243" s="7">
        <f>INDEX(환산공식!$EF$16:$EF$301,MATCH('배치점수 계산기'!W243,환산공식!$A$16:$A$301,0))</f>
        <v>0</v>
      </c>
      <c r="L243" s="41" t="str">
        <f t="shared" si="34"/>
        <v>1% 이하</v>
      </c>
      <c r="M243" s="7">
        <v>737.46446447507947</v>
      </c>
      <c r="N243" s="7">
        <v>733.40600000000006</v>
      </c>
      <c r="O243" s="7">
        <v>729.88200000000006</v>
      </c>
      <c r="P243" s="7">
        <v>727.86599999999987</v>
      </c>
      <c r="Q243" s="7">
        <v>726.05000000000007</v>
      </c>
      <c r="R243" s="7">
        <f t="shared" si="35"/>
        <v>6</v>
      </c>
      <c r="T243" s="7">
        <f>COUNTIF($C$11:C243,C243)</f>
        <v>160</v>
      </c>
      <c r="U243" s="7" t="str">
        <f t="shared" si="37"/>
        <v>가160</v>
      </c>
      <c r="V243" s="7" t="str">
        <f>INDEX(환산공식!$C$16:$C$301,MATCH('배치점수 계산기'!W243,환산공식!$A$16:$A$301,0))</f>
        <v>중앙 통합</v>
      </c>
      <c r="W243" s="7">
        <f t="shared" si="38"/>
        <v>30</v>
      </c>
      <c r="X243" s="7">
        <f t="shared" si="39"/>
        <v>1</v>
      </c>
      <c r="Y243" s="7">
        <f>IFERROR(INDEX(환산공식!Q$16:Q$200,MATCH($A243,환산공식!$A$16:$A$200,0)),"")</f>
        <v>2</v>
      </c>
      <c r="Z243" s="7">
        <f>IFERROR(INDEX(환산공식!R$16:R$200,MATCH($A243,환산공식!$A$16:$A$200,0)),"")</f>
        <v>2</v>
      </c>
      <c r="AA243" s="7">
        <f>IFERROR(INDEX(환산공식!U$16:U$200,MATCH($A243,환산공식!$A$16:$A$200,0)),"")</f>
        <v>1</v>
      </c>
      <c r="AB243" s="7">
        <f t="shared" si="40"/>
        <v>0.4</v>
      </c>
      <c r="AC243" s="7">
        <f t="shared" si="41"/>
        <v>0.4</v>
      </c>
      <c r="AD243" s="7">
        <f t="shared" si="42"/>
        <v>0.2</v>
      </c>
      <c r="AE243" s="7">
        <f>INDEX(환산공식!$AF$16:$AF$301,MATCH('배치점수 계산기'!W243,환산공식!$A$16:$A$301,0))</f>
        <v>1</v>
      </c>
      <c r="AF243" s="7">
        <f>INDEX(환산공식!$AP$16:$AP$301,MATCH('배치점수 계산기'!W243,환산공식!$A$16:$A$301,0))</f>
        <v>4</v>
      </c>
      <c r="AG243" s="7" t="str">
        <f t="shared" si="43"/>
        <v>표점</v>
      </c>
      <c r="AH243" s="7" t="str">
        <f t="shared" si="44"/>
        <v>변표</v>
      </c>
      <c r="BO243" s="210"/>
      <c r="BP243" s="210"/>
      <c r="BQ243" s="210"/>
      <c r="BR243" s="210"/>
      <c r="BS243" s="210"/>
      <c r="BT243" s="210"/>
      <c r="BU243" s="210"/>
      <c r="BV243" s="210"/>
      <c r="BW243" s="210"/>
      <c r="BX243" s="210"/>
      <c r="BY243" s="210"/>
      <c r="BZ243" s="210"/>
      <c r="CA243" s="210"/>
      <c r="CB243" s="210"/>
      <c r="CC243" s="210"/>
      <c r="EM243" s="120"/>
      <c r="ET243" s="210"/>
      <c r="EU243" s="210"/>
      <c r="EV243" s="210"/>
      <c r="EW243" s="210"/>
      <c r="EX243" s="210"/>
      <c r="EY243" s="210"/>
      <c r="EZ243" s="210"/>
      <c r="FA243" s="210"/>
      <c r="FB243" s="210"/>
      <c r="FC243" s="210"/>
      <c r="FD243" s="210"/>
      <c r="FE243" s="210"/>
      <c r="FF243" s="210"/>
      <c r="FG243" s="210"/>
      <c r="FH243" s="210"/>
      <c r="HR243" s="120"/>
      <c r="HY243" s="210"/>
      <c r="HZ243" s="210"/>
      <c r="IA243" s="210"/>
      <c r="IB243" s="210"/>
      <c r="IC243" s="210"/>
      <c r="ID243" s="210"/>
      <c r="IE243" s="210"/>
      <c r="IF243" s="210"/>
      <c r="IG243" s="210"/>
      <c r="IH243" s="210"/>
      <c r="II243" s="210"/>
      <c r="IJ243" s="210"/>
      <c r="IK243" s="210"/>
      <c r="IL243" s="210"/>
      <c r="IM243" s="210"/>
      <c r="KW243" s="120"/>
      <c r="LD243" s="210"/>
      <c r="LE243" s="210"/>
      <c r="LF243" s="210"/>
      <c r="LG243" s="210"/>
      <c r="LH243" s="210"/>
      <c r="LI243" s="210"/>
      <c r="LJ243" s="210"/>
      <c r="LK243" s="210"/>
      <c r="LL243" s="210"/>
      <c r="LM243" s="210"/>
      <c r="LN243" s="210"/>
      <c r="LO243" s="210"/>
      <c r="LP243" s="210"/>
      <c r="LQ243" s="210"/>
      <c r="LR243" s="210"/>
      <c r="OB243" s="120"/>
      <c r="OI243" s="210"/>
      <c r="OJ243" s="210"/>
      <c r="OK243" s="210"/>
      <c r="OL243" s="210"/>
      <c r="OM243" s="210"/>
      <c r="ON243" s="210"/>
      <c r="OO243" s="210"/>
      <c r="OP243" s="210"/>
      <c r="OQ243" s="210"/>
      <c r="OR243" s="210"/>
      <c r="OS243" s="210"/>
      <c r="OT243" s="210"/>
      <c r="OU243" s="210"/>
      <c r="OV243" s="210"/>
      <c r="OW243" s="210"/>
      <c r="RG243" s="120"/>
    </row>
    <row r="244" spans="1:475" x14ac:dyDescent="0.3">
      <c r="A244" s="7">
        <v>30</v>
      </c>
      <c r="B244" s="7">
        <v>234</v>
      </c>
      <c r="C244" s="7" t="s">
        <v>346</v>
      </c>
      <c r="D244" s="7" t="s">
        <v>747</v>
      </c>
      <c r="E244" s="7" t="s">
        <v>377</v>
      </c>
      <c r="F244" s="7" t="s">
        <v>275</v>
      </c>
      <c r="G244" s="41" t="str">
        <f t="shared" si="36"/>
        <v>X</v>
      </c>
      <c r="H244" s="41">
        <f>INDEX(환산공식!CI$16:CI$301,MATCH('배치점수 계산기'!$W244,환산공식!$A$16:$A$301,0))</f>
        <v>100</v>
      </c>
      <c r="I244" s="41" t="str">
        <f>CONCATENATE(ROUND(INDEX(환산공식!CJ$16:CJ$301,MATCH('배치점수 계산기'!$W244,환산공식!$A$16:$A$301,0)),1),"%")</f>
        <v>100%</v>
      </c>
      <c r="J244" s="41">
        <f>INDEX(환산공식!CK$16:CK$301,MATCH('배치점수 계산기'!$W244,환산공식!$A$16:$A$301,0))</f>
        <v>10</v>
      </c>
      <c r="K244" s="7">
        <f>INDEX(환산공식!$EF$16:$EF$301,MATCH('배치점수 계산기'!W244,환산공식!$A$16:$A$301,0))</f>
        <v>0</v>
      </c>
      <c r="L244" s="41" t="str">
        <f t="shared" si="34"/>
        <v>1% 이하</v>
      </c>
      <c r="M244" s="7">
        <v>737.46446447507947</v>
      </c>
      <c r="N244" s="7">
        <v>733.40600000000006</v>
      </c>
      <c r="O244" s="7">
        <v>729.88200000000006</v>
      </c>
      <c r="P244" s="7">
        <v>727.86599999999987</v>
      </c>
      <c r="Q244" s="7">
        <v>726.05000000000007</v>
      </c>
      <c r="R244" s="7">
        <f t="shared" si="35"/>
        <v>6</v>
      </c>
      <c r="T244" s="7">
        <f>COUNTIF($C$11:C244,C244)</f>
        <v>74</v>
      </c>
      <c r="U244" s="7" t="str">
        <f t="shared" si="37"/>
        <v>나74</v>
      </c>
      <c r="V244" s="7" t="str">
        <f>INDEX(환산공식!$C$16:$C$301,MATCH('배치점수 계산기'!W244,환산공식!$A$16:$A$301,0))</f>
        <v>중앙 통합</v>
      </c>
      <c r="W244" s="7">
        <f t="shared" si="38"/>
        <v>30</v>
      </c>
      <c r="X244" s="7">
        <f t="shared" si="39"/>
        <v>1</v>
      </c>
      <c r="Y244" s="7">
        <f>IFERROR(INDEX(환산공식!Q$16:Q$200,MATCH($A244,환산공식!$A$16:$A$200,0)),"")</f>
        <v>2</v>
      </c>
      <c r="Z244" s="7">
        <f>IFERROR(INDEX(환산공식!R$16:R$200,MATCH($A244,환산공식!$A$16:$A$200,0)),"")</f>
        <v>2</v>
      </c>
      <c r="AA244" s="7">
        <f>IFERROR(INDEX(환산공식!U$16:U$200,MATCH($A244,환산공식!$A$16:$A$200,0)),"")</f>
        <v>1</v>
      </c>
      <c r="AB244" s="7">
        <f t="shared" si="40"/>
        <v>0.4</v>
      </c>
      <c r="AC244" s="7">
        <f t="shared" si="41"/>
        <v>0.4</v>
      </c>
      <c r="AD244" s="7">
        <f t="shared" si="42"/>
        <v>0.2</v>
      </c>
      <c r="AE244" s="7">
        <f>INDEX(환산공식!$AF$16:$AF$301,MATCH('배치점수 계산기'!W244,환산공식!$A$16:$A$301,0))</f>
        <v>1</v>
      </c>
      <c r="AF244" s="7">
        <f>INDEX(환산공식!$AP$16:$AP$301,MATCH('배치점수 계산기'!W244,환산공식!$A$16:$A$301,0))</f>
        <v>4</v>
      </c>
      <c r="AG244" s="7" t="str">
        <f t="shared" si="43"/>
        <v>표점</v>
      </c>
      <c r="AH244" s="7" t="str">
        <f t="shared" si="44"/>
        <v>변표</v>
      </c>
      <c r="BO244" s="210"/>
      <c r="BP244" s="210"/>
      <c r="BQ244" s="210"/>
      <c r="BR244" s="210"/>
      <c r="BS244" s="210"/>
      <c r="BT244" s="210"/>
      <c r="BU244" s="210"/>
      <c r="BV244" s="210"/>
      <c r="BW244" s="210"/>
      <c r="BX244" s="210"/>
      <c r="BY244" s="210"/>
      <c r="BZ244" s="210"/>
      <c r="CA244" s="210"/>
      <c r="CB244" s="210"/>
      <c r="CC244" s="210"/>
      <c r="EM244" s="120"/>
      <c r="ET244" s="210"/>
      <c r="EU244" s="210"/>
      <c r="EV244" s="210"/>
      <c r="EW244" s="210"/>
      <c r="EX244" s="210"/>
      <c r="EY244" s="210"/>
      <c r="EZ244" s="210"/>
      <c r="FA244" s="210"/>
      <c r="FB244" s="210"/>
      <c r="FC244" s="210"/>
      <c r="FD244" s="210"/>
      <c r="FE244" s="210"/>
      <c r="FF244" s="210"/>
      <c r="FG244" s="210"/>
      <c r="FH244" s="210"/>
      <c r="HR244" s="120"/>
      <c r="HY244" s="210"/>
      <c r="HZ244" s="210"/>
      <c r="IA244" s="210"/>
      <c r="IB244" s="210"/>
      <c r="IC244" s="210"/>
      <c r="ID244" s="210"/>
      <c r="IE244" s="210"/>
      <c r="IF244" s="210"/>
      <c r="IG244" s="210"/>
      <c r="IH244" s="210"/>
      <c r="II244" s="210"/>
      <c r="IJ244" s="210"/>
      <c r="IK244" s="210"/>
      <c r="IL244" s="210"/>
      <c r="IM244" s="210"/>
      <c r="KW244" s="120"/>
      <c r="LD244" s="210"/>
      <c r="LE244" s="210"/>
      <c r="LF244" s="210"/>
      <c r="LG244" s="210"/>
      <c r="LH244" s="210"/>
      <c r="LI244" s="210"/>
      <c r="LJ244" s="210"/>
      <c r="LK244" s="210"/>
      <c r="LL244" s="210"/>
      <c r="LM244" s="210"/>
      <c r="LN244" s="210"/>
      <c r="LO244" s="210"/>
      <c r="LP244" s="210"/>
      <c r="LQ244" s="210"/>
      <c r="LR244" s="210"/>
      <c r="OB244" s="120"/>
      <c r="OI244" s="210"/>
      <c r="OJ244" s="210"/>
      <c r="OK244" s="210"/>
      <c r="OL244" s="210"/>
      <c r="OM244" s="210"/>
      <c r="ON244" s="210"/>
      <c r="OO244" s="210"/>
      <c r="OP244" s="210"/>
      <c r="OQ244" s="210"/>
      <c r="OR244" s="210"/>
      <c r="OS244" s="210"/>
      <c r="OT244" s="210"/>
      <c r="OU244" s="210"/>
      <c r="OV244" s="210"/>
      <c r="OW244" s="210"/>
      <c r="RG244" s="120"/>
    </row>
    <row r="245" spans="1:475" x14ac:dyDescent="0.3">
      <c r="A245" s="7">
        <v>29</v>
      </c>
      <c r="B245" s="7">
        <v>235</v>
      </c>
      <c r="C245" s="7" t="s">
        <v>346</v>
      </c>
      <c r="D245" s="7" t="s">
        <v>747</v>
      </c>
      <c r="E245" s="7" t="s">
        <v>352</v>
      </c>
      <c r="F245" s="7" t="s">
        <v>274</v>
      </c>
      <c r="G245" s="41" t="str">
        <f t="shared" si="36"/>
        <v>X</v>
      </c>
      <c r="H245" s="41">
        <f>INDEX(환산공식!CI$16:CI$301,MATCH('배치점수 계산기'!$W245,환산공식!$A$16:$A$301,0))</f>
        <v>100</v>
      </c>
      <c r="I245" s="41" t="str">
        <f>CONCATENATE(ROUND(INDEX(환산공식!CJ$16:CJ$301,MATCH('배치점수 계산기'!$W245,환산공식!$A$16:$A$301,0)),1),"%")</f>
        <v>100%</v>
      </c>
      <c r="J245" s="41">
        <f>INDEX(환산공식!CK$16:CK$301,MATCH('배치점수 계산기'!$W245,환산공식!$A$16:$A$301,0))</f>
        <v>10</v>
      </c>
      <c r="K245" s="7">
        <f>INDEX(환산공식!$EF$16:$EF$301,MATCH('배치점수 계산기'!W245,환산공식!$A$16:$A$301,0))</f>
        <v>0</v>
      </c>
      <c r="L245" s="41" t="str">
        <f t="shared" si="34"/>
        <v>1% 이하</v>
      </c>
      <c r="M245" s="7">
        <v>756.42461727437285</v>
      </c>
      <c r="N245" s="7">
        <v>753.77539880488439</v>
      </c>
      <c r="O245" s="7">
        <v>751.84774999999991</v>
      </c>
      <c r="P245" s="7">
        <v>749.59025000000008</v>
      </c>
      <c r="Q245" s="7">
        <v>745.60549999999989</v>
      </c>
      <c r="R245" s="7">
        <f t="shared" si="35"/>
        <v>6</v>
      </c>
      <c r="T245" s="7">
        <f>COUNTIF($C$11:C245,C245)</f>
        <v>75</v>
      </c>
      <c r="U245" s="7" t="str">
        <f t="shared" si="37"/>
        <v>나75</v>
      </c>
      <c r="V245" s="7" t="str">
        <f>INDEX(환산공식!$C$16:$C$301,MATCH('배치점수 계산기'!W245,환산공식!$A$16:$A$301,0))</f>
        <v>중앙 자연</v>
      </c>
      <c r="W245" s="7">
        <f t="shared" si="38"/>
        <v>29</v>
      </c>
      <c r="X245" s="7">
        <f t="shared" si="39"/>
        <v>1</v>
      </c>
      <c r="Y245" s="7">
        <f>IFERROR(INDEX(환산공식!Q$16:Q$200,MATCH($A245,환산공식!$A$16:$A$200,0)),"")</f>
        <v>1.25</v>
      </c>
      <c r="Z245" s="7">
        <f>IFERROR(INDEX(환산공식!R$16:R$200,MATCH($A245,환산공식!$A$16:$A$200,0)),"")</f>
        <v>2</v>
      </c>
      <c r="AA245" s="7">
        <f>IFERROR(INDEX(환산공식!U$16:U$200,MATCH($A245,환산공식!$A$16:$A$200,0)),"")</f>
        <v>1.75</v>
      </c>
      <c r="AB245" s="7">
        <f t="shared" si="40"/>
        <v>0.25</v>
      </c>
      <c r="AC245" s="7">
        <f t="shared" si="41"/>
        <v>0.4</v>
      </c>
      <c r="AD245" s="7">
        <f t="shared" si="42"/>
        <v>0.35</v>
      </c>
      <c r="AE245" s="7">
        <f>INDEX(환산공식!$AF$16:$AF$301,MATCH('배치점수 계산기'!W245,환산공식!$A$16:$A$301,0))</f>
        <v>1</v>
      </c>
      <c r="AF245" s="7">
        <f>INDEX(환산공식!$AP$16:$AP$301,MATCH('배치점수 계산기'!W245,환산공식!$A$16:$A$301,0))</f>
        <v>4</v>
      </c>
      <c r="AG245" s="7" t="str">
        <f t="shared" si="43"/>
        <v>표점</v>
      </c>
      <c r="AH245" s="7" t="str">
        <f t="shared" si="44"/>
        <v>변표</v>
      </c>
      <c r="BO245" s="210"/>
      <c r="BP245" s="210"/>
      <c r="BQ245" s="210"/>
      <c r="BR245" s="210"/>
      <c r="BS245" s="210"/>
      <c r="BT245" s="210"/>
      <c r="BU245" s="210"/>
      <c r="BV245" s="210"/>
      <c r="BW245" s="210"/>
      <c r="BX245" s="210"/>
      <c r="BY245" s="210"/>
      <c r="BZ245" s="210"/>
      <c r="CA245" s="210"/>
      <c r="CB245" s="210"/>
      <c r="CC245" s="210"/>
      <c r="EM245" s="120"/>
      <c r="ET245" s="210"/>
      <c r="EU245" s="210"/>
      <c r="EV245" s="210"/>
      <c r="EW245" s="210"/>
      <c r="EX245" s="210"/>
      <c r="EY245" s="210"/>
      <c r="EZ245" s="210"/>
      <c r="FA245" s="210"/>
      <c r="FB245" s="210"/>
      <c r="FC245" s="210"/>
      <c r="FD245" s="210"/>
      <c r="FE245" s="210"/>
      <c r="FF245" s="210"/>
      <c r="FG245" s="210"/>
      <c r="FH245" s="210"/>
      <c r="HR245" s="120"/>
      <c r="HY245" s="210"/>
      <c r="HZ245" s="210"/>
      <c r="IA245" s="210"/>
      <c r="IB245" s="210"/>
      <c r="IC245" s="210"/>
      <c r="ID245" s="210"/>
      <c r="IE245" s="210"/>
      <c r="IF245" s="210"/>
      <c r="IG245" s="210"/>
      <c r="IH245" s="210"/>
      <c r="II245" s="210"/>
      <c r="IJ245" s="210"/>
      <c r="IK245" s="210"/>
      <c r="IL245" s="210"/>
      <c r="IM245" s="210"/>
      <c r="KW245" s="120"/>
      <c r="LD245" s="210"/>
      <c r="LE245" s="210"/>
      <c r="LF245" s="210"/>
      <c r="LG245" s="210"/>
      <c r="LH245" s="210"/>
      <c r="LI245" s="210"/>
      <c r="LJ245" s="210"/>
      <c r="LK245" s="210"/>
      <c r="LL245" s="210"/>
      <c r="LM245" s="210"/>
      <c r="LN245" s="210"/>
      <c r="LO245" s="210"/>
      <c r="LP245" s="210"/>
      <c r="LQ245" s="210"/>
      <c r="LR245" s="210"/>
      <c r="OB245" s="120"/>
      <c r="OI245" s="210"/>
      <c r="OJ245" s="210"/>
      <c r="OK245" s="210"/>
      <c r="OL245" s="210"/>
      <c r="OM245" s="210"/>
      <c r="ON245" s="210"/>
      <c r="OO245" s="210"/>
      <c r="OP245" s="210"/>
      <c r="OQ245" s="210"/>
      <c r="OR245" s="210"/>
      <c r="OS245" s="210"/>
      <c r="OT245" s="210"/>
      <c r="OU245" s="210"/>
      <c r="OV245" s="210"/>
      <c r="OW245" s="210"/>
      <c r="RG245" s="120"/>
    </row>
    <row r="246" spans="1:475" x14ac:dyDescent="0.3">
      <c r="A246" s="7">
        <v>29</v>
      </c>
      <c r="B246" s="7">
        <v>236</v>
      </c>
      <c r="C246" s="7" t="s">
        <v>378</v>
      </c>
      <c r="D246" s="7" t="s">
        <v>747</v>
      </c>
      <c r="E246" s="7" t="s">
        <v>750</v>
      </c>
      <c r="F246" s="7" t="s">
        <v>274</v>
      </c>
      <c r="G246" s="41" t="str">
        <f t="shared" si="36"/>
        <v>X</v>
      </c>
      <c r="H246" s="41">
        <f>INDEX(환산공식!CI$16:CI$301,MATCH('배치점수 계산기'!$W246,환산공식!$A$16:$A$301,0))</f>
        <v>100</v>
      </c>
      <c r="I246" s="41" t="str">
        <f>CONCATENATE(ROUND(INDEX(환산공식!CJ$16:CJ$301,MATCH('배치점수 계산기'!$W246,환산공식!$A$16:$A$301,0)),1),"%")</f>
        <v>100%</v>
      </c>
      <c r="J246" s="41">
        <f>INDEX(환산공식!CK$16:CK$301,MATCH('배치점수 계산기'!$W246,환산공식!$A$16:$A$301,0))</f>
        <v>10</v>
      </c>
      <c r="K246" s="7">
        <f>INDEX(환산공식!$EF$16:$EF$301,MATCH('배치점수 계산기'!W246,환산공식!$A$16:$A$301,0))</f>
        <v>0</v>
      </c>
      <c r="L246" s="41" t="str">
        <f t="shared" si="34"/>
        <v>1% 이하</v>
      </c>
      <c r="M246" s="7">
        <v>762.59900000000016</v>
      </c>
      <c r="N246" s="7">
        <v>760.31200000000001</v>
      </c>
      <c r="O246" s="7">
        <v>757.32788113695096</v>
      </c>
      <c r="P246" s="7">
        <v>756.4996210553544</v>
      </c>
      <c r="Q246" s="7">
        <v>753.97539880488443</v>
      </c>
      <c r="R246" s="7">
        <f t="shared" si="35"/>
        <v>6</v>
      </c>
      <c r="T246" s="7">
        <f>COUNTIF($C$11:C246,C246)</f>
        <v>1</v>
      </c>
      <c r="U246" s="7" t="str">
        <f t="shared" si="37"/>
        <v>다1</v>
      </c>
      <c r="V246" s="7" t="str">
        <f>INDEX(환산공식!$C$16:$C$301,MATCH('배치점수 계산기'!W246,환산공식!$A$16:$A$301,0))</f>
        <v>중앙 자연</v>
      </c>
      <c r="W246" s="7">
        <f t="shared" si="38"/>
        <v>29</v>
      </c>
      <c r="X246" s="7">
        <f t="shared" si="39"/>
        <v>1</v>
      </c>
      <c r="Y246" s="7">
        <f>IFERROR(INDEX(환산공식!Q$16:Q$200,MATCH($A246,환산공식!$A$16:$A$200,0)),"")</f>
        <v>1.25</v>
      </c>
      <c r="Z246" s="7">
        <f>IFERROR(INDEX(환산공식!R$16:R$200,MATCH($A246,환산공식!$A$16:$A$200,0)),"")</f>
        <v>2</v>
      </c>
      <c r="AA246" s="7">
        <f>IFERROR(INDEX(환산공식!U$16:U$200,MATCH($A246,환산공식!$A$16:$A$200,0)),"")</f>
        <v>1.75</v>
      </c>
      <c r="AB246" s="7">
        <f t="shared" si="40"/>
        <v>0.25</v>
      </c>
      <c r="AC246" s="7">
        <f t="shared" si="41"/>
        <v>0.4</v>
      </c>
      <c r="AD246" s="7">
        <f t="shared" si="42"/>
        <v>0.35</v>
      </c>
      <c r="AE246" s="7">
        <f>INDEX(환산공식!$AF$16:$AF$301,MATCH('배치점수 계산기'!W246,환산공식!$A$16:$A$301,0))</f>
        <v>1</v>
      </c>
      <c r="AF246" s="7">
        <f>INDEX(환산공식!$AP$16:$AP$301,MATCH('배치점수 계산기'!W246,환산공식!$A$16:$A$301,0))</f>
        <v>4</v>
      </c>
      <c r="AG246" s="7" t="str">
        <f t="shared" si="43"/>
        <v>표점</v>
      </c>
      <c r="AH246" s="7" t="str">
        <f t="shared" si="44"/>
        <v>변표</v>
      </c>
      <c r="BO246" s="210"/>
      <c r="BP246" s="210"/>
      <c r="BQ246" s="210"/>
      <c r="BR246" s="210"/>
      <c r="BS246" s="210"/>
      <c r="BT246" s="210"/>
      <c r="BU246" s="210"/>
      <c r="BV246" s="210"/>
      <c r="BW246" s="210"/>
      <c r="BX246" s="210"/>
      <c r="BY246" s="210"/>
      <c r="BZ246" s="210"/>
      <c r="CA246" s="210"/>
      <c r="CB246" s="210"/>
      <c r="CC246" s="210"/>
      <c r="EM246" s="120"/>
      <c r="ET246" s="210"/>
      <c r="EU246" s="210"/>
      <c r="EV246" s="210"/>
      <c r="EW246" s="210"/>
      <c r="EX246" s="210"/>
      <c r="EY246" s="210"/>
      <c r="EZ246" s="210"/>
      <c r="FA246" s="210"/>
      <c r="FB246" s="210"/>
      <c r="FC246" s="210"/>
      <c r="FD246" s="210"/>
      <c r="FE246" s="210"/>
      <c r="FF246" s="210"/>
      <c r="FG246" s="210"/>
      <c r="FH246" s="210"/>
      <c r="HR246" s="120"/>
      <c r="HY246" s="210"/>
      <c r="HZ246" s="210"/>
      <c r="IA246" s="210"/>
      <c r="IB246" s="210"/>
      <c r="IC246" s="210"/>
      <c r="ID246" s="210"/>
      <c r="IE246" s="210"/>
      <c r="IF246" s="210"/>
      <c r="IG246" s="210"/>
      <c r="IH246" s="210"/>
      <c r="II246" s="210"/>
      <c r="IJ246" s="210"/>
      <c r="IK246" s="210"/>
      <c r="IL246" s="210"/>
      <c r="IM246" s="210"/>
      <c r="KW246" s="120"/>
      <c r="LD246" s="210"/>
      <c r="LE246" s="210"/>
      <c r="LF246" s="210"/>
      <c r="LG246" s="210"/>
      <c r="LH246" s="210"/>
      <c r="LI246" s="210"/>
      <c r="LJ246" s="210"/>
      <c r="LK246" s="210"/>
      <c r="LL246" s="210"/>
      <c r="LM246" s="210"/>
      <c r="LN246" s="210"/>
      <c r="LO246" s="210"/>
      <c r="LP246" s="210"/>
      <c r="LQ246" s="210"/>
      <c r="LR246" s="210"/>
      <c r="OB246" s="120"/>
      <c r="OI246" s="210"/>
      <c r="OJ246" s="210"/>
      <c r="OK246" s="210"/>
      <c r="OL246" s="210"/>
      <c r="OM246" s="210"/>
      <c r="ON246" s="210"/>
      <c r="OO246" s="210"/>
      <c r="OP246" s="210"/>
      <c r="OQ246" s="210"/>
      <c r="OR246" s="210"/>
      <c r="OS246" s="210"/>
      <c r="OT246" s="210"/>
      <c r="OU246" s="210"/>
      <c r="OV246" s="210"/>
      <c r="OW246" s="210"/>
      <c r="RG246" s="120"/>
    </row>
    <row r="247" spans="1:475" x14ac:dyDescent="0.3">
      <c r="A247" s="7">
        <v>29</v>
      </c>
      <c r="B247" s="7">
        <v>237</v>
      </c>
      <c r="C247" s="7" t="s">
        <v>378</v>
      </c>
      <c r="D247" s="7" t="s">
        <v>747</v>
      </c>
      <c r="E247" s="7" t="s">
        <v>751</v>
      </c>
      <c r="F247" s="7" t="s">
        <v>274</v>
      </c>
      <c r="G247" s="41" t="str">
        <f t="shared" si="36"/>
        <v>X</v>
      </c>
      <c r="H247" s="41">
        <f>INDEX(환산공식!CI$16:CI$301,MATCH('배치점수 계산기'!$W247,환산공식!$A$16:$A$301,0))</f>
        <v>100</v>
      </c>
      <c r="I247" s="41" t="str">
        <f>CONCATENATE(ROUND(INDEX(환산공식!CJ$16:CJ$301,MATCH('배치점수 계산기'!$W247,환산공식!$A$16:$A$301,0)),1),"%")</f>
        <v>100%</v>
      </c>
      <c r="J247" s="41">
        <f>INDEX(환산공식!CK$16:CK$301,MATCH('배치점수 계산기'!$W247,환산공식!$A$16:$A$301,0))</f>
        <v>10</v>
      </c>
      <c r="K247" s="7">
        <f>INDEX(환산공식!$EF$16:$EF$301,MATCH('배치점수 계산기'!W247,환산공식!$A$16:$A$301,0))</f>
        <v>0</v>
      </c>
      <c r="L247" s="41" t="str">
        <f t="shared" si="34"/>
        <v>1% 이하</v>
      </c>
      <c r="M247" s="7">
        <v>762.59900000000016</v>
      </c>
      <c r="N247" s="7">
        <v>758.98300000000006</v>
      </c>
      <c r="O247" s="7">
        <v>757.09249999999997</v>
      </c>
      <c r="P247" s="7">
        <v>755.87749999999994</v>
      </c>
      <c r="Q247" s="7">
        <v>753.97539880488443</v>
      </c>
      <c r="R247" s="7">
        <f t="shared" si="35"/>
        <v>6</v>
      </c>
      <c r="T247" s="7">
        <f>COUNTIF($C$11:C247,C247)</f>
        <v>2</v>
      </c>
      <c r="U247" s="7" t="str">
        <f t="shared" si="37"/>
        <v>다2</v>
      </c>
      <c r="V247" s="7" t="str">
        <f>INDEX(환산공식!$C$16:$C$301,MATCH('배치점수 계산기'!W247,환산공식!$A$16:$A$301,0))</f>
        <v>중앙 자연</v>
      </c>
      <c r="W247" s="7">
        <f t="shared" si="38"/>
        <v>29</v>
      </c>
      <c r="X247" s="7">
        <f t="shared" si="39"/>
        <v>1</v>
      </c>
      <c r="Y247" s="7">
        <f>IFERROR(INDEX(환산공식!Q$16:Q$200,MATCH($A247,환산공식!$A$16:$A$200,0)),"")</f>
        <v>1.25</v>
      </c>
      <c r="Z247" s="7">
        <f>IFERROR(INDEX(환산공식!R$16:R$200,MATCH($A247,환산공식!$A$16:$A$200,0)),"")</f>
        <v>2</v>
      </c>
      <c r="AA247" s="7">
        <f>IFERROR(INDEX(환산공식!U$16:U$200,MATCH($A247,환산공식!$A$16:$A$200,0)),"")</f>
        <v>1.75</v>
      </c>
      <c r="AB247" s="7">
        <f t="shared" si="40"/>
        <v>0.25</v>
      </c>
      <c r="AC247" s="7">
        <f t="shared" si="41"/>
        <v>0.4</v>
      </c>
      <c r="AD247" s="7">
        <f t="shared" si="42"/>
        <v>0.35</v>
      </c>
      <c r="AE247" s="7">
        <f>INDEX(환산공식!$AF$16:$AF$301,MATCH('배치점수 계산기'!W247,환산공식!$A$16:$A$301,0))</f>
        <v>1</v>
      </c>
      <c r="AF247" s="7">
        <f>INDEX(환산공식!$AP$16:$AP$301,MATCH('배치점수 계산기'!W247,환산공식!$A$16:$A$301,0))</f>
        <v>4</v>
      </c>
      <c r="AG247" s="7" t="str">
        <f t="shared" si="43"/>
        <v>표점</v>
      </c>
      <c r="AH247" s="7" t="str">
        <f t="shared" si="44"/>
        <v>변표</v>
      </c>
      <c r="BO247" s="210"/>
      <c r="BP247" s="210"/>
      <c r="BQ247" s="210"/>
      <c r="BR247" s="210"/>
      <c r="BS247" s="210"/>
      <c r="BT247" s="210"/>
      <c r="BU247" s="210"/>
      <c r="BV247" s="210"/>
      <c r="BW247" s="210"/>
      <c r="BX247" s="210"/>
      <c r="BY247" s="210"/>
      <c r="BZ247" s="210"/>
      <c r="CA247" s="210"/>
      <c r="CB247" s="210"/>
      <c r="CC247" s="210"/>
      <c r="EM247" s="120"/>
      <c r="ET247" s="210"/>
      <c r="EU247" s="210"/>
      <c r="EV247" s="210"/>
      <c r="EW247" s="210"/>
      <c r="EX247" s="210"/>
      <c r="EY247" s="210"/>
      <c r="EZ247" s="210"/>
      <c r="FA247" s="210"/>
      <c r="FB247" s="210"/>
      <c r="FC247" s="210"/>
      <c r="FD247" s="210"/>
      <c r="FE247" s="210"/>
      <c r="FF247" s="210"/>
      <c r="FG247" s="210"/>
      <c r="FH247" s="210"/>
      <c r="HR247" s="120"/>
      <c r="HY247" s="210"/>
      <c r="HZ247" s="210"/>
      <c r="IA247" s="210"/>
      <c r="IB247" s="210"/>
      <c r="IC247" s="210"/>
      <c r="ID247" s="210"/>
      <c r="IE247" s="210"/>
      <c r="IF247" s="210"/>
      <c r="IG247" s="210"/>
      <c r="IH247" s="210"/>
      <c r="II247" s="210"/>
      <c r="IJ247" s="210"/>
      <c r="IK247" s="210"/>
      <c r="IL247" s="210"/>
      <c r="IM247" s="210"/>
      <c r="KW247" s="120"/>
      <c r="LD247" s="210"/>
      <c r="LE247" s="210"/>
      <c r="LF247" s="210"/>
      <c r="LG247" s="210"/>
      <c r="LH247" s="210"/>
      <c r="LI247" s="210"/>
      <c r="LJ247" s="210"/>
      <c r="LK247" s="210"/>
      <c r="LL247" s="210"/>
      <c r="LM247" s="210"/>
      <c r="LN247" s="210"/>
      <c r="LO247" s="210"/>
      <c r="LP247" s="210"/>
      <c r="LQ247" s="210"/>
      <c r="LR247" s="210"/>
      <c r="OB247" s="120"/>
      <c r="OI247" s="210"/>
      <c r="OJ247" s="210"/>
      <c r="OK247" s="210"/>
      <c r="OL247" s="210"/>
      <c r="OM247" s="210"/>
      <c r="ON247" s="210"/>
      <c r="OO247" s="210"/>
      <c r="OP247" s="210"/>
      <c r="OQ247" s="210"/>
      <c r="OR247" s="210"/>
      <c r="OS247" s="210"/>
      <c r="OT247" s="210"/>
      <c r="OU247" s="210"/>
      <c r="OV247" s="210"/>
      <c r="OW247" s="210"/>
      <c r="RG247" s="120"/>
    </row>
    <row r="248" spans="1:475" x14ac:dyDescent="0.3">
      <c r="A248" s="7">
        <v>29</v>
      </c>
      <c r="B248" s="7">
        <v>238</v>
      </c>
      <c r="C248" s="7" t="s">
        <v>276</v>
      </c>
      <c r="D248" s="7" t="s">
        <v>747</v>
      </c>
      <c r="E248" s="7" t="s">
        <v>752</v>
      </c>
      <c r="F248" s="7" t="s">
        <v>274</v>
      </c>
      <c r="G248" s="41" t="str">
        <f t="shared" si="36"/>
        <v>X</v>
      </c>
      <c r="H248" s="41">
        <f>INDEX(환산공식!CI$16:CI$301,MATCH('배치점수 계산기'!$W248,환산공식!$A$16:$A$301,0))</f>
        <v>100</v>
      </c>
      <c r="I248" s="41" t="str">
        <f>CONCATENATE(ROUND(INDEX(환산공식!CJ$16:CJ$301,MATCH('배치점수 계산기'!$W248,환산공식!$A$16:$A$301,0)),1),"%")</f>
        <v>100%</v>
      </c>
      <c r="J248" s="41">
        <f>INDEX(환산공식!CK$16:CK$301,MATCH('배치점수 계산기'!$W248,환산공식!$A$16:$A$301,0))</f>
        <v>10</v>
      </c>
      <c r="K248" s="7">
        <f>INDEX(환산공식!$EF$16:$EF$301,MATCH('배치점수 계산기'!W248,환산공식!$A$16:$A$301,0))</f>
        <v>0</v>
      </c>
      <c r="L248" s="41" t="str">
        <f t="shared" si="34"/>
        <v>1% 이하</v>
      </c>
      <c r="M248" s="7">
        <v>761.60542776494754</v>
      </c>
      <c r="N248" s="7">
        <v>758.98300000000006</v>
      </c>
      <c r="O248" s="7">
        <v>757.09249999999997</v>
      </c>
      <c r="P248" s="7">
        <v>755.11249999999995</v>
      </c>
      <c r="Q248" s="7">
        <v>751.57049999999992</v>
      </c>
      <c r="R248" s="7">
        <f t="shared" si="35"/>
        <v>6</v>
      </c>
      <c r="T248" s="7">
        <f>COUNTIF($C$11:C248,C248)</f>
        <v>161</v>
      </c>
      <c r="U248" s="7" t="str">
        <f t="shared" si="37"/>
        <v>가161</v>
      </c>
      <c r="V248" s="7" t="str">
        <f>INDEX(환산공식!$C$16:$C$301,MATCH('배치점수 계산기'!W248,환산공식!$A$16:$A$301,0))</f>
        <v>중앙 자연</v>
      </c>
      <c r="W248" s="7">
        <f t="shared" si="38"/>
        <v>29</v>
      </c>
      <c r="X248" s="7">
        <f t="shared" si="39"/>
        <v>1</v>
      </c>
      <c r="Y248" s="7">
        <f>IFERROR(INDEX(환산공식!Q$16:Q$200,MATCH($A248,환산공식!$A$16:$A$200,0)),"")</f>
        <v>1.25</v>
      </c>
      <c r="Z248" s="7">
        <f>IFERROR(INDEX(환산공식!R$16:R$200,MATCH($A248,환산공식!$A$16:$A$200,0)),"")</f>
        <v>2</v>
      </c>
      <c r="AA248" s="7">
        <f>IFERROR(INDEX(환산공식!U$16:U$200,MATCH($A248,환산공식!$A$16:$A$200,0)),"")</f>
        <v>1.75</v>
      </c>
      <c r="AB248" s="7">
        <f t="shared" si="40"/>
        <v>0.25</v>
      </c>
      <c r="AC248" s="7">
        <f t="shared" si="41"/>
        <v>0.4</v>
      </c>
      <c r="AD248" s="7">
        <f t="shared" si="42"/>
        <v>0.35</v>
      </c>
      <c r="AE248" s="7">
        <f>INDEX(환산공식!$AF$16:$AF$301,MATCH('배치점수 계산기'!W248,환산공식!$A$16:$A$301,0))</f>
        <v>1</v>
      </c>
      <c r="AF248" s="7">
        <f>INDEX(환산공식!$AP$16:$AP$301,MATCH('배치점수 계산기'!W248,환산공식!$A$16:$A$301,0))</f>
        <v>4</v>
      </c>
      <c r="AG248" s="7" t="str">
        <f t="shared" si="43"/>
        <v>표점</v>
      </c>
      <c r="AH248" s="7" t="str">
        <f t="shared" si="44"/>
        <v>변표</v>
      </c>
      <c r="BO248" s="210"/>
      <c r="BP248" s="210"/>
      <c r="BQ248" s="210"/>
      <c r="BR248" s="210"/>
      <c r="BS248" s="210"/>
      <c r="BT248" s="210"/>
      <c r="BU248" s="210"/>
      <c r="BV248" s="210"/>
      <c r="BW248" s="210"/>
      <c r="BX248" s="210"/>
      <c r="BY248" s="210"/>
      <c r="BZ248" s="210"/>
      <c r="CA248" s="210"/>
      <c r="CB248" s="210"/>
      <c r="CC248" s="210"/>
      <c r="EM248" s="120"/>
      <c r="ET248" s="210"/>
      <c r="EU248" s="210"/>
      <c r="EV248" s="210"/>
      <c r="EW248" s="210"/>
      <c r="EX248" s="210"/>
      <c r="EY248" s="210"/>
      <c r="EZ248" s="210"/>
      <c r="FA248" s="210"/>
      <c r="FB248" s="210"/>
      <c r="FC248" s="210"/>
      <c r="FD248" s="210"/>
      <c r="FE248" s="210"/>
      <c r="FF248" s="210"/>
      <c r="FG248" s="210"/>
      <c r="FH248" s="210"/>
      <c r="HR248" s="120"/>
      <c r="HY248" s="210"/>
      <c r="HZ248" s="210"/>
      <c r="IA248" s="210"/>
      <c r="IB248" s="210"/>
      <c r="IC248" s="210"/>
      <c r="ID248" s="210"/>
      <c r="IE248" s="210"/>
      <c r="IF248" s="210"/>
      <c r="IG248" s="210"/>
      <c r="IH248" s="210"/>
      <c r="II248" s="210"/>
      <c r="IJ248" s="210"/>
      <c r="IK248" s="210"/>
      <c r="IL248" s="210"/>
      <c r="IM248" s="210"/>
      <c r="KW248" s="120"/>
      <c r="LD248" s="210"/>
      <c r="LE248" s="210"/>
      <c r="LF248" s="210"/>
      <c r="LG248" s="210"/>
      <c r="LH248" s="210"/>
      <c r="LI248" s="210"/>
      <c r="LJ248" s="210"/>
      <c r="LK248" s="210"/>
      <c r="LL248" s="210"/>
      <c r="LM248" s="210"/>
      <c r="LN248" s="210"/>
      <c r="LO248" s="210"/>
      <c r="LP248" s="210"/>
      <c r="LQ248" s="210"/>
      <c r="LR248" s="210"/>
      <c r="OB248" s="120"/>
      <c r="OI248" s="210"/>
      <c r="OJ248" s="210"/>
      <c r="OK248" s="210"/>
      <c r="OL248" s="210"/>
      <c r="OM248" s="210"/>
      <c r="ON248" s="210"/>
      <c r="OO248" s="210"/>
      <c r="OP248" s="210"/>
      <c r="OQ248" s="210"/>
      <c r="OR248" s="210"/>
      <c r="OS248" s="210"/>
      <c r="OT248" s="210"/>
      <c r="OU248" s="210"/>
      <c r="OV248" s="210"/>
      <c r="OW248" s="210"/>
      <c r="RG248" s="120"/>
    </row>
    <row r="249" spans="1:475" x14ac:dyDescent="0.3">
      <c r="A249" s="7">
        <v>29</v>
      </c>
      <c r="B249" s="7">
        <v>239</v>
      </c>
      <c r="C249" s="7" t="s">
        <v>346</v>
      </c>
      <c r="D249" s="7" t="s">
        <v>747</v>
      </c>
      <c r="E249" s="7" t="s">
        <v>753</v>
      </c>
      <c r="F249" s="7" t="s">
        <v>274</v>
      </c>
      <c r="G249" s="41" t="str">
        <f t="shared" si="36"/>
        <v>X</v>
      </c>
      <c r="H249" s="41">
        <f>INDEX(환산공식!CI$16:CI$301,MATCH('배치점수 계산기'!$W249,환산공식!$A$16:$A$301,0))</f>
        <v>100</v>
      </c>
      <c r="I249" s="41" t="str">
        <f>CONCATENATE(ROUND(INDEX(환산공식!CJ$16:CJ$301,MATCH('배치점수 계산기'!$W249,환산공식!$A$16:$A$301,0)),1),"%")</f>
        <v>100%</v>
      </c>
      <c r="J249" s="41">
        <f>INDEX(환산공식!CK$16:CK$301,MATCH('배치점수 계산기'!$W249,환산공식!$A$16:$A$301,0))</f>
        <v>10</v>
      </c>
      <c r="K249" s="7">
        <f>INDEX(환산공식!$EF$16:$EF$301,MATCH('배치점수 계산기'!W249,환산공식!$A$16:$A$301,0))</f>
        <v>0</v>
      </c>
      <c r="L249" s="41" t="str">
        <f t="shared" si="34"/>
        <v>1% 이하</v>
      </c>
      <c r="M249" s="7">
        <v>757.66864516129033</v>
      </c>
      <c r="N249" s="7">
        <v>754.91249999999991</v>
      </c>
      <c r="O249" s="7">
        <v>751.84774999999991</v>
      </c>
      <c r="P249" s="7">
        <v>749.59025000000008</v>
      </c>
      <c r="Q249" s="7">
        <v>747.6099999999999</v>
      </c>
      <c r="R249" s="7">
        <f t="shared" si="35"/>
        <v>6</v>
      </c>
      <c r="T249" s="7">
        <f>COUNTIF($C$11:C249,C249)</f>
        <v>76</v>
      </c>
      <c r="U249" s="7" t="str">
        <f t="shared" si="37"/>
        <v>나76</v>
      </c>
      <c r="V249" s="7" t="str">
        <f>INDEX(환산공식!$C$16:$C$301,MATCH('배치점수 계산기'!W249,환산공식!$A$16:$A$301,0))</f>
        <v>중앙 자연</v>
      </c>
      <c r="W249" s="7">
        <f t="shared" si="38"/>
        <v>29</v>
      </c>
      <c r="X249" s="7">
        <f t="shared" si="39"/>
        <v>1</v>
      </c>
      <c r="Y249" s="7">
        <f>IFERROR(INDEX(환산공식!Q$16:Q$200,MATCH($A249,환산공식!$A$16:$A$200,0)),"")</f>
        <v>1.25</v>
      </c>
      <c r="Z249" s="7">
        <f>IFERROR(INDEX(환산공식!R$16:R$200,MATCH($A249,환산공식!$A$16:$A$200,0)),"")</f>
        <v>2</v>
      </c>
      <c r="AA249" s="7">
        <f>IFERROR(INDEX(환산공식!U$16:U$200,MATCH($A249,환산공식!$A$16:$A$200,0)),"")</f>
        <v>1.75</v>
      </c>
      <c r="AB249" s="7">
        <f t="shared" si="40"/>
        <v>0.25</v>
      </c>
      <c r="AC249" s="7">
        <f t="shared" si="41"/>
        <v>0.4</v>
      </c>
      <c r="AD249" s="7">
        <f t="shared" si="42"/>
        <v>0.35</v>
      </c>
      <c r="AE249" s="7">
        <f>INDEX(환산공식!$AF$16:$AF$301,MATCH('배치점수 계산기'!W249,환산공식!$A$16:$A$301,0))</f>
        <v>1</v>
      </c>
      <c r="AF249" s="7">
        <f>INDEX(환산공식!$AP$16:$AP$301,MATCH('배치점수 계산기'!W249,환산공식!$A$16:$A$301,0))</f>
        <v>4</v>
      </c>
      <c r="AG249" s="7" t="str">
        <f t="shared" si="43"/>
        <v>표점</v>
      </c>
      <c r="AH249" s="7" t="str">
        <f t="shared" si="44"/>
        <v>변표</v>
      </c>
      <c r="BO249" s="210"/>
      <c r="BP249" s="210"/>
      <c r="BQ249" s="210"/>
      <c r="BR249" s="210"/>
      <c r="BS249" s="210"/>
      <c r="BT249" s="210"/>
      <c r="BU249" s="210"/>
      <c r="BV249" s="210"/>
      <c r="BW249" s="210"/>
      <c r="BX249" s="210"/>
      <c r="BY249" s="210"/>
      <c r="BZ249" s="210"/>
      <c r="CA249" s="210"/>
      <c r="CB249" s="210"/>
      <c r="CC249" s="210"/>
      <c r="EM249" s="120"/>
      <c r="ET249" s="210"/>
      <c r="EU249" s="210"/>
      <c r="EV249" s="210"/>
      <c r="EW249" s="210"/>
      <c r="EX249" s="210"/>
      <c r="EY249" s="210"/>
      <c r="EZ249" s="210"/>
      <c r="FA249" s="210"/>
      <c r="FB249" s="210"/>
      <c r="FC249" s="210"/>
      <c r="FD249" s="210"/>
      <c r="FE249" s="210"/>
      <c r="FF249" s="210"/>
      <c r="FG249" s="210"/>
      <c r="FH249" s="210"/>
      <c r="HR249" s="120"/>
      <c r="HY249" s="210"/>
      <c r="HZ249" s="210"/>
      <c r="IA249" s="210"/>
      <c r="IB249" s="210"/>
      <c r="IC249" s="210"/>
      <c r="ID249" s="210"/>
      <c r="IE249" s="210"/>
      <c r="IF249" s="210"/>
      <c r="IG249" s="210"/>
      <c r="IH249" s="210"/>
      <c r="II249" s="210"/>
      <c r="IJ249" s="210"/>
      <c r="IK249" s="210"/>
      <c r="IL249" s="210"/>
      <c r="IM249" s="210"/>
      <c r="KW249" s="120"/>
      <c r="LD249" s="210"/>
      <c r="LE249" s="210"/>
      <c r="LF249" s="210"/>
      <c r="LG249" s="210"/>
      <c r="LH249" s="210"/>
      <c r="LI249" s="210"/>
      <c r="LJ249" s="210"/>
      <c r="LK249" s="210"/>
      <c r="LL249" s="210"/>
      <c r="LM249" s="210"/>
      <c r="LN249" s="210"/>
      <c r="LO249" s="210"/>
      <c r="LP249" s="210"/>
      <c r="LQ249" s="210"/>
      <c r="LR249" s="210"/>
      <c r="OB249" s="120"/>
      <c r="OI249" s="210"/>
      <c r="OJ249" s="210"/>
      <c r="OK249" s="210"/>
      <c r="OL249" s="210"/>
      <c r="OM249" s="210"/>
      <c r="ON249" s="210"/>
      <c r="OO249" s="210"/>
      <c r="OP249" s="210"/>
      <c r="OQ249" s="210"/>
      <c r="OR249" s="210"/>
      <c r="OS249" s="210"/>
      <c r="OT249" s="210"/>
      <c r="OU249" s="210"/>
      <c r="OV249" s="210"/>
      <c r="OW249" s="210"/>
      <c r="RG249" s="120"/>
    </row>
    <row r="250" spans="1:475" x14ac:dyDescent="0.3">
      <c r="A250" s="7">
        <v>29</v>
      </c>
      <c r="B250" s="7">
        <v>240</v>
      </c>
      <c r="C250" s="7" t="s">
        <v>276</v>
      </c>
      <c r="D250" s="7" t="s">
        <v>747</v>
      </c>
      <c r="E250" s="7" t="s">
        <v>754</v>
      </c>
      <c r="F250" s="7" t="s">
        <v>274</v>
      </c>
      <c r="G250" s="41" t="str">
        <f t="shared" si="36"/>
        <v>X</v>
      </c>
      <c r="H250" s="41">
        <f>INDEX(환산공식!CI$16:CI$301,MATCH('배치점수 계산기'!$W250,환산공식!$A$16:$A$301,0))</f>
        <v>100</v>
      </c>
      <c r="I250" s="41" t="str">
        <f>CONCATENATE(ROUND(INDEX(환산공식!CJ$16:CJ$301,MATCH('배치점수 계산기'!$W250,환산공식!$A$16:$A$301,0)),1),"%")</f>
        <v>100%</v>
      </c>
      <c r="J250" s="41">
        <f>INDEX(환산공식!CK$16:CK$301,MATCH('배치점수 계산기'!$W250,환산공식!$A$16:$A$301,0))</f>
        <v>10</v>
      </c>
      <c r="K250" s="7">
        <f>INDEX(환산공식!$EF$16:$EF$301,MATCH('배치점수 계산기'!W250,환산공식!$A$16:$A$301,0))</f>
        <v>0</v>
      </c>
      <c r="L250" s="41" t="str">
        <f t="shared" si="34"/>
        <v>1% 이하</v>
      </c>
      <c r="M250" s="7">
        <v>757.66864516129033</v>
      </c>
      <c r="N250" s="7">
        <v>754.91249999999991</v>
      </c>
      <c r="O250" s="7">
        <v>751.84774999999991</v>
      </c>
      <c r="P250" s="7">
        <v>749.59025000000008</v>
      </c>
      <c r="Q250" s="7">
        <v>747.6099999999999</v>
      </c>
      <c r="R250" s="7">
        <f t="shared" si="35"/>
        <v>6</v>
      </c>
      <c r="T250" s="7">
        <f>COUNTIF($C$11:C250,C250)</f>
        <v>162</v>
      </c>
      <c r="U250" s="7" t="str">
        <f t="shared" si="37"/>
        <v>가162</v>
      </c>
      <c r="V250" s="7" t="str">
        <f>INDEX(환산공식!$C$16:$C$301,MATCH('배치점수 계산기'!W250,환산공식!$A$16:$A$301,0))</f>
        <v>중앙 자연</v>
      </c>
      <c r="W250" s="7">
        <f t="shared" si="38"/>
        <v>29</v>
      </c>
      <c r="X250" s="7">
        <f t="shared" si="39"/>
        <v>1</v>
      </c>
      <c r="Y250" s="7">
        <f>IFERROR(INDEX(환산공식!Q$16:Q$200,MATCH($A250,환산공식!$A$16:$A$200,0)),"")</f>
        <v>1.25</v>
      </c>
      <c r="Z250" s="7">
        <f>IFERROR(INDEX(환산공식!R$16:R$200,MATCH($A250,환산공식!$A$16:$A$200,0)),"")</f>
        <v>2</v>
      </c>
      <c r="AA250" s="7">
        <f>IFERROR(INDEX(환산공식!U$16:U$200,MATCH($A250,환산공식!$A$16:$A$200,0)),"")</f>
        <v>1.75</v>
      </c>
      <c r="AB250" s="7">
        <f t="shared" si="40"/>
        <v>0.25</v>
      </c>
      <c r="AC250" s="7">
        <f t="shared" si="41"/>
        <v>0.4</v>
      </c>
      <c r="AD250" s="7">
        <f t="shared" si="42"/>
        <v>0.35</v>
      </c>
      <c r="AE250" s="7">
        <f>INDEX(환산공식!$AF$16:$AF$301,MATCH('배치점수 계산기'!W250,환산공식!$A$16:$A$301,0))</f>
        <v>1</v>
      </c>
      <c r="AF250" s="7">
        <f>INDEX(환산공식!$AP$16:$AP$301,MATCH('배치점수 계산기'!W250,환산공식!$A$16:$A$301,0))</f>
        <v>4</v>
      </c>
      <c r="AG250" s="7" t="str">
        <f t="shared" si="43"/>
        <v>표점</v>
      </c>
      <c r="AH250" s="7" t="str">
        <f t="shared" si="44"/>
        <v>변표</v>
      </c>
      <c r="BO250" s="210"/>
      <c r="BP250" s="210"/>
      <c r="BQ250" s="210"/>
      <c r="BR250" s="210"/>
      <c r="BS250" s="210"/>
      <c r="BT250" s="210"/>
      <c r="BU250" s="210"/>
      <c r="BV250" s="210"/>
      <c r="BW250" s="210"/>
      <c r="BX250" s="210"/>
      <c r="BY250" s="210"/>
      <c r="BZ250" s="210"/>
      <c r="CA250" s="210"/>
      <c r="CB250" s="210"/>
      <c r="CC250" s="210"/>
      <c r="EM250" s="120"/>
      <c r="ET250" s="210"/>
      <c r="EU250" s="210"/>
      <c r="EV250" s="210"/>
      <c r="EW250" s="210"/>
      <c r="EX250" s="210"/>
      <c r="EY250" s="210"/>
      <c r="EZ250" s="210"/>
      <c r="FA250" s="210"/>
      <c r="FB250" s="210"/>
      <c r="FC250" s="210"/>
      <c r="FD250" s="210"/>
      <c r="FE250" s="210"/>
      <c r="FF250" s="210"/>
      <c r="FG250" s="210"/>
      <c r="FH250" s="210"/>
      <c r="HR250" s="120"/>
      <c r="HY250" s="210"/>
      <c r="HZ250" s="210"/>
      <c r="IA250" s="210"/>
      <c r="IB250" s="210"/>
      <c r="IC250" s="210"/>
      <c r="ID250" s="210"/>
      <c r="IE250" s="210"/>
      <c r="IF250" s="210"/>
      <c r="IG250" s="210"/>
      <c r="IH250" s="210"/>
      <c r="II250" s="210"/>
      <c r="IJ250" s="210"/>
      <c r="IK250" s="210"/>
      <c r="IL250" s="210"/>
      <c r="IM250" s="210"/>
      <c r="KW250" s="120"/>
      <c r="LD250" s="210"/>
      <c r="LE250" s="210"/>
      <c r="LF250" s="210"/>
      <c r="LG250" s="210"/>
      <c r="LH250" s="210"/>
      <c r="LI250" s="210"/>
      <c r="LJ250" s="210"/>
      <c r="LK250" s="210"/>
      <c r="LL250" s="210"/>
      <c r="LM250" s="210"/>
      <c r="LN250" s="210"/>
      <c r="LO250" s="210"/>
      <c r="LP250" s="210"/>
      <c r="LQ250" s="210"/>
      <c r="LR250" s="210"/>
      <c r="OB250" s="120"/>
      <c r="OI250" s="210"/>
      <c r="OJ250" s="210"/>
      <c r="OK250" s="210"/>
      <c r="OL250" s="210"/>
      <c r="OM250" s="210"/>
      <c r="ON250" s="210"/>
      <c r="OO250" s="210"/>
      <c r="OP250" s="210"/>
      <c r="OQ250" s="210"/>
      <c r="OR250" s="210"/>
      <c r="OS250" s="210"/>
      <c r="OT250" s="210"/>
      <c r="OU250" s="210"/>
      <c r="OV250" s="210"/>
      <c r="OW250" s="210"/>
      <c r="RG250" s="120"/>
    </row>
    <row r="251" spans="1:475" x14ac:dyDescent="0.3">
      <c r="A251" s="7">
        <v>29</v>
      </c>
      <c r="B251" s="7">
        <v>241</v>
      </c>
      <c r="C251" s="7" t="s">
        <v>276</v>
      </c>
      <c r="D251" s="7" t="s">
        <v>747</v>
      </c>
      <c r="E251" s="7" t="s">
        <v>280</v>
      </c>
      <c r="F251" s="7" t="s">
        <v>274</v>
      </c>
      <c r="G251" s="41" t="str">
        <f t="shared" si="36"/>
        <v>X</v>
      </c>
      <c r="H251" s="41">
        <f>INDEX(환산공식!CI$16:CI$301,MATCH('배치점수 계산기'!$W251,환산공식!$A$16:$A$301,0))</f>
        <v>100</v>
      </c>
      <c r="I251" s="41" t="str">
        <f>CONCATENATE(ROUND(INDEX(환산공식!CJ$16:CJ$301,MATCH('배치점수 계산기'!$W251,환산공식!$A$16:$A$301,0)),1),"%")</f>
        <v>100%</v>
      </c>
      <c r="J251" s="41">
        <f>INDEX(환산공식!CK$16:CK$301,MATCH('배치점수 계산기'!$W251,환산공식!$A$16:$A$301,0))</f>
        <v>10</v>
      </c>
      <c r="K251" s="7">
        <f>INDEX(환산공식!$EF$16:$EF$301,MATCH('배치점수 계산기'!W251,환산공식!$A$16:$A$301,0))</f>
        <v>0</v>
      </c>
      <c r="L251" s="41" t="str">
        <f t="shared" si="34"/>
        <v>1% 이하</v>
      </c>
      <c r="M251" s="7">
        <v>757.12788113695092</v>
      </c>
      <c r="N251" s="7">
        <v>754.91249999999991</v>
      </c>
      <c r="O251" s="7">
        <v>751.84774999999991</v>
      </c>
      <c r="P251" s="7">
        <v>749.59025000000008</v>
      </c>
      <c r="Q251" s="7">
        <v>747.6099999999999</v>
      </c>
      <c r="R251" s="7">
        <f t="shared" si="35"/>
        <v>6</v>
      </c>
      <c r="T251" s="7">
        <f>COUNTIF($C$11:C251,C251)</f>
        <v>163</v>
      </c>
      <c r="U251" s="7" t="str">
        <f t="shared" si="37"/>
        <v>가163</v>
      </c>
      <c r="V251" s="7" t="str">
        <f>INDEX(환산공식!$C$16:$C$301,MATCH('배치점수 계산기'!W251,환산공식!$A$16:$A$301,0))</f>
        <v>중앙 자연</v>
      </c>
      <c r="W251" s="7">
        <f t="shared" si="38"/>
        <v>29</v>
      </c>
      <c r="X251" s="7">
        <f t="shared" si="39"/>
        <v>1</v>
      </c>
      <c r="Y251" s="7">
        <f>IFERROR(INDEX(환산공식!Q$16:Q$200,MATCH($A251,환산공식!$A$16:$A$200,0)),"")</f>
        <v>1.25</v>
      </c>
      <c r="Z251" s="7">
        <f>IFERROR(INDEX(환산공식!R$16:R$200,MATCH($A251,환산공식!$A$16:$A$200,0)),"")</f>
        <v>2</v>
      </c>
      <c r="AA251" s="7">
        <f>IFERROR(INDEX(환산공식!U$16:U$200,MATCH($A251,환산공식!$A$16:$A$200,0)),"")</f>
        <v>1.75</v>
      </c>
      <c r="AB251" s="7">
        <f t="shared" si="40"/>
        <v>0.25</v>
      </c>
      <c r="AC251" s="7">
        <f t="shared" si="41"/>
        <v>0.4</v>
      </c>
      <c r="AD251" s="7">
        <f t="shared" si="42"/>
        <v>0.35</v>
      </c>
      <c r="AE251" s="7">
        <f>INDEX(환산공식!$AF$16:$AF$301,MATCH('배치점수 계산기'!W251,환산공식!$A$16:$A$301,0))</f>
        <v>1</v>
      </c>
      <c r="AF251" s="7">
        <f>INDEX(환산공식!$AP$16:$AP$301,MATCH('배치점수 계산기'!W251,환산공식!$A$16:$A$301,0))</f>
        <v>4</v>
      </c>
      <c r="AG251" s="7" t="str">
        <f t="shared" si="43"/>
        <v>표점</v>
      </c>
      <c r="AH251" s="7" t="str">
        <f t="shared" si="44"/>
        <v>변표</v>
      </c>
      <c r="BO251" s="210"/>
      <c r="BP251" s="210"/>
      <c r="BQ251" s="210"/>
      <c r="BR251" s="210"/>
      <c r="BS251" s="210"/>
      <c r="BT251" s="210"/>
      <c r="BU251" s="210"/>
      <c r="BV251" s="210"/>
      <c r="BW251" s="210"/>
      <c r="BX251" s="210"/>
      <c r="BY251" s="210"/>
      <c r="BZ251" s="210"/>
      <c r="CA251" s="210"/>
      <c r="CB251" s="210"/>
      <c r="CC251" s="210"/>
      <c r="EM251" s="120"/>
      <c r="ET251" s="210"/>
      <c r="EU251" s="210"/>
      <c r="EV251" s="210"/>
      <c r="EW251" s="210"/>
      <c r="EX251" s="210"/>
      <c r="EY251" s="210"/>
      <c r="EZ251" s="210"/>
      <c r="FA251" s="210"/>
      <c r="FB251" s="210"/>
      <c r="FC251" s="210"/>
      <c r="FD251" s="210"/>
      <c r="FE251" s="210"/>
      <c r="FF251" s="210"/>
      <c r="FG251" s="210"/>
      <c r="FH251" s="210"/>
      <c r="HR251" s="120"/>
      <c r="HY251" s="210"/>
      <c r="HZ251" s="210"/>
      <c r="IA251" s="210"/>
      <c r="IB251" s="210"/>
      <c r="IC251" s="210"/>
      <c r="ID251" s="210"/>
      <c r="IE251" s="210"/>
      <c r="IF251" s="210"/>
      <c r="IG251" s="210"/>
      <c r="IH251" s="210"/>
      <c r="II251" s="210"/>
      <c r="IJ251" s="210"/>
      <c r="IK251" s="210"/>
      <c r="IL251" s="210"/>
      <c r="IM251" s="210"/>
      <c r="KW251" s="120"/>
      <c r="LD251" s="210"/>
      <c r="LE251" s="210"/>
      <c r="LF251" s="210"/>
      <c r="LG251" s="210"/>
      <c r="LH251" s="210"/>
      <c r="LI251" s="210"/>
      <c r="LJ251" s="210"/>
      <c r="LK251" s="210"/>
      <c r="LL251" s="210"/>
      <c r="LM251" s="210"/>
      <c r="LN251" s="210"/>
      <c r="LO251" s="210"/>
      <c r="LP251" s="210"/>
      <c r="LQ251" s="210"/>
      <c r="LR251" s="210"/>
      <c r="OB251" s="120"/>
      <c r="OI251" s="210"/>
      <c r="OJ251" s="210"/>
      <c r="OK251" s="210"/>
      <c r="OL251" s="210"/>
      <c r="OM251" s="210"/>
      <c r="ON251" s="210"/>
      <c r="OO251" s="210"/>
      <c r="OP251" s="210"/>
      <c r="OQ251" s="210"/>
      <c r="OR251" s="210"/>
      <c r="OS251" s="210"/>
      <c r="OT251" s="210"/>
      <c r="OU251" s="210"/>
      <c r="OV251" s="210"/>
      <c r="OW251" s="210"/>
      <c r="RG251" s="120"/>
    </row>
    <row r="252" spans="1:475" x14ac:dyDescent="0.3">
      <c r="A252" s="7">
        <v>32</v>
      </c>
      <c r="B252" s="7">
        <v>242</v>
      </c>
      <c r="C252" s="7" t="s">
        <v>346</v>
      </c>
      <c r="D252" s="7" t="s">
        <v>747</v>
      </c>
      <c r="E252" s="7" t="s">
        <v>755</v>
      </c>
      <c r="F252" s="7" t="s">
        <v>275</v>
      </c>
      <c r="G252" s="41" t="str">
        <f t="shared" si="36"/>
        <v>X</v>
      </c>
      <c r="H252" s="41">
        <f>INDEX(환산공식!CI$16:CI$301,MATCH('배치점수 계산기'!$W252,환산공식!$A$16:$A$301,0))</f>
        <v>100</v>
      </c>
      <c r="I252" s="41" t="str">
        <f>CONCATENATE(ROUND(INDEX(환산공식!CJ$16:CJ$301,MATCH('배치점수 계산기'!$W252,환산공식!$A$16:$A$301,0)),1),"%")</f>
        <v>100%</v>
      </c>
      <c r="J252" s="41">
        <f>INDEX(환산공식!CK$16:CK$301,MATCH('배치점수 계산기'!$W252,환산공식!$A$16:$A$301,0))</f>
        <v>10</v>
      </c>
      <c r="K252" s="7">
        <f>INDEX(환산공식!$EF$16:$EF$301,MATCH('배치점수 계산기'!W252,환산공식!$A$16:$A$301,0))</f>
        <v>0</v>
      </c>
      <c r="L252" s="41" t="str">
        <f t="shared" si="34"/>
        <v>1% 이하</v>
      </c>
      <c r="M252" s="7">
        <v>738.8594154334038</v>
      </c>
      <c r="N252" s="7">
        <v>736.46510074231162</v>
      </c>
      <c r="O252" s="7">
        <v>734.74299999999982</v>
      </c>
      <c r="P252" s="7">
        <v>730.11416389930366</v>
      </c>
      <c r="Q252" s="7">
        <v>727.35495536434519</v>
      </c>
      <c r="R252" s="7">
        <f t="shared" si="35"/>
        <v>6</v>
      </c>
      <c r="T252" s="7">
        <f>COUNTIF($C$11:C252,C252)</f>
        <v>77</v>
      </c>
      <c r="U252" s="7" t="str">
        <f t="shared" si="37"/>
        <v>나77</v>
      </c>
      <c r="V252" s="7" t="str">
        <f>INDEX(환산공식!$C$16:$C$301,MATCH('배치점수 계산기'!W252,환산공식!$A$16:$A$301,0))</f>
        <v>중앙 경영경제</v>
      </c>
      <c r="W252" s="7">
        <f t="shared" si="38"/>
        <v>32</v>
      </c>
      <c r="X252" s="7">
        <f t="shared" si="39"/>
        <v>1</v>
      </c>
      <c r="Y252" s="7">
        <f>IFERROR(INDEX(환산공식!Q$16:Q$200,MATCH($A252,환산공식!$A$16:$A$200,0)),"")</f>
        <v>1.75</v>
      </c>
      <c r="Z252" s="7">
        <f>IFERROR(INDEX(환산공식!R$16:R$200,MATCH($A252,환산공식!$A$16:$A$200,0)),"")</f>
        <v>2.25</v>
      </c>
      <c r="AA252" s="7">
        <f>IFERROR(INDEX(환산공식!U$16:U$200,MATCH($A252,환산공식!$A$16:$A$200,0)),"")</f>
        <v>1</v>
      </c>
      <c r="AB252" s="7">
        <f t="shared" si="40"/>
        <v>0.35</v>
      </c>
      <c r="AC252" s="7">
        <f t="shared" si="41"/>
        <v>0.45</v>
      </c>
      <c r="AD252" s="7">
        <f t="shared" si="42"/>
        <v>0.2</v>
      </c>
      <c r="AE252" s="7">
        <f>INDEX(환산공식!$AF$16:$AF$301,MATCH('배치점수 계산기'!W252,환산공식!$A$16:$A$301,0))</f>
        <v>1</v>
      </c>
      <c r="AF252" s="7">
        <f>INDEX(환산공식!$AP$16:$AP$301,MATCH('배치점수 계산기'!W252,환산공식!$A$16:$A$301,0))</f>
        <v>4</v>
      </c>
      <c r="AG252" s="7" t="str">
        <f t="shared" si="43"/>
        <v>표점</v>
      </c>
      <c r="AH252" s="7" t="str">
        <f t="shared" si="44"/>
        <v>변표</v>
      </c>
      <c r="BO252" s="210"/>
      <c r="BP252" s="210"/>
      <c r="BQ252" s="210"/>
      <c r="BR252" s="210"/>
      <c r="BS252" s="210"/>
      <c r="BT252" s="210"/>
      <c r="BU252" s="210"/>
      <c r="BV252" s="210"/>
      <c r="BW252" s="210"/>
      <c r="BX252" s="210"/>
      <c r="BY252" s="210"/>
      <c r="BZ252" s="210"/>
      <c r="CA252" s="210"/>
      <c r="CB252" s="210"/>
      <c r="CC252" s="210"/>
      <c r="EM252" s="120"/>
      <c r="ET252" s="210"/>
      <c r="EU252" s="210"/>
      <c r="EV252" s="210"/>
      <c r="EW252" s="210"/>
      <c r="EX252" s="210"/>
      <c r="EY252" s="210"/>
      <c r="EZ252" s="210"/>
      <c r="FA252" s="210"/>
      <c r="FB252" s="210"/>
      <c r="FC252" s="210"/>
      <c r="FD252" s="210"/>
      <c r="FE252" s="210"/>
      <c r="FF252" s="210"/>
      <c r="FG252" s="210"/>
      <c r="FH252" s="210"/>
      <c r="HR252" s="120"/>
      <c r="HY252" s="210"/>
      <c r="HZ252" s="210"/>
      <c r="IA252" s="210"/>
      <c r="IB252" s="210"/>
      <c r="IC252" s="210"/>
      <c r="ID252" s="210"/>
      <c r="IE252" s="210"/>
      <c r="IF252" s="210"/>
      <c r="IG252" s="210"/>
      <c r="IH252" s="210"/>
      <c r="II252" s="210"/>
      <c r="IJ252" s="210"/>
      <c r="IK252" s="210"/>
      <c r="IL252" s="210"/>
      <c r="IM252" s="210"/>
      <c r="KW252" s="120"/>
      <c r="LD252" s="210"/>
      <c r="LE252" s="210"/>
      <c r="LF252" s="210"/>
      <c r="LG252" s="210"/>
      <c r="LH252" s="210"/>
      <c r="LI252" s="210"/>
      <c r="LJ252" s="210"/>
      <c r="LK252" s="210"/>
      <c r="LL252" s="210"/>
      <c r="LM252" s="210"/>
      <c r="LN252" s="210"/>
      <c r="LO252" s="210"/>
      <c r="LP252" s="210"/>
      <c r="LQ252" s="210"/>
      <c r="LR252" s="210"/>
      <c r="OB252" s="120"/>
      <c r="OI252" s="210"/>
      <c r="OJ252" s="210"/>
      <c r="OK252" s="210"/>
      <c r="OL252" s="210"/>
      <c r="OM252" s="210"/>
      <c r="ON252" s="210"/>
      <c r="OO252" s="210"/>
      <c r="OP252" s="210"/>
      <c r="OQ252" s="210"/>
      <c r="OR252" s="210"/>
      <c r="OS252" s="210"/>
      <c r="OT252" s="210"/>
      <c r="OU252" s="210"/>
      <c r="OV252" s="210"/>
      <c r="OW252" s="210"/>
      <c r="RG252" s="120"/>
    </row>
    <row r="253" spans="1:475" x14ac:dyDescent="0.3">
      <c r="A253" s="7">
        <v>32</v>
      </c>
      <c r="B253" s="7">
        <v>243</v>
      </c>
      <c r="C253" s="7" t="s">
        <v>378</v>
      </c>
      <c r="D253" s="7" t="s">
        <v>747</v>
      </c>
      <c r="E253" s="7" t="s">
        <v>756</v>
      </c>
      <c r="F253" s="7" t="s">
        <v>275</v>
      </c>
      <c r="G253" s="41" t="str">
        <f t="shared" si="36"/>
        <v>X</v>
      </c>
      <c r="H253" s="41">
        <f>INDEX(환산공식!CI$16:CI$301,MATCH('배치점수 계산기'!$W253,환산공식!$A$16:$A$301,0))</f>
        <v>100</v>
      </c>
      <c r="I253" s="41" t="str">
        <f>CONCATENATE(ROUND(INDEX(환산공식!CJ$16:CJ$301,MATCH('배치점수 계산기'!$W253,환산공식!$A$16:$A$301,0)),1),"%")</f>
        <v>100%</v>
      </c>
      <c r="J253" s="41">
        <f>INDEX(환산공식!CK$16:CK$301,MATCH('배치점수 계산기'!$W253,환산공식!$A$16:$A$301,0))</f>
        <v>10</v>
      </c>
      <c r="K253" s="7">
        <f>INDEX(환산공식!$EF$16:$EF$301,MATCH('배치점수 계산기'!W253,환산공식!$A$16:$A$301,0))</f>
        <v>0</v>
      </c>
      <c r="L253" s="41" t="str">
        <f t="shared" si="34"/>
        <v>1% 이하</v>
      </c>
      <c r="M253" s="7">
        <v>738.8594154334038</v>
      </c>
      <c r="N253" s="7">
        <v>736.46510074231162</v>
      </c>
      <c r="O253" s="7">
        <v>734.74299999999982</v>
      </c>
      <c r="P253" s="7">
        <v>728.78199999999993</v>
      </c>
      <c r="Q253" s="7">
        <v>725.84099999999989</v>
      </c>
      <c r="R253" s="7">
        <f t="shared" si="35"/>
        <v>6</v>
      </c>
      <c r="T253" s="7">
        <f>COUNTIF($C$11:C253,C253)</f>
        <v>3</v>
      </c>
      <c r="U253" s="7" t="str">
        <f t="shared" si="37"/>
        <v>다3</v>
      </c>
      <c r="V253" s="7" t="str">
        <f>INDEX(환산공식!$C$16:$C$301,MATCH('배치점수 계산기'!W253,환산공식!$A$16:$A$301,0))</f>
        <v>중앙 경영경제</v>
      </c>
      <c r="W253" s="7">
        <f t="shared" si="38"/>
        <v>32</v>
      </c>
      <c r="X253" s="7">
        <f t="shared" si="39"/>
        <v>1</v>
      </c>
      <c r="Y253" s="7">
        <f>IFERROR(INDEX(환산공식!Q$16:Q$200,MATCH($A253,환산공식!$A$16:$A$200,0)),"")</f>
        <v>1.75</v>
      </c>
      <c r="Z253" s="7">
        <f>IFERROR(INDEX(환산공식!R$16:R$200,MATCH($A253,환산공식!$A$16:$A$200,0)),"")</f>
        <v>2.25</v>
      </c>
      <c r="AA253" s="7">
        <f>IFERROR(INDEX(환산공식!U$16:U$200,MATCH($A253,환산공식!$A$16:$A$200,0)),"")</f>
        <v>1</v>
      </c>
      <c r="AB253" s="7">
        <f t="shared" si="40"/>
        <v>0.35</v>
      </c>
      <c r="AC253" s="7">
        <f t="shared" si="41"/>
        <v>0.45</v>
      </c>
      <c r="AD253" s="7">
        <f t="shared" si="42"/>
        <v>0.2</v>
      </c>
      <c r="AE253" s="7">
        <f>INDEX(환산공식!$AF$16:$AF$301,MATCH('배치점수 계산기'!W253,환산공식!$A$16:$A$301,0))</f>
        <v>1</v>
      </c>
      <c r="AF253" s="7">
        <f>INDEX(환산공식!$AP$16:$AP$301,MATCH('배치점수 계산기'!W253,환산공식!$A$16:$A$301,0))</f>
        <v>4</v>
      </c>
      <c r="AG253" s="7" t="str">
        <f t="shared" si="43"/>
        <v>표점</v>
      </c>
      <c r="AH253" s="7" t="str">
        <f t="shared" si="44"/>
        <v>변표</v>
      </c>
      <c r="BO253" s="210"/>
      <c r="BP253" s="210"/>
      <c r="BQ253" s="210"/>
      <c r="BR253" s="210"/>
      <c r="BS253" s="210"/>
      <c r="BT253" s="210"/>
      <c r="BU253" s="210"/>
      <c r="BV253" s="210"/>
      <c r="BW253" s="210"/>
      <c r="BX253" s="210"/>
      <c r="BY253" s="210"/>
      <c r="BZ253" s="210"/>
      <c r="CA253" s="210"/>
      <c r="CB253" s="210"/>
      <c r="CC253" s="210"/>
      <c r="EM253" s="120"/>
      <c r="ET253" s="210"/>
      <c r="EU253" s="210"/>
      <c r="EV253" s="210"/>
      <c r="EW253" s="210"/>
      <c r="EX253" s="210"/>
      <c r="EY253" s="210"/>
      <c r="EZ253" s="210"/>
      <c r="FA253" s="210"/>
      <c r="FB253" s="210"/>
      <c r="FC253" s="210"/>
      <c r="FD253" s="210"/>
      <c r="FE253" s="210"/>
      <c r="FF253" s="210"/>
      <c r="FG253" s="210"/>
      <c r="FH253" s="210"/>
      <c r="HR253" s="120"/>
      <c r="HY253" s="210"/>
      <c r="HZ253" s="210"/>
      <c r="IA253" s="210"/>
      <c r="IB253" s="210"/>
      <c r="IC253" s="210"/>
      <c r="ID253" s="210"/>
      <c r="IE253" s="210"/>
      <c r="IF253" s="210"/>
      <c r="IG253" s="210"/>
      <c r="IH253" s="210"/>
      <c r="II253" s="210"/>
      <c r="IJ253" s="210"/>
      <c r="IK253" s="210"/>
      <c r="IL253" s="210"/>
      <c r="IM253" s="210"/>
      <c r="KW253" s="120"/>
      <c r="LD253" s="210"/>
      <c r="LE253" s="210"/>
      <c r="LF253" s="210"/>
      <c r="LG253" s="210"/>
      <c r="LH253" s="210"/>
      <c r="LI253" s="210"/>
      <c r="LJ253" s="210"/>
      <c r="LK253" s="210"/>
      <c r="LL253" s="210"/>
      <c r="LM253" s="210"/>
      <c r="LN253" s="210"/>
      <c r="LO253" s="210"/>
      <c r="LP253" s="210"/>
      <c r="LQ253" s="210"/>
      <c r="LR253" s="210"/>
      <c r="OB253" s="120"/>
      <c r="OI253" s="210"/>
      <c r="OJ253" s="210"/>
      <c r="OK253" s="210"/>
      <c r="OL253" s="210"/>
      <c r="OM253" s="210"/>
      <c r="ON253" s="210"/>
      <c r="OO253" s="210"/>
      <c r="OP253" s="210"/>
      <c r="OQ253" s="210"/>
      <c r="OR253" s="210"/>
      <c r="OS253" s="210"/>
      <c r="OT253" s="210"/>
      <c r="OU253" s="210"/>
      <c r="OV253" s="210"/>
      <c r="OW253" s="210"/>
      <c r="RG253" s="120"/>
    </row>
    <row r="254" spans="1:475" x14ac:dyDescent="0.3">
      <c r="A254" s="7">
        <v>29</v>
      </c>
      <c r="B254" s="7">
        <v>244</v>
      </c>
      <c r="C254" s="7" t="s">
        <v>378</v>
      </c>
      <c r="D254" s="7" t="s">
        <v>747</v>
      </c>
      <c r="E254" s="7" t="s">
        <v>260</v>
      </c>
      <c r="F254" s="7" t="s">
        <v>274</v>
      </c>
      <c r="G254" s="41" t="str">
        <f t="shared" si="36"/>
        <v>X</v>
      </c>
      <c r="H254" s="41">
        <f>INDEX(환산공식!CI$16:CI$301,MATCH('배치점수 계산기'!$W254,환산공식!$A$16:$A$301,0))</f>
        <v>100</v>
      </c>
      <c r="I254" s="41" t="str">
        <f>CONCATENATE(ROUND(INDEX(환산공식!CJ$16:CJ$301,MATCH('배치점수 계산기'!$W254,환산공식!$A$16:$A$301,0)),1),"%")</f>
        <v>100%</v>
      </c>
      <c r="J254" s="41">
        <f>INDEX(환산공식!CK$16:CK$301,MATCH('배치점수 계산기'!$W254,환산공식!$A$16:$A$301,0))</f>
        <v>10</v>
      </c>
      <c r="K254" s="7">
        <f>INDEX(환산공식!$EF$16:$EF$301,MATCH('배치점수 계산기'!W254,환산공식!$A$16:$A$301,0))</f>
        <v>0</v>
      </c>
      <c r="L254" s="41" t="str">
        <f t="shared" si="34"/>
        <v>1% 이하</v>
      </c>
      <c r="M254" s="7">
        <v>753.77539880488439</v>
      </c>
      <c r="N254" s="7">
        <v>752.49713430504949</v>
      </c>
      <c r="O254" s="7">
        <v>750.93513335073067</v>
      </c>
      <c r="P254" s="7">
        <v>749.86749999999995</v>
      </c>
      <c r="Q254" s="7">
        <v>745.60549999999989</v>
      </c>
      <c r="R254" s="7">
        <f t="shared" si="35"/>
        <v>6</v>
      </c>
      <c r="T254" s="7">
        <f>COUNTIF($C$11:C254,C254)</f>
        <v>4</v>
      </c>
      <c r="U254" s="7" t="str">
        <f t="shared" si="37"/>
        <v>다4</v>
      </c>
      <c r="V254" s="7" t="str">
        <f>INDEX(환산공식!$C$16:$C$301,MATCH('배치점수 계산기'!W254,환산공식!$A$16:$A$301,0))</f>
        <v>중앙 자연</v>
      </c>
      <c r="W254" s="7">
        <f t="shared" si="38"/>
        <v>29</v>
      </c>
      <c r="X254" s="7">
        <f t="shared" si="39"/>
        <v>1</v>
      </c>
      <c r="Y254" s="7">
        <f>IFERROR(INDEX(환산공식!Q$16:Q$200,MATCH($A254,환산공식!$A$16:$A$200,0)),"")</f>
        <v>1.25</v>
      </c>
      <c r="Z254" s="7">
        <f>IFERROR(INDEX(환산공식!R$16:R$200,MATCH($A254,환산공식!$A$16:$A$200,0)),"")</f>
        <v>2</v>
      </c>
      <c r="AA254" s="7">
        <f>IFERROR(INDEX(환산공식!U$16:U$200,MATCH($A254,환산공식!$A$16:$A$200,0)),"")</f>
        <v>1.75</v>
      </c>
      <c r="AB254" s="7">
        <f t="shared" si="40"/>
        <v>0.25</v>
      </c>
      <c r="AC254" s="7">
        <f t="shared" si="41"/>
        <v>0.4</v>
      </c>
      <c r="AD254" s="7">
        <f t="shared" si="42"/>
        <v>0.35</v>
      </c>
      <c r="AE254" s="7">
        <f>INDEX(환산공식!$AF$16:$AF$301,MATCH('배치점수 계산기'!W254,환산공식!$A$16:$A$301,0))</f>
        <v>1</v>
      </c>
      <c r="AF254" s="7">
        <f>INDEX(환산공식!$AP$16:$AP$301,MATCH('배치점수 계산기'!W254,환산공식!$A$16:$A$301,0))</f>
        <v>4</v>
      </c>
      <c r="AG254" s="7" t="str">
        <f t="shared" si="43"/>
        <v>표점</v>
      </c>
      <c r="AH254" s="7" t="str">
        <f t="shared" si="44"/>
        <v>변표</v>
      </c>
      <c r="BO254" s="210"/>
      <c r="BP254" s="210"/>
      <c r="BQ254" s="210"/>
      <c r="BR254" s="210"/>
      <c r="BS254" s="210"/>
      <c r="BT254" s="210"/>
      <c r="BU254" s="210"/>
      <c r="BV254" s="210"/>
      <c r="BW254" s="210"/>
      <c r="BX254" s="210"/>
      <c r="BY254" s="210"/>
      <c r="BZ254" s="210"/>
      <c r="CA254" s="210"/>
      <c r="CB254" s="210"/>
      <c r="CC254" s="210"/>
      <c r="EM254" s="120"/>
      <c r="ET254" s="210"/>
      <c r="EU254" s="210"/>
      <c r="EV254" s="210"/>
      <c r="EW254" s="210"/>
      <c r="EX254" s="210"/>
      <c r="EY254" s="210"/>
      <c r="EZ254" s="210"/>
      <c r="FA254" s="210"/>
      <c r="FB254" s="210"/>
      <c r="FC254" s="210"/>
      <c r="FD254" s="210"/>
      <c r="FE254" s="210"/>
      <c r="FF254" s="210"/>
      <c r="FG254" s="210"/>
      <c r="FH254" s="210"/>
      <c r="HR254" s="120"/>
      <c r="HY254" s="210"/>
      <c r="HZ254" s="210"/>
      <c r="IA254" s="210"/>
      <c r="IB254" s="210"/>
      <c r="IC254" s="210"/>
      <c r="ID254" s="210"/>
      <c r="IE254" s="210"/>
      <c r="IF254" s="210"/>
      <c r="IG254" s="210"/>
      <c r="IH254" s="210"/>
      <c r="II254" s="210"/>
      <c r="IJ254" s="210"/>
      <c r="IK254" s="210"/>
      <c r="IL254" s="210"/>
      <c r="IM254" s="210"/>
      <c r="KW254" s="120"/>
      <c r="LD254" s="210"/>
      <c r="LE254" s="210"/>
      <c r="LF254" s="210"/>
      <c r="LG254" s="210"/>
      <c r="LH254" s="210"/>
      <c r="LI254" s="210"/>
      <c r="LJ254" s="210"/>
      <c r="LK254" s="210"/>
      <c r="LL254" s="210"/>
      <c r="LM254" s="210"/>
      <c r="LN254" s="210"/>
      <c r="LO254" s="210"/>
      <c r="LP254" s="210"/>
      <c r="LQ254" s="210"/>
      <c r="LR254" s="210"/>
      <c r="OB254" s="120"/>
      <c r="OI254" s="210"/>
      <c r="OJ254" s="210"/>
      <c r="OK254" s="210"/>
      <c r="OL254" s="210"/>
      <c r="OM254" s="210"/>
      <c r="ON254" s="210"/>
      <c r="OO254" s="210"/>
      <c r="OP254" s="210"/>
      <c r="OQ254" s="210"/>
      <c r="OR254" s="210"/>
      <c r="OS254" s="210"/>
      <c r="OT254" s="210"/>
      <c r="OU254" s="210"/>
      <c r="OV254" s="210"/>
      <c r="OW254" s="210"/>
      <c r="RG254" s="120"/>
    </row>
    <row r="255" spans="1:475" x14ac:dyDescent="0.3">
      <c r="A255" s="7">
        <v>30</v>
      </c>
      <c r="B255" s="7">
        <v>245</v>
      </c>
      <c r="C255" s="7" t="s">
        <v>378</v>
      </c>
      <c r="D255" s="7" t="s">
        <v>747</v>
      </c>
      <c r="E255" s="7" t="s">
        <v>272</v>
      </c>
      <c r="F255" s="7" t="s">
        <v>275</v>
      </c>
      <c r="G255" s="41" t="str">
        <f t="shared" si="36"/>
        <v>X</v>
      </c>
      <c r="H255" s="41">
        <f>INDEX(환산공식!CI$16:CI$301,MATCH('배치점수 계산기'!$W255,환산공식!$A$16:$A$301,0))</f>
        <v>100</v>
      </c>
      <c r="I255" s="41" t="str">
        <f>CONCATENATE(ROUND(INDEX(환산공식!CJ$16:CJ$301,MATCH('배치점수 계산기'!$W255,환산공식!$A$16:$A$301,0)),1),"%")</f>
        <v>100%</v>
      </c>
      <c r="J255" s="41">
        <f>INDEX(환산공식!CK$16:CK$301,MATCH('배치점수 계산기'!$W255,환산공식!$A$16:$A$301,0))</f>
        <v>10</v>
      </c>
      <c r="K255" s="7">
        <f>INDEX(환산공식!$EF$16:$EF$301,MATCH('배치점수 계산기'!W255,환산공식!$A$16:$A$301,0))</f>
        <v>0</v>
      </c>
      <c r="L255" s="41" t="str">
        <f t="shared" si="34"/>
        <v>1% 이하</v>
      </c>
      <c r="M255" s="7">
        <v>733.40600000000006</v>
      </c>
      <c r="N255" s="7">
        <v>729.88200000000006</v>
      </c>
      <c r="O255" s="7">
        <v>728.53069481043292</v>
      </c>
      <c r="P255" s="7">
        <v>727.86599999999987</v>
      </c>
      <c r="Q255" s="7">
        <v>727.06599999999992</v>
      </c>
      <c r="R255" s="7">
        <f t="shared" si="35"/>
        <v>6</v>
      </c>
      <c r="T255" s="7">
        <f>COUNTIF($C$11:C255,C255)</f>
        <v>5</v>
      </c>
      <c r="U255" s="7" t="str">
        <f t="shared" si="37"/>
        <v>다5</v>
      </c>
      <c r="V255" s="7" t="str">
        <f>INDEX(환산공식!$C$16:$C$301,MATCH('배치점수 계산기'!W255,환산공식!$A$16:$A$301,0))</f>
        <v>중앙 통합</v>
      </c>
      <c r="W255" s="7">
        <f t="shared" si="38"/>
        <v>30</v>
      </c>
      <c r="X255" s="7">
        <f t="shared" si="39"/>
        <v>1</v>
      </c>
      <c r="Y255" s="7">
        <f>IFERROR(INDEX(환산공식!Q$16:Q$200,MATCH($A255,환산공식!$A$16:$A$200,0)),"")</f>
        <v>2</v>
      </c>
      <c r="Z255" s="7">
        <f>IFERROR(INDEX(환산공식!R$16:R$200,MATCH($A255,환산공식!$A$16:$A$200,0)),"")</f>
        <v>2</v>
      </c>
      <c r="AA255" s="7">
        <f>IFERROR(INDEX(환산공식!U$16:U$200,MATCH($A255,환산공식!$A$16:$A$200,0)),"")</f>
        <v>1</v>
      </c>
      <c r="AB255" s="7">
        <f t="shared" si="40"/>
        <v>0.4</v>
      </c>
      <c r="AC255" s="7">
        <f t="shared" si="41"/>
        <v>0.4</v>
      </c>
      <c r="AD255" s="7">
        <f t="shared" si="42"/>
        <v>0.2</v>
      </c>
      <c r="AE255" s="7">
        <f>INDEX(환산공식!$AF$16:$AF$301,MATCH('배치점수 계산기'!W255,환산공식!$A$16:$A$301,0))</f>
        <v>1</v>
      </c>
      <c r="AF255" s="7">
        <f>INDEX(환산공식!$AP$16:$AP$301,MATCH('배치점수 계산기'!W255,환산공식!$A$16:$A$301,0))</f>
        <v>4</v>
      </c>
      <c r="AG255" s="7" t="str">
        <f t="shared" si="43"/>
        <v>표점</v>
      </c>
      <c r="AH255" s="7" t="str">
        <f t="shared" si="44"/>
        <v>변표</v>
      </c>
      <c r="BO255" s="210"/>
      <c r="BP255" s="210"/>
      <c r="BQ255" s="210"/>
      <c r="BR255" s="210"/>
      <c r="BS255" s="210"/>
      <c r="BT255" s="210"/>
      <c r="BU255" s="210"/>
      <c r="BV255" s="210"/>
      <c r="BW255" s="210"/>
      <c r="BX255" s="210"/>
      <c r="BY255" s="210"/>
      <c r="BZ255" s="210"/>
      <c r="CA255" s="210"/>
      <c r="CB255" s="210"/>
      <c r="CC255" s="210"/>
      <c r="EM255" s="120"/>
      <c r="ET255" s="210"/>
      <c r="EU255" s="210"/>
      <c r="EV255" s="210"/>
      <c r="EW255" s="210"/>
      <c r="EX255" s="210"/>
      <c r="EY255" s="210"/>
      <c r="EZ255" s="210"/>
      <c r="FA255" s="210"/>
      <c r="FB255" s="210"/>
      <c r="FC255" s="210"/>
      <c r="FD255" s="210"/>
      <c r="FE255" s="210"/>
      <c r="FF255" s="210"/>
      <c r="FG255" s="210"/>
      <c r="FH255" s="210"/>
      <c r="HR255" s="120"/>
      <c r="HY255" s="210"/>
      <c r="HZ255" s="210"/>
      <c r="IA255" s="210"/>
      <c r="IB255" s="210"/>
      <c r="IC255" s="210"/>
      <c r="ID255" s="210"/>
      <c r="IE255" s="210"/>
      <c r="IF255" s="210"/>
      <c r="IG255" s="210"/>
      <c r="IH255" s="210"/>
      <c r="II255" s="210"/>
      <c r="IJ255" s="210"/>
      <c r="IK255" s="210"/>
      <c r="IL255" s="210"/>
      <c r="IM255" s="210"/>
      <c r="KW255" s="120"/>
      <c r="LD255" s="210"/>
      <c r="LE255" s="210"/>
      <c r="LF255" s="210"/>
      <c r="LG255" s="210"/>
      <c r="LH255" s="210"/>
      <c r="LI255" s="210"/>
      <c r="LJ255" s="210"/>
      <c r="LK255" s="210"/>
      <c r="LL255" s="210"/>
      <c r="LM255" s="210"/>
      <c r="LN255" s="210"/>
      <c r="LO255" s="210"/>
      <c r="LP255" s="210"/>
      <c r="LQ255" s="210"/>
      <c r="LR255" s="210"/>
      <c r="OB255" s="120"/>
      <c r="OI255" s="210"/>
      <c r="OJ255" s="210"/>
      <c r="OK255" s="210"/>
      <c r="OL255" s="210"/>
      <c r="OM255" s="210"/>
      <c r="ON255" s="210"/>
      <c r="OO255" s="210"/>
      <c r="OP255" s="210"/>
      <c r="OQ255" s="210"/>
      <c r="OR255" s="210"/>
      <c r="OS255" s="210"/>
      <c r="OT255" s="210"/>
      <c r="OU255" s="210"/>
      <c r="OV255" s="210"/>
      <c r="OW255" s="210"/>
      <c r="RG255" s="120"/>
    </row>
    <row r="256" spans="1:475" x14ac:dyDescent="0.3">
      <c r="A256" s="7">
        <v>34</v>
      </c>
      <c r="B256" s="7">
        <v>246</v>
      </c>
      <c r="C256" s="7" t="s">
        <v>276</v>
      </c>
      <c r="D256" s="7" t="s">
        <v>380</v>
      </c>
      <c r="E256" s="7" t="s">
        <v>303</v>
      </c>
      <c r="F256" s="7" t="s">
        <v>275</v>
      </c>
      <c r="G256" s="41" t="str">
        <f t="shared" si="36"/>
        <v>X</v>
      </c>
      <c r="H256" s="41">
        <f>INDEX(환산공식!CI$16:CI$301,MATCH('배치점수 계산기'!$W256,환산공식!$A$16:$A$301,0))</f>
        <v>120</v>
      </c>
      <c r="I256" s="41" t="str">
        <f>CONCATENATE(ROUND(INDEX(환산공식!CJ$16:CJ$301,MATCH('배치점수 계산기'!$W256,환산공식!$A$16:$A$301,0)),1),"%")</f>
        <v>100%</v>
      </c>
      <c r="J256" s="41">
        <f>INDEX(환산공식!CK$16:CK$301,MATCH('배치점수 계산기'!$W256,환산공식!$A$16:$A$301,0))</f>
        <v>40</v>
      </c>
      <c r="K256" s="7">
        <f>INDEX(환산공식!$EF$16:$EF$301,MATCH('배치점수 계산기'!W256,환산공식!$A$16:$A$301,0))</f>
        <v>0</v>
      </c>
      <c r="L256" s="41" t="str">
        <f t="shared" si="34"/>
        <v>1% 이하</v>
      </c>
      <c r="M256" s="7">
        <v>554.71220844312984</v>
      </c>
      <c r="N256" s="7">
        <v>552.99963282937358</v>
      </c>
      <c r="O256" s="7">
        <v>551.63039999999978</v>
      </c>
      <c r="P256" s="7">
        <v>551.05039999999985</v>
      </c>
      <c r="Q256" s="7">
        <v>550.05759999999998</v>
      </c>
      <c r="R256" s="7">
        <f t="shared" si="35"/>
        <v>6</v>
      </c>
      <c r="T256" s="7">
        <f>COUNTIF($C$11:C256,C256)</f>
        <v>164</v>
      </c>
      <c r="U256" s="7" t="str">
        <f t="shared" si="37"/>
        <v>가164</v>
      </c>
      <c r="V256" s="7" t="str">
        <f>INDEX(환산공식!$C$16:$C$301,MATCH('배치점수 계산기'!W256,환산공식!$A$16:$A$301,0))</f>
        <v>경희 통합인문</v>
      </c>
      <c r="W256" s="7">
        <f t="shared" si="38"/>
        <v>34</v>
      </c>
      <c r="X256" s="7">
        <f t="shared" si="39"/>
        <v>1</v>
      </c>
      <c r="Y256" s="7">
        <f>IFERROR(INDEX(환산공식!Q$16:Q$200,MATCH($A256,환산공식!$A$16:$A$200,0)),"")</f>
        <v>1.4</v>
      </c>
      <c r="Z256" s="7">
        <f>IFERROR(INDEX(환산공식!R$16:R$200,MATCH($A256,환산공식!$A$16:$A$200,0)),"")</f>
        <v>1</v>
      </c>
      <c r="AA256" s="7">
        <f>IFERROR(INDEX(환산공식!U$16:U$200,MATCH($A256,환산공식!$A$16:$A$200,0)),"")</f>
        <v>0.8</v>
      </c>
      <c r="AB256" s="7">
        <f t="shared" si="40"/>
        <v>0.43749999999999994</v>
      </c>
      <c r="AC256" s="7">
        <f t="shared" si="41"/>
        <v>0.3125</v>
      </c>
      <c r="AD256" s="7">
        <f t="shared" si="42"/>
        <v>0.25</v>
      </c>
      <c r="AE256" s="7">
        <f>INDEX(환산공식!$AF$16:$AF$301,MATCH('배치점수 계산기'!W256,환산공식!$A$16:$A$301,0))</f>
        <v>1</v>
      </c>
      <c r="AF256" s="7">
        <f>INDEX(환산공식!$AP$16:$AP$301,MATCH('배치점수 계산기'!W256,환산공식!$A$16:$A$301,0))</f>
        <v>4</v>
      </c>
      <c r="AG256" s="7" t="str">
        <f t="shared" si="43"/>
        <v>표점</v>
      </c>
      <c r="AH256" s="7" t="str">
        <f t="shared" si="44"/>
        <v>변표</v>
      </c>
      <c r="BO256" s="210"/>
      <c r="BP256" s="210"/>
      <c r="BQ256" s="210"/>
      <c r="BR256" s="210"/>
      <c r="BS256" s="210"/>
      <c r="BT256" s="210"/>
      <c r="BU256" s="210"/>
      <c r="BV256" s="210"/>
      <c r="BW256" s="210"/>
      <c r="BX256" s="210"/>
      <c r="BY256" s="210"/>
      <c r="BZ256" s="210"/>
      <c r="CA256" s="210"/>
      <c r="CB256" s="210"/>
      <c r="CC256" s="210"/>
      <c r="EM256" s="120"/>
      <c r="ET256" s="210"/>
      <c r="EU256" s="210"/>
      <c r="EV256" s="210"/>
      <c r="EW256" s="210"/>
      <c r="EX256" s="210"/>
      <c r="EY256" s="210"/>
      <c r="EZ256" s="210"/>
      <c r="FA256" s="210"/>
      <c r="FB256" s="210"/>
      <c r="FC256" s="210"/>
      <c r="FD256" s="210"/>
      <c r="FE256" s="210"/>
      <c r="FF256" s="210"/>
      <c r="FG256" s="210"/>
      <c r="FH256" s="210"/>
      <c r="HR256" s="120"/>
      <c r="HY256" s="210"/>
      <c r="HZ256" s="210"/>
      <c r="IA256" s="210"/>
      <c r="IB256" s="210"/>
      <c r="IC256" s="210"/>
      <c r="ID256" s="210"/>
      <c r="IE256" s="210"/>
      <c r="IF256" s="210"/>
      <c r="IG256" s="210"/>
      <c r="IH256" s="210"/>
      <c r="II256" s="210"/>
      <c r="IJ256" s="210"/>
      <c r="IK256" s="210"/>
      <c r="IL256" s="210"/>
      <c r="IM256" s="210"/>
      <c r="KW256" s="120"/>
      <c r="LD256" s="210"/>
      <c r="LE256" s="210"/>
      <c r="LF256" s="210"/>
      <c r="LG256" s="210"/>
      <c r="LH256" s="210"/>
      <c r="LI256" s="210"/>
      <c r="LJ256" s="210"/>
      <c r="LK256" s="210"/>
      <c r="LL256" s="210"/>
      <c r="LM256" s="210"/>
      <c r="LN256" s="210"/>
      <c r="LO256" s="210"/>
      <c r="LP256" s="210"/>
      <c r="LQ256" s="210"/>
      <c r="LR256" s="210"/>
      <c r="OB256" s="120"/>
      <c r="OI256" s="210"/>
      <c r="OJ256" s="210"/>
      <c r="OK256" s="210"/>
      <c r="OL256" s="210"/>
      <c r="OM256" s="210"/>
      <c r="ON256" s="210"/>
      <c r="OO256" s="210"/>
      <c r="OP256" s="210"/>
      <c r="OQ256" s="210"/>
      <c r="OR256" s="210"/>
      <c r="OS256" s="210"/>
      <c r="OT256" s="210"/>
      <c r="OU256" s="210"/>
      <c r="OV256" s="210"/>
      <c r="OW256" s="210"/>
      <c r="RG256" s="120"/>
    </row>
    <row r="257" spans="1:475" x14ac:dyDescent="0.3">
      <c r="A257" s="7">
        <v>34</v>
      </c>
      <c r="B257" s="7">
        <v>247</v>
      </c>
      <c r="C257" s="7" t="s">
        <v>276</v>
      </c>
      <c r="D257" s="7" t="s">
        <v>380</v>
      </c>
      <c r="E257" s="7" t="s">
        <v>307</v>
      </c>
      <c r="F257" s="7" t="s">
        <v>275</v>
      </c>
      <c r="G257" s="41" t="str">
        <f t="shared" si="36"/>
        <v>X</v>
      </c>
      <c r="H257" s="41">
        <f>INDEX(환산공식!CI$16:CI$301,MATCH('배치점수 계산기'!$W257,환산공식!$A$16:$A$301,0))</f>
        <v>120</v>
      </c>
      <c r="I257" s="41" t="str">
        <f>CONCATENATE(ROUND(INDEX(환산공식!CJ$16:CJ$301,MATCH('배치점수 계산기'!$W257,환산공식!$A$16:$A$301,0)),1),"%")</f>
        <v>100%</v>
      </c>
      <c r="J257" s="41">
        <f>INDEX(환산공식!CK$16:CK$301,MATCH('배치점수 계산기'!$W257,환산공식!$A$16:$A$301,0))</f>
        <v>40</v>
      </c>
      <c r="K257" s="7">
        <f>INDEX(환산공식!$EF$16:$EF$301,MATCH('배치점수 계산기'!W257,환산공식!$A$16:$A$301,0))</f>
        <v>0</v>
      </c>
      <c r="L257" s="41" t="str">
        <f t="shared" si="34"/>
        <v>1% 이하</v>
      </c>
      <c r="M257" s="7">
        <v>553.26</v>
      </c>
      <c r="N257" s="7">
        <v>551.92044372294367</v>
      </c>
      <c r="O257" s="7">
        <v>551.05039999999985</v>
      </c>
      <c r="P257" s="7">
        <v>550.63760000000002</v>
      </c>
      <c r="Q257" s="7">
        <v>549.40479999999991</v>
      </c>
      <c r="R257" s="7">
        <f t="shared" si="35"/>
        <v>6</v>
      </c>
      <c r="T257" s="7">
        <f>COUNTIF($C$11:C257,C257)</f>
        <v>165</v>
      </c>
      <c r="U257" s="7" t="str">
        <f t="shared" si="37"/>
        <v>가165</v>
      </c>
      <c r="V257" s="7" t="str">
        <f>INDEX(환산공식!$C$16:$C$301,MATCH('배치점수 계산기'!W257,환산공식!$A$16:$A$301,0))</f>
        <v>경희 통합인문</v>
      </c>
      <c r="W257" s="7">
        <f t="shared" si="38"/>
        <v>34</v>
      </c>
      <c r="X257" s="7">
        <f t="shared" si="39"/>
        <v>1</v>
      </c>
      <c r="Y257" s="7">
        <f>IFERROR(INDEX(환산공식!Q$16:Q$200,MATCH($A257,환산공식!$A$16:$A$200,0)),"")</f>
        <v>1.4</v>
      </c>
      <c r="Z257" s="7">
        <f>IFERROR(INDEX(환산공식!R$16:R$200,MATCH($A257,환산공식!$A$16:$A$200,0)),"")</f>
        <v>1</v>
      </c>
      <c r="AA257" s="7">
        <f>IFERROR(INDEX(환산공식!U$16:U$200,MATCH($A257,환산공식!$A$16:$A$200,0)),"")</f>
        <v>0.8</v>
      </c>
      <c r="AB257" s="7">
        <f t="shared" si="40"/>
        <v>0.43749999999999994</v>
      </c>
      <c r="AC257" s="7">
        <f t="shared" si="41"/>
        <v>0.3125</v>
      </c>
      <c r="AD257" s="7">
        <f t="shared" si="42"/>
        <v>0.25</v>
      </c>
      <c r="AE257" s="7">
        <f>INDEX(환산공식!$AF$16:$AF$301,MATCH('배치점수 계산기'!W257,환산공식!$A$16:$A$301,0))</f>
        <v>1</v>
      </c>
      <c r="AF257" s="7">
        <f>INDEX(환산공식!$AP$16:$AP$301,MATCH('배치점수 계산기'!W257,환산공식!$A$16:$A$301,0))</f>
        <v>4</v>
      </c>
      <c r="AG257" s="7" t="str">
        <f t="shared" si="43"/>
        <v>표점</v>
      </c>
      <c r="AH257" s="7" t="str">
        <f t="shared" si="44"/>
        <v>변표</v>
      </c>
      <c r="BO257" s="210"/>
      <c r="BP257" s="210"/>
      <c r="BQ257" s="210"/>
      <c r="BR257" s="210"/>
      <c r="BS257" s="210"/>
      <c r="BT257" s="210"/>
      <c r="BU257" s="210"/>
      <c r="BV257" s="210"/>
      <c r="BW257" s="210"/>
      <c r="BX257" s="210"/>
      <c r="BY257" s="210"/>
      <c r="BZ257" s="210"/>
      <c r="CA257" s="210"/>
      <c r="CB257" s="210"/>
      <c r="CC257" s="210"/>
      <c r="EM257" s="120"/>
      <c r="ET257" s="210"/>
      <c r="EU257" s="210"/>
      <c r="EV257" s="210"/>
      <c r="EW257" s="210"/>
      <c r="EX257" s="210"/>
      <c r="EY257" s="210"/>
      <c r="EZ257" s="210"/>
      <c r="FA257" s="210"/>
      <c r="FB257" s="210"/>
      <c r="FC257" s="210"/>
      <c r="FD257" s="210"/>
      <c r="FE257" s="210"/>
      <c r="FF257" s="210"/>
      <c r="FG257" s="210"/>
      <c r="FH257" s="210"/>
      <c r="HR257" s="120"/>
      <c r="HY257" s="210"/>
      <c r="HZ257" s="210"/>
      <c r="IA257" s="210"/>
      <c r="IB257" s="210"/>
      <c r="IC257" s="210"/>
      <c r="ID257" s="210"/>
      <c r="IE257" s="210"/>
      <c r="IF257" s="210"/>
      <c r="IG257" s="210"/>
      <c r="IH257" s="210"/>
      <c r="II257" s="210"/>
      <c r="IJ257" s="210"/>
      <c r="IK257" s="210"/>
      <c r="IL257" s="210"/>
      <c r="IM257" s="210"/>
      <c r="KW257" s="120"/>
      <c r="LD257" s="210"/>
      <c r="LE257" s="210"/>
      <c r="LF257" s="210"/>
      <c r="LG257" s="210"/>
      <c r="LH257" s="210"/>
      <c r="LI257" s="210"/>
      <c r="LJ257" s="210"/>
      <c r="LK257" s="210"/>
      <c r="LL257" s="210"/>
      <c r="LM257" s="210"/>
      <c r="LN257" s="210"/>
      <c r="LO257" s="210"/>
      <c r="LP257" s="210"/>
      <c r="LQ257" s="210"/>
      <c r="LR257" s="210"/>
      <c r="OB257" s="120"/>
      <c r="OI257" s="210"/>
      <c r="OJ257" s="210"/>
      <c r="OK257" s="210"/>
      <c r="OL257" s="210"/>
      <c r="OM257" s="210"/>
      <c r="ON257" s="210"/>
      <c r="OO257" s="210"/>
      <c r="OP257" s="210"/>
      <c r="OQ257" s="210"/>
      <c r="OR257" s="210"/>
      <c r="OS257" s="210"/>
      <c r="OT257" s="210"/>
      <c r="OU257" s="210"/>
      <c r="OV257" s="210"/>
      <c r="OW257" s="210"/>
      <c r="RG257" s="120"/>
    </row>
    <row r="258" spans="1:475" x14ac:dyDescent="0.3">
      <c r="A258" s="7">
        <v>34</v>
      </c>
      <c r="B258" s="7">
        <v>248</v>
      </c>
      <c r="C258" s="7" t="s">
        <v>276</v>
      </c>
      <c r="D258" s="7" t="s">
        <v>380</v>
      </c>
      <c r="E258" s="7" t="s">
        <v>309</v>
      </c>
      <c r="F258" s="7" t="s">
        <v>275</v>
      </c>
      <c r="G258" s="41" t="str">
        <f t="shared" si="36"/>
        <v>X</v>
      </c>
      <c r="H258" s="41">
        <f>INDEX(환산공식!CI$16:CI$301,MATCH('배치점수 계산기'!$W258,환산공식!$A$16:$A$301,0))</f>
        <v>120</v>
      </c>
      <c r="I258" s="41" t="str">
        <f>CONCATENATE(ROUND(INDEX(환산공식!CJ$16:CJ$301,MATCH('배치점수 계산기'!$W258,환산공식!$A$16:$A$301,0)),1),"%")</f>
        <v>100%</v>
      </c>
      <c r="J258" s="41">
        <f>INDEX(환산공식!CK$16:CK$301,MATCH('배치점수 계산기'!$W258,환산공식!$A$16:$A$301,0))</f>
        <v>40</v>
      </c>
      <c r="K258" s="7">
        <f>INDEX(환산공식!$EF$16:$EF$301,MATCH('배치점수 계산기'!W258,환산공식!$A$16:$A$301,0))</f>
        <v>0</v>
      </c>
      <c r="L258" s="41" t="str">
        <f t="shared" si="34"/>
        <v>1% 이하</v>
      </c>
      <c r="M258" s="7">
        <v>553.26</v>
      </c>
      <c r="N258" s="7">
        <v>551.92044372294367</v>
      </c>
      <c r="O258" s="7">
        <v>551.05039999999985</v>
      </c>
      <c r="P258" s="7">
        <v>550.63760000000002</v>
      </c>
      <c r="Q258" s="7">
        <v>549.40479999999991</v>
      </c>
      <c r="R258" s="7">
        <f t="shared" si="35"/>
        <v>6</v>
      </c>
      <c r="T258" s="7">
        <f>COUNTIF($C$11:C258,C258)</f>
        <v>166</v>
      </c>
      <c r="U258" s="7" t="str">
        <f t="shared" si="37"/>
        <v>가166</v>
      </c>
      <c r="V258" s="7" t="str">
        <f>INDEX(환산공식!$C$16:$C$301,MATCH('배치점수 계산기'!W258,환산공식!$A$16:$A$301,0))</f>
        <v>경희 통합인문</v>
      </c>
      <c r="W258" s="7">
        <f t="shared" si="38"/>
        <v>34</v>
      </c>
      <c r="X258" s="7">
        <f t="shared" si="39"/>
        <v>1</v>
      </c>
      <c r="Y258" s="7">
        <f>IFERROR(INDEX(환산공식!Q$16:Q$200,MATCH($A258,환산공식!$A$16:$A$200,0)),"")</f>
        <v>1.4</v>
      </c>
      <c r="Z258" s="7">
        <f>IFERROR(INDEX(환산공식!R$16:R$200,MATCH($A258,환산공식!$A$16:$A$200,0)),"")</f>
        <v>1</v>
      </c>
      <c r="AA258" s="7">
        <f>IFERROR(INDEX(환산공식!U$16:U$200,MATCH($A258,환산공식!$A$16:$A$200,0)),"")</f>
        <v>0.8</v>
      </c>
      <c r="AB258" s="7">
        <f t="shared" si="40"/>
        <v>0.43749999999999994</v>
      </c>
      <c r="AC258" s="7">
        <f t="shared" si="41"/>
        <v>0.3125</v>
      </c>
      <c r="AD258" s="7">
        <f t="shared" si="42"/>
        <v>0.25</v>
      </c>
      <c r="AE258" s="7">
        <f>INDEX(환산공식!$AF$16:$AF$301,MATCH('배치점수 계산기'!W258,환산공식!$A$16:$A$301,0))</f>
        <v>1</v>
      </c>
      <c r="AF258" s="7">
        <f>INDEX(환산공식!$AP$16:$AP$301,MATCH('배치점수 계산기'!W258,환산공식!$A$16:$A$301,0))</f>
        <v>4</v>
      </c>
      <c r="AG258" s="7" t="str">
        <f t="shared" si="43"/>
        <v>표점</v>
      </c>
      <c r="AH258" s="7" t="str">
        <f t="shared" si="44"/>
        <v>변표</v>
      </c>
      <c r="BO258" s="210"/>
      <c r="BP258" s="210"/>
      <c r="BQ258" s="210"/>
      <c r="BR258" s="210"/>
      <c r="BS258" s="210"/>
      <c r="BT258" s="210"/>
      <c r="BU258" s="210"/>
      <c r="BV258" s="210"/>
      <c r="BW258" s="210"/>
      <c r="BX258" s="210"/>
      <c r="BY258" s="210"/>
      <c r="BZ258" s="210"/>
      <c r="CA258" s="210"/>
      <c r="CB258" s="210"/>
      <c r="CC258" s="210"/>
      <c r="EM258" s="120"/>
      <c r="ET258" s="210"/>
      <c r="EU258" s="210"/>
      <c r="EV258" s="210"/>
      <c r="EW258" s="210"/>
      <c r="EX258" s="210"/>
      <c r="EY258" s="210"/>
      <c r="EZ258" s="210"/>
      <c r="FA258" s="210"/>
      <c r="FB258" s="210"/>
      <c r="FC258" s="210"/>
      <c r="FD258" s="210"/>
      <c r="FE258" s="210"/>
      <c r="FF258" s="210"/>
      <c r="FG258" s="210"/>
      <c r="FH258" s="210"/>
      <c r="HR258" s="120"/>
      <c r="HY258" s="210"/>
      <c r="HZ258" s="210"/>
      <c r="IA258" s="210"/>
      <c r="IB258" s="210"/>
      <c r="IC258" s="210"/>
      <c r="ID258" s="210"/>
      <c r="IE258" s="210"/>
      <c r="IF258" s="210"/>
      <c r="IG258" s="210"/>
      <c r="IH258" s="210"/>
      <c r="II258" s="210"/>
      <c r="IJ258" s="210"/>
      <c r="IK258" s="210"/>
      <c r="IL258" s="210"/>
      <c r="IM258" s="210"/>
      <c r="KW258" s="120"/>
      <c r="LD258" s="210"/>
      <c r="LE258" s="210"/>
      <c r="LF258" s="210"/>
      <c r="LG258" s="210"/>
      <c r="LH258" s="210"/>
      <c r="LI258" s="210"/>
      <c r="LJ258" s="210"/>
      <c r="LK258" s="210"/>
      <c r="LL258" s="210"/>
      <c r="LM258" s="210"/>
      <c r="LN258" s="210"/>
      <c r="LO258" s="210"/>
      <c r="LP258" s="210"/>
      <c r="LQ258" s="210"/>
      <c r="LR258" s="210"/>
      <c r="OB258" s="120"/>
      <c r="OI258" s="210"/>
      <c r="OJ258" s="210"/>
      <c r="OK258" s="210"/>
      <c r="OL258" s="210"/>
      <c r="OM258" s="210"/>
      <c r="ON258" s="210"/>
      <c r="OO258" s="210"/>
      <c r="OP258" s="210"/>
      <c r="OQ258" s="210"/>
      <c r="OR258" s="210"/>
      <c r="OS258" s="210"/>
      <c r="OT258" s="210"/>
      <c r="OU258" s="210"/>
      <c r="OV258" s="210"/>
      <c r="OW258" s="210"/>
      <c r="RG258" s="120"/>
    </row>
    <row r="259" spans="1:475" x14ac:dyDescent="0.3">
      <c r="A259" s="7">
        <v>34</v>
      </c>
      <c r="B259" s="7">
        <v>249</v>
      </c>
      <c r="C259" s="7" t="s">
        <v>276</v>
      </c>
      <c r="D259" s="7" t="s">
        <v>380</v>
      </c>
      <c r="E259" s="7" t="s">
        <v>299</v>
      </c>
      <c r="F259" s="7" t="s">
        <v>275</v>
      </c>
      <c r="G259" s="41" t="str">
        <f t="shared" si="36"/>
        <v>X</v>
      </c>
      <c r="H259" s="41">
        <f>INDEX(환산공식!CI$16:CI$301,MATCH('배치점수 계산기'!$W259,환산공식!$A$16:$A$301,0))</f>
        <v>120</v>
      </c>
      <c r="I259" s="41" t="str">
        <f>CONCATENATE(ROUND(INDEX(환산공식!CJ$16:CJ$301,MATCH('배치점수 계산기'!$W259,환산공식!$A$16:$A$301,0)),1),"%")</f>
        <v>100%</v>
      </c>
      <c r="J259" s="41">
        <f>INDEX(환산공식!CK$16:CK$301,MATCH('배치점수 계산기'!$W259,환산공식!$A$16:$A$301,0))</f>
        <v>40</v>
      </c>
      <c r="K259" s="7">
        <f>INDEX(환산공식!$EF$16:$EF$301,MATCH('배치점수 계산기'!W259,환산공식!$A$16:$A$301,0))</f>
        <v>0</v>
      </c>
      <c r="L259" s="41" t="str">
        <f t="shared" si="34"/>
        <v>1% 이하</v>
      </c>
      <c r="M259" s="7">
        <v>554.71220844312984</v>
      </c>
      <c r="N259" s="7">
        <v>552.99963282937358</v>
      </c>
      <c r="O259" s="7">
        <v>551.63039999999978</v>
      </c>
      <c r="P259" s="7">
        <v>551.05039999999985</v>
      </c>
      <c r="Q259" s="7">
        <v>550.05759999999998</v>
      </c>
      <c r="R259" s="7">
        <f t="shared" si="35"/>
        <v>6</v>
      </c>
      <c r="T259" s="7">
        <f>COUNTIF($C$11:C259,C259)</f>
        <v>167</v>
      </c>
      <c r="U259" s="7" t="str">
        <f t="shared" si="37"/>
        <v>가167</v>
      </c>
      <c r="V259" s="7" t="str">
        <f>INDEX(환산공식!$C$16:$C$301,MATCH('배치점수 계산기'!W259,환산공식!$A$16:$A$301,0))</f>
        <v>경희 통합인문</v>
      </c>
      <c r="W259" s="7">
        <f t="shared" si="38"/>
        <v>34</v>
      </c>
      <c r="X259" s="7">
        <f t="shared" si="39"/>
        <v>1</v>
      </c>
      <c r="Y259" s="7">
        <f>IFERROR(INDEX(환산공식!Q$16:Q$200,MATCH($A259,환산공식!$A$16:$A$200,0)),"")</f>
        <v>1.4</v>
      </c>
      <c r="Z259" s="7">
        <f>IFERROR(INDEX(환산공식!R$16:R$200,MATCH($A259,환산공식!$A$16:$A$200,0)),"")</f>
        <v>1</v>
      </c>
      <c r="AA259" s="7">
        <f>IFERROR(INDEX(환산공식!U$16:U$200,MATCH($A259,환산공식!$A$16:$A$200,0)),"")</f>
        <v>0.8</v>
      </c>
      <c r="AB259" s="7">
        <f t="shared" si="40"/>
        <v>0.43749999999999994</v>
      </c>
      <c r="AC259" s="7">
        <f t="shared" si="41"/>
        <v>0.3125</v>
      </c>
      <c r="AD259" s="7">
        <f t="shared" si="42"/>
        <v>0.25</v>
      </c>
      <c r="AE259" s="7">
        <f>INDEX(환산공식!$AF$16:$AF$301,MATCH('배치점수 계산기'!W259,환산공식!$A$16:$A$301,0))</f>
        <v>1</v>
      </c>
      <c r="AF259" s="7">
        <f>INDEX(환산공식!$AP$16:$AP$301,MATCH('배치점수 계산기'!W259,환산공식!$A$16:$A$301,0))</f>
        <v>4</v>
      </c>
      <c r="AG259" s="7" t="str">
        <f t="shared" si="43"/>
        <v>표점</v>
      </c>
      <c r="AH259" s="7" t="str">
        <f t="shared" si="44"/>
        <v>변표</v>
      </c>
      <c r="BO259" s="210"/>
      <c r="BP259" s="210"/>
      <c r="BQ259" s="210"/>
      <c r="BR259" s="210"/>
      <c r="BS259" s="210"/>
      <c r="BT259" s="210"/>
      <c r="BU259" s="210"/>
      <c r="BV259" s="210"/>
      <c r="BW259" s="210"/>
      <c r="BX259" s="210"/>
      <c r="BY259" s="210"/>
      <c r="BZ259" s="210"/>
      <c r="CA259" s="210"/>
      <c r="CB259" s="210"/>
      <c r="CC259" s="210"/>
      <c r="EM259" s="120"/>
      <c r="ET259" s="210"/>
      <c r="EU259" s="210"/>
      <c r="EV259" s="210"/>
      <c r="EW259" s="210"/>
      <c r="EX259" s="210"/>
      <c r="EY259" s="210"/>
      <c r="EZ259" s="210"/>
      <c r="FA259" s="210"/>
      <c r="FB259" s="210"/>
      <c r="FC259" s="210"/>
      <c r="FD259" s="210"/>
      <c r="FE259" s="210"/>
      <c r="FF259" s="210"/>
      <c r="FG259" s="210"/>
      <c r="FH259" s="210"/>
      <c r="HR259" s="120"/>
      <c r="HY259" s="210"/>
      <c r="HZ259" s="210"/>
      <c r="IA259" s="210"/>
      <c r="IB259" s="210"/>
      <c r="IC259" s="210"/>
      <c r="ID259" s="210"/>
      <c r="IE259" s="210"/>
      <c r="IF259" s="210"/>
      <c r="IG259" s="210"/>
      <c r="IH259" s="210"/>
      <c r="II259" s="210"/>
      <c r="IJ259" s="210"/>
      <c r="IK259" s="210"/>
      <c r="IL259" s="210"/>
      <c r="IM259" s="210"/>
      <c r="KW259" s="120"/>
      <c r="LD259" s="210"/>
      <c r="LE259" s="210"/>
      <c r="LF259" s="210"/>
      <c r="LG259" s="210"/>
      <c r="LH259" s="210"/>
      <c r="LI259" s="210"/>
      <c r="LJ259" s="210"/>
      <c r="LK259" s="210"/>
      <c r="LL259" s="210"/>
      <c r="LM259" s="210"/>
      <c r="LN259" s="210"/>
      <c r="LO259" s="210"/>
      <c r="LP259" s="210"/>
      <c r="LQ259" s="210"/>
      <c r="LR259" s="210"/>
      <c r="OB259" s="120"/>
      <c r="OI259" s="210"/>
      <c r="OJ259" s="210"/>
      <c r="OK259" s="210"/>
      <c r="OL259" s="210"/>
      <c r="OM259" s="210"/>
      <c r="ON259" s="210"/>
      <c r="OO259" s="210"/>
      <c r="OP259" s="210"/>
      <c r="OQ259" s="210"/>
      <c r="OR259" s="210"/>
      <c r="OS259" s="210"/>
      <c r="OT259" s="210"/>
      <c r="OU259" s="210"/>
      <c r="OV259" s="210"/>
      <c r="OW259" s="210"/>
      <c r="RG259" s="120"/>
    </row>
    <row r="260" spans="1:475" x14ac:dyDescent="0.3">
      <c r="A260" s="7">
        <v>34</v>
      </c>
      <c r="B260" s="7">
        <v>250</v>
      </c>
      <c r="C260" s="7" t="s">
        <v>276</v>
      </c>
      <c r="D260" s="7" t="s">
        <v>380</v>
      </c>
      <c r="E260" s="7" t="s">
        <v>381</v>
      </c>
      <c r="F260" s="7" t="s">
        <v>275</v>
      </c>
      <c r="G260" s="41" t="str">
        <f t="shared" si="36"/>
        <v>X</v>
      </c>
      <c r="H260" s="41">
        <f>INDEX(환산공식!CI$16:CI$301,MATCH('배치점수 계산기'!$W260,환산공식!$A$16:$A$301,0))</f>
        <v>120</v>
      </c>
      <c r="I260" s="41" t="str">
        <f>CONCATENATE(ROUND(INDEX(환산공식!CJ$16:CJ$301,MATCH('배치점수 계산기'!$W260,환산공식!$A$16:$A$301,0)),1),"%")</f>
        <v>100%</v>
      </c>
      <c r="J260" s="41">
        <f>INDEX(환산공식!CK$16:CK$301,MATCH('배치점수 계산기'!$W260,환산공식!$A$16:$A$301,0))</f>
        <v>40</v>
      </c>
      <c r="K260" s="7">
        <f>INDEX(환산공식!$EF$16:$EF$301,MATCH('배치점수 계산기'!W260,환산공식!$A$16:$A$301,0))</f>
        <v>0</v>
      </c>
      <c r="L260" s="41" t="str">
        <f t="shared" si="34"/>
        <v>1% 이하</v>
      </c>
      <c r="M260" s="7">
        <v>554.71220844312984</v>
      </c>
      <c r="N260" s="7">
        <v>552.99963282937358</v>
      </c>
      <c r="O260" s="7">
        <v>551.63039999999978</v>
      </c>
      <c r="P260" s="7">
        <v>550.97087192839695</v>
      </c>
      <c r="Q260" s="7">
        <v>549.40479999999991</v>
      </c>
      <c r="R260" s="7">
        <f t="shared" si="35"/>
        <v>6</v>
      </c>
      <c r="T260" s="7">
        <f>COUNTIF($C$11:C260,C260)</f>
        <v>168</v>
      </c>
      <c r="U260" s="7" t="str">
        <f t="shared" si="37"/>
        <v>가168</v>
      </c>
      <c r="V260" s="7" t="str">
        <f>INDEX(환산공식!$C$16:$C$301,MATCH('배치점수 계산기'!W260,환산공식!$A$16:$A$301,0))</f>
        <v>경희 통합인문</v>
      </c>
      <c r="W260" s="7">
        <f t="shared" si="38"/>
        <v>34</v>
      </c>
      <c r="X260" s="7">
        <f t="shared" si="39"/>
        <v>1</v>
      </c>
      <c r="Y260" s="7">
        <f>IFERROR(INDEX(환산공식!Q$16:Q$200,MATCH($A260,환산공식!$A$16:$A$200,0)),"")</f>
        <v>1.4</v>
      </c>
      <c r="Z260" s="7">
        <f>IFERROR(INDEX(환산공식!R$16:R$200,MATCH($A260,환산공식!$A$16:$A$200,0)),"")</f>
        <v>1</v>
      </c>
      <c r="AA260" s="7">
        <f>IFERROR(INDEX(환산공식!U$16:U$200,MATCH($A260,환산공식!$A$16:$A$200,0)),"")</f>
        <v>0.8</v>
      </c>
      <c r="AB260" s="7">
        <f t="shared" si="40"/>
        <v>0.43749999999999994</v>
      </c>
      <c r="AC260" s="7">
        <f t="shared" si="41"/>
        <v>0.3125</v>
      </c>
      <c r="AD260" s="7">
        <f t="shared" si="42"/>
        <v>0.25</v>
      </c>
      <c r="AE260" s="7">
        <f>INDEX(환산공식!$AF$16:$AF$301,MATCH('배치점수 계산기'!W260,환산공식!$A$16:$A$301,0))</f>
        <v>1</v>
      </c>
      <c r="AF260" s="7">
        <f>INDEX(환산공식!$AP$16:$AP$301,MATCH('배치점수 계산기'!W260,환산공식!$A$16:$A$301,0))</f>
        <v>4</v>
      </c>
      <c r="AG260" s="7" t="str">
        <f t="shared" si="43"/>
        <v>표점</v>
      </c>
      <c r="AH260" s="7" t="str">
        <f t="shared" si="44"/>
        <v>변표</v>
      </c>
      <c r="BO260" s="210"/>
      <c r="BP260" s="210"/>
      <c r="BQ260" s="210"/>
      <c r="BR260" s="210"/>
      <c r="BS260" s="210"/>
      <c r="BT260" s="210"/>
      <c r="BU260" s="210"/>
      <c r="BV260" s="210"/>
      <c r="BW260" s="210"/>
      <c r="BX260" s="210"/>
      <c r="BY260" s="210"/>
      <c r="BZ260" s="210"/>
      <c r="CA260" s="210"/>
      <c r="CB260" s="210"/>
      <c r="CC260" s="210"/>
      <c r="EM260" s="120"/>
      <c r="ET260" s="210"/>
      <c r="EU260" s="210"/>
      <c r="EV260" s="210"/>
      <c r="EW260" s="210"/>
      <c r="EX260" s="210"/>
      <c r="EY260" s="210"/>
      <c r="EZ260" s="210"/>
      <c r="FA260" s="210"/>
      <c r="FB260" s="210"/>
      <c r="FC260" s="210"/>
      <c r="FD260" s="210"/>
      <c r="FE260" s="210"/>
      <c r="FF260" s="210"/>
      <c r="FG260" s="210"/>
      <c r="FH260" s="210"/>
      <c r="HR260" s="120"/>
      <c r="HY260" s="210"/>
      <c r="HZ260" s="210"/>
      <c r="IA260" s="210"/>
      <c r="IB260" s="210"/>
      <c r="IC260" s="210"/>
      <c r="ID260" s="210"/>
      <c r="IE260" s="210"/>
      <c r="IF260" s="210"/>
      <c r="IG260" s="210"/>
      <c r="IH260" s="210"/>
      <c r="II260" s="210"/>
      <c r="IJ260" s="210"/>
      <c r="IK260" s="210"/>
      <c r="IL260" s="210"/>
      <c r="IM260" s="210"/>
      <c r="KW260" s="120"/>
      <c r="LD260" s="210"/>
      <c r="LE260" s="210"/>
      <c r="LF260" s="210"/>
      <c r="LG260" s="210"/>
      <c r="LH260" s="210"/>
      <c r="LI260" s="210"/>
      <c r="LJ260" s="210"/>
      <c r="LK260" s="210"/>
      <c r="LL260" s="210"/>
      <c r="LM260" s="210"/>
      <c r="LN260" s="210"/>
      <c r="LO260" s="210"/>
      <c r="LP260" s="210"/>
      <c r="LQ260" s="210"/>
      <c r="LR260" s="210"/>
      <c r="OB260" s="120"/>
      <c r="OI260" s="210"/>
      <c r="OJ260" s="210"/>
      <c r="OK260" s="210"/>
      <c r="OL260" s="210"/>
      <c r="OM260" s="210"/>
      <c r="ON260" s="210"/>
      <c r="OO260" s="210"/>
      <c r="OP260" s="210"/>
      <c r="OQ260" s="210"/>
      <c r="OR260" s="210"/>
      <c r="OS260" s="210"/>
      <c r="OT260" s="210"/>
      <c r="OU260" s="210"/>
      <c r="OV260" s="210"/>
      <c r="OW260" s="210"/>
      <c r="RG260" s="120"/>
    </row>
    <row r="261" spans="1:475" x14ac:dyDescent="0.3">
      <c r="A261" s="7">
        <v>35</v>
      </c>
      <c r="B261" s="7">
        <v>251</v>
      </c>
      <c r="C261" s="7" t="s">
        <v>276</v>
      </c>
      <c r="D261" s="7" t="s">
        <v>380</v>
      </c>
      <c r="E261" s="7" t="s">
        <v>382</v>
      </c>
      <c r="F261" s="7" t="s">
        <v>275</v>
      </c>
      <c r="G261" s="41" t="str">
        <f t="shared" si="36"/>
        <v>X</v>
      </c>
      <c r="H261" s="41">
        <f>INDEX(환산공식!CI$16:CI$301,MATCH('배치점수 계산기'!$W261,환산공식!$A$16:$A$301,0))</f>
        <v>120</v>
      </c>
      <c r="I261" s="41" t="str">
        <f>CONCATENATE(ROUND(INDEX(환산공식!CJ$16:CJ$301,MATCH('배치점수 계산기'!$W261,환산공식!$A$16:$A$301,0)),1),"%")</f>
        <v>100%</v>
      </c>
      <c r="J261" s="41">
        <f>INDEX(환산공식!CK$16:CK$301,MATCH('배치점수 계산기'!$W261,환산공식!$A$16:$A$301,0))</f>
        <v>40</v>
      </c>
      <c r="K261" s="7">
        <f>INDEX(환산공식!$EF$16:$EF$301,MATCH('배치점수 계산기'!W261,환산공식!$A$16:$A$301,0))</f>
        <v>0</v>
      </c>
      <c r="L261" s="41" t="str">
        <f t="shared" si="34"/>
        <v>1% 이하</v>
      </c>
      <c r="M261" s="7">
        <v>556.68410703624727</v>
      </c>
      <c r="N261" s="7">
        <v>556.12479999999994</v>
      </c>
      <c r="O261" s="7">
        <v>554.70482870915907</v>
      </c>
      <c r="P261" s="7">
        <v>553.58645882984433</v>
      </c>
      <c r="Q261" s="7">
        <v>551.07898488120941</v>
      </c>
      <c r="R261" s="7">
        <f t="shared" si="35"/>
        <v>6</v>
      </c>
      <c r="T261" s="7">
        <f>COUNTIF($C$11:C261,C261)</f>
        <v>169</v>
      </c>
      <c r="U261" s="7" t="str">
        <f t="shared" si="37"/>
        <v>가169</v>
      </c>
      <c r="V261" s="7" t="str">
        <f>INDEX(환산공식!$C$16:$C$301,MATCH('배치점수 계산기'!W261,환산공식!$A$16:$A$301,0))</f>
        <v>경희 통합사회</v>
      </c>
      <c r="W261" s="7">
        <f t="shared" si="38"/>
        <v>35</v>
      </c>
      <c r="X261" s="7">
        <f t="shared" si="39"/>
        <v>1</v>
      </c>
      <c r="Y261" s="7">
        <f>IFERROR(INDEX(환산공식!Q$16:Q$200,MATCH($A261,환산공식!$A$16:$A$200,0)),"")</f>
        <v>1</v>
      </c>
      <c r="Z261" s="7">
        <f>IFERROR(INDEX(환산공식!R$16:R$200,MATCH($A261,환산공식!$A$16:$A$200,0)),"")</f>
        <v>1.4</v>
      </c>
      <c r="AA261" s="7">
        <f>IFERROR(INDEX(환산공식!U$16:U$200,MATCH($A261,환산공식!$A$16:$A$200,0)),"")</f>
        <v>0.8</v>
      </c>
      <c r="AB261" s="7">
        <f t="shared" si="40"/>
        <v>0.3125</v>
      </c>
      <c r="AC261" s="7">
        <f t="shared" si="41"/>
        <v>0.43749999999999994</v>
      </c>
      <c r="AD261" s="7">
        <f t="shared" si="42"/>
        <v>0.25</v>
      </c>
      <c r="AE261" s="7">
        <f>INDEX(환산공식!$AF$16:$AF$301,MATCH('배치점수 계산기'!W261,환산공식!$A$16:$A$301,0))</f>
        <v>1</v>
      </c>
      <c r="AF261" s="7">
        <f>INDEX(환산공식!$AP$16:$AP$301,MATCH('배치점수 계산기'!W261,환산공식!$A$16:$A$301,0))</f>
        <v>4</v>
      </c>
      <c r="AG261" s="7" t="str">
        <f t="shared" si="43"/>
        <v>표점</v>
      </c>
      <c r="AH261" s="7" t="str">
        <f t="shared" si="44"/>
        <v>변표</v>
      </c>
      <c r="BO261" s="210"/>
      <c r="BP261" s="210"/>
      <c r="BQ261" s="210"/>
      <c r="BR261" s="210"/>
      <c r="BS261" s="210"/>
      <c r="BT261" s="210"/>
      <c r="BU261" s="210"/>
      <c r="BV261" s="210"/>
      <c r="BW261" s="210"/>
      <c r="BX261" s="210"/>
      <c r="BY261" s="210"/>
      <c r="BZ261" s="210"/>
      <c r="CA261" s="210"/>
      <c r="CB261" s="210"/>
      <c r="CC261" s="210"/>
      <c r="EM261" s="120"/>
      <c r="ET261" s="210"/>
      <c r="EU261" s="210"/>
      <c r="EV261" s="210"/>
      <c r="EW261" s="210"/>
      <c r="EX261" s="210"/>
      <c r="EY261" s="210"/>
      <c r="EZ261" s="210"/>
      <c r="FA261" s="210"/>
      <c r="FB261" s="210"/>
      <c r="FC261" s="210"/>
      <c r="FD261" s="210"/>
      <c r="FE261" s="210"/>
      <c r="FF261" s="210"/>
      <c r="FG261" s="210"/>
      <c r="FH261" s="210"/>
      <c r="HR261" s="120"/>
      <c r="HY261" s="210"/>
      <c r="HZ261" s="210"/>
      <c r="IA261" s="210"/>
      <c r="IB261" s="210"/>
      <c r="IC261" s="210"/>
      <c r="ID261" s="210"/>
      <c r="IE261" s="210"/>
      <c r="IF261" s="210"/>
      <c r="IG261" s="210"/>
      <c r="IH261" s="210"/>
      <c r="II261" s="210"/>
      <c r="IJ261" s="210"/>
      <c r="IK261" s="210"/>
      <c r="IL261" s="210"/>
      <c r="IM261" s="210"/>
      <c r="KW261" s="120"/>
      <c r="LD261" s="210"/>
      <c r="LE261" s="210"/>
      <c r="LF261" s="210"/>
      <c r="LG261" s="210"/>
      <c r="LH261" s="210"/>
      <c r="LI261" s="210"/>
      <c r="LJ261" s="210"/>
      <c r="LK261" s="210"/>
      <c r="LL261" s="210"/>
      <c r="LM261" s="210"/>
      <c r="LN261" s="210"/>
      <c r="LO261" s="210"/>
      <c r="LP261" s="210"/>
      <c r="LQ261" s="210"/>
      <c r="LR261" s="210"/>
      <c r="OB261" s="120"/>
      <c r="OI261" s="210"/>
      <c r="OJ261" s="210"/>
      <c r="OK261" s="210"/>
      <c r="OL261" s="210"/>
      <c r="OM261" s="210"/>
      <c r="ON261" s="210"/>
      <c r="OO261" s="210"/>
      <c r="OP261" s="210"/>
      <c r="OQ261" s="210"/>
      <c r="OR261" s="210"/>
      <c r="OS261" s="210"/>
      <c r="OT261" s="210"/>
      <c r="OU261" s="210"/>
      <c r="OV261" s="210"/>
      <c r="OW261" s="210"/>
      <c r="RG261" s="120"/>
    </row>
    <row r="262" spans="1:475" x14ac:dyDescent="0.3">
      <c r="A262" s="7">
        <v>35</v>
      </c>
      <c r="B262" s="7">
        <v>252</v>
      </c>
      <c r="C262" s="7" t="s">
        <v>276</v>
      </c>
      <c r="D262" s="7" t="s">
        <v>380</v>
      </c>
      <c r="E262" s="7" t="s">
        <v>263</v>
      </c>
      <c r="F262" s="7" t="s">
        <v>275</v>
      </c>
      <c r="G262" s="41" t="str">
        <f t="shared" si="36"/>
        <v>X</v>
      </c>
      <c r="H262" s="41">
        <f>INDEX(환산공식!CI$16:CI$301,MATCH('배치점수 계산기'!$W262,환산공식!$A$16:$A$301,0))</f>
        <v>120</v>
      </c>
      <c r="I262" s="41" t="str">
        <f>CONCATENATE(ROUND(INDEX(환산공식!CJ$16:CJ$301,MATCH('배치점수 계산기'!$W262,환산공식!$A$16:$A$301,0)),1),"%")</f>
        <v>100%</v>
      </c>
      <c r="J262" s="41">
        <f>INDEX(환산공식!CK$16:CK$301,MATCH('배치점수 계산기'!$W262,환산공식!$A$16:$A$301,0))</f>
        <v>40</v>
      </c>
      <c r="K262" s="7">
        <f>INDEX(환산공식!$EF$16:$EF$301,MATCH('배치점수 계산기'!W262,환산공식!$A$16:$A$301,0))</f>
        <v>0</v>
      </c>
      <c r="L262" s="41" t="str">
        <f t="shared" si="34"/>
        <v>1% 이하</v>
      </c>
      <c r="M262" s="7">
        <v>558.52521983558722</v>
      </c>
      <c r="N262" s="7">
        <v>556.68410703624727</v>
      </c>
      <c r="O262" s="7">
        <v>555.45444619085799</v>
      </c>
      <c r="P262" s="7">
        <v>554.52560000000005</v>
      </c>
      <c r="Q262" s="7">
        <v>551.07898488120941</v>
      </c>
      <c r="R262" s="7">
        <f t="shared" si="35"/>
        <v>6</v>
      </c>
      <c r="T262" s="7">
        <f>COUNTIF($C$11:C262,C262)</f>
        <v>170</v>
      </c>
      <c r="U262" s="7" t="str">
        <f t="shared" si="37"/>
        <v>가170</v>
      </c>
      <c r="V262" s="7" t="str">
        <f>INDEX(환산공식!$C$16:$C$301,MATCH('배치점수 계산기'!W262,환산공식!$A$16:$A$301,0))</f>
        <v>경희 통합사회</v>
      </c>
      <c r="W262" s="7">
        <f t="shared" si="38"/>
        <v>35</v>
      </c>
      <c r="X262" s="7">
        <f t="shared" si="39"/>
        <v>1</v>
      </c>
      <c r="Y262" s="7">
        <f>IFERROR(INDEX(환산공식!Q$16:Q$200,MATCH($A262,환산공식!$A$16:$A$200,0)),"")</f>
        <v>1</v>
      </c>
      <c r="Z262" s="7">
        <f>IFERROR(INDEX(환산공식!R$16:R$200,MATCH($A262,환산공식!$A$16:$A$200,0)),"")</f>
        <v>1.4</v>
      </c>
      <c r="AA262" s="7">
        <f>IFERROR(INDEX(환산공식!U$16:U$200,MATCH($A262,환산공식!$A$16:$A$200,0)),"")</f>
        <v>0.8</v>
      </c>
      <c r="AB262" s="7">
        <f t="shared" si="40"/>
        <v>0.3125</v>
      </c>
      <c r="AC262" s="7">
        <f t="shared" si="41"/>
        <v>0.43749999999999994</v>
      </c>
      <c r="AD262" s="7">
        <f t="shared" si="42"/>
        <v>0.25</v>
      </c>
      <c r="AE262" s="7">
        <f>INDEX(환산공식!$AF$16:$AF$301,MATCH('배치점수 계산기'!W262,환산공식!$A$16:$A$301,0))</f>
        <v>1</v>
      </c>
      <c r="AF262" s="7">
        <f>INDEX(환산공식!$AP$16:$AP$301,MATCH('배치점수 계산기'!W262,환산공식!$A$16:$A$301,0))</f>
        <v>4</v>
      </c>
      <c r="AG262" s="7" t="str">
        <f t="shared" si="43"/>
        <v>표점</v>
      </c>
      <c r="AH262" s="7" t="str">
        <f t="shared" si="44"/>
        <v>변표</v>
      </c>
      <c r="BO262" s="210"/>
      <c r="BP262" s="210"/>
      <c r="BQ262" s="210"/>
      <c r="BR262" s="210"/>
      <c r="BS262" s="210"/>
      <c r="BT262" s="210"/>
      <c r="BU262" s="210"/>
      <c r="BV262" s="210"/>
      <c r="BW262" s="210"/>
      <c r="BX262" s="210"/>
      <c r="BY262" s="210"/>
      <c r="BZ262" s="210"/>
      <c r="CA262" s="210"/>
      <c r="CB262" s="210"/>
      <c r="CC262" s="210"/>
      <c r="EM262" s="120"/>
      <c r="ET262" s="210"/>
      <c r="EU262" s="210"/>
      <c r="EV262" s="210"/>
      <c r="EW262" s="210"/>
      <c r="EX262" s="210"/>
      <c r="EY262" s="210"/>
      <c r="EZ262" s="210"/>
      <c r="FA262" s="210"/>
      <c r="FB262" s="210"/>
      <c r="FC262" s="210"/>
      <c r="FD262" s="210"/>
      <c r="FE262" s="210"/>
      <c r="FF262" s="210"/>
      <c r="FG262" s="210"/>
      <c r="FH262" s="210"/>
      <c r="HR262" s="120"/>
      <c r="HY262" s="210"/>
      <c r="HZ262" s="210"/>
      <c r="IA262" s="210"/>
      <c r="IB262" s="210"/>
      <c r="IC262" s="210"/>
      <c r="ID262" s="210"/>
      <c r="IE262" s="210"/>
      <c r="IF262" s="210"/>
      <c r="IG262" s="210"/>
      <c r="IH262" s="210"/>
      <c r="II262" s="210"/>
      <c r="IJ262" s="210"/>
      <c r="IK262" s="210"/>
      <c r="IL262" s="210"/>
      <c r="IM262" s="210"/>
      <c r="KW262" s="120"/>
      <c r="LD262" s="210"/>
      <c r="LE262" s="210"/>
      <c r="LF262" s="210"/>
      <c r="LG262" s="210"/>
      <c r="LH262" s="210"/>
      <c r="LI262" s="210"/>
      <c r="LJ262" s="210"/>
      <c r="LK262" s="210"/>
      <c r="LL262" s="210"/>
      <c r="LM262" s="210"/>
      <c r="LN262" s="210"/>
      <c r="LO262" s="210"/>
      <c r="LP262" s="210"/>
      <c r="LQ262" s="210"/>
      <c r="LR262" s="210"/>
      <c r="OB262" s="120"/>
      <c r="OI262" s="210"/>
      <c r="OJ262" s="210"/>
      <c r="OK262" s="210"/>
      <c r="OL262" s="210"/>
      <c r="OM262" s="210"/>
      <c r="ON262" s="210"/>
      <c r="OO262" s="210"/>
      <c r="OP262" s="210"/>
      <c r="OQ262" s="210"/>
      <c r="OR262" s="210"/>
      <c r="OS262" s="210"/>
      <c r="OT262" s="210"/>
      <c r="OU262" s="210"/>
      <c r="OV262" s="210"/>
      <c r="OW262" s="210"/>
      <c r="RG262" s="120"/>
    </row>
    <row r="263" spans="1:475" x14ac:dyDescent="0.3">
      <c r="A263" s="7">
        <v>35</v>
      </c>
      <c r="B263" s="7">
        <v>253</v>
      </c>
      <c r="C263" s="7" t="s">
        <v>276</v>
      </c>
      <c r="D263" s="7" t="s">
        <v>380</v>
      </c>
      <c r="E263" s="7" t="s">
        <v>301</v>
      </c>
      <c r="F263" s="7" t="s">
        <v>275</v>
      </c>
      <c r="G263" s="41" t="str">
        <f t="shared" si="36"/>
        <v>X</v>
      </c>
      <c r="H263" s="41">
        <f>INDEX(환산공식!CI$16:CI$301,MATCH('배치점수 계산기'!$W263,환산공식!$A$16:$A$301,0))</f>
        <v>120</v>
      </c>
      <c r="I263" s="41" t="str">
        <f>CONCATENATE(ROUND(INDEX(환산공식!CJ$16:CJ$301,MATCH('배치점수 계산기'!$W263,환산공식!$A$16:$A$301,0)),1),"%")</f>
        <v>100%</v>
      </c>
      <c r="J263" s="41">
        <f>INDEX(환산공식!CK$16:CK$301,MATCH('배치점수 계산기'!$W263,환산공식!$A$16:$A$301,0))</f>
        <v>40</v>
      </c>
      <c r="K263" s="7">
        <f>INDEX(환산공식!$EF$16:$EF$301,MATCH('배치점수 계산기'!W263,환산공식!$A$16:$A$301,0))</f>
        <v>0</v>
      </c>
      <c r="L263" s="41" t="str">
        <f t="shared" si="34"/>
        <v>1% 이하</v>
      </c>
      <c r="M263" s="7">
        <v>558.52521983558722</v>
      </c>
      <c r="N263" s="7">
        <v>556.68410703624727</v>
      </c>
      <c r="O263" s="7">
        <v>555.45444619085799</v>
      </c>
      <c r="P263" s="7">
        <v>554.52560000000005</v>
      </c>
      <c r="Q263" s="7">
        <v>551.07898488120941</v>
      </c>
      <c r="R263" s="7">
        <f t="shared" si="35"/>
        <v>6</v>
      </c>
      <c r="T263" s="7">
        <f>COUNTIF($C$11:C263,C263)</f>
        <v>171</v>
      </c>
      <c r="U263" s="7" t="str">
        <f t="shared" si="37"/>
        <v>가171</v>
      </c>
      <c r="V263" s="7" t="str">
        <f>INDEX(환산공식!$C$16:$C$301,MATCH('배치점수 계산기'!W263,환산공식!$A$16:$A$301,0))</f>
        <v>경희 통합사회</v>
      </c>
      <c r="W263" s="7">
        <f t="shared" si="38"/>
        <v>35</v>
      </c>
      <c r="X263" s="7">
        <f t="shared" si="39"/>
        <v>1</v>
      </c>
      <c r="Y263" s="7">
        <f>IFERROR(INDEX(환산공식!Q$16:Q$200,MATCH($A263,환산공식!$A$16:$A$200,0)),"")</f>
        <v>1</v>
      </c>
      <c r="Z263" s="7">
        <f>IFERROR(INDEX(환산공식!R$16:R$200,MATCH($A263,환산공식!$A$16:$A$200,0)),"")</f>
        <v>1.4</v>
      </c>
      <c r="AA263" s="7">
        <f>IFERROR(INDEX(환산공식!U$16:U$200,MATCH($A263,환산공식!$A$16:$A$200,0)),"")</f>
        <v>0.8</v>
      </c>
      <c r="AB263" s="7">
        <f t="shared" si="40"/>
        <v>0.3125</v>
      </c>
      <c r="AC263" s="7">
        <f t="shared" si="41"/>
        <v>0.43749999999999994</v>
      </c>
      <c r="AD263" s="7">
        <f t="shared" si="42"/>
        <v>0.25</v>
      </c>
      <c r="AE263" s="7">
        <f>INDEX(환산공식!$AF$16:$AF$301,MATCH('배치점수 계산기'!W263,환산공식!$A$16:$A$301,0))</f>
        <v>1</v>
      </c>
      <c r="AF263" s="7">
        <f>INDEX(환산공식!$AP$16:$AP$301,MATCH('배치점수 계산기'!W263,환산공식!$A$16:$A$301,0))</f>
        <v>4</v>
      </c>
      <c r="AG263" s="7" t="str">
        <f t="shared" si="43"/>
        <v>표점</v>
      </c>
      <c r="AH263" s="7" t="str">
        <f t="shared" si="44"/>
        <v>변표</v>
      </c>
      <c r="BO263" s="210"/>
      <c r="BP263" s="210"/>
      <c r="BQ263" s="210"/>
      <c r="BR263" s="210"/>
      <c r="BS263" s="210"/>
      <c r="BT263" s="210"/>
      <c r="BU263" s="210"/>
      <c r="BV263" s="210"/>
      <c r="BW263" s="210"/>
      <c r="BX263" s="210"/>
      <c r="BY263" s="210"/>
      <c r="BZ263" s="210"/>
      <c r="CA263" s="210"/>
      <c r="CB263" s="210"/>
      <c r="CC263" s="210"/>
      <c r="EM263" s="120"/>
      <c r="ET263" s="210"/>
      <c r="EU263" s="210"/>
      <c r="EV263" s="210"/>
      <c r="EW263" s="210"/>
      <c r="EX263" s="210"/>
      <c r="EY263" s="210"/>
      <c r="EZ263" s="210"/>
      <c r="FA263" s="210"/>
      <c r="FB263" s="210"/>
      <c r="FC263" s="210"/>
      <c r="FD263" s="210"/>
      <c r="FE263" s="210"/>
      <c r="FF263" s="210"/>
      <c r="FG263" s="210"/>
      <c r="FH263" s="210"/>
      <c r="HR263" s="120"/>
      <c r="HY263" s="210"/>
      <c r="HZ263" s="210"/>
      <c r="IA263" s="210"/>
      <c r="IB263" s="210"/>
      <c r="IC263" s="210"/>
      <c r="ID263" s="210"/>
      <c r="IE263" s="210"/>
      <c r="IF263" s="210"/>
      <c r="IG263" s="210"/>
      <c r="IH263" s="210"/>
      <c r="II263" s="210"/>
      <c r="IJ263" s="210"/>
      <c r="IK263" s="210"/>
      <c r="IL263" s="210"/>
      <c r="IM263" s="210"/>
      <c r="KW263" s="120"/>
      <c r="LD263" s="210"/>
      <c r="LE263" s="210"/>
      <c r="LF263" s="210"/>
      <c r="LG263" s="210"/>
      <c r="LH263" s="210"/>
      <c r="LI263" s="210"/>
      <c r="LJ263" s="210"/>
      <c r="LK263" s="210"/>
      <c r="LL263" s="210"/>
      <c r="LM263" s="210"/>
      <c r="LN263" s="210"/>
      <c r="LO263" s="210"/>
      <c r="LP263" s="210"/>
      <c r="LQ263" s="210"/>
      <c r="LR263" s="210"/>
      <c r="OB263" s="120"/>
      <c r="OI263" s="210"/>
      <c r="OJ263" s="210"/>
      <c r="OK263" s="210"/>
      <c r="OL263" s="210"/>
      <c r="OM263" s="210"/>
      <c r="ON263" s="210"/>
      <c r="OO263" s="210"/>
      <c r="OP263" s="210"/>
      <c r="OQ263" s="210"/>
      <c r="OR263" s="210"/>
      <c r="OS263" s="210"/>
      <c r="OT263" s="210"/>
      <c r="OU263" s="210"/>
      <c r="OV263" s="210"/>
      <c r="OW263" s="210"/>
      <c r="RG263" s="120"/>
    </row>
    <row r="264" spans="1:475" x14ac:dyDescent="0.3">
      <c r="A264" s="7">
        <v>35</v>
      </c>
      <c r="B264" s="7">
        <v>254</v>
      </c>
      <c r="C264" s="7" t="s">
        <v>276</v>
      </c>
      <c r="D264" s="7" t="s">
        <v>380</v>
      </c>
      <c r="E264" s="7" t="s">
        <v>264</v>
      </c>
      <c r="F264" s="7" t="s">
        <v>275</v>
      </c>
      <c r="G264" s="41" t="str">
        <f t="shared" si="36"/>
        <v>X</v>
      </c>
      <c r="H264" s="41">
        <f>INDEX(환산공식!CI$16:CI$301,MATCH('배치점수 계산기'!$W264,환산공식!$A$16:$A$301,0))</f>
        <v>120</v>
      </c>
      <c r="I264" s="41" t="str">
        <f>CONCATENATE(ROUND(INDEX(환산공식!CJ$16:CJ$301,MATCH('배치점수 계산기'!$W264,환산공식!$A$16:$A$301,0)),1),"%")</f>
        <v>100%</v>
      </c>
      <c r="J264" s="41">
        <f>INDEX(환산공식!CK$16:CK$301,MATCH('배치점수 계산기'!$W264,환산공식!$A$16:$A$301,0))</f>
        <v>40</v>
      </c>
      <c r="K264" s="7">
        <f>INDEX(환산공식!$EF$16:$EF$301,MATCH('배치점수 계산기'!W264,환산공식!$A$16:$A$301,0))</f>
        <v>0</v>
      </c>
      <c r="L264" s="41" t="str">
        <f t="shared" si="34"/>
        <v>1% 이하</v>
      </c>
      <c r="M264" s="7">
        <v>556.12479999999994</v>
      </c>
      <c r="N264" s="7">
        <v>554.70482870915907</v>
      </c>
      <c r="O264" s="7">
        <v>552.99102532938957</v>
      </c>
      <c r="P264" s="7">
        <v>551.07898488120941</v>
      </c>
      <c r="Q264" s="7">
        <v>549.6303999999999</v>
      </c>
      <c r="R264" s="7">
        <f t="shared" si="35"/>
        <v>6</v>
      </c>
      <c r="T264" s="7">
        <f>COUNTIF($C$11:C264,C264)</f>
        <v>172</v>
      </c>
      <c r="U264" s="7" t="str">
        <f t="shared" si="37"/>
        <v>가172</v>
      </c>
      <c r="V264" s="7" t="str">
        <f>INDEX(환산공식!$C$16:$C$301,MATCH('배치점수 계산기'!W264,환산공식!$A$16:$A$301,0))</f>
        <v>경희 통합사회</v>
      </c>
      <c r="W264" s="7">
        <f t="shared" si="38"/>
        <v>35</v>
      </c>
      <c r="X264" s="7">
        <f t="shared" si="39"/>
        <v>1</v>
      </c>
      <c r="Y264" s="7">
        <f>IFERROR(INDEX(환산공식!Q$16:Q$200,MATCH($A264,환산공식!$A$16:$A$200,0)),"")</f>
        <v>1</v>
      </c>
      <c r="Z264" s="7">
        <f>IFERROR(INDEX(환산공식!R$16:R$200,MATCH($A264,환산공식!$A$16:$A$200,0)),"")</f>
        <v>1.4</v>
      </c>
      <c r="AA264" s="7">
        <f>IFERROR(INDEX(환산공식!U$16:U$200,MATCH($A264,환산공식!$A$16:$A$200,0)),"")</f>
        <v>0.8</v>
      </c>
      <c r="AB264" s="7">
        <f t="shared" si="40"/>
        <v>0.3125</v>
      </c>
      <c r="AC264" s="7">
        <f t="shared" si="41"/>
        <v>0.43749999999999994</v>
      </c>
      <c r="AD264" s="7">
        <f t="shared" si="42"/>
        <v>0.25</v>
      </c>
      <c r="AE264" s="7">
        <f>INDEX(환산공식!$AF$16:$AF$301,MATCH('배치점수 계산기'!W264,환산공식!$A$16:$A$301,0))</f>
        <v>1</v>
      </c>
      <c r="AF264" s="7">
        <f>INDEX(환산공식!$AP$16:$AP$301,MATCH('배치점수 계산기'!W264,환산공식!$A$16:$A$301,0))</f>
        <v>4</v>
      </c>
      <c r="AG264" s="7" t="str">
        <f t="shared" si="43"/>
        <v>표점</v>
      </c>
      <c r="AH264" s="7" t="str">
        <f t="shared" si="44"/>
        <v>변표</v>
      </c>
      <c r="BO264" s="210"/>
      <c r="BP264" s="210"/>
      <c r="BQ264" s="210"/>
      <c r="BR264" s="210"/>
      <c r="BS264" s="210"/>
      <c r="BT264" s="210"/>
      <c r="BU264" s="210"/>
      <c r="BV264" s="210"/>
      <c r="BW264" s="210"/>
      <c r="BX264" s="210"/>
      <c r="BY264" s="210"/>
      <c r="BZ264" s="210"/>
      <c r="CA264" s="210"/>
      <c r="CB264" s="210"/>
      <c r="CC264" s="210"/>
      <c r="EM264" s="120"/>
      <c r="ET264" s="210"/>
      <c r="EU264" s="210"/>
      <c r="EV264" s="210"/>
      <c r="EW264" s="210"/>
      <c r="EX264" s="210"/>
      <c r="EY264" s="210"/>
      <c r="EZ264" s="210"/>
      <c r="FA264" s="210"/>
      <c r="FB264" s="210"/>
      <c r="FC264" s="210"/>
      <c r="FD264" s="210"/>
      <c r="FE264" s="210"/>
      <c r="FF264" s="210"/>
      <c r="FG264" s="210"/>
      <c r="FH264" s="210"/>
      <c r="HR264" s="120"/>
      <c r="HY264" s="210"/>
      <c r="HZ264" s="210"/>
      <c r="IA264" s="210"/>
      <c r="IB264" s="210"/>
      <c r="IC264" s="210"/>
      <c r="ID264" s="210"/>
      <c r="IE264" s="210"/>
      <c r="IF264" s="210"/>
      <c r="IG264" s="210"/>
      <c r="IH264" s="210"/>
      <c r="II264" s="210"/>
      <c r="IJ264" s="210"/>
      <c r="IK264" s="210"/>
      <c r="IL264" s="210"/>
      <c r="IM264" s="210"/>
      <c r="KW264" s="120"/>
      <c r="LD264" s="210"/>
      <c r="LE264" s="210"/>
      <c r="LF264" s="210"/>
      <c r="LG264" s="210"/>
      <c r="LH264" s="210"/>
      <c r="LI264" s="210"/>
      <c r="LJ264" s="210"/>
      <c r="LK264" s="210"/>
      <c r="LL264" s="210"/>
      <c r="LM264" s="210"/>
      <c r="LN264" s="210"/>
      <c r="LO264" s="210"/>
      <c r="LP264" s="210"/>
      <c r="LQ264" s="210"/>
      <c r="LR264" s="210"/>
      <c r="OB264" s="120"/>
      <c r="OI264" s="210"/>
      <c r="OJ264" s="210"/>
      <c r="OK264" s="210"/>
      <c r="OL264" s="210"/>
      <c r="OM264" s="210"/>
      <c r="ON264" s="210"/>
      <c r="OO264" s="210"/>
      <c r="OP264" s="210"/>
      <c r="OQ264" s="210"/>
      <c r="OR264" s="210"/>
      <c r="OS264" s="210"/>
      <c r="OT264" s="210"/>
      <c r="OU264" s="210"/>
      <c r="OV264" s="210"/>
      <c r="OW264" s="210"/>
      <c r="RG264" s="120"/>
    </row>
    <row r="265" spans="1:475" x14ac:dyDescent="0.3">
      <c r="A265" s="7">
        <v>35</v>
      </c>
      <c r="B265" s="7">
        <v>255</v>
      </c>
      <c r="C265" s="7" t="s">
        <v>276</v>
      </c>
      <c r="D265" s="7" t="s">
        <v>380</v>
      </c>
      <c r="E265" s="7" t="s">
        <v>261</v>
      </c>
      <c r="F265" s="7" t="s">
        <v>275</v>
      </c>
      <c r="G265" s="41" t="str">
        <f t="shared" si="36"/>
        <v>X</v>
      </c>
      <c r="H265" s="41">
        <f>INDEX(환산공식!CI$16:CI$301,MATCH('배치점수 계산기'!$W265,환산공식!$A$16:$A$301,0))</f>
        <v>120</v>
      </c>
      <c r="I265" s="41" t="str">
        <f>CONCATENATE(ROUND(INDEX(환산공식!CJ$16:CJ$301,MATCH('배치점수 계산기'!$W265,환산공식!$A$16:$A$301,0)),1),"%")</f>
        <v>100%</v>
      </c>
      <c r="J265" s="41">
        <f>INDEX(환산공식!CK$16:CK$301,MATCH('배치점수 계산기'!$W265,환산공식!$A$16:$A$301,0))</f>
        <v>40</v>
      </c>
      <c r="K265" s="7">
        <f>INDEX(환산공식!$EF$16:$EF$301,MATCH('배치점수 계산기'!W265,환산공식!$A$16:$A$301,0))</f>
        <v>0</v>
      </c>
      <c r="L265" s="41" t="str">
        <f t="shared" si="34"/>
        <v>1% 이하</v>
      </c>
      <c r="M265" s="7">
        <v>561.33359999999993</v>
      </c>
      <c r="N265" s="7">
        <v>560.38350264550263</v>
      </c>
      <c r="O265" s="7">
        <v>558.07439999999997</v>
      </c>
      <c r="P265" s="7">
        <v>555.18482870915909</v>
      </c>
      <c r="Q265" s="7">
        <v>551.55898488120943</v>
      </c>
      <c r="R265" s="7">
        <f t="shared" si="35"/>
        <v>6</v>
      </c>
      <c r="T265" s="7">
        <f>COUNTIF($C$11:C265,C265)</f>
        <v>173</v>
      </c>
      <c r="U265" s="7" t="str">
        <f t="shared" si="37"/>
        <v>가173</v>
      </c>
      <c r="V265" s="7" t="str">
        <f>INDEX(환산공식!$C$16:$C$301,MATCH('배치점수 계산기'!W265,환산공식!$A$16:$A$301,0))</f>
        <v>경희 통합사회</v>
      </c>
      <c r="W265" s="7">
        <f t="shared" si="38"/>
        <v>35</v>
      </c>
      <c r="X265" s="7">
        <f t="shared" si="39"/>
        <v>1</v>
      </c>
      <c r="Y265" s="7">
        <f>IFERROR(INDEX(환산공식!Q$16:Q$200,MATCH($A265,환산공식!$A$16:$A$200,0)),"")</f>
        <v>1</v>
      </c>
      <c r="Z265" s="7">
        <f>IFERROR(INDEX(환산공식!R$16:R$200,MATCH($A265,환산공식!$A$16:$A$200,0)),"")</f>
        <v>1.4</v>
      </c>
      <c r="AA265" s="7">
        <f>IFERROR(INDEX(환산공식!U$16:U$200,MATCH($A265,환산공식!$A$16:$A$200,0)),"")</f>
        <v>0.8</v>
      </c>
      <c r="AB265" s="7">
        <f t="shared" si="40"/>
        <v>0.3125</v>
      </c>
      <c r="AC265" s="7">
        <f t="shared" si="41"/>
        <v>0.43749999999999994</v>
      </c>
      <c r="AD265" s="7">
        <f t="shared" si="42"/>
        <v>0.25</v>
      </c>
      <c r="AE265" s="7">
        <f>INDEX(환산공식!$AF$16:$AF$301,MATCH('배치점수 계산기'!W265,환산공식!$A$16:$A$301,0))</f>
        <v>1</v>
      </c>
      <c r="AF265" s="7">
        <f>INDEX(환산공식!$AP$16:$AP$301,MATCH('배치점수 계산기'!W265,환산공식!$A$16:$A$301,0))</f>
        <v>4</v>
      </c>
      <c r="AG265" s="7" t="str">
        <f t="shared" si="43"/>
        <v>표점</v>
      </c>
      <c r="AH265" s="7" t="str">
        <f t="shared" si="44"/>
        <v>변표</v>
      </c>
      <c r="BO265" s="210"/>
      <c r="BP265" s="210"/>
      <c r="BQ265" s="210"/>
      <c r="BR265" s="210"/>
      <c r="BS265" s="210"/>
      <c r="BT265" s="210"/>
      <c r="BU265" s="210"/>
      <c r="BV265" s="210"/>
      <c r="BW265" s="210"/>
      <c r="BX265" s="210"/>
      <c r="BY265" s="210"/>
      <c r="BZ265" s="210"/>
      <c r="CA265" s="210"/>
      <c r="CB265" s="210"/>
      <c r="CC265" s="210"/>
      <c r="EM265" s="120"/>
      <c r="ET265" s="210"/>
      <c r="EU265" s="210"/>
      <c r="EV265" s="210"/>
      <c r="EW265" s="210"/>
      <c r="EX265" s="210"/>
      <c r="EY265" s="210"/>
      <c r="EZ265" s="210"/>
      <c r="FA265" s="210"/>
      <c r="FB265" s="210"/>
      <c r="FC265" s="210"/>
      <c r="FD265" s="210"/>
      <c r="FE265" s="210"/>
      <c r="FF265" s="210"/>
      <c r="FG265" s="210"/>
      <c r="FH265" s="210"/>
      <c r="HR265" s="120"/>
      <c r="HY265" s="210"/>
      <c r="HZ265" s="210"/>
      <c r="IA265" s="210"/>
      <c r="IB265" s="210"/>
      <c r="IC265" s="210"/>
      <c r="ID265" s="210"/>
      <c r="IE265" s="210"/>
      <c r="IF265" s="210"/>
      <c r="IG265" s="210"/>
      <c r="IH265" s="210"/>
      <c r="II265" s="210"/>
      <c r="IJ265" s="210"/>
      <c r="IK265" s="210"/>
      <c r="IL265" s="210"/>
      <c r="IM265" s="210"/>
      <c r="KW265" s="120"/>
      <c r="LD265" s="210"/>
      <c r="LE265" s="210"/>
      <c r="LF265" s="210"/>
      <c r="LG265" s="210"/>
      <c r="LH265" s="210"/>
      <c r="LI265" s="210"/>
      <c r="LJ265" s="210"/>
      <c r="LK265" s="210"/>
      <c r="LL265" s="210"/>
      <c r="LM265" s="210"/>
      <c r="LN265" s="210"/>
      <c r="LO265" s="210"/>
      <c r="LP265" s="210"/>
      <c r="LQ265" s="210"/>
      <c r="LR265" s="210"/>
      <c r="OB265" s="120"/>
      <c r="OI265" s="210"/>
      <c r="OJ265" s="210"/>
      <c r="OK265" s="210"/>
      <c r="OL265" s="210"/>
      <c r="OM265" s="210"/>
      <c r="ON265" s="210"/>
      <c r="OO265" s="210"/>
      <c r="OP265" s="210"/>
      <c r="OQ265" s="210"/>
      <c r="OR265" s="210"/>
      <c r="OS265" s="210"/>
      <c r="OT265" s="210"/>
      <c r="OU265" s="210"/>
      <c r="OV265" s="210"/>
      <c r="OW265" s="210"/>
      <c r="RG265" s="120"/>
    </row>
    <row r="266" spans="1:475" x14ac:dyDescent="0.3">
      <c r="A266" s="7">
        <v>35</v>
      </c>
      <c r="B266" s="7">
        <v>256</v>
      </c>
      <c r="C266" s="7" t="s">
        <v>276</v>
      </c>
      <c r="D266" s="7" t="s">
        <v>380</v>
      </c>
      <c r="E266" s="7" t="s">
        <v>383</v>
      </c>
      <c r="F266" s="7" t="s">
        <v>275</v>
      </c>
      <c r="G266" s="41" t="str">
        <f t="shared" si="36"/>
        <v>X</v>
      </c>
      <c r="H266" s="41">
        <f>INDEX(환산공식!CI$16:CI$301,MATCH('배치점수 계산기'!$W266,환산공식!$A$16:$A$301,0))</f>
        <v>120</v>
      </c>
      <c r="I266" s="41" t="str">
        <f>CONCATENATE(ROUND(INDEX(환산공식!CJ$16:CJ$301,MATCH('배치점수 계산기'!$W266,환산공식!$A$16:$A$301,0)),1),"%")</f>
        <v>100%</v>
      </c>
      <c r="J266" s="41">
        <f>INDEX(환산공식!CK$16:CK$301,MATCH('배치점수 계산기'!$W266,환산공식!$A$16:$A$301,0))</f>
        <v>40</v>
      </c>
      <c r="K266" s="7">
        <f>INDEX(환산공식!$EF$16:$EF$301,MATCH('배치점수 계산기'!W266,환산공식!$A$16:$A$301,0))</f>
        <v>0</v>
      </c>
      <c r="L266" s="41" t="str">
        <f t="shared" si="34"/>
        <v>1% 이하</v>
      </c>
      <c r="M266" s="7">
        <v>555.73447865348646</v>
      </c>
      <c r="N266" s="7">
        <v>553.90560000000005</v>
      </c>
      <c r="O266" s="7">
        <v>552.07279999999992</v>
      </c>
      <c r="P266" s="7">
        <v>550.33999999999992</v>
      </c>
      <c r="Q266" s="7">
        <v>549.01039999999989</v>
      </c>
      <c r="R266" s="7">
        <f t="shared" si="35"/>
        <v>6</v>
      </c>
      <c r="T266" s="7">
        <f>COUNTIF($C$11:C266,C266)</f>
        <v>174</v>
      </c>
      <c r="U266" s="7" t="str">
        <f t="shared" si="37"/>
        <v>가174</v>
      </c>
      <c r="V266" s="7" t="str">
        <f>INDEX(환산공식!$C$16:$C$301,MATCH('배치점수 계산기'!W266,환산공식!$A$16:$A$301,0))</f>
        <v>경희 통합사회</v>
      </c>
      <c r="W266" s="7">
        <f t="shared" si="38"/>
        <v>35</v>
      </c>
      <c r="X266" s="7">
        <f t="shared" si="39"/>
        <v>1</v>
      </c>
      <c r="Y266" s="7">
        <f>IFERROR(INDEX(환산공식!Q$16:Q$200,MATCH($A266,환산공식!$A$16:$A$200,0)),"")</f>
        <v>1</v>
      </c>
      <c r="Z266" s="7">
        <f>IFERROR(INDEX(환산공식!R$16:R$200,MATCH($A266,환산공식!$A$16:$A$200,0)),"")</f>
        <v>1.4</v>
      </c>
      <c r="AA266" s="7">
        <f>IFERROR(INDEX(환산공식!U$16:U$200,MATCH($A266,환산공식!$A$16:$A$200,0)),"")</f>
        <v>0.8</v>
      </c>
      <c r="AB266" s="7">
        <f t="shared" si="40"/>
        <v>0.3125</v>
      </c>
      <c r="AC266" s="7">
        <f t="shared" si="41"/>
        <v>0.43749999999999994</v>
      </c>
      <c r="AD266" s="7">
        <f t="shared" si="42"/>
        <v>0.25</v>
      </c>
      <c r="AE266" s="7">
        <f>INDEX(환산공식!$AF$16:$AF$301,MATCH('배치점수 계산기'!W266,환산공식!$A$16:$A$301,0))</f>
        <v>1</v>
      </c>
      <c r="AF266" s="7">
        <f>INDEX(환산공식!$AP$16:$AP$301,MATCH('배치점수 계산기'!W266,환산공식!$A$16:$A$301,0))</f>
        <v>4</v>
      </c>
      <c r="AG266" s="7" t="str">
        <f t="shared" si="43"/>
        <v>표점</v>
      </c>
      <c r="AH266" s="7" t="str">
        <f t="shared" si="44"/>
        <v>변표</v>
      </c>
      <c r="BO266" s="210"/>
      <c r="BP266" s="210"/>
      <c r="BQ266" s="210"/>
      <c r="BR266" s="210"/>
      <c r="BS266" s="210"/>
      <c r="BT266" s="210"/>
      <c r="BU266" s="210"/>
      <c r="BV266" s="210"/>
      <c r="BW266" s="210"/>
      <c r="BX266" s="210"/>
      <c r="BY266" s="210"/>
      <c r="BZ266" s="210"/>
      <c r="CA266" s="210"/>
      <c r="CB266" s="210"/>
      <c r="CC266" s="210"/>
      <c r="EM266" s="120"/>
      <c r="ET266" s="210"/>
      <c r="EU266" s="210"/>
      <c r="EV266" s="210"/>
      <c r="EW266" s="210"/>
      <c r="EX266" s="210"/>
      <c r="EY266" s="210"/>
      <c r="EZ266" s="210"/>
      <c r="FA266" s="210"/>
      <c r="FB266" s="210"/>
      <c r="FC266" s="210"/>
      <c r="FD266" s="210"/>
      <c r="FE266" s="210"/>
      <c r="FF266" s="210"/>
      <c r="FG266" s="210"/>
      <c r="FH266" s="210"/>
      <c r="HR266" s="120"/>
      <c r="HY266" s="210"/>
      <c r="HZ266" s="210"/>
      <c r="IA266" s="210"/>
      <c r="IB266" s="210"/>
      <c r="IC266" s="210"/>
      <c r="ID266" s="210"/>
      <c r="IE266" s="210"/>
      <c r="IF266" s="210"/>
      <c r="IG266" s="210"/>
      <c r="IH266" s="210"/>
      <c r="II266" s="210"/>
      <c r="IJ266" s="210"/>
      <c r="IK266" s="210"/>
      <c r="IL266" s="210"/>
      <c r="IM266" s="210"/>
      <c r="KW266" s="120"/>
      <c r="LD266" s="210"/>
      <c r="LE266" s="210"/>
      <c r="LF266" s="210"/>
      <c r="LG266" s="210"/>
      <c r="LH266" s="210"/>
      <c r="LI266" s="210"/>
      <c r="LJ266" s="210"/>
      <c r="LK266" s="210"/>
      <c r="LL266" s="210"/>
      <c r="LM266" s="210"/>
      <c r="LN266" s="210"/>
      <c r="LO266" s="210"/>
      <c r="LP266" s="210"/>
      <c r="LQ266" s="210"/>
      <c r="LR266" s="210"/>
      <c r="OB266" s="120"/>
      <c r="OI266" s="210"/>
      <c r="OJ266" s="210"/>
      <c r="OK266" s="210"/>
      <c r="OL266" s="210"/>
      <c r="OM266" s="210"/>
      <c r="ON266" s="210"/>
      <c r="OO266" s="210"/>
      <c r="OP266" s="210"/>
      <c r="OQ266" s="210"/>
      <c r="OR266" s="210"/>
      <c r="OS266" s="210"/>
      <c r="OT266" s="210"/>
      <c r="OU266" s="210"/>
      <c r="OV266" s="210"/>
      <c r="OW266" s="210"/>
      <c r="RG266" s="120"/>
    </row>
    <row r="267" spans="1:475" x14ac:dyDescent="0.3">
      <c r="A267" s="7">
        <v>35</v>
      </c>
      <c r="B267" s="7">
        <v>257</v>
      </c>
      <c r="C267" s="7" t="s">
        <v>276</v>
      </c>
      <c r="D267" s="7" t="s">
        <v>380</v>
      </c>
      <c r="E267" s="7" t="s">
        <v>335</v>
      </c>
      <c r="F267" s="7" t="s">
        <v>275</v>
      </c>
      <c r="G267" s="41" t="str">
        <f t="shared" si="36"/>
        <v>X</v>
      </c>
      <c r="H267" s="41">
        <f>INDEX(환산공식!CI$16:CI$301,MATCH('배치점수 계산기'!$W267,환산공식!$A$16:$A$301,0))</f>
        <v>120</v>
      </c>
      <c r="I267" s="41" t="str">
        <f>CONCATENATE(ROUND(INDEX(환산공식!CJ$16:CJ$301,MATCH('배치점수 계산기'!$W267,환산공식!$A$16:$A$301,0)),1),"%")</f>
        <v>100%</v>
      </c>
      <c r="J267" s="41">
        <f>INDEX(환산공식!CK$16:CK$301,MATCH('배치점수 계산기'!$W267,환산공식!$A$16:$A$301,0))</f>
        <v>40</v>
      </c>
      <c r="K267" s="7">
        <f>INDEX(환산공식!$EF$16:$EF$301,MATCH('배치점수 계산기'!W267,환산공식!$A$16:$A$301,0))</f>
        <v>0</v>
      </c>
      <c r="L267" s="41" t="str">
        <f t="shared" ref="L267:L330" si="45">IF(K267&gt;M267,"90% 이상",IF(K267&gt;N267,CONCATENATE(ROUND(((K267-N267)/(M267-N267))*20+70,0),"%"),IF(K267&gt;O267,CONCATENATE(ROUND(((K267-O267)/(N267-O267))*30+40,0),"%"),IF(K267&gt;P267,CONCATENATE(ROUND(((K267-P267)/(O267-P267))*30+10,0),"%"),IF(K267&gt;Q267,CONCATENATE(ROUND(((K267-Q267)/(P267-Q267))*9+1,0),"%"),"1% 이하")))))</f>
        <v>1% 이하</v>
      </c>
      <c r="M267" s="7">
        <v>555.73447865348646</v>
      </c>
      <c r="N267" s="7">
        <v>553.90560000000005</v>
      </c>
      <c r="O267" s="7">
        <v>552.07279999999992</v>
      </c>
      <c r="P267" s="7">
        <v>550.33999999999992</v>
      </c>
      <c r="Q267" s="7">
        <v>549.01039999999989</v>
      </c>
      <c r="R267" s="7">
        <f t="shared" ref="R267:R330" si="46">IF(K267&gt;M267,1,IF(K267&gt;N267,2,IF(K267&gt;O267,3,IF(K267&gt;P267,4,IF(K267&gt;=Q267,5,IF(K267&lt;Q267,6))))))</f>
        <v>6</v>
      </c>
      <c r="T267" s="7">
        <f>COUNTIF($C$11:C267,C267)</f>
        <v>175</v>
      </c>
      <c r="U267" s="7" t="str">
        <f t="shared" si="37"/>
        <v>가175</v>
      </c>
      <c r="V267" s="7" t="str">
        <f>INDEX(환산공식!$C$16:$C$301,MATCH('배치점수 계산기'!W267,환산공식!$A$16:$A$301,0))</f>
        <v>경희 통합사회</v>
      </c>
      <c r="W267" s="7">
        <f t="shared" si="38"/>
        <v>35</v>
      </c>
      <c r="X267" s="7">
        <f t="shared" si="39"/>
        <v>1</v>
      </c>
      <c r="Y267" s="7">
        <f>IFERROR(INDEX(환산공식!Q$16:Q$200,MATCH($A267,환산공식!$A$16:$A$200,0)),"")</f>
        <v>1</v>
      </c>
      <c r="Z267" s="7">
        <f>IFERROR(INDEX(환산공식!R$16:R$200,MATCH($A267,환산공식!$A$16:$A$200,0)),"")</f>
        <v>1.4</v>
      </c>
      <c r="AA267" s="7">
        <f>IFERROR(INDEX(환산공식!U$16:U$200,MATCH($A267,환산공식!$A$16:$A$200,0)),"")</f>
        <v>0.8</v>
      </c>
      <c r="AB267" s="7">
        <f t="shared" si="40"/>
        <v>0.3125</v>
      </c>
      <c r="AC267" s="7">
        <f t="shared" si="41"/>
        <v>0.43749999999999994</v>
      </c>
      <c r="AD267" s="7">
        <f t="shared" si="42"/>
        <v>0.25</v>
      </c>
      <c r="AE267" s="7">
        <f>INDEX(환산공식!$AF$16:$AF$301,MATCH('배치점수 계산기'!W267,환산공식!$A$16:$A$301,0))</f>
        <v>1</v>
      </c>
      <c r="AF267" s="7">
        <f>INDEX(환산공식!$AP$16:$AP$301,MATCH('배치점수 계산기'!W267,환산공식!$A$16:$A$301,0))</f>
        <v>4</v>
      </c>
      <c r="AG267" s="7" t="str">
        <f t="shared" si="43"/>
        <v>표점</v>
      </c>
      <c r="AH267" s="7" t="str">
        <f t="shared" si="44"/>
        <v>변표</v>
      </c>
      <c r="BO267" s="210"/>
      <c r="BP267" s="210"/>
      <c r="BQ267" s="210"/>
      <c r="BR267" s="210"/>
      <c r="BS267" s="210"/>
      <c r="BT267" s="210"/>
      <c r="BU267" s="210"/>
      <c r="BV267" s="210"/>
      <c r="BW267" s="210"/>
      <c r="BX267" s="210"/>
      <c r="BY267" s="210"/>
      <c r="BZ267" s="210"/>
      <c r="CA267" s="210"/>
      <c r="CB267" s="210"/>
      <c r="CC267" s="210"/>
      <c r="EM267" s="120"/>
      <c r="ET267" s="210"/>
      <c r="EU267" s="210"/>
      <c r="EV267" s="210"/>
      <c r="EW267" s="210"/>
      <c r="EX267" s="210"/>
      <c r="EY267" s="210"/>
      <c r="EZ267" s="210"/>
      <c r="FA267" s="210"/>
      <c r="FB267" s="210"/>
      <c r="FC267" s="210"/>
      <c r="FD267" s="210"/>
      <c r="FE267" s="210"/>
      <c r="FF267" s="210"/>
      <c r="FG267" s="210"/>
      <c r="FH267" s="210"/>
      <c r="HR267" s="120"/>
      <c r="HY267" s="210"/>
      <c r="HZ267" s="210"/>
      <c r="IA267" s="210"/>
      <c r="IB267" s="210"/>
      <c r="IC267" s="210"/>
      <c r="ID267" s="210"/>
      <c r="IE267" s="210"/>
      <c r="IF267" s="210"/>
      <c r="IG267" s="210"/>
      <c r="IH267" s="210"/>
      <c r="II267" s="210"/>
      <c r="IJ267" s="210"/>
      <c r="IK267" s="210"/>
      <c r="IL267" s="210"/>
      <c r="IM267" s="210"/>
      <c r="KW267" s="120"/>
      <c r="LD267" s="210"/>
      <c r="LE267" s="210"/>
      <c r="LF267" s="210"/>
      <c r="LG267" s="210"/>
      <c r="LH267" s="210"/>
      <c r="LI267" s="210"/>
      <c r="LJ267" s="210"/>
      <c r="LK267" s="210"/>
      <c r="LL267" s="210"/>
      <c r="LM267" s="210"/>
      <c r="LN267" s="210"/>
      <c r="LO267" s="210"/>
      <c r="LP267" s="210"/>
      <c r="LQ267" s="210"/>
      <c r="LR267" s="210"/>
      <c r="OB267" s="120"/>
      <c r="OI267" s="210"/>
      <c r="OJ267" s="210"/>
      <c r="OK267" s="210"/>
      <c r="OL267" s="210"/>
      <c r="OM267" s="210"/>
      <c r="ON267" s="210"/>
      <c r="OO267" s="210"/>
      <c r="OP267" s="210"/>
      <c r="OQ267" s="210"/>
      <c r="OR267" s="210"/>
      <c r="OS267" s="210"/>
      <c r="OT267" s="210"/>
      <c r="OU267" s="210"/>
      <c r="OV267" s="210"/>
      <c r="OW267" s="210"/>
      <c r="RG267" s="120"/>
    </row>
    <row r="268" spans="1:475" x14ac:dyDescent="0.3">
      <c r="A268" s="7">
        <v>35</v>
      </c>
      <c r="B268" s="7">
        <v>258</v>
      </c>
      <c r="C268" s="7" t="s">
        <v>276</v>
      </c>
      <c r="D268" s="7" t="s">
        <v>380</v>
      </c>
      <c r="E268" s="7" t="s">
        <v>262</v>
      </c>
      <c r="F268" s="7" t="s">
        <v>275</v>
      </c>
      <c r="G268" s="41" t="str">
        <f t="shared" ref="G268:G331" si="47">IFERROR(IF(BJ268=0,"X","O"),"")</f>
        <v>X</v>
      </c>
      <c r="H268" s="41">
        <f>INDEX(환산공식!CI$16:CI$301,MATCH('배치점수 계산기'!$W268,환산공식!$A$16:$A$301,0))</f>
        <v>120</v>
      </c>
      <c r="I268" s="41" t="str">
        <f>CONCATENATE(ROUND(INDEX(환산공식!CJ$16:CJ$301,MATCH('배치점수 계산기'!$W268,환산공식!$A$16:$A$301,0)),1),"%")</f>
        <v>100%</v>
      </c>
      <c r="J268" s="41">
        <f>INDEX(환산공식!CK$16:CK$301,MATCH('배치점수 계산기'!$W268,환산공식!$A$16:$A$301,0))</f>
        <v>40</v>
      </c>
      <c r="K268" s="7">
        <f>INDEX(환산공식!$EF$16:$EF$301,MATCH('배치점수 계산기'!W268,환산공식!$A$16:$A$301,0))</f>
        <v>0</v>
      </c>
      <c r="L268" s="41" t="str">
        <f t="shared" si="45"/>
        <v>1% 이하</v>
      </c>
      <c r="M268" s="7">
        <v>561.33359999999993</v>
      </c>
      <c r="N268" s="7">
        <v>560.38350264550263</v>
      </c>
      <c r="O268" s="7">
        <v>558.07439999999997</v>
      </c>
      <c r="P268" s="7">
        <v>555.18482870915909</v>
      </c>
      <c r="Q268" s="7">
        <v>551.55898488120943</v>
      </c>
      <c r="R268" s="7">
        <f t="shared" si="46"/>
        <v>6</v>
      </c>
      <c r="T268" s="7">
        <f>COUNTIF($C$11:C268,C268)</f>
        <v>176</v>
      </c>
      <c r="U268" s="7" t="str">
        <f t="shared" ref="U268:U331" si="48">CONCATENATE(C268,T268)</f>
        <v>가176</v>
      </c>
      <c r="V268" s="7" t="str">
        <f>INDEX(환산공식!$C$16:$C$301,MATCH('배치점수 계산기'!W268,환산공식!$A$16:$A$301,0))</f>
        <v>경희 통합사회</v>
      </c>
      <c r="W268" s="7">
        <f t="shared" ref="W268:W331" si="49">A268</f>
        <v>35</v>
      </c>
      <c r="X268" s="7">
        <f t="shared" ref="X268:X331" si="50">IF(OR(D268=0,D268=""),"",IF(LEFT(D268,1)=LEFT(V268,1),1,2))</f>
        <v>1</v>
      </c>
      <c r="Y268" s="7">
        <f>IFERROR(INDEX(환산공식!Q$16:Q$200,MATCH($A268,환산공식!$A$16:$A$200,0)),"")</f>
        <v>1</v>
      </c>
      <c r="Z268" s="7">
        <f>IFERROR(INDEX(환산공식!R$16:R$200,MATCH($A268,환산공식!$A$16:$A$200,0)),"")</f>
        <v>1.4</v>
      </c>
      <c r="AA268" s="7">
        <f>IFERROR(INDEX(환산공식!U$16:U$200,MATCH($A268,환산공식!$A$16:$A$200,0)),"")</f>
        <v>0.8</v>
      </c>
      <c r="AB268" s="7">
        <f t="shared" ref="AB268:AB331" si="51">Y268/($Y268+$Z268+$AA268)</f>
        <v>0.3125</v>
      </c>
      <c r="AC268" s="7">
        <f t="shared" ref="AC268:AC331" si="52">Z268/($Y268+$Z268+$AA268)</f>
        <v>0.43749999999999994</v>
      </c>
      <c r="AD268" s="7">
        <f t="shared" ref="AD268:AD331" si="53">AA268/($Y268+$Z268+$AA268)</f>
        <v>0.25</v>
      </c>
      <c r="AE268" s="7">
        <f>INDEX(환산공식!$AF$16:$AF$301,MATCH('배치점수 계산기'!W268,환산공식!$A$16:$A$301,0))</f>
        <v>1</v>
      </c>
      <c r="AF268" s="7">
        <f>INDEX(환산공식!$AP$16:$AP$301,MATCH('배치점수 계산기'!W268,환산공식!$A$16:$A$301,0))</f>
        <v>4</v>
      </c>
      <c r="AG268" s="7" t="str">
        <f t="shared" ref="AG268:AG331" si="54">IF(AE268=1,"표점",IF(AE268=12,"표점/만점",IF(AE268=2,"백분위")))</f>
        <v>표점</v>
      </c>
      <c r="AH268" s="7" t="str">
        <f t="shared" ref="AH268:AH331" si="55">IF(AF268=1,"표점",IF(AF268=12,"표점/만점",IF(AF268=2,"백분위",IF(AF268=4,"변표",IF(AF268=42,"변표/만점")))))</f>
        <v>변표</v>
      </c>
      <c r="BO268" s="210"/>
      <c r="BP268" s="210"/>
      <c r="BQ268" s="210"/>
      <c r="BR268" s="210"/>
      <c r="BS268" s="210"/>
      <c r="BT268" s="210"/>
      <c r="BU268" s="210"/>
      <c r="BV268" s="210"/>
      <c r="BW268" s="210"/>
      <c r="BX268" s="210"/>
      <c r="BY268" s="210"/>
      <c r="BZ268" s="210"/>
      <c r="CA268" s="210"/>
      <c r="CB268" s="210"/>
      <c r="CC268" s="210"/>
      <c r="EM268" s="120"/>
      <c r="ET268" s="210"/>
      <c r="EU268" s="210"/>
      <c r="EV268" s="210"/>
      <c r="EW268" s="210"/>
      <c r="EX268" s="210"/>
      <c r="EY268" s="210"/>
      <c r="EZ268" s="210"/>
      <c r="FA268" s="210"/>
      <c r="FB268" s="210"/>
      <c r="FC268" s="210"/>
      <c r="FD268" s="210"/>
      <c r="FE268" s="210"/>
      <c r="FF268" s="210"/>
      <c r="FG268" s="210"/>
      <c r="FH268" s="210"/>
      <c r="HR268" s="120"/>
      <c r="HY268" s="210"/>
      <c r="HZ268" s="210"/>
      <c r="IA268" s="210"/>
      <c r="IB268" s="210"/>
      <c r="IC268" s="210"/>
      <c r="ID268" s="210"/>
      <c r="IE268" s="210"/>
      <c r="IF268" s="210"/>
      <c r="IG268" s="210"/>
      <c r="IH268" s="210"/>
      <c r="II268" s="210"/>
      <c r="IJ268" s="210"/>
      <c r="IK268" s="210"/>
      <c r="IL268" s="210"/>
      <c r="IM268" s="210"/>
      <c r="KW268" s="120"/>
      <c r="LD268" s="210"/>
      <c r="LE268" s="210"/>
      <c r="LF268" s="210"/>
      <c r="LG268" s="210"/>
      <c r="LH268" s="210"/>
      <c r="LI268" s="210"/>
      <c r="LJ268" s="210"/>
      <c r="LK268" s="210"/>
      <c r="LL268" s="210"/>
      <c r="LM268" s="210"/>
      <c r="LN268" s="210"/>
      <c r="LO268" s="210"/>
      <c r="LP268" s="210"/>
      <c r="LQ268" s="210"/>
      <c r="LR268" s="210"/>
      <c r="OB268" s="120"/>
      <c r="OI268" s="210"/>
      <c r="OJ268" s="210"/>
      <c r="OK268" s="210"/>
      <c r="OL268" s="210"/>
      <c r="OM268" s="210"/>
      <c r="ON268" s="210"/>
      <c r="OO268" s="210"/>
      <c r="OP268" s="210"/>
      <c r="OQ268" s="210"/>
      <c r="OR268" s="210"/>
      <c r="OS268" s="210"/>
      <c r="OT268" s="210"/>
      <c r="OU268" s="210"/>
      <c r="OV268" s="210"/>
      <c r="OW268" s="210"/>
      <c r="RG268" s="120"/>
    </row>
    <row r="269" spans="1:475" x14ac:dyDescent="0.3">
      <c r="A269" s="7">
        <v>35</v>
      </c>
      <c r="B269" s="7">
        <v>259</v>
      </c>
      <c r="C269" s="7" t="s">
        <v>276</v>
      </c>
      <c r="D269" s="7" t="s">
        <v>380</v>
      </c>
      <c r="E269" s="7" t="s">
        <v>384</v>
      </c>
      <c r="F269" s="7" t="s">
        <v>275</v>
      </c>
      <c r="G269" s="41" t="str">
        <f t="shared" si="47"/>
        <v>X</v>
      </c>
      <c r="H269" s="41">
        <f>INDEX(환산공식!CI$16:CI$301,MATCH('배치점수 계산기'!$W269,환산공식!$A$16:$A$301,0))</f>
        <v>120</v>
      </c>
      <c r="I269" s="41" t="str">
        <f>CONCATENATE(ROUND(INDEX(환산공식!CJ$16:CJ$301,MATCH('배치점수 계산기'!$W269,환산공식!$A$16:$A$301,0)),1),"%")</f>
        <v>100%</v>
      </c>
      <c r="J269" s="41">
        <f>INDEX(환산공식!CK$16:CK$301,MATCH('배치점수 계산기'!$W269,환산공식!$A$16:$A$301,0))</f>
        <v>40</v>
      </c>
      <c r="K269" s="7">
        <f>INDEX(환산공식!$EF$16:$EF$301,MATCH('배치점수 계산기'!W269,환산공식!$A$16:$A$301,0))</f>
        <v>0</v>
      </c>
      <c r="L269" s="41" t="str">
        <f t="shared" si="45"/>
        <v>1% 이하</v>
      </c>
      <c r="M269" s="7">
        <v>561.33359999999993</v>
      </c>
      <c r="N269" s="7">
        <v>560.38350264550263</v>
      </c>
      <c r="O269" s="7">
        <v>558.07439999999997</v>
      </c>
      <c r="P269" s="7">
        <v>555.93444619085801</v>
      </c>
      <c r="Q269" s="7">
        <v>551.55898488120943</v>
      </c>
      <c r="R269" s="7">
        <f t="shared" si="46"/>
        <v>6</v>
      </c>
      <c r="T269" s="7">
        <f>COUNTIF($C$11:C269,C269)</f>
        <v>177</v>
      </c>
      <c r="U269" s="7" t="str">
        <f t="shared" si="48"/>
        <v>가177</v>
      </c>
      <c r="V269" s="7" t="str">
        <f>INDEX(환산공식!$C$16:$C$301,MATCH('배치점수 계산기'!W269,환산공식!$A$16:$A$301,0))</f>
        <v>경희 통합사회</v>
      </c>
      <c r="W269" s="7">
        <f t="shared" si="49"/>
        <v>35</v>
      </c>
      <c r="X269" s="7">
        <f t="shared" si="50"/>
        <v>1</v>
      </c>
      <c r="Y269" s="7">
        <f>IFERROR(INDEX(환산공식!Q$16:Q$200,MATCH($A269,환산공식!$A$16:$A$200,0)),"")</f>
        <v>1</v>
      </c>
      <c r="Z269" s="7">
        <f>IFERROR(INDEX(환산공식!R$16:R$200,MATCH($A269,환산공식!$A$16:$A$200,0)),"")</f>
        <v>1.4</v>
      </c>
      <c r="AA269" s="7">
        <f>IFERROR(INDEX(환산공식!U$16:U$200,MATCH($A269,환산공식!$A$16:$A$200,0)),"")</f>
        <v>0.8</v>
      </c>
      <c r="AB269" s="7">
        <f t="shared" si="51"/>
        <v>0.3125</v>
      </c>
      <c r="AC269" s="7">
        <f t="shared" si="52"/>
        <v>0.43749999999999994</v>
      </c>
      <c r="AD269" s="7">
        <f t="shared" si="53"/>
        <v>0.25</v>
      </c>
      <c r="AE269" s="7">
        <f>INDEX(환산공식!$AF$16:$AF$301,MATCH('배치점수 계산기'!W269,환산공식!$A$16:$A$301,0))</f>
        <v>1</v>
      </c>
      <c r="AF269" s="7">
        <f>INDEX(환산공식!$AP$16:$AP$301,MATCH('배치점수 계산기'!W269,환산공식!$A$16:$A$301,0))</f>
        <v>4</v>
      </c>
      <c r="AG269" s="7" t="str">
        <f t="shared" si="54"/>
        <v>표점</v>
      </c>
      <c r="AH269" s="7" t="str">
        <f t="shared" si="55"/>
        <v>변표</v>
      </c>
      <c r="BO269" s="210"/>
      <c r="BP269" s="210"/>
      <c r="BQ269" s="210"/>
      <c r="BR269" s="210"/>
      <c r="BS269" s="210"/>
      <c r="BT269" s="210"/>
      <c r="BU269" s="210"/>
      <c r="BV269" s="210"/>
      <c r="BW269" s="210"/>
      <c r="BX269" s="210"/>
      <c r="BY269" s="210"/>
      <c r="BZ269" s="210"/>
      <c r="CA269" s="210"/>
      <c r="CB269" s="210"/>
      <c r="CC269" s="210"/>
      <c r="EM269" s="120"/>
      <c r="ET269" s="210"/>
      <c r="EU269" s="210"/>
      <c r="EV269" s="210"/>
      <c r="EW269" s="210"/>
      <c r="EX269" s="210"/>
      <c r="EY269" s="210"/>
      <c r="EZ269" s="210"/>
      <c r="FA269" s="210"/>
      <c r="FB269" s="210"/>
      <c r="FC269" s="210"/>
      <c r="FD269" s="210"/>
      <c r="FE269" s="210"/>
      <c r="FF269" s="210"/>
      <c r="FG269" s="210"/>
      <c r="FH269" s="210"/>
      <c r="HR269" s="120"/>
      <c r="HY269" s="210"/>
      <c r="HZ269" s="210"/>
      <c r="IA269" s="210"/>
      <c r="IB269" s="210"/>
      <c r="IC269" s="210"/>
      <c r="ID269" s="210"/>
      <c r="IE269" s="210"/>
      <c r="IF269" s="210"/>
      <c r="IG269" s="210"/>
      <c r="IH269" s="210"/>
      <c r="II269" s="210"/>
      <c r="IJ269" s="210"/>
      <c r="IK269" s="210"/>
      <c r="IL269" s="210"/>
      <c r="IM269" s="210"/>
      <c r="KW269" s="120"/>
      <c r="LD269" s="210"/>
      <c r="LE269" s="210"/>
      <c r="LF269" s="210"/>
      <c r="LG269" s="210"/>
      <c r="LH269" s="210"/>
      <c r="LI269" s="210"/>
      <c r="LJ269" s="210"/>
      <c r="LK269" s="210"/>
      <c r="LL269" s="210"/>
      <c r="LM269" s="210"/>
      <c r="LN269" s="210"/>
      <c r="LO269" s="210"/>
      <c r="LP269" s="210"/>
      <c r="LQ269" s="210"/>
      <c r="LR269" s="210"/>
      <c r="OB269" s="120"/>
      <c r="OI269" s="210"/>
      <c r="OJ269" s="210"/>
      <c r="OK269" s="210"/>
      <c r="OL269" s="210"/>
      <c r="OM269" s="210"/>
      <c r="ON269" s="210"/>
      <c r="OO269" s="210"/>
      <c r="OP269" s="210"/>
      <c r="OQ269" s="210"/>
      <c r="OR269" s="210"/>
      <c r="OS269" s="210"/>
      <c r="OT269" s="210"/>
      <c r="OU269" s="210"/>
      <c r="OV269" s="210"/>
      <c r="OW269" s="210"/>
      <c r="RG269" s="120"/>
    </row>
    <row r="270" spans="1:475" x14ac:dyDescent="0.3">
      <c r="A270" s="7">
        <v>35</v>
      </c>
      <c r="B270" s="7">
        <v>260</v>
      </c>
      <c r="C270" s="7" t="s">
        <v>276</v>
      </c>
      <c r="D270" s="7" t="s">
        <v>380</v>
      </c>
      <c r="E270" s="7" t="s">
        <v>385</v>
      </c>
      <c r="F270" s="7" t="s">
        <v>275</v>
      </c>
      <c r="G270" s="41" t="str">
        <f t="shared" si="47"/>
        <v>X</v>
      </c>
      <c r="H270" s="41">
        <f>INDEX(환산공식!CI$16:CI$301,MATCH('배치점수 계산기'!$W270,환산공식!$A$16:$A$301,0))</f>
        <v>120</v>
      </c>
      <c r="I270" s="41" t="str">
        <f>CONCATENATE(ROUND(INDEX(환산공식!CJ$16:CJ$301,MATCH('배치점수 계산기'!$W270,환산공식!$A$16:$A$301,0)),1),"%")</f>
        <v>100%</v>
      </c>
      <c r="J270" s="41">
        <f>INDEX(환산공식!CK$16:CK$301,MATCH('배치점수 계산기'!$W270,환산공식!$A$16:$A$301,0))</f>
        <v>40</v>
      </c>
      <c r="K270" s="7">
        <f>INDEX(환산공식!$EF$16:$EF$301,MATCH('배치점수 계산기'!W270,환산공식!$A$16:$A$301,0))</f>
        <v>0</v>
      </c>
      <c r="L270" s="41" t="str">
        <f t="shared" si="45"/>
        <v>1% 이하</v>
      </c>
      <c r="M270" s="7">
        <v>556.12479999999994</v>
      </c>
      <c r="N270" s="7">
        <v>554.70482870915907</v>
      </c>
      <c r="O270" s="7">
        <v>552.99102532938957</v>
      </c>
      <c r="P270" s="7">
        <v>551.07898488120941</v>
      </c>
      <c r="Q270" s="7">
        <v>549.01039999999989</v>
      </c>
      <c r="R270" s="7">
        <f t="shared" si="46"/>
        <v>6</v>
      </c>
      <c r="T270" s="7">
        <f>COUNTIF($C$11:C270,C270)</f>
        <v>178</v>
      </c>
      <c r="U270" s="7" t="str">
        <f t="shared" si="48"/>
        <v>가178</v>
      </c>
      <c r="V270" s="7" t="str">
        <f>INDEX(환산공식!$C$16:$C$301,MATCH('배치점수 계산기'!W270,환산공식!$A$16:$A$301,0))</f>
        <v>경희 통합사회</v>
      </c>
      <c r="W270" s="7">
        <f t="shared" si="49"/>
        <v>35</v>
      </c>
      <c r="X270" s="7">
        <f t="shared" si="50"/>
        <v>1</v>
      </c>
      <c r="Y270" s="7">
        <f>IFERROR(INDEX(환산공식!Q$16:Q$200,MATCH($A270,환산공식!$A$16:$A$200,0)),"")</f>
        <v>1</v>
      </c>
      <c r="Z270" s="7">
        <f>IFERROR(INDEX(환산공식!R$16:R$200,MATCH($A270,환산공식!$A$16:$A$200,0)),"")</f>
        <v>1.4</v>
      </c>
      <c r="AA270" s="7">
        <f>IFERROR(INDEX(환산공식!U$16:U$200,MATCH($A270,환산공식!$A$16:$A$200,0)),"")</f>
        <v>0.8</v>
      </c>
      <c r="AB270" s="7">
        <f t="shared" si="51"/>
        <v>0.3125</v>
      </c>
      <c r="AC270" s="7">
        <f t="shared" si="52"/>
        <v>0.43749999999999994</v>
      </c>
      <c r="AD270" s="7">
        <f t="shared" si="53"/>
        <v>0.25</v>
      </c>
      <c r="AE270" s="7">
        <f>INDEX(환산공식!$AF$16:$AF$301,MATCH('배치점수 계산기'!W270,환산공식!$A$16:$A$301,0))</f>
        <v>1</v>
      </c>
      <c r="AF270" s="7">
        <f>INDEX(환산공식!$AP$16:$AP$301,MATCH('배치점수 계산기'!W270,환산공식!$A$16:$A$301,0))</f>
        <v>4</v>
      </c>
      <c r="AG270" s="7" t="str">
        <f t="shared" si="54"/>
        <v>표점</v>
      </c>
      <c r="AH270" s="7" t="str">
        <f t="shared" si="55"/>
        <v>변표</v>
      </c>
      <c r="BO270" s="210"/>
      <c r="BP270" s="210"/>
      <c r="BQ270" s="210"/>
      <c r="BR270" s="210"/>
      <c r="BS270" s="210"/>
      <c r="BT270" s="210"/>
      <c r="BU270" s="210"/>
      <c r="BV270" s="210"/>
      <c r="BW270" s="210"/>
      <c r="BX270" s="210"/>
      <c r="BY270" s="210"/>
      <c r="BZ270" s="210"/>
      <c r="CA270" s="210"/>
      <c r="CB270" s="210"/>
      <c r="CC270" s="210"/>
      <c r="EM270" s="120"/>
      <c r="ET270" s="210"/>
      <c r="EU270" s="210"/>
      <c r="EV270" s="210"/>
      <c r="EW270" s="210"/>
      <c r="EX270" s="210"/>
      <c r="EY270" s="210"/>
      <c r="EZ270" s="210"/>
      <c r="FA270" s="210"/>
      <c r="FB270" s="210"/>
      <c r="FC270" s="210"/>
      <c r="FD270" s="210"/>
      <c r="FE270" s="210"/>
      <c r="FF270" s="210"/>
      <c r="FG270" s="210"/>
      <c r="FH270" s="210"/>
      <c r="HR270" s="120"/>
      <c r="HY270" s="210"/>
      <c r="HZ270" s="210"/>
      <c r="IA270" s="210"/>
      <c r="IB270" s="210"/>
      <c r="IC270" s="210"/>
      <c r="ID270" s="210"/>
      <c r="IE270" s="210"/>
      <c r="IF270" s="210"/>
      <c r="IG270" s="210"/>
      <c r="IH270" s="210"/>
      <c r="II270" s="210"/>
      <c r="IJ270" s="210"/>
      <c r="IK270" s="210"/>
      <c r="IL270" s="210"/>
      <c r="IM270" s="210"/>
      <c r="KW270" s="120"/>
      <c r="LD270" s="210"/>
      <c r="LE270" s="210"/>
      <c r="LF270" s="210"/>
      <c r="LG270" s="210"/>
      <c r="LH270" s="210"/>
      <c r="LI270" s="210"/>
      <c r="LJ270" s="210"/>
      <c r="LK270" s="210"/>
      <c r="LL270" s="210"/>
      <c r="LM270" s="210"/>
      <c r="LN270" s="210"/>
      <c r="LO270" s="210"/>
      <c r="LP270" s="210"/>
      <c r="LQ270" s="210"/>
      <c r="LR270" s="210"/>
      <c r="OB270" s="120"/>
      <c r="OI270" s="210"/>
      <c r="OJ270" s="210"/>
      <c r="OK270" s="210"/>
      <c r="OL270" s="210"/>
      <c r="OM270" s="210"/>
      <c r="ON270" s="210"/>
      <c r="OO270" s="210"/>
      <c r="OP270" s="210"/>
      <c r="OQ270" s="210"/>
      <c r="OR270" s="210"/>
      <c r="OS270" s="210"/>
      <c r="OT270" s="210"/>
      <c r="OU270" s="210"/>
      <c r="OV270" s="210"/>
      <c r="OW270" s="210"/>
      <c r="RG270" s="120"/>
    </row>
    <row r="271" spans="1:475" x14ac:dyDescent="0.3">
      <c r="A271" s="7">
        <v>35</v>
      </c>
      <c r="B271" s="7">
        <v>261</v>
      </c>
      <c r="C271" s="7" t="s">
        <v>276</v>
      </c>
      <c r="D271" s="7" t="s">
        <v>380</v>
      </c>
      <c r="E271" s="7" t="s">
        <v>757</v>
      </c>
      <c r="F271" s="7" t="s">
        <v>275</v>
      </c>
      <c r="G271" s="41" t="str">
        <f t="shared" si="47"/>
        <v>X</v>
      </c>
      <c r="H271" s="41">
        <f>INDEX(환산공식!CI$16:CI$301,MATCH('배치점수 계산기'!$W271,환산공식!$A$16:$A$301,0))</f>
        <v>120</v>
      </c>
      <c r="I271" s="41" t="str">
        <f>CONCATENATE(ROUND(INDEX(환산공식!CJ$16:CJ$301,MATCH('배치점수 계산기'!$W271,환산공식!$A$16:$A$301,0)),1),"%")</f>
        <v>100%</v>
      </c>
      <c r="J271" s="41">
        <f>INDEX(환산공식!CK$16:CK$301,MATCH('배치점수 계산기'!$W271,환산공식!$A$16:$A$301,0))</f>
        <v>40</v>
      </c>
      <c r="K271" s="7">
        <f>INDEX(환산공식!$EF$16:$EF$301,MATCH('배치점수 계산기'!W271,환산공식!$A$16:$A$301,0))</f>
        <v>0</v>
      </c>
      <c r="L271" s="41" t="str">
        <f t="shared" si="45"/>
        <v>1% 이하</v>
      </c>
      <c r="M271" s="7">
        <v>556.12479999999994</v>
      </c>
      <c r="N271" s="7">
        <v>554.70482870915907</v>
      </c>
      <c r="O271" s="7">
        <v>552.99102532938957</v>
      </c>
      <c r="P271" s="7">
        <v>551.07898488120941</v>
      </c>
      <c r="Q271" s="7">
        <v>549.01039999999989</v>
      </c>
      <c r="R271" s="7">
        <f t="shared" si="46"/>
        <v>6</v>
      </c>
      <c r="T271" s="7">
        <f>COUNTIF($C$11:C271,C271)</f>
        <v>179</v>
      </c>
      <c r="U271" s="7" t="str">
        <f t="shared" si="48"/>
        <v>가179</v>
      </c>
      <c r="V271" s="7" t="str">
        <f>INDEX(환산공식!$C$16:$C$301,MATCH('배치점수 계산기'!W271,환산공식!$A$16:$A$301,0))</f>
        <v>경희 통합사회</v>
      </c>
      <c r="W271" s="7">
        <f t="shared" si="49"/>
        <v>35</v>
      </c>
      <c r="X271" s="7">
        <f t="shared" si="50"/>
        <v>1</v>
      </c>
      <c r="Y271" s="7">
        <f>IFERROR(INDEX(환산공식!Q$16:Q$200,MATCH($A271,환산공식!$A$16:$A$200,0)),"")</f>
        <v>1</v>
      </c>
      <c r="Z271" s="7">
        <f>IFERROR(INDEX(환산공식!R$16:R$200,MATCH($A271,환산공식!$A$16:$A$200,0)),"")</f>
        <v>1.4</v>
      </c>
      <c r="AA271" s="7">
        <f>IFERROR(INDEX(환산공식!U$16:U$200,MATCH($A271,환산공식!$A$16:$A$200,0)),"")</f>
        <v>0.8</v>
      </c>
      <c r="AB271" s="7">
        <f t="shared" si="51"/>
        <v>0.3125</v>
      </c>
      <c r="AC271" s="7">
        <f t="shared" si="52"/>
        <v>0.43749999999999994</v>
      </c>
      <c r="AD271" s="7">
        <f t="shared" si="53"/>
        <v>0.25</v>
      </c>
      <c r="AE271" s="7">
        <f>INDEX(환산공식!$AF$16:$AF$301,MATCH('배치점수 계산기'!W271,환산공식!$A$16:$A$301,0))</f>
        <v>1</v>
      </c>
      <c r="AF271" s="7">
        <f>INDEX(환산공식!$AP$16:$AP$301,MATCH('배치점수 계산기'!W271,환산공식!$A$16:$A$301,0))</f>
        <v>4</v>
      </c>
      <c r="AG271" s="7" t="str">
        <f t="shared" si="54"/>
        <v>표점</v>
      </c>
      <c r="AH271" s="7" t="str">
        <f t="shared" si="55"/>
        <v>변표</v>
      </c>
      <c r="BO271" s="210"/>
      <c r="BP271" s="210"/>
      <c r="BQ271" s="210"/>
      <c r="BR271" s="210"/>
      <c r="BS271" s="210"/>
      <c r="BT271" s="210"/>
      <c r="BU271" s="210"/>
      <c r="BV271" s="210"/>
      <c r="BW271" s="210"/>
      <c r="BX271" s="210"/>
      <c r="BY271" s="210"/>
      <c r="BZ271" s="210"/>
      <c r="CA271" s="210"/>
      <c r="CB271" s="210"/>
      <c r="CC271" s="210"/>
      <c r="EM271" s="120"/>
      <c r="ET271" s="210"/>
      <c r="EU271" s="210"/>
      <c r="EV271" s="210"/>
      <c r="EW271" s="210"/>
      <c r="EX271" s="210"/>
      <c r="EY271" s="210"/>
      <c r="EZ271" s="210"/>
      <c r="FA271" s="210"/>
      <c r="FB271" s="210"/>
      <c r="FC271" s="210"/>
      <c r="FD271" s="210"/>
      <c r="FE271" s="210"/>
      <c r="FF271" s="210"/>
      <c r="FG271" s="210"/>
      <c r="FH271" s="210"/>
      <c r="HR271" s="120"/>
      <c r="HY271" s="210"/>
      <c r="HZ271" s="210"/>
      <c r="IA271" s="210"/>
      <c r="IB271" s="210"/>
      <c r="IC271" s="210"/>
      <c r="ID271" s="210"/>
      <c r="IE271" s="210"/>
      <c r="IF271" s="210"/>
      <c r="IG271" s="210"/>
      <c r="IH271" s="210"/>
      <c r="II271" s="210"/>
      <c r="IJ271" s="210"/>
      <c r="IK271" s="210"/>
      <c r="IL271" s="210"/>
      <c r="IM271" s="210"/>
      <c r="KW271" s="120"/>
      <c r="LD271" s="210"/>
      <c r="LE271" s="210"/>
      <c r="LF271" s="210"/>
      <c r="LG271" s="210"/>
      <c r="LH271" s="210"/>
      <c r="LI271" s="210"/>
      <c r="LJ271" s="210"/>
      <c r="LK271" s="210"/>
      <c r="LL271" s="210"/>
      <c r="LM271" s="210"/>
      <c r="LN271" s="210"/>
      <c r="LO271" s="210"/>
      <c r="LP271" s="210"/>
      <c r="LQ271" s="210"/>
      <c r="LR271" s="210"/>
      <c r="OB271" s="120"/>
      <c r="OI271" s="210"/>
      <c r="OJ271" s="210"/>
      <c r="OK271" s="210"/>
      <c r="OL271" s="210"/>
      <c r="OM271" s="210"/>
      <c r="ON271" s="210"/>
      <c r="OO271" s="210"/>
      <c r="OP271" s="210"/>
      <c r="OQ271" s="210"/>
      <c r="OR271" s="210"/>
      <c r="OS271" s="210"/>
      <c r="OT271" s="210"/>
      <c r="OU271" s="210"/>
      <c r="OV271" s="210"/>
      <c r="OW271" s="210"/>
      <c r="RG271" s="120"/>
    </row>
    <row r="272" spans="1:475" x14ac:dyDescent="0.3">
      <c r="A272" s="7">
        <v>35</v>
      </c>
      <c r="B272" s="7">
        <v>262</v>
      </c>
      <c r="C272" s="7" t="s">
        <v>276</v>
      </c>
      <c r="D272" s="7" t="s">
        <v>380</v>
      </c>
      <c r="E272" s="7" t="s">
        <v>367</v>
      </c>
      <c r="F272" s="7" t="s">
        <v>275</v>
      </c>
      <c r="G272" s="41" t="str">
        <f t="shared" si="47"/>
        <v>X</v>
      </c>
      <c r="H272" s="41">
        <f>INDEX(환산공식!CI$16:CI$301,MATCH('배치점수 계산기'!$W272,환산공식!$A$16:$A$301,0))</f>
        <v>120</v>
      </c>
      <c r="I272" s="41" t="str">
        <f>CONCATENATE(ROUND(INDEX(환산공식!CJ$16:CJ$301,MATCH('배치점수 계산기'!$W272,환산공식!$A$16:$A$301,0)),1),"%")</f>
        <v>100%</v>
      </c>
      <c r="J272" s="41">
        <f>INDEX(환산공식!CK$16:CK$301,MATCH('배치점수 계산기'!$W272,환산공식!$A$16:$A$301,0))</f>
        <v>40</v>
      </c>
      <c r="K272" s="7">
        <f>INDEX(환산공식!$EF$16:$EF$301,MATCH('배치점수 계산기'!W272,환산공식!$A$16:$A$301,0))</f>
        <v>0</v>
      </c>
      <c r="L272" s="41" t="str">
        <f t="shared" si="45"/>
        <v>1% 이하</v>
      </c>
      <c r="M272" s="7">
        <v>556.12479999999994</v>
      </c>
      <c r="N272" s="7">
        <v>554.70482870915907</v>
      </c>
      <c r="O272" s="7">
        <v>552.99102532938957</v>
      </c>
      <c r="P272" s="7">
        <v>551.07898488120941</v>
      </c>
      <c r="Q272" s="7">
        <v>549.01039999999989</v>
      </c>
      <c r="R272" s="7">
        <f t="shared" si="46"/>
        <v>6</v>
      </c>
      <c r="T272" s="7">
        <f>COUNTIF($C$11:C272,C272)</f>
        <v>180</v>
      </c>
      <c r="U272" s="7" t="str">
        <f t="shared" si="48"/>
        <v>가180</v>
      </c>
      <c r="V272" s="7" t="str">
        <f>INDEX(환산공식!$C$16:$C$301,MATCH('배치점수 계산기'!W272,환산공식!$A$16:$A$301,0))</f>
        <v>경희 통합사회</v>
      </c>
      <c r="W272" s="7">
        <f t="shared" si="49"/>
        <v>35</v>
      </c>
      <c r="X272" s="7">
        <f t="shared" si="50"/>
        <v>1</v>
      </c>
      <c r="Y272" s="7">
        <f>IFERROR(INDEX(환산공식!Q$16:Q$200,MATCH($A272,환산공식!$A$16:$A$200,0)),"")</f>
        <v>1</v>
      </c>
      <c r="Z272" s="7">
        <f>IFERROR(INDEX(환산공식!R$16:R$200,MATCH($A272,환산공식!$A$16:$A$200,0)),"")</f>
        <v>1.4</v>
      </c>
      <c r="AA272" s="7">
        <f>IFERROR(INDEX(환산공식!U$16:U$200,MATCH($A272,환산공식!$A$16:$A$200,0)),"")</f>
        <v>0.8</v>
      </c>
      <c r="AB272" s="7">
        <f t="shared" si="51"/>
        <v>0.3125</v>
      </c>
      <c r="AC272" s="7">
        <f t="shared" si="52"/>
        <v>0.43749999999999994</v>
      </c>
      <c r="AD272" s="7">
        <f t="shared" si="53"/>
        <v>0.25</v>
      </c>
      <c r="AE272" s="7">
        <f>INDEX(환산공식!$AF$16:$AF$301,MATCH('배치점수 계산기'!W272,환산공식!$A$16:$A$301,0))</f>
        <v>1</v>
      </c>
      <c r="AF272" s="7">
        <f>INDEX(환산공식!$AP$16:$AP$301,MATCH('배치점수 계산기'!W272,환산공식!$A$16:$A$301,0))</f>
        <v>4</v>
      </c>
      <c r="AG272" s="7" t="str">
        <f t="shared" si="54"/>
        <v>표점</v>
      </c>
      <c r="AH272" s="7" t="str">
        <f t="shared" si="55"/>
        <v>변표</v>
      </c>
      <c r="BO272" s="210"/>
      <c r="BP272" s="210"/>
      <c r="BQ272" s="210"/>
      <c r="BR272" s="210"/>
      <c r="BS272" s="210"/>
      <c r="BT272" s="210"/>
      <c r="BU272" s="210"/>
      <c r="BV272" s="210"/>
      <c r="BW272" s="210"/>
      <c r="BX272" s="210"/>
      <c r="BY272" s="210"/>
      <c r="BZ272" s="210"/>
      <c r="CA272" s="210"/>
      <c r="CB272" s="210"/>
      <c r="CC272" s="210"/>
      <c r="EM272" s="120"/>
      <c r="ET272" s="210"/>
      <c r="EU272" s="210"/>
      <c r="EV272" s="210"/>
      <c r="EW272" s="210"/>
      <c r="EX272" s="210"/>
      <c r="EY272" s="210"/>
      <c r="EZ272" s="210"/>
      <c r="FA272" s="210"/>
      <c r="FB272" s="210"/>
      <c r="FC272" s="210"/>
      <c r="FD272" s="210"/>
      <c r="FE272" s="210"/>
      <c r="FF272" s="210"/>
      <c r="FG272" s="210"/>
      <c r="FH272" s="210"/>
      <c r="HR272" s="120"/>
      <c r="HY272" s="210"/>
      <c r="HZ272" s="210"/>
      <c r="IA272" s="210"/>
      <c r="IB272" s="210"/>
      <c r="IC272" s="210"/>
      <c r="ID272" s="210"/>
      <c r="IE272" s="210"/>
      <c r="IF272" s="210"/>
      <c r="IG272" s="210"/>
      <c r="IH272" s="210"/>
      <c r="II272" s="210"/>
      <c r="IJ272" s="210"/>
      <c r="IK272" s="210"/>
      <c r="IL272" s="210"/>
      <c r="IM272" s="210"/>
      <c r="KW272" s="120"/>
      <c r="LD272" s="210"/>
      <c r="LE272" s="210"/>
      <c r="LF272" s="210"/>
      <c r="LG272" s="210"/>
      <c r="LH272" s="210"/>
      <c r="LI272" s="210"/>
      <c r="LJ272" s="210"/>
      <c r="LK272" s="210"/>
      <c r="LL272" s="210"/>
      <c r="LM272" s="210"/>
      <c r="LN272" s="210"/>
      <c r="LO272" s="210"/>
      <c r="LP272" s="210"/>
      <c r="LQ272" s="210"/>
      <c r="LR272" s="210"/>
      <c r="OB272" s="120"/>
      <c r="OI272" s="210"/>
      <c r="OJ272" s="210"/>
      <c r="OK272" s="210"/>
      <c r="OL272" s="210"/>
      <c r="OM272" s="210"/>
      <c r="ON272" s="210"/>
      <c r="OO272" s="210"/>
      <c r="OP272" s="210"/>
      <c r="OQ272" s="210"/>
      <c r="OR272" s="210"/>
      <c r="OS272" s="210"/>
      <c r="OT272" s="210"/>
      <c r="OU272" s="210"/>
      <c r="OV272" s="210"/>
      <c r="OW272" s="210"/>
      <c r="RG272" s="120"/>
    </row>
    <row r="273" spans="1:475" x14ac:dyDescent="0.3">
      <c r="A273" s="7">
        <v>34</v>
      </c>
      <c r="B273" s="7">
        <v>263</v>
      </c>
      <c r="C273" s="7" t="s">
        <v>276</v>
      </c>
      <c r="D273" s="7" t="s">
        <v>380</v>
      </c>
      <c r="E273" s="7" t="s">
        <v>298</v>
      </c>
      <c r="F273" s="7" t="s">
        <v>275</v>
      </c>
      <c r="G273" s="41" t="str">
        <f t="shared" si="47"/>
        <v>X</v>
      </c>
      <c r="H273" s="41">
        <f>INDEX(환산공식!CI$16:CI$301,MATCH('배치점수 계산기'!$W273,환산공식!$A$16:$A$301,0))</f>
        <v>120</v>
      </c>
      <c r="I273" s="41" t="str">
        <f>CONCATENATE(ROUND(INDEX(환산공식!CJ$16:CJ$301,MATCH('배치점수 계산기'!$W273,환산공식!$A$16:$A$301,0)),1),"%")</f>
        <v>100%</v>
      </c>
      <c r="J273" s="41">
        <f>INDEX(환산공식!CK$16:CK$301,MATCH('배치점수 계산기'!$W273,환산공식!$A$16:$A$301,0))</f>
        <v>40</v>
      </c>
      <c r="K273" s="7">
        <f>INDEX(환산공식!$EF$16:$EF$301,MATCH('배치점수 계산기'!W273,환산공식!$A$16:$A$301,0))</f>
        <v>0</v>
      </c>
      <c r="L273" s="41" t="str">
        <f t="shared" si="45"/>
        <v>1% 이하</v>
      </c>
      <c r="M273" s="7">
        <v>555.50559999999996</v>
      </c>
      <c r="N273" s="7">
        <v>553.87279999999998</v>
      </c>
      <c r="O273" s="7">
        <v>552.75961102106965</v>
      </c>
      <c r="P273" s="7">
        <v>551.63039999999978</v>
      </c>
      <c r="Q273" s="7">
        <v>550.63760000000002</v>
      </c>
      <c r="R273" s="7">
        <f t="shared" si="46"/>
        <v>6</v>
      </c>
      <c r="T273" s="7">
        <f>COUNTIF($C$11:C273,C273)</f>
        <v>181</v>
      </c>
      <c r="U273" s="7" t="str">
        <f t="shared" si="48"/>
        <v>가181</v>
      </c>
      <c r="V273" s="7" t="str">
        <f>INDEX(환산공식!$C$16:$C$301,MATCH('배치점수 계산기'!W273,환산공식!$A$16:$A$301,0))</f>
        <v>경희 통합인문</v>
      </c>
      <c r="W273" s="7">
        <f t="shared" si="49"/>
        <v>34</v>
      </c>
      <c r="X273" s="7">
        <f t="shared" si="50"/>
        <v>1</v>
      </c>
      <c r="Y273" s="7">
        <f>IFERROR(INDEX(환산공식!Q$16:Q$200,MATCH($A273,환산공식!$A$16:$A$200,0)),"")</f>
        <v>1.4</v>
      </c>
      <c r="Z273" s="7">
        <f>IFERROR(INDEX(환산공식!R$16:R$200,MATCH($A273,환산공식!$A$16:$A$200,0)),"")</f>
        <v>1</v>
      </c>
      <c r="AA273" s="7">
        <f>IFERROR(INDEX(환산공식!U$16:U$200,MATCH($A273,환산공식!$A$16:$A$200,0)),"")</f>
        <v>0.8</v>
      </c>
      <c r="AB273" s="7">
        <f t="shared" si="51"/>
        <v>0.43749999999999994</v>
      </c>
      <c r="AC273" s="7">
        <f t="shared" si="52"/>
        <v>0.3125</v>
      </c>
      <c r="AD273" s="7">
        <f t="shared" si="53"/>
        <v>0.25</v>
      </c>
      <c r="AE273" s="7">
        <f>INDEX(환산공식!$AF$16:$AF$301,MATCH('배치점수 계산기'!W273,환산공식!$A$16:$A$301,0))</f>
        <v>1</v>
      </c>
      <c r="AF273" s="7">
        <f>INDEX(환산공식!$AP$16:$AP$301,MATCH('배치점수 계산기'!W273,환산공식!$A$16:$A$301,0))</f>
        <v>4</v>
      </c>
      <c r="AG273" s="7" t="str">
        <f t="shared" si="54"/>
        <v>표점</v>
      </c>
      <c r="AH273" s="7" t="str">
        <f t="shared" si="55"/>
        <v>변표</v>
      </c>
      <c r="BO273" s="210"/>
      <c r="BP273" s="210"/>
      <c r="BQ273" s="210"/>
      <c r="BR273" s="210"/>
      <c r="BS273" s="210"/>
      <c r="BT273" s="210"/>
      <c r="BU273" s="210"/>
      <c r="BV273" s="210"/>
      <c r="BW273" s="210"/>
      <c r="BX273" s="210"/>
      <c r="BY273" s="210"/>
      <c r="BZ273" s="210"/>
      <c r="CA273" s="210"/>
      <c r="CB273" s="210"/>
      <c r="CC273" s="210"/>
      <c r="EM273" s="120"/>
      <c r="ET273" s="210"/>
      <c r="EU273" s="210"/>
      <c r="EV273" s="210"/>
      <c r="EW273" s="210"/>
      <c r="EX273" s="210"/>
      <c r="EY273" s="210"/>
      <c r="EZ273" s="210"/>
      <c r="FA273" s="210"/>
      <c r="FB273" s="210"/>
      <c r="FC273" s="210"/>
      <c r="FD273" s="210"/>
      <c r="FE273" s="210"/>
      <c r="FF273" s="210"/>
      <c r="FG273" s="210"/>
      <c r="FH273" s="210"/>
      <c r="HR273" s="120"/>
      <c r="HY273" s="210"/>
      <c r="HZ273" s="210"/>
      <c r="IA273" s="210"/>
      <c r="IB273" s="210"/>
      <c r="IC273" s="210"/>
      <c r="ID273" s="210"/>
      <c r="IE273" s="210"/>
      <c r="IF273" s="210"/>
      <c r="IG273" s="210"/>
      <c r="IH273" s="210"/>
      <c r="II273" s="210"/>
      <c r="IJ273" s="210"/>
      <c r="IK273" s="210"/>
      <c r="IL273" s="210"/>
      <c r="IM273" s="210"/>
      <c r="KW273" s="120"/>
      <c r="LD273" s="210"/>
      <c r="LE273" s="210"/>
      <c r="LF273" s="210"/>
      <c r="LG273" s="210"/>
      <c r="LH273" s="210"/>
      <c r="LI273" s="210"/>
      <c r="LJ273" s="210"/>
      <c r="LK273" s="210"/>
      <c r="LL273" s="210"/>
      <c r="LM273" s="210"/>
      <c r="LN273" s="210"/>
      <c r="LO273" s="210"/>
      <c r="LP273" s="210"/>
      <c r="LQ273" s="210"/>
      <c r="LR273" s="210"/>
      <c r="OB273" s="120"/>
      <c r="OI273" s="210"/>
      <c r="OJ273" s="210"/>
      <c r="OK273" s="210"/>
      <c r="OL273" s="210"/>
      <c r="OM273" s="210"/>
      <c r="ON273" s="210"/>
      <c r="OO273" s="210"/>
      <c r="OP273" s="210"/>
      <c r="OQ273" s="210"/>
      <c r="OR273" s="210"/>
      <c r="OS273" s="210"/>
      <c r="OT273" s="210"/>
      <c r="OU273" s="210"/>
      <c r="OV273" s="210"/>
      <c r="OW273" s="210"/>
      <c r="RG273" s="120"/>
    </row>
    <row r="274" spans="1:475" x14ac:dyDescent="0.3">
      <c r="A274" s="7">
        <v>34</v>
      </c>
      <c r="B274" s="7">
        <v>264</v>
      </c>
      <c r="C274" s="7" t="s">
        <v>276</v>
      </c>
      <c r="D274" s="7" t="s">
        <v>380</v>
      </c>
      <c r="E274" s="7" t="s">
        <v>386</v>
      </c>
      <c r="F274" s="7" t="s">
        <v>275</v>
      </c>
      <c r="G274" s="41" t="str">
        <f t="shared" si="47"/>
        <v>X</v>
      </c>
      <c r="H274" s="41">
        <f>INDEX(환산공식!CI$16:CI$301,MATCH('배치점수 계산기'!$W274,환산공식!$A$16:$A$301,0))</f>
        <v>120</v>
      </c>
      <c r="I274" s="41" t="str">
        <f>CONCATENATE(ROUND(INDEX(환산공식!CJ$16:CJ$301,MATCH('배치점수 계산기'!$W274,환산공식!$A$16:$A$301,0)),1),"%")</f>
        <v>100%</v>
      </c>
      <c r="J274" s="41">
        <f>INDEX(환산공식!CK$16:CK$301,MATCH('배치점수 계산기'!$W274,환산공식!$A$16:$A$301,0))</f>
        <v>40</v>
      </c>
      <c r="K274" s="7">
        <f>INDEX(환산공식!$EF$16:$EF$301,MATCH('배치점수 계산기'!W274,환산공식!$A$16:$A$301,0))</f>
        <v>0</v>
      </c>
      <c r="L274" s="41" t="str">
        <f t="shared" si="45"/>
        <v>1% 이하</v>
      </c>
      <c r="M274" s="7">
        <v>554.71220844312984</v>
      </c>
      <c r="N274" s="7">
        <v>552.99963282937358</v>
      </c>
      <c r="O274" s="7">
        <v>551.63039999999978</v>
      </c>
      <c r="P274" s="7">
        <v>551.05039999999985</v>
      </c>
      <c r="Q274" s="7">
        <v>550.05759999999998</v>
      </c>
      <c r="R274" s="7">
        <f t="shared" si="46"/>
        <v>6</v>
      </c>
      <c r="T274" s="7">
        <f>COUNTIF($C$11:C274,C274)</f>
        <v>182</v>
      </c>
      <c r="U274" s="7" t="str">
        <f t="shared" si="48"/>
        <v>가182</v>
      </c>
      <c r="V274" s="7" t="str">
        <f>INDEX(환산공식!$C$16:$C$301,MATCH('배치점수 계산기'!W274,환산공식!$A$16:$A$301,0))</f>
        <v>경희 통합인문</v>
      </c>
      <c r="W274" s="7">
        <f t="shared" si="49"/>
        <v>34</v>
      </c>
      <c r="X274" s="7">
        <f t="shared" si="50"/>
        <v>1</v>
      </c>
      <c r="Y274" s="7">
        <f>IFERROR(INDEX(환산공식!Q$16:Q$200,MATCH($A274,환산공식!$A$16:$A$200,0)),"")</f>
        <v>1.4</v>
      </c>
      <c r="Z274" s="7">
        <f>IFERROR(INDEX(환산공식!R$16:R$200,MATCH($A274,환산공식!$A$16:$A$200,0)),"")</f>
        <v>1</v>
      </c>
      <c r="AA274" s="7">
        <f>IFERROR(INDEX(환산공식!U$16:U$200,MATCH($A274,환산공식!$A$16:$A$200,0)),"")</f>
        <v>0.8</v>
      </c>
      <c r="AB274" s="7">
        <f t="shared" si="51"/>
        <v>0.43749999999999994</v>
      </c>
      <c r="AC274" s="7">
        <f t="shared" si="52"/>
        <v>0.3125</v>
      </c>
      <c r="AD274" s="7">
        <f t="shared" si="53"/>
        <v>0.25</v>
      </c>
      <c r="AE274" s="7">
        <f>INDEX(환산공식!$AF$16:$AF$301,MATCH('배치점수 계산기'!W274,환산공식!$A$16:$A$301,0))</f>
        <v>1</v>
      </c>
      <c r="AF274" s="7">
        <f>INDEX(환산공식!$AP$16:$AP$301,MATCH('배치점수 계산기'!W274,환산공식!$A$16:$A$301,0))</f>
        <v>4</v>
      </c>
      <c r="AG274" s="7" t="str">
        <f t="shared" si="54"/>
        <v>표점</v>
      </c>
      <c r="AH274" s="7" t="str">
        <f t="shared" si="55"/>
        <v>변표</v>
      </c>
      <c r="BO274" s="210"/>
      <c r="BP274" s="210"/>
      <c r="BQ274" s="210"/>
      <c r="BR274" s="210"/>
      <c r="BS274" s="210"/>
      <c r="BT274" s="210"/>
      <c r="BU274" s="210"/>
      <c r="BV274" s="210"/>
      <c r="BW274" s="210"/>
      <c r="BX274" s="210"/>
      <c r="BY274" s="210"/>
      <c r="BZ274" s="210"/>
      <c r="CA274" s="210"/>
      <c r="CB274" s="210"/>
      <c r="CC274" s="210"/>
      <c r="EM274" s="120"/>
      <c r="ET274" s="210"/>
      <c r="EU274" s="210"/>
      <c r="EV274" s="210"/>
      <c r="EW274" s="210"/>
      <c r="EX274" s="210"/>
      <c r="EY274" s="210"/>
      <c r="EZ274" s="210"/>
      <c r="FA274" s="210"/>
      <c r="FB274" s="210"/>
      <c r="FC274" s="210"/>
      <c r="FD274" s="210"/>
      <c r="FE274" s="210"/>
      <c r="FF274" s="210"/>
      <c r="FG274" s="210"/>
      <c r="FH274" s="210"/>
      <c r="HR274" s="120"/>
      <c r="HY274" s="210"/>
      <c r="HZ274" s="210"/>
      <c r="IA274" s="210"/>
      <c r="IB274" s="210"/>
      <c r="IC274" s="210"/>
      <c r="ID274" s="210"/>
      <c r="IE274" s="210"/>
      <c r="IF274" s="210"/>
      <c r="IG274" s="210"/>
      <c r="IH274" s="210"/>
      <c r="II274" s="210"/>
      <c r="IJ274" s="210"/>
      <c r="IK274" s="210"/>
      <c r="IL274" s="210"/>
      <c r="IM274" s="210"/>
      <c r="KW274" s="120"/>
      <c r="LD274" s="210"/>
      <c r="LE274" s="210"/>
      <c r="LF274" s="210"/>
      <c r="LG274" s="210"/>
      <c r="LH274" s="210"/>
      <c r="LI274" s="210"/>
      <c r="LJ274" s="210"/>
      <c r="LK274" s="210"/>
      <c r="LL274" s="210"/>
      <c r="LM274" s="210"/>
      <c r="LN274" s="210"/>
      <c r="LO274" s="210"/>
      <c r="LP274" s="210"/>
      <c r="LQ274" s="210"/>
      <c r="LR274" s="210"/>
      <c r="OB274" s="120"/>
      <c r="OI274" s="210"/>
      <c r="OJ274" s="210"/>
      <c r="OK274" s="210"/>
      <c r="OL274" s="210"/>
      <c r="OM274" s="210"/>
      <c r="ON274" s="210"/>
      <c r="OO274" s="210"/>
      <c r="OP274" s="210"/>
      <c r="OQ274" s="210"/>
      <c r="OR274" s="210"/>
      <c r="OS274" s="210"/>
      <c r="OT274" s="210"/>
      <c r="OU274" s="210"/>
      <c r="OV274" s="210"/>
      <c r="OW274" s="210"/>
      <c r="RG274" s="120"/>
    </row>
    <row r="275" spans="1:475" x14ac:dyDescent="0.3">
      <c r="A275" s="7">
        <v>34</v>
      </c>
      <c r="B275" s="7">
        <v>265</v>
      </c>
      <c r="C275" s="7" t="s">
        <v>276</v>
      </c>
      <c r="D275" s="7" t="s">
        <v>380</v>
      </c>
      <c r="E275" s="7" t="s">
        <v>351</v>
      </c>
      <c r="F275" s="7" t="s">
        <v>275</v>
      </c>
      <c r="G275" s="41" t="str">
        <f t="shared" si="47"/>
        <v>X</v>
      </c>
      <c r="H275" s="41">
        <f>INDEX(환산공식!CI$16:CI$301,MATCH('배치점수 계산기'!$W275,환산공식!$A$16:$A$301,0))</f>
        <v>120</v>
      </c>
      <c r="I275" s="41" t="str">
        <f>CONCATENATE(ROUND(INDEX(환산공식!CJ$16:CJ$301,MATCH('배치점수 계산기'!$W275,환산공식!$A$16:$A$301,0)),1),"%")</f>
        <v>100%</v>
      </c>
      <c r="J275" s="41">
        <f>INDEX(환산공식!CK$16:CK$301,MATCH('배치점수 계산기'!$W275,환산공식!$A$16:$A$301,0))</f>
        <v>40</v>
      </c>
      <c r="K275" s="7">
        <f>INDEX(환산공식!$EF$16:$EF$301,MATCH('배치점수 계산기'!W275,환산공식!$A$16:$A$301,0))</f>
        <v>0</v>
      </c>
      <c r="L275" s="41" t="str">
        <f t="shared" si="45"/>
        <v>1% 이하</v>
      </c>
      <c r="M275" s="7">
        <v>554.71220844312984</v>
      </c>
      <c r="N275" s="7">
        <v>552.99963282937358</v>
      </c>
      <c r="O275" s="7">
        <v>551.63039999999978</v>
      </c>
      <c r="P275" s="7">
        <v>551.05039999999985</v>
      </c>
      <c r="Q275" s="7">
        <v>550.05759999999998</v>
      </c>
      <c r="R275" s="7">
        <f t="shared" si="46"/>
        <v>6</v>
      </c>
      <c r="T275" s="7">
        <f>COUNTIF($C$11:C275,C275)</f>
        <v>183</v>
      </c>
      <c r="U275" s="7" t="str">
        <f t="shared" si="48"/>
        <v>가183</v>
      </c>
      <c r="V275" s="7" t="str">
        <f>INDEX(환산공식!$C$16:$C$301,MATCH('배치점수 계산기'!W275,환산공식!$A$16:$A$301,0))</f>
        <v>경희 통합인문</v>
      </c>
      <c r="W275" s="7">
        <f t="shared" si="49"/>
        <v>34</v>
      </c>
      <c r="X275" s="7">
        <f t="shared" si="50"/>
        <v>1</v>
      </c>
      <c r="Y275" s="7">
        <f>IFERROR(INDEX(환산공식!Q$16:Q$200,MATCH($A275,환산공식!$A$16:$A$200,0)),"")</f>
        <v>1.4</v>
      </c>
      <c r="Z275" s="7">
        <f>IFERROR(INDEX(환산공식!R$16:R$200,MATCH($A275,환산공식!$A$16:$A$200,0)),"")</f>
        <v>1</v>
      </c>
      <c r="AA275" s="7">
        <f>IFERROR(INDEX(환산공식!U$16:U$200,MATCH($A275,환산공식!$A$16:$A$200,0)),"")</f>
        <v>0.8</v>
      </c>
      <c r="AB275" s="7">
        <f t="shared" si="51"/>
        <v>0.43749999999999994</v>
      </c>
      <c r="AC275" s="7">
        <f t="shared" si="52"/>
        <v>0.3125</v>
      </c>
      <c r="AD275" s="7">
        <f t="shared" si="53"/>
        <v>0.25</v>
      </c>
      <c r="AE275" s="7">
        <f>INDEX(환산공식!$AF$16:$AF$301,MATCH('배치점수 계산기'!W275,환산공식!$A$16:$A$301,0))</f>
        <v>1</v>
      </c>
      <c r="AF275" s="7">
        <f>INDEX(환산공식!$AP$16:$AP$301,MATCH('배치점수 계산기'!W275,환산공식!$A$16:$A$301,0))</f>
        <v>4</v>
      </c>
      <c r="AG275" s="7" t="str">
        <f t="shared" si="54"/>
        <v>표점</v>
      </c>
      <c r="AH275" s="7" t="str">
        <f t="shared" si="55"/>
        <v>변표</v>
      </c>
      <c r="BO275" s="210"/>
      <c r="BP275" s="210"/>
      <c r="BQ275" s="210"/>
      <c r="BR275" s="210"/>
      <c r="BS275" s="210"/>
      <c r="BT275" s="210"/>
      <c r="BU275" s="210"/>
      <c r="BV275" s="210"/>
      <c r="BW275" s="210"/>
      <c r="BX275" s="210"/>
      <c r="BY275" s="210"/>
      <c r="BZ275" s="210"/>
      <c r="CA275" s="210"/>
      <c r="CB275" s="210"/>
      <c r="CC275" s="210"/>
      <c r="EM275" s="120"/>
      <c r="ET275" s="210"/>
      <c r="EU275" s="210"/>
      <c r="EV275" s="210"/>
      <c r="EW275" s="210"/>
      <c r="EX275" s="210"/>
      <c r="EY275" s="210"/>
      <c r="EZ275" s="210"/>
      <c r="FA275" s="210"/>
      <c r="FB275" s="210"/>
      <c r="FC275" s="210"/>
      <c r="FD275" s="210"/>
      <c r="FE275" s="210"/>
      <c r="FF275" s="210"/>
      <c r="FG275" s="210"/>
      <c r="FH275" s="210"/>
      <c r="HR275" s="120"/>
      <c r="HY275" s="210"/>
      <c r="HZ275" s="210"/>
      <c r="IA275" s="210"/>
      <c r="IB275" s="210"/>
      <c r="IC275" s="210"/>
      <c r="ID275" s="210"/>
      <c r="IE275" s="210"/>
      <c r="IF275" s="210"/>
      <c r="IG275" s="210"/>
      <c r="IH275" s="210"/>
      <c r="II275" s="210"/>
      <c r="IJ275" s="210"/>
      <c r="IK275" s="210"/>
      <c r="IL275" s="210"/>
      <c r="IM275" s="210"/>
      <c r="KW275" s="120"/>
      <c r="LD275" s="210"/>
      <c r="LE275" s="210"/>
      <c r="LF275" s="210"/>
      <c r="LG275" s="210"/>
      <c r="LH275" s="210"/>
      <c r="LI275" s="210"/>
      <c r="LJ275" s="210"/>
      <c r="LK275" s="210"/>
      <c r="LL275" s="210"/>
      <c r="LM275" s="210"/>
      <c r="LN275" s="210"/>
      <c r="LO275" s="210"/>
      <c r="LP275" s="210"/>
      <c r="LQ275" s="210"/>
      <c r="LR275" s="210"/>
      <c r="OB275" s="120"/>
      <c r="OI275" s="210"/>
      <c r="OJ275" s="210"/>
      <c r="OK275" s="210"/>
      <c r="OL275" s="210"/>
      <c r="OM275" s="210"/>
      <c r="ON275" s="210"/>
      <c r="OO275" s="210"/>
      <c r="OP275" s="210"/>
      <c r="OQ275" s="210"/>
      <c r="OR275" s="210"/>
      <c r="OS275" s="210"/>
      <c r="OT275" s="210"/>
      <c r="OU275" s="210"/>
      <c r="OV275" s="210"/>
      <c r="OW275" s="210"/>
      <c r="RG275" s="120"/>
    </row>
    <row r="276" spans="1:475" x14ac:dyDescent="0.3">
      <c r="A276" s="7">
        <v>35</v>
      </c>
      <c r="B276" s="7">
        <v>266</v>
      </c>
      <c r="C276" s="7" t="s">
        <v>276</v>
      </c>
      <c r="D276" s="7" t="s">
        <v>380</v>
      </c>
      <c r="E276" s="7" t="s">
        <v>389</v>
      </c>
      <c r="F276" s="7" t="s">
        <v>275</v>
      </c>
      <c r="G276" s="41" t="str">
        <f t="shared" si="47"/>
        <v>X</v>
      </c>
      <c r="H276" s="41">
        <f>INDEX(환산공식!CI$16:CI$301,MATCH('배치점수 계산기'!$W276,환산공식!$A$16:$A$301,0))</f>
        <v>120</v>
      </c>
      <c r="I276" s="41" t="str">
        <f>CONCATENATE(ROUND(INDEX(환산공식!CJ$16:CJ$301,MATCH('배치점수 계산기'!$W276,환산공식!$A$16:$A$301,0)),1),"%")</f>
        <v>100%</v>
      </c>
      <c r="J276" s="41">
        <f>INDEX(환산공식!CK$16:CK$301,MATCH('배치점수 계산기'!$W276,환산공식!$A$16:$A$301,0))</f>
        <v>40</v>
      </c>
      <c r="K276" s="7">
        <f>INDEX(환산공식!$EF$16:$EF$301,MATCH('배치점수 계산기'!W276,환산공식!$A$16:$A$301,0))</f>
        <v>0</v>
      </c>
      <c r="L276" s="41" t="str">
        <f t="shared" si="45"/>
        <v>1% 이하</v>
      </c>
      <c r="M276" s="7">
        <v>556.12479999999994</v>
      </c>
      <c r="N276" s="7">
        <v>554.70482870915907</v>
      </c>
      <c r="O276" s="7">
        <v>551.07898488120941</v>
      </c>
      <c r="P276" s="7">
        <v>549.6303999999999</v>
      </c>
      <c r="Q276" s="7">
        <v>548.59760000000006</v>
      </c>
      <c r="R276" s="7">
        <f t="shared" si="46"/>
        <v>6</v>
      </c>
      <c r="T276" s="7">
        <f>COUNTIF($C$11:C276,C276)</f>
        <v>184</v>
      </c>
      <c r="U276" s="7" t="str">
        <f t="shared" si="48"/>
        <v>가184</v>
      </c>
      <c r="V276" s="7" t="str">
        <f>INDEX(환산공식!$C$16:$C$301,MATCH('배치점수 계산기'!W276,환산공식!$A$16:$A$301,0))</f>
        <v>경희 통합사회</v>
      </c>
      <c r="W276" s="7">
        <f t="shared" si="49"/>
        <v>35</v>
      </c>
      <c r="X276" s="7">
        <f t="shared" si="50"/>
        <v>1</v>
      </c>
      <c r="Y276" s="7">
        <f>IFERROR(INDEX(환산공식!Q$16:Q$200,MATCH($A276,환산공식!$A$16:$A$200,0)),"")</f>
        <v>1</v>
      </c>
      <c r="Z276" s="7">
        <f>IFERROR(INDEX(환산공식!R$16:R$200,MATCH($A276,환산공식!$A$16:$A$200,0)),"")</f>
        <v>1.4</v>
      </c>
      <c r="AA276" s="7">
        <f>IFERROR(INDEX(환산공식!U$16:U$200,MATCH($A276,환산공식!$A$16:$A$200,0)),"")</f>
        <v>0.8</v>
      </c>
      <c r="AB276" s="7">
        <f t="shared" si="51"/>
        <v>0.3125</v>
      </c>
      <c r="AC276" s="7">
        <f t="shared" si="52"/>
        <v>0.43749999999999994</v>
      </c>
      <c r="AD276" s="7">
        <f t="shared" si="53"/>
        <v>0.25</v>
      </c>
      <c r="AE276" s="7">
        <f>INDEX(환산공식!$AF$16:$AF$301,MATCH('배치점수 계산기'!W276,환산공식!$A$16:$A$301,0))</f>
        <v>1</v>
      </c>
      <c r="AF276" s="7">
        <f>INDEX(환산공식!$AP$16:$AP$301,MATCH('배치점수 계산기'!W276,환산공식!$A$16:$A$301,0))</f>
        <v>4</v>
      </c>
      <c r="AG276" s="7" t="str">
        <f t="shared" si="54"/>
        <v>표점</v>
      </c>
      <c r="AH276" s="7" t="str">
        <f t="shared" si="55"/>
        <v>변표</v>
      </c>
      <c r="BO276" s="210"/>
      <c r="BP276" s="210"/>
      <c r="BQ276" s="210"/>
      <c r="BR276" s="210"/>
      <c r="BS276" s="210"/>
      <c r="BT276" s="210"/>
      <c r="BU276" s="210"/>
      <c r="BV276" s="210"/>
      <c r="BW276" s="210"/>
      <c r="BX276" s="210"/>
      <c r="BY276" s="210"/>
      <c r="BZ276" s="210"/>
      <c r="CA276" s="210"/>
      <c r="CB276" s="210"/>
      <c r="CC276" s="210"/>
      <c r="EM276" s="120"/>
      <c r="ET276" s="210"/>
      <c r="EU276" s="210"/>
      <c r="EV276" s="210"/>
      <c r="EW276" s="210"/>
      <c r="EX276" s="210"/>
      <c r="EY276" s="210"/>
      <c r="EZ276" s="210"/>
      <c r="FA276" s="210"/>
      <c r="FB276" s="210"/>
      <c r="FC276" s="210"/>
      <c r="FD276" s="210"/>
      <c r="FE276" s="210"/>
      <c r="FF276" s="210"/>
      <c r="FG276" s="210"/>
      <c r="FH276" s="210"/>
      <c r="HR276" s="120"/>
      <c r="HY276" s="210"/>
      <c r="HZ276" s="210"/>
      <c r="IA276" s="210"/>
      <c r="IB276" s="210"/>
      <c r="IC276" s="210"/>
      <c r="ID276" s="210"/>
      <c r="IE276" s="210"/>
      <c r="IF276" s="210"/>
      <c r="IG276" s="210"/>
      <c r="IH276" s="210"/>
      <c r="II276" s="210"/>
      <c r="IJ276" s="210"/>
      <c r="IK276" s="210"/>
      <c r="IL276" s="210"/>
      <c r="IM276" s="210"/>
      <c r="KW276" s="120"/>
      <c r="LD276" s="210"/>
      <c r="LE276" s="210"/>
      <c r="LF276" s="210"/>
      <c r="LG276" s="210"/>
      <c r="LH276" s="210"/>
      <c r="LI276" s="210"/>
      <c r="LJ276" s="210"/>
      <c r="LK276" s="210"/>
      <c r="LL276" s="210"/>
      <c r="LM276" s="210"/>
      <c r="LN276" s="210"/>
      <c r="LO276" s="210"/>
      <c r="LP276" s="210"/>
      <c r="LQ276" s="210"/>
      <c r="LR276" s="210"/>
      <c r="OB276" s="120"/>
      <c r="OI276" s="210"/>
      <c r="OJ276" s="210"/>
      <c r="OK276" s="210"/>
      <c r="OL276" s="210"/>
      <c r="OM276" s="210"/>
      <c r="ON276" s="210"/>
      <c r="OO276" s="210"/>
      <c r="OP276" s="210"/>
      <c r="OQ276" s="210"/>
      <c r="OR276" s="210"/>
      <c r="OS276" s="210"/>
      <c r="OT276" s="210"/>
      <c r="OU276" s="210"/>
      <c r="OV276" s="210"/>
      <c r="OW276" s="210"/>
      <c r="RG276" s="120"/>
    </row>
    <row r="277" spans="1:475" x14ac:dyDescent="0.3">
      <c r="A277" s="7">
        <v>34</v>
      </c>
      <c r="B277" s="7">
        <v>267</v>
      </c>
      <c r="C277" s="7" t="s">
        <v>276</v>
      </c>
      <c r="D277" s="7" t="s">
        <v>380</v>
      </c>
      <c r="E277" s="7" t="s">
        <v>390</v>
      </c>
      <c r="F277" s="7" t="s">
        <v>275</v>
      </c>
      <c r="G277" s="41" t="str">
        <f t="shared" si="47"/>
        <v>X</v>
      </c>
      <c r="H277" s="41">
        <f>INDEX(환산공식!CI$16:CI$301,MATCH('배치점수 계산기'!$W277,환산공식!$A$16:$A$301,0))</f>
        <v>120</v>
      </c>
      <c r="I277" s="41" t="str">
        <f>CONCATENATE(ROUND(INDEX(환산공식!CJ$16:CJ$301,MATCH('배치점수 계산기'!$W277,환산공식!$A$16:$A$301,0)),1),"%")</f>
        <v>100%</v>
      </c>
      <c r="J277" s="41">
        <f>INDEX(환산공식!CK$16:CK$301,MATCH('배치점수 계산기'!$W277,환산공식!$A$16:$A$301,0))</f>
        <v>40</v>
      </c>
      <c r="K277" s="7">
        <f>INDEX(환산공식!$EF$16:$EF$301,MATCH('배치점수 계산기'!W277,환산공식!$A$16:$A$301,0))</f>
        <v>0</v>
      </c>
      <c r="L277" s="41" t="str">
        <f t="shared" si="45"/>
        <v>1% 이하</v>
      </c>
      <c r="M277" s="7">
        <v>558.12479999999994</v>
      </c>
      <c r="N277" s="7">
        <v>556.78538575254424</v>
      </c>
      <c r="O277" s="7">
        <v>555.55253677142082</v>
      </c>
      <c r="P277" s="7">
        <v>554.3528</v>
      </c>
      <c r="Q277" s="7">
        <v>552.1103999999998</v>
      </c>
      <c r="R277" s="7">
        <f t="shared" si="46"/>
        <v>6</v>
      </c>
      <c r="T277" s="7">
        <f>COUNTIF($C$11:C277,C277)</f>
        <v>185</v>
      </c>
      <c r="U277" s="7" t="str">
        <f t="shared" si="48"/>
        <v>가185</v>
      </c>
      <c r="V277" s="7" t="str">
        <f>INDEX(환산공식!$C$16:$C$301,MATCH('배치점수 계산기'!W277,환산공식!$A$16:$A$301,0))</f>
        <v>경희 통합인문</v>
      </c>
      <c r="W277" s="7">
        <f t="shared" si="49"/>
        <v>34</v>
      </c>
      <c r="X277" s="7">
        <f t="shared" si="50"/>
        <v>1</v>
      </c>
      <c r="Y277" s="7">
        <f>IFERROR(INDEX(환산공식!Q$16:Q$200,MATCH($A277,환산공식!$A$16:$A$200,0)),"")</f>
        <v>1.4</v>
      </c>
      <c r="Z277" s="7">
        <f>IFERROR(INDEX(환산공식!R$16:R$200,MATCH($A277,환산공식!$A$16:$A$200,0)),"")</f>
        <v>1</v>
      </c>
      <c r="AA277" s="7">
        <f>IFERROR(INDEX(환산공식!U$16:U$200,MATCH($A277,환산공식!$A$16:$A$200,0)),"")</f>
        <v>0.8</v>
      </c>
      <c r="AB277" s="7">
        <f t="shared" si="51"/>
        <v>0.43749999999999994</v>
      </c>
      <c r="AC277" s="7">
        <f t="shared" si="52"/>
        <v>0.3125</v>
      </c>
      <c r="AD277" s="7">
        <f t="shared" si="53"/>
        <v>0.25</v>
      </c>
      <c r="AE277" s="7">
        <f>INDEX(환산공식!$AF$16:$AF$301,MATCH('배치점수 계산기'!W277,환산공식!$A$16:$A$301,0))</f>
        <v>1</v>
      </c>
      <c r="AF277" s="7">
        <f>INDEX(환산공식!$AP$16:$AP$301,MATCH('배치점수 계산기'!W277,환산공식!$A$16:$A$301,0))</f>
        <v>4</v>
      </c>
      <c r="AG277" s="7" t="str">
        <f t="shared" si="54"/>
        <v>표점</v>
      </c>
      <c r="AH277" s="7" t="str">
        <f t="shared" si="55"/>
        <v>변표</v>
      </c>
      <c r="BO277" s="210"/>
      <c r="BP277" s="210"/>
      <c r="BQ277" s="210"/>
      <c r="BR277" s="210"/>
      <c r="BS277" s="210"/>
      <c r="BT277" s="210"/>
      <c r="BU277" s="210"/>
      <c r="BV277" s="210"/>
      <c r="BW277" s="210"/>
      <c r="BX277" s="210"/>
      <c r="BY277" s="210"/>
      <c r="BZ277" s="210"/>
      <c r="CA277" s="210"/>
      <c r="CB277" s="210"/>
      <c r="CC277" s="210"/>
      <c r="EM277" s="120"/>
      <c r="ET277" s="210"/>
      <c r="EU277" s="210"/>
      <c r="EV277" s="210"/>
      <c r="EW277" s="210"/>
      <c r="EX277" s="210"/>
      <c r="EY277" s="210"/>
      <c r="EZ277" s="210"/>
      <c r="FA277" s="210"/>
      <c r="FB277" s="210"/>
      <c r="FC277" s="210"/>
      <c r="FD277" s="210"/>
      <c r="FE277" s="210"/>
      <c r="FF277" s="210"/>
      <c r="FG277" s="210"/>
      <c r="FH277" s="210"/>
      <c r="HR277" s="120"/>
      <c r="HY277" s="210"/>
      <c r="HZ277" s="210"/>
      <c r="IA277" s="210"/>
      <c r="IB277" s="210"/>
      <c r="IC277" s="210"/>
      <c r="ID277" s="210"/>
      <c r="IE277" s="210"/>
      <c r="IF277" s="210"/>
      <c r="IG277" s="210"/>
      <c r="IH277" s="210"/>
      <c r="II277" s="210"/>
      <c r="IJ277" s="210"/>
      <c r="IK277" s="210"/>
      <c r="IL277" s="210"/>
      <c r="IM277" s="210"/>
      <c r="KW277" s="120"/>
      <c r="LD277" s="210"/>
      <c r="LE277" s="210"/>
      <c r="LF277" s="210"/>
      <c r="LG277" s="210"/>
      <c r="LH277" s="210"/>
      <c r="LI277" s="210"/>
      <c r="LJ277" s="210"/>
      <c r="LK277" s="210"/>
      <c r="LL277" s="210"/>
      <c r="LM277" s="210"/>
      <c r="LN277" s="210"/>
      <c r="LO277" s="210"/>
      <c r="LP277" s="210"/>
      <c r="LQ277" s="210"/>
      <c r="LR277" s="210"/>
      <c r="OB277" s="120"/>
      <c r="OI277" s="210"/>
      <c r="OJ277" s="210"/>
      <c r="OK277" s="210"/>
      <c r="OL277" s="210"/>
      <c r="OM277" s="210"/>
      <c r="ON277" s="210"/>
      <c r="OO277" s="210"/>
      <c r="OP277" s="210"/>
      <c r="OQ277" s="210"/>
      <c r="OR277" s="210"/>
      <c r="OS277" s="210"/>
      <c r="OT277" s="210"/>
      <c r="OU277" s="210"/>
      <c r="OV277" s="210"/>
      <c r="OW277" s="210"/>
      <c r="RG277" s="120"/>
    </row>
    <row r="278" spans="1:475" x14ac:dyDescent="0.3">
      <c r="A278" s="7">
        <v>33</v>
      </c>
      <c r="B278" s="7">
        <v>268</v>
      </c>
      <c r="C278" s="7" t="s">
        <v>276</v>
      </c>
      <c r="D278" s="7" t="s">
        <v>380</v>
      </c>
      <c r="E278" s="7" t="s">
        <v>373</v>
      </c>
      <c r="F278" s="7" t="s">
        <v>274</v>
      </c>
      <c r="G278" s="41" t="str">
        <f t="shared" si="47"/>
        <v>X</v>
      </c>
      <c r="H278" s="41">
        <f>INDEX(환산공식!CI$16:CI$301,MATCH('배치점수 계산기'!$W278,환산공식!$A$16:$A$301,0))</f>
        <v>120</v>
      </c>
      <c r="I278" s="41" t="str">
        <f>CONCATENATE(ROUND(INDEX(환산공식!CJ$16:CJ$301,MATCH('배치점수 계산기'!$W278,환산공식!$A$16:$A$301,0)),1),"%")</f>
        <v>100%</v>
      </c>
      <c r="J278" s="41">
        <f>INDEX(환산공식!CK$16:CK$301,MATCH('배치점수 계산기'!$W278,환산공식!$A$16:$A$301,0))</f>
        <v>40</v>
      </c>
      <c r="K278" s="7">
        <f>INDEX(환산공식!$EF$16:$EF$301,MATCH('배치점수 계산기'!W278,환산공식!$A$16:$A$301,0))</f>
        <v>0</v>
      </c>
      <c r="L278" s="41" t="str">
        <f t="shared" si="45"/>
        <v>1% 이하</v>
      </c>
      <c r="M278" s="7">
        <v>560.2399999999999</v>
      </c>
      <c r="N278" s="7">
        <v>559.04468875233772</v>
      </c>
      <c r="O278" s="7">
        <v>557.99699999999996</v>
      </c>
      <c r="P278" s="7">
        <v>556.79099999999994</v>
      </c>
      <c r="Q278" s="7">
        <v>554.029</v>
      </c>
      <c r="R278" s="7">
        <f t="shared" si="46"/>
        <v>6</v>
      </c>
      <c r="T278" s="7">
        <f>COUNTIF($C$11:C278,C278)</f>
        <v>186</v>
      </c>
      <c r="U278" s="7" t="str">
        <f t="shared" si="48"/>
        <v>가186</v>
      </c>
      <c r="V278" s="7" t="str">
        <f>INDEX(환산공식!$C$16:$C$301,MATCH('배치점수 계산기'!W278,환산공식!$A$16:$A$301,0))</f>
        <v>경희 자연</v>
      </c>
      <c r="W278" s="7">
        <f t="shared" si="49"/>
        <v>33</v>
      </c>
      <c r="X278" s="7">
        <f t="shared" si="50"/>
        <v>1</v>
      </c>
      <c r="Y278" s="7">
        <f>IFERROR(INDEX(환산공식!Q$16:Q$200,MATCH($A278,환산공식!$A$16:$A$200,0)),"")</f>
        <v>0.8</v>
      </c>
      <c r="Z278" s="7">
        <f>IFERROR(INDEX(환산공식!R$16:R$200,MATCH($A278,환산공식!$A$16:$A$200,0)),"")</f>
        <v>1.4</v>
      </c>
      <c r="AA278" s="7">
        <f>IFERROR(INDEX(환산공식!U$16:U$200,MATCH($A278,환산공식!$A$16:$A$200,0)),"")</f>
        <v>1</v>
      </c>
      <c r="AB278" s="7">
        <f t="shared" si="51"/>
        <v>0.25</v>
      </c>
      <c r="AC278" s="7">
        <f t="shared" si="52"/>
        <v>0.43749999999999994</v>
      </c>
      <c r="AD278" s="7">
        <f t="shared" si="53"/>
        <v>0.3125</v>
      </c>
      <c r="AE278" s="7">
        <f>INDEX(환산공식!$AF$16:$AF$301,MATCH('배치점수 계산기'!W278,환산공식!$A$16:$A$301,0))</f>
        <v>1</v>
      </c>
      <c r="AF278" s="7">
        <f>INDEX(환산공식!$AP$16:$AP$301,MATCH('배치점수 계산기'!W278,환산공식!$A$16:$A$301,0))</f>
        <v>4</v>
      </c>
      <c r="AG278" s="7" t="str">
        <f t="shared" si="54"/>
        <v>표점</v>
      </c>
      <c r="AH278" s="7" t="str">
        <f t="shared" si="55"/>
        <v>변표</v>
      </c>
      <c r="BO278" s="210"/>
      <c r="BP278" s="210"/>
      <c r="BQ278" s="210"/>
      <c r="BR278" s="210"/>
      <c r="BS278" s="210"/>
      <c r="BT278" s="210"/>
      <c r="BU278" s="210"/>
      <c r="BV278" s="210"/>
      <c r="BW278" s="210"/>
      <c r="BX278" s="210"/>
      <c r="BY278" s="210"/>
      <c r="BZ278" s="210"/>
      <c r="CA278" s="210"/>
      <c r="CB278" s="210"/>
      <c r="CC278" s="210"/>
      <c r="EM278" s="120"/>
      <c r="ET278" s="210"/>
      <c r="EU278" s="210"/>
      <c r="EV278" s="210"/>
      <c r="EW278" s="210"/>
      <c r="EX278" s="210"/>
      <c r="EY278" s="210"/>
      <c r="EZ278" s="210"/>
      <c r="FA278" s="210"/>
      <c r="FB278" s="210"/>
      <c r="FC278" s="210"/>
      <c r="FD278" s="210"/>
      <c r="FE278" s="210"/>
      <c r="FF278" s="210"/>
      <c r="FG278" s="210"/>
      <c r="FH278" s="210"/>
      <c r="HR278" s="120"/>
      <c r="HY278" s="210"/>
      <c r="HZ278" s="210"/>
      <c r="IA278" s="210"/>
      <c r="IB278" s="210"/>
      <c r="IC278" s="210"/>
      <c r="ID278" s="210"/>
      <c r="IE278" s="210"/>
      <c r="IF278" s="210"/>
      <c r="IG278" s="210"/>
      <c r="IH278" s="210"/>
      <c r="II278" s="210"/>
      <c r="IJ278" s="210"/>
      <c r="IK278" s="210"/>
      <c r="IL278" s="210"/>
      <c r="IM278" s="210"/>
      <c r="KW278" s="120"/>
      <c r="LD278" s="210"/>
      <c r="LE278" s="210"/>
      <c r="LF278" s="210"/>
      <c r="LG278" s="210"/>
      <c r="LH278" s="210"/>
      <c r="LI278" s="210"/>
      <c r="LJ278" s="210"/>
      <c r="LK278" s="210"/>
      <c r="LL278" s="210"/>
      <c r="LM278" s="210"/>
      <c r="LN278" s="210"/>
      <c r="LO278" s="210"/>
      <c r="LP278" s="210"/>
      <c r="LQ278" s="210"/>
      <c r="LR278" s="210"/>
      <c r="OB278" s="120"/>
      <c r="OI278" s="210"/>
      <c r="OJ278" s="210"/>
      <c r="OK278" s="210"/>
      <c r="OL278" s="210"/>
      <c r="OM278" s="210"/>
      <c r="ON278" s="210"/>
      <c r="OO278" s="210"/>
      <c r="OP278" s="210"/>
      <c r="OQ278" s="210"/>
      <c r="OR278" s="210"/>
      <c r="OS278" s="210"/>
      <c r="OT278" s="210"/>
      <c r="OU278" s="210"/>
      <c r="OV278" s="210"/>
      <c r="OW278" s="210"/>
      <c r="RG278" s="120"/>
    </row>
    <row r="279" spans="1:475" x14ac:dyDescent="0.3">
      <c r="A279" s="7">
        <v>33</v>
      </c>
      <c r="B279" s="7">
        <v>269</v>
      </c>
      <c r="C279" s="7" t="s">
        <v>276</v>
      </c>
      <c r="D279" s="7" t="s">
        <v>380</v>
      </c>
      <c r="E279" s="7" t="s">
        <v>292</v>
      </c>
      <c r="F279" s="7" t="s">
        <v>274</v>
      </c>
      <c r="G279" s="41" t="str">
        <f t="shared" si="47"/>
        <v>X</v>
      </c>
      <c r="H279" s="41">
        <f>INDEX(환산공식!CI$16:CI$301,MATCH('배치점수 계산기'!$W279,환산공식!$A$16:$A$301,0))</f>
        <v>120</v>
      </c>
      <c r="I279" s="41" t="str">
        <f>CONCATENATE(ROUND(INDEX(환산공식!CJ$16:CJ$301,MATCH('배치점수 계산기'!$W279,환산공식!$A$16:$A$301,0)),1),"%")</f>
        <v>100%</v>
      </c>
      <c r="J279" s="41">
        <f>INDEX(환산공식!CK$16:CK$301,MATCH('배치점수 계산기'!$W279,환산공식!$A$16:$A$301,0))</f>
        <v>40</v>
      </c>
      <c r="K279" s="7">
        <f>INDEX(환산공식!$EF$16:$EF$301,MATCH('배치점수 계산기'!W279,환산공식!$A$16:$A$301,0))</f>
        <v>0</v>
      </c>
      <c r="L279" s="41" t="str">
        <f t="shared" si="45"/>
        <v>1% 이하</v>
      </c>
      <c r="M279" s="7">
        <v>563.22367972472205</v>
      </c>
      <c r="N279" s="7">
        <v>561.93531988319614</v>
      </c>
      <c r="O279" s="7">
        <v>560.71999999999991</v>
      </c>
      <c r="P279" s="7">
        <v>559.52468875233774</v>
      </c>
      <c r="Q279" s="7">
        <v>558.47699999999998</v>
      </c>
      <c r="R279" s="7">
        <f t="shared" si="46"/>
        <v>6</v>
      </c>
      <c r="T279" s="7">
        <f>COUNTIF($C$11:C279,C279)</f>
        <v>187</v>
      </c>
      <c r="U279" s="7" t="str">
        <f t="shared" si="48"/>
        <v>가187</v>
      </c>
      <c r="V279" s="7" t="str">
        <f>INDEX(환산공식!$C$16:$C$301,MATCH('배치점수 계산기'!W279,환산공식!$A$16:$A$301,0))</f>
        <v>경희 자연</v>
      </c>
      <c r="W279" s="7">
        <f t="shared" si="49"/>
        <v>33</v>
      </c>
      <c r="X279" s="7">
        <f t="shared" si="50"/>
        <v>1</v>
      </c>
      <c r="Y279" s="7">
        <f>IFERROR(INDEX(환산공식!Q$16:Q$200,MATCH($A279,환산공식!$A$16:$A$200,0)),"")</f>
        <v>0.8</v>
      </c>
      <c r="Z279" s="7">
        <f>IFERROR(INDEX(환산공식!R$16:R$200,MATCH($A279,환산공식!$A$16:$A$200,0)),"")</f>
        <v>1.4</v>
      </c>
      <c r="AA279" s="7">
        <f>IFERROR(INDEX(환산공식!U$16:U$200,MATCH($A279,환산공식!$A$16:$A$200,0)),"")</f>
        <v>1</v>
      </c>
      <c r="AB279" s="7">
        <f t="shared" si="51"/>
        <v>0.25</v>
      </c>
      <c r="AC279" s="7">
        <f t="shared" si="52"/>
        <v>0.43749999999999994</v>
      </c>
      <c r="AD279" s="7">
        <f t="shared" si="53"/>
        <v>0.3125</v>
      </c>
      <c r="AE279" s="7">
        <f>INDEX(환산공식!$AF$16:$AF$301,MATCH('배치점수 계산기'!W279,환산공식!$A$16:$A$301,0))</f>
        <v>1</v>
      </c>
      <c r="AF279" s="7">
        <f>INDEX(환산공식!$AP$16:$AP$301,MATCH('배치점수 계산기'!W279,환산공식!$A$16:$A$301,0))</f>
        <v>4</v>
      </c>
      <c r="AG279" s="7" t="str">
        <f t="shared" si="54"/>
        <v>표점</v>
      </c>
      <c r="AH279" s="7" t="str">
        <f t="shared" si="55"/>
        <v>변표</v>
      </c>
      <c r="BO279" s="210"/>
      <c r="BP279" s="210"/>
      <c r="BQ279" s="210"/>
      <c r="BR279" s="210"/>
      <c r="BS279" s="210"/>
      <c r="BT279" s="210"/>
      <c r="BU279" s="210"/>
      <c r="BV279" s="210"/>
      <c r="BW279" s="210"/>
      <c r="BX279" s="210"/>
      <c r="BY279" s="210"/>
      <c r="BZ279" s="210"/>
      <c r="CA279" s="210"/>
      <c r="CB279" s="210"/>
      <c r="CC279" s="210"/>
      <c r="EM279" s="120"/>
      <c r="ET279" s="210"/>
      <c r="EU279" s="210"/>
      <c r="EV279" s="210"/>
      <c r="EW279" s="210"/>
      <c r="EX279" s="210"/>
      <c r="EY279" s="210"/>
      <c r="EZ279" s="210"/>
      <c r="FA279" s="210"/>
      <c r="FB279" s="210"/>
      <c r="FC279" s="210"/>
      <c r="FD279" s="210"/>
      <c r="FE279" s="210"/>
      <c r="FF279" s="210"/>
      <c r="FG279" s="210"/>
      <c r="FH279" s="210"/>
      <c r="HR279" s="120"/>
      <c r="HY279" s="210"/>
      <c r="HZ279" s="210"/>
      <c r="IA279" s="210"/>
      <c r="IB279" s="210"/>
      <c r="IC279" s="210"/>
      <c r="ID279" s="210"/>
      <c r="IE279" s="210"/>
      <c r="IF279" s="210"/>
      <c r="IG279" s="210"/>
      <c r="IH279" s="210"/>
      <c r="II279" s="210"/>
      <c r="IJ279" s="210"/>
      <c r="IK279" s="210"/>
      <c r="IL279" s="210"/>
      <c r="IM279" s="210"/>
      <c r="KW279" s="120"/>
      <c r="LD279" s="210"/>
      <c r="LE279" s="210"/>
      <c r="LF279" s="210"/>
      <c r="LG279" s="210"/>
      <c r="LH279" s="210"/>
      <c r="LI279" s="210"/>
      <c r="LJ279" s="210"/>
      <c r="LK279" s="210"/>
      <c r="LL279" s="210"/>
      <c r="LM279" s="210"/>
      <c r="LN279" s="210"/>
      <c r="LO279" s="210"/>
      <c r="LP279" s="210"/>
      <c r="LQ279" s="210"/>
      <c r="LR279" s="210"/>
      <c r="OB279" s="120"/>
      <c r="OI279" s="210"/>
      <c r="OJ279" s="210"/>
      <c r="OK279" s="210"/>
      <c r="OL279" s="210"/>
      <c r="OM279" s="210"/>
      <c r="ON279" s="210"/>
      <c r="OO279" s="210"/>
      <c r="OP279" s="210"/>
      <c r="OQ279" s="210"/>
      <c r="OR279" s="210"/>
      <c r="OS279" s="210"/>
      <c r="OT279" s="210"/>
      <c r="OU279" s="210"/>
      <c r="OV279" s="210"/>
      <c r="OW279" s="210"/>
      <c r="RG279" s="120"/>
    </row>
    <row r="280" spans="1:475" x14ac:dyDescent="0.3">
      <c r="A280" s="7">
        <v>33</v>
      </c>
      <c r="B280" s="7">
        <v>270</v>
      </c>
      <c r="C280" s="7" t="s">
        <v>276</v>
      </c>
      <c r="D280" s="7" t="s">
        <v>380</v>
      </c>
      <c r="E280" s="7" t="s">
        <v>252</v>
      </c>
      <c r="F280" s="7" t="s">
        <v>274</v>
      </c>
      <c r="G280" s="41" t="str">
        <f t="shared" si="47"/>
        <v>X</v>
      </c>
      <c r="H280" s="41">
        <f>INDEX(환산공식!CI$16:CI$301,MATCH('배치점수 계산기'!$W280,환산공식!$A$16:$A$301,0))</f>
        <v>120</v>
      </c>
      <c r="I280" s="41" t="str">
        <f>CONCATENATE(ROUND(INDEX(환산공식!CJ$16:CJ$301,MATCH('배치점수 계산기'!$W280,환산공식!$A$16:$A$301,0)),1),"%")</f>
        <v>100%</v>
      </c>
      <c r="J280" s="41">
        <f>INDEX(환산공식!CK$16:CK$301,MATCH('배치점수 계산기'!$W280,환산공식!$A$16:$A$301,0))</f>
        <v>40</v>
      </c>
      <c r="K280" s="7">
        <f>INDEX(환산공식!$EF$16:$EF$301,MATCH('배치점수 계산기'!W280,환산공식!$A$16:$A$301,0))</f>
        <v>0</v>
      </c>
      <c r="L280" s="41" t="str">
        <f t="shared" si="45"/>
        <v>1% 이하</v>
      </c>
      <c r="M280" s="7">
        <v>562.54200000000003</v>
      </c>
      <c r="N280" s="7">
        <v>561.93531988319614</v>
      </c>
      <c r="O280" s="7">
        <v>560.71999999999991</v>
      </c>
      <c r="P280" s="7">
        <v>559.52468875233774</v>
      </c>
      <c r="Q280" s="7">
        <v>557.798</v>
      </c>
      <c r="R280" s="7">
        <f t="shared" si="46"/>
        <v>6</v>
      </c>
      <c r="T280" s="7">
        <f>COUNTIF($C$11:C280,C280)</f>
        <v>188</v>
      </c>
      <c r="U280" s="7" t="str">
        <f t="shared" si="48"/>
        <v>가188</v>
      </c>
      <c r="V280" s="7" t="str">
        <f>INDEX(환산공식!$C$16:$C$301,MATCH('배치점수 계산기'!W280,환산공식!$A$16:$A$301,0))</f>
        <v>경희 자연</v>
      </c>
      <c r="W280" s="7">
        <f t="shared" si="49"/>
        <v>33</v>
      </c>
      <c r="X280" s="7">
        <f t="shared" si="50"/>
        <v>1</v>
      </c>
      <c r="Y280" s="7">
        <f>IFERROR(INDEX(환산공식!Q$16:Q$200,MATCH($A280,환산공식!$A$16:$A$200,0)),"")</f>
        <v>0.8</v>
      </c>
      <c r="Z280" s="7">
        <f>IFERROR(INDEX(환산공식!R$16:R$200,MATCH($A280,환산공식!$A$16:$A$200,0)),"")</f>
        <v>1.4</v>
      </c>
      <c r="AA280" s="7">
        <f>IFERROR(INDEX(환산공식!U$16:U$200,MATCH($A280,환산공식!$A$16:$A$200,0)),"")</f>
        <v>1</v>
      </c>
      <c r="AB280" s="7">
        <f t="shared" si="51"/>
        <v>0.25</v>
      </c>
      <c r="AC280" s="7">
        <f t="shared" si="52"/>
        <v>0.43749999999999994</v>
      </c>
      <c r="AD280" s="7">
        <f t="shared" si="53"/>
        <v>0.3125</v>
      </c>
      <c r="AE280" s="7">
        <f>INDEX(환산공식!$AF$16:$AF$301,MATCH('배치점수 계산기'!W280,환산공식!$A$16:$A$301,0))</f>
        <v>1</v>
      </c>
      <c r="AF280" s="7">
        <f>INDEX(환산공식!$AP$16:$AP$301,MATCH('배치점수 계산기'!W280,환산공식!$A$16:$A$301,0))</f>
        <v>4</v>
      </c>
      <c r="AG280" s="7" t="str">
        <f t="shared" si="54"/>
        <v>표점</v>
      </c>
      <c r="AH280" s="7" t="str">
        <f t="shared" si="55"/>
        <v>변표</v>
      </c>
      <c r="BO280" s="210"/>
      <c r="BP280" s="210"/>
      <c r="BQ280" s="210"/>
      <c r="BR280" s="210"/>
      <c r="BS280" s="210"/>
      <c r="BT280" s="210"/>
      <c r="BU280" s="210"/>
      <c r="BV280" s="210"/>
      <c r="BW280" s="210"/>
      <c r="BX280" s="210"/>
      <c r="BY280" s="210"/>
      <c r="BZ280" s="210"/>
      <c r="CA280" s="210"/>
      <c r="CB280" s="210"/>
      <c r="CC280" s="210"/>
      <c r="EM280" s="120"/>
      <c r="ET280" s="210"/>
      <c r="EU280" s="210"/>
      <c r="EV280" s="210"/>
      <c r="EW280" s="210"/>
      <c r="EX280" s="210"/>
      <c r="EY280" s="210"/>
      <c r="EZ280" s="210"/>
      <c r="FA280" s="210"/>
      <c r="FB280" s="210"/>
      <c r="FC280" s="210"/>
      <c r="FD280" s="210"/>
      <c r="FE280" s="210"/>
      <c r="FF280" s="210"/>
      <c r="FG280" s="210"/>
      <c r="FH280" s="210"/>
      <c r="HR280" s="120"/>
      <c r="HY280" s="210"/>
      <c r="HZ280" s="210"/>
      <c r="IA280" s="210"/>
      <c r="IB280" s="210"/>
      <c r="IC280" s="210"/>
      <c r="ID280" s="210"/>
      <c r="IE280" s="210"/>
      <c r="IF280" s="210"/>
      <c r="IG280" s="210"/>
      <c r="IH280" s="210"/>
      <c r="II280" s="210"/>
      <c r="IJ280" s="210"/>
      <c r="IK280" s="210"/>
      <c r="IL280" s="210"/>
      <c r="IM280" s="210"/>
      <c r="KW280" s="120"/>
      <c r="LD280" s="210"/>
      <c r="LE280" s="210"/>
      <c r="LF280" s="210"/>
      <c r="LG280" s="210"/>
      <c r="LH280" s="210"/>
      <c r="LI280" s="210"/>
      <c r="LJ280" s="210"/>
      <c r="LK280" s="210"/>
      <c r="LL280" s="210"/>
      <c r="LM280" s="210"/>
      <c r="LN280" s="210"/>
      <c r="LO280" s="210"/>
      <c r="LP280" s="210"/>
      <c r="LQ280" s="210"/>
      <c r="LR280" s="210"/>
      <c r="OB280" s="120"/>
      <c r="OI280" s="210"/>
      <c r="OJ280" s="210"/>
      <c r="OK280" s="210"/>
      <c r="OL280" s="210"/>
      <c r="OM280" s="210"/>
      <c r="ON280" s="210"/>
      <c r="OO280" s="210"/>
      <c r="OP280" s="210"/>
      <c r="OQ280" s="210"/>
      <c r="OR280" s="210"/>
      <c r="OS280" s="210"/>
      <c r="OT280" s="210"/>
      <c r="OU280" s="210"/>
      <c r="OV280" s="210"/>
      <c r="OW280" s="210"/>
      <c r="RG280" s="120"/>
    </row>
    <row r="281" spans="1:475" x14ac:dyDescent="0.3">
      <c r="A281" s="7">
        <v>33</v>
      </c>
      <c r="B281" s="7">
        <v>271</v>
      </c>
      <c r="C281" s="7" t="s">
        <v>276</v>
      </c>
      <c r="D281" s="7" t="s">
        <v>380</v>
      </c>
      <c r="E281" s="7" t="s">
        <v>256</v>
      </c>
      <c r="F281" s="7" t="s">
        <v>274</v>
      </c>
      <c r="G281" s="41" t="str">
        <f t="shared" si="47"/>
        <v>X</v>
      </c>
      <c r="H281" s="41">
        <f>INDEX(환산공식!CI$16:CI$301,MATCH('배치점수 계산기'!$W281,환산공식!$A$16:$A$301,0))</f>
        <v>120</v>
      </c>
      <c r="I281" s="41" t="str">
        <f>CONCATENATE(ROUND(INDEX(환산공식!CJ$16:CJ$301,MATCH('배치점수 계산기'!$W281,환산공식!$A$16:$A$301,0)),1),"%")</f>
        <v>100%</v>
      </c>
      <c r="J281" s="41">
        <f>INDEX(환산공식!CK$16:CK$301,MATCH('배치점수 계산기'!$W281,환산공식!$A$16:$A$301,0))</f>
        <v>40</v>
      </c>
      <c r="K281" s="7">
        <f>INDEX(환산공식!$EF$16:$EF$301,MATCH('배치점수 계산기'!W281,환산공식!$A$16:$A$301,0))</f>
        <v>0</v>
      </c>
      <c r="L281" s="41" t="str">
        <f t="shared" si="45"/>
        <v>1% 이하</v>
      </c>
      <c r="M281" s="7">
        <v>562.54200000000003</v>
      </c>
      <c r="N281" s="7">
        <v>561.93531988319614</v>
      </c>
      <c r="O281" s="7">
        <v>560.71999999999991</v>
      </c>
      <c r="P281" s="7">
        <v>559.52468875233774</v>
      </c>
      <c r="Q281" s="7">
        <v>557.27099999999984</v>
      </c>
      <c r="R281" s="7">
        <f t="shared" si="46"/>
        <v>6</v>
      </c>
      <c r="T281" s="7">
        <f>COUNTIF($C$11:C281,C281)</f>
        <v>189</v>
      </c>
      <c r="U281" s="7" t="str">
        <f t="shared" si="48"/>
        <v>가189</v>
      </c>
      <c r="V281" s="7" t="str">
        <f>INDEX(환산공식!$C$16:$C$301,MATCH('배치점수 계산기'!W281,환산공식!$A$16:$A$301,0))</f>
        <v>경희 자연</v>
      </c>
      <c r="W281" s="7">
        <f t="shared" si="49"/>
        <v>33</v>
      </c>
      <c r="X281" s="7">
        <f t="shared" si="50"/>
        <v>1</v>
      </c>
      <c r="Y281" s="7">
        <f>IFERROR(INDEX(환산공식!Q$16:Q$200,MATCH($A281,환산공식!$A$16:$A$200,0)),"")</f>
        <v>0.8</v>
      </c>
      <c r="Z281" s="7">
        <f>IFERROR(INDEX(환산공식!R$16:R$200,MATCH($A281,환산공식!$A$16:$A$200,0)),"")</f>
        <v>1.4</v>
      </c>
      <c r="AA281" s="7">
        <f>IFERROR(INDEX(환산공식!U$16:U$200,MATCH($A281,환산공식!$A$16:$A$200,0)),"")</f>
        <v>1</v>
      </c>
      <c r="AB281" s="7">
        <f t="shared" si="51"/>
        <v>0.25</v>
      </c>
      <c r="AC281" s="7">
        <f t="shared" si="52"/>
        <v>0.43749999999999994</v>
      </c>
      <c r="AD281" s="7">
        <f t="shared" si="53"/>
        <v>0.3125</v>
      </c>
      <c r="AE281" s="7">
        <f>INDEX(환산공식!$AF$16:$AF$301,MATCH('배치점수 계산기'!W281,환산공식!$A$16:$A$301,0))</f>
        <v>1</v>
      </c>
      <c r="AF281" s="7">
        <f>INDEX(환산공식!$AP$16:$AP$301,MATCH('배치점수 계산기'!W281,환산공식!$A$16:$A$301,0))</f>
        <v>4</v>
      </c>
      <c r="AG281" s="7" t="str">
        <f t="shared" si="54"/>
        <v>표점</v>
      </c>
      <c r="AH281" s="7" t="str">
        <f t="shared" si="55"/>
        <v>변표</v>
      </c>
      <c r="BO281" s="210"/>
      <c r="BP281" s="210"/>
      <c r="BQ281" s="210"/>
      <c r="BR281" s="210"/>
      <c r="BS281" s="210"/>
      <c r="BT281" s="210"/>
      <c r="BU281" s="210"/>
      <c r="BV281" s="210"/>
      <c r="BW281" s="210"/>
      <c r="BX281" s="210"/>
      <c r="BY281" s="210"/>
      <c r="BZ281" s="210"/>
      <c r="CA281" s="210"/>
      <c r="CB281" s="210"/>
      <c r="CC281" s="210"/>
      <c r="EM281" s="120"/>
      <c r="ET281" s="210"/>
      <c r="EU281" s="210"/>
      <c r="EV281" s="210"/>
      <c r="EW281" s="210"/>
      <c r="EX281" s="210"/>
      <c r="EY281" s="210"/>
      <c r="EZ281" s="210"/>
      <c r="FA281" s="210"/>
      <c r="FB281" s="210"/>
      <c r="FC281" s="210"/>
      <c r="FD281" s="210"/>
      <c r="FE281" s="210"/>
      <c r="FF281" s="210"/>
      <c r="FG281" s="210"/>
      <c r="FH281" s="210"/>
      <c r="HR281" s="120"/>
      <c r="HY281" s="210"/>
      <c r="HZ281" s="210"/>
      <c r="IA281" s="210"/>
      <c r="IB281" s="210"/>
      <c r="IC281" s="210"/>
      <c r="ID281" s="210"/>
      <c r="IE281" s="210"/>
      <c r="IF281" s="210"/>
      <c r="IG281" s="210"/>
      <c r="IH281" s="210"/>
      <c r="II281" s="210"/>
      <c r="IJ281" s="210"/>
      <c r="IK281" s="210"/>
      <c r="IL281" s="210"/>
      <c r="IM281" s="210"/>
      <c r="KW281" s="120"/>
      <c r="LD281" s="210"/>
      <c r="LE281" s="210"/>
      <c r="LF281" s="210"/>
      <c r="LG281" s="210"/>
      <c r="LH281" s="210"/>
      <c r="LI281" s="210"/>
      <c r="LJ281" s="210"/>
      <c r="LK281" s="210"/>
      <c r="LL281" s="210"/>
      <c r="LM281" s="210"/>
      <c r="LN281" s="210"/>
      <c r="LO281" s="210"/>
      <c r="LP281" s="210"/>
      <c r="LQ281" s="210"/>
      <c r="LR281" s="210"/>
      <c r="OB281" s="120"/>
      <c r="OI281" s="210"/>
      <c r="OJ281" s="210"/>
      <c r="OK281" s="210"/>
      <c r="OL281" s="210"/>
      <c r="OM281" s="210"/>
      <c r="ON281" s="210"/>
      <c r="OO281" s="210"/>
      <c r="OP281" s="210"/>
      <c r="OQ281" s="210"/>
      <c r="OR281" s="210"/>
      <c r="OS281" s="210"/>
      <c r="OT281" s="210"/>
      <c r="OU281" s="210"/>
      <c r="OV281" s="210"/>
      <c r="OW281" s="210"/>
      <c r="RG281" s="120"/>
    </row>
    <row r="282" spans="1:475" x14ac:dyDescent="0.3">
      <c r="A282" s="7">
        <v>33</v>
      </c>
      <c r="B282" s="7">
        <v>272</v>
      </c>
      <c r="C282" s="7" t="s">
        <v>276</v>
      </c>
      <c r="D282" s="7" t="s">
        <v>380</v>
      </c>
      <c r="E282" s="7" t="s">
        <v>387</v>
      </c>
      <c r="F282" s="7" t="s">
        <v>274</v>
      </c>
      <c r="G282" s="41" t="str">
        <f t="shared" si="47"/>
        <v>X</v>
      </c>
      <c r="H282" s="41">
        <f>INDEX(환산공식!CI$16:CI$301,MATCH('배치점수 계산기'!$W282,환산공식!$A$16:$A$301,0))</f>
        <v>120</v>
      </c>
      <c r="I282" s="41" t="str">
        <f>CONCATENATE(ROUND(INDEX(환산공식!CJ$16:CJ$301,MATCH('배치점수 계산기'!$W282,환산공식!$A$16:$A$301,0)),1),"%")</f>
        <v>100%</v>
      </c>
      <c r="J282" s="41">
        <f>INDEX(환산공식!CK$16:CK$301,MATCH('배치점수 계산기'!$W282,환산공식!$A$16:$A$301,0))</f>
        <v>40</v>
      </c>
      <c r="K282" s="7">
        <f>INDEX(환산공식!$EF$16:$EF$301,MATCH('배치점수 계산기'!W282,환산공식!$A$16:$A$301,0))</f>
        <v>0</v>
      </c>
      <c r="L282" s="41" t="str">
        <f t="shared" si="45"/>
        <v>1% 이하</v>
      </c>
      <c r="M282" s="7">
        <v>561.93531988319614</v>
      </c>
      <c r="N282" s="7">
        <v>561.32131773464516</v>
      </c>
      <c r="O282" s="7">
        <v>560.1</v>
      </c>
      <c r="P282" s="7">
        <v>559.52468875233774</v>
      </c>
      <c r="Q282" s="7">
        <v>557.27099999999984</v>
      </c>
      <c r="R282" s="7">
        <f t="shared" si="46"/>
        <v>6</v>
      </c>
      <c r="T282" s="7">
        <f>COUNTIF($C$11:C282,C282)</f>
        <v>190</v>
      </c>
      <c r="U282" s="7" t="str">
        <f t="shared" si="48"/>
        <v>가190</v>
      </c>
      <c r="V282" s="7" t="str">
        <f>INDEX(환산공식!$C$16:$C$301,MATCH('배치점수 계산기'!W282,환산공식!$A$16:$A$301,0))</f>
        <v>경희 자연</v>
      </c>
      <c r="W282" s="7">
        <f t="shared" si="49"/>
        <v>33</v>
      </c>
      <c r="X282" s="7">
        <f t="shared" si="50"/>
        <v>1</v>
      </c>
      <c r="Y282" s="7">
        <f>IFERROR(INDEX(환산공식!Q$16:Q$200,MATCH($A282,환산공식!$A$16:$A$200,0)),"")</f>
        <v>0.8</v>
      </c>
      <c r="Z282" s="7">
        <f>IFERROR(INDEX(환산공식!R$16:R$200,MATCH($A282,환산공식!$A$16:$A$200,0)),"")</f>
        <v>1.4</v>
      </c>
      <c r="AA282" s="7">
        <f>IFERROR(INDEX(환산공식!U$16:U$200,MATCH($A282,환산공식!$A$16:$A$200,0)),"")</f>
        <v>1</v>
      </c>
      <c r="AB282" s="7">
        <f t="shared" si="51"/>
        <v>0.25</v>
      </c>
      <c r="AC282" s="7">
        <f t="shared" si="52"/>
        <v>0.43749999999999994</v>
      </c>
      <c r="AD282" s="7">
        <f t="shared" si="53"/>
        <v>0.3125</v>
      </c>
      <c r="AE282" s="7">
        <f>INDEX(환산공식!$AF$16:$AF$301,MATCH('배치점수 계산기'!W282,환산공식!$A$16:$A$301,0))</f>
        <v>1</v>
      </c>
      <c r="AF282" s="7">
        <f>INDEX(환산공식!$AP$16:$AP$301,MATCH('배치점수 계산기'!W282,환산공식!$A$16:$A$301,0))</f>
        <v>4</v>
      </c>
      <c r="AG282" s="7" t="str">
        <f t="shared" si="54"/>
        <v>표점</v>
      </c>
      <c r="AH282" s="7" t="str">
        <f t="shared" si="55"/>
        <v>변표</v>
      </c>
      <c r="BO282" s="210"/>
      <c r="BP282" s="210"/>
      <c r="BQ282" s="210"/>
      <c r="BR282" s="210"/>
      <c r="BS282" s="210"/>
      <c r="BT282" s="210"/>
      <c r="BU282" s="210"/>
      <c r="BV282" s="210"/>
      <c r="BW282" s="210"/>
      <c r="BX282" s="210"/>
      <c r="BY282" s="210"/>
      <c r="BZ282" s="210"/>
      <c r="CA282" s="210"/>
      <c r="CB282" s="210"/>
      <c r="CC282" s="210"/>
      <c r="EM282" s="120"/>
      <c r="ET282" s="210"/>
      <c r="EU282" s="210"/>
      <c r="EV282" s="210"/>
      <c r="EW282" s="210"/>
      <c r="EX282" s="210"/>
      <c r="EY282" s="210"/>
      <c r="EZ282" s="210"/>
      <c r="FA282" s="210"/>
      <c r="FB282" s="210"/>
      <c r="FC282" s="210"/>
      <c r="FD282" s="210"/>
      <c r="FE282" s="210"/>
      <c r="FF282" s="210"/>
      <c r="FG282" s="210"/>
      <c r="FH282" s="210"/>
      <c r="HR282" s="120"/>
      <c r="HY282" s="210"/>
      <c r="HZ282" s="210"/>
      <c r="IA282" s="210"/>
      <c r="IB282" s="210"/>
      <c r="IC282" s="210"/>
      <c r="ID282" s="210"/>
      <c r="IE282" s="210"/>
      <c r="IF282" s="210"/>
      <c r="IG282" s="210"/>
      <c r="IH282" s="210"/>
      <c r="II282" s="210"/>
      <c r="IJ282" s="210"/>
      <c r="IK282" s="210"/>
      <c r="IL282" s="210"/>
      <c r="IM282" s="210"/>
      <c r="KW282" s="120"/>
      <c r="LD282" s="210"/>
      <c r="LE282" s="210"/>
      <c r="LF282" s="210"/>
      <c r="LG282" s="210"/>
      <c r="LH282" s="210"/>
      <c r="LI282" s="210"/>
      <c r="LJ282" s="210"/>
      <c r="LK282" s="210"/>
      <c r="LL282" s="210"/>
      <c r="LM282" s="210"/>
      <c r="LN282" s="210"/>
      <c r="LO282" s="210"/>
      <c r="LP282" s="210"/>
      <c r="LQ282" s="210"/>
      <c r="LR282" s="210"/>
      <c r="OB282" s="120"/>
      <c r="OI282" s="210"/>
      <c r="OJ282" s="210"/>
      <c r="OK282" s="210"/>
      <c r="OL282" s="210"/>
      <c r="OM282" s="210"/>
      <c r="ON282" s="210"/>
      <c r="OO282" s="210"/>
      <c r="OP282" s="210"/>
      <c r="OQ282" s="210"/>
      <c r="OR282" s="210"/>
      <c r="OS282" s="210"/>
      <c r="OT282" s="210"/>
      <c r="OU282" s="210"/>
      <c r="OV282" s="210"/>
      <c r="OW282" s="210"/>
      <c r="RG282" s="120"/>
    </row>
    <row r="283" spans="1:475" x14ac:dyDescent="0.3">
      <c r="A283" s="7">
        <v>33</v>
      </c>
      <c r="B283" s="7">
        <v>273</v>
      </c>
      <c r="C283" s="7" t="s">
        <v>276</v>
      </c>
      <c r="D283" s="7" t="s">
        <v>380</v>
      </c>
      <c r="E283" s="7" t="s">
        <v>388</v>
      </c>
      <c r="F283" s="7" t="s">
        <v>274</v>
      </c>
      <c r="G283" s="41" t="str">
        <f t="shared" si="47"/>
        <v>X</v>
      </c>
      <c r="H283" s="41">
        <f>INDEX(환산공식!CI$16:CI$301,MATCH('배치점수 계산기'!$W283,환산공식!$A$16:$A$301,0))</f>
        <v>120</v>
      </c>
      <c r="I283" s="41" t="str">
        <f>CONCATENATE(ROUND(INDEX(환산공식!CJ$16:CJ$301,MATCH('배치점수 계산기'!$W283,환산공식!$A$16:$A$301,0)),1),"%")</f>
        <v>100%</v>
      </c>
      <c r="J283" s="41">
        <f>INDEX(환산공식!CK$16:CK$301,MATCH('배치점수 계산기'!$W283,환산공식!$A$16:$A$301,0))</f>
        <v>40</v>
      </c>
      <c r="K283" s="7">
        <f>INDEX(환산공식!$EF$16:$EF$301,MATCH('배치점수 계산기'!W283,환산공식!$A$16:$A$301,0))</f>
        <v>0</v>
      </c>
      <c r="L283" s="41" t="str">
        <f t="shared" si="45"/>
        <v>1% 이하</v>
      </c>
      <c r="M283" s="7">
        <v>560.2399999999999</v>
      </c>
      <c r="N283" s="7">
        <v>559.04468875233772</v>
      </c>
      <c r="O283" s="7">
        <v>557.99699999999996</v>
      </c>
      <c r="P283" s="7">
        <v>556.24435414424102</v>
      </c>
      <c r="Q283" s="7">
        <v>553.495</v>
      </c>
      <c r="R283" s="7">
        <f t="shared" si="46"/>
        <v>6</v>
      </c>
      <c r="T283" s="7">
        <f>COUNTIF($C$11:C283,C283)</f>
        <v>191</v>
      </c>
      <c r="U283" s="7" t="str">
        <f t="shared" si="48"/>
        <v>가191</v>
      </c>
      <c r="V283" s="7" t="str">
        <f>INDEX(환산공식!$C$16:$C$301,MATCH('배치점수 계산기'!W283,환산공식!$A$16:$A$301,0))</f>
        <v>경희 자연</v>
      </c>
      <c r="W283" s="7">
        <f t="shared" si="49"/>
        <v>33</v>
      </c>
      <c r="X283" s="7">
        <f t="shared" si="50"/>
        <v>1</v>
      </c>
      <c r="Y283" s="7">
        <f>IFERROR(INDEX(환산공식!Q$16:Q$200,MATCH($A283,환산공식!$A$16:$A$200,0)),"")</f>
        <v>0.8</v>
      </c>
      <c r="Z283" s="7">
        <f>IFERROR(INDEX(환산공식!R$16:R$200,MATCH($A283,환산공식!$A$16:$A$200,0)),"")</f>
        <v>1.4</v>
      </c>
      <c r="AA283" s="7">
        <f>IFERROR(INDEX(환산공식!U$16:U$200,MATCH($A283,환산공식!$A$16:$A$200,0)),"")</f>
        <v>1</v>
      </c>
      <c r="AB283" s="7">
        <f t="shared" si="51"/>
        <v>0.25</v>
      </c>
      <c r="AC283" s="7">
        <f t="shared" si="52"/>
        <v>0.43749999999999994</v>
      </c>
      <c r="AD283" s="7">
        <f t="shared" si="53"/>
        <v>0.3125</v>
      </c>
      <c r="AE283" s="7">
        <f>INDEX(환산공식!$AF$16:$AF$301,MATCH('배치점수 계산기'!W283,환산공식!$A$16:$A$301,0))</f>
        <v>1</v>
      </c>
      <c r="AF283" s="7">
        <f>INDEX(환산공식!$AP$16:$AP$301,MATCH('배치점수 계산기'!W283,환산공식!$A$16:$A$301,0))</f>
        <v>4</v>
      </c>
      <c r="AG283" s="7" t="str">
        <f t="shared" si="54"/>
        <v>표점</v>
      </c>
      <c r="AH283" s="7" t="str">
        <f t="shared" si="55"/>
        <v>변표</v>
      </c>
      <c r="BO283" s="210"/>
      <c r="BP283" s="210"/>
      <c r="BQ283" s="210"/>
      <c r="BR283" s="210"/>
      <c r="BS283" s="210"/>
      <c r="BT283" s="210"/>
      <c r="BU283" s="210"/>
      <c r="BV283" s="210"/>
      <c r="BW283" s="210"/>
      <c r="BX283" s="210"/>
      <c r="BY283" s="210"/>
      <c r="BZ283" s="210"/>
      <c r="CA283" s="210"/>
      <c r="CB283" s="210"/>
      <c r="CC283" s="210"/>
      <c r="EM283" s="120"/>
      <c r="ET283" s="210"/>
      <c r="EU283" s="210"/>
      <c r="EV283" s="210"/>
      <c r="EW283" s="210"/>
      <c r="EX283" s="210"/>
      <c r="EY283" s="210"/>
      <c r="EZ283" s="210"/>
      <c r="FA283" s="210"/>
      <c r="FB283" s="210"/>
      <c r="FC283" s="210"/>
      <c r="FD283" s="210"/>
      <c r="FE283" s="210"/>
      <c r="FF283" s="210"/>
      <c r="FG283" s="210"/>
      <c r="FH283" s="210"/>
      <c r="HR283" s="120"/>
      <c r="HY283" s="210"/>
      <c r="HZ283" s="210"/>
      <c r="IA283" s="210"/>
      <c r="IB283" s="210"/>
      <c r="IC283" s="210"/>
      <c r="ID283" s="210"/>
      <c r="IE283" s="210"/>
      <c r="IF283" s="210"/>
      <c r="IG283" s="210"/>
      <c r="IH283" s="210"/>
      <c r="II283" s="210"/>
      <c r="IJ283" s="210"/>
      <c r="IK283" s="210"/>
      <c r="IL283" s="210"/>
      <c r="IM283" s="210"/>
      <c r="KW283" s="120"/>
      <c r="LD283" s="210"/>
      <c r="LE283" s="210"/>
      <c r="LF283" s="210"/>
      <c r="LG283" s="210"/>
      <c r="LH283" s="210"/>
      <c r="LI283" s="210"/>
      <c r="LJ283" s="210"/>
      <c r="LK283" s="210"/>
      <c r="LL283" s="210"/>
      <c r="LM283" s="210"/>
      <c r="LN283" s="210"/>
      <c r="LO283" s="210"/>
      <c r="LP283" s="210"/>
      <c r="LQ283" s="210"/>
      <c r="LR283" s="210"/>
      <c r="OB283" s="120"/>
      <c r="OI283" s="210"/>
      <c r="OJ283" s="210"/>
      <c r="OK283" s="210"/>
      <c r="OL283" s="210"/>
      <c r="OM283" s="210"/>
      <c r="ON283" s="210"/>
      <c r="OO283" s="210"/>
      <c r="OP283" s="210"/>
      <c r="OQ283" s="210"/>
      <c r="OR283" s="210"/>
      <c r="OS283" s="210"/>
      <c r="OT283" s="210"/>
      <c r="OU283" s="210"/>
      <c r="OV283" s="210"/>
      <c r="OW283" s="210"/>
      <c r="RG283" s="120"/>
    </row>
    <row r="284" spans="1:475" x14ac:dyDescent="0.3">
      <c r="A284" s="7">
        <v>33</v>
      </c>
      <c r="B284" s="7">
        <v>274</v>
      </c>
      <c r="C284" s="7" t="s">
        <v>276</v>
      </c>
      <c r="D284" s="7" t="s">
        <v>380</v>
      </c>
      <c r="E284" s="7" t="s">
        <v>391</v>
      </c>
      <c r="F284" s="7" t="s">
        <v>274</v>
      </c>
      <c r="G284" s="41" t="str">
        <f t="shared" si="47"/>
        <v>X</v>
      </c>
      <c r="H284" s="41">
        <f>INDEX(환산공식!CI$16:CI$301,MATCH('배치점수 계산기'!$W284,환산공식!$A$16:$A$301,0))</f>
        <v>120</v>
      </c>
      <c r="I284" s="41" t="str">
        <f>CONCATENATE(ROUND(INDEX(환산공식!CJ$16:CJ$301,MATCH('배치점수 계산기'!$W284,환산공식!$A$16:$A$301,0)),1),"%")</f>
        <v>100%</v>
      </c>
      <c r="J284" s="41">
        <f>INDEX(환산공식!CK$16:CK$301,MATCH('배치점수 계산기'!$W284,환산공식!$A$16:$A$301,0))</f>
        <v>40</v>
      </c>
      <c r="K284" s="7">
        <f>INDEX(환산공식!$EF$16:$EF$301,MATCH('배치점수 계산기'!W284,환산공식!$A$16:$A$301,0))</f>
        <v>0</v>
      </c>
      <c r="L284" s="41" t="str">
        <f t="shared" si="45"/>
        <v>1% 이하</v>
      </c>
      <c r="M284" s="7">
        <v>569.40599999999995</v>
      </c>
      <c r="N284" s="7">
        <v>568.41</v>
      </c>
      <c r="O284" s="7">
        <v>567.50120440251578</v>
      </c>
      <c r="P284" s="7">
        <v>564.18299999999999</v>
      </c>
      <c r="Q284" s="7">
        <v>562.41531988319616</v>
      </c>
      <c r="R284" s="7">
        <f t="shared" si="46"/>
        <v>6</v>
      </c>
      <c r="T284" s="7">
        <f>COUNTIF($C$11:C284,C284)</f>
        <v>192</v>
      </c>
      <c r="U284" s="7" t="str">
        <f t="shared" si="48"/>
        <v>가192</v>
      </c>
      <c r="V284" s="7" t="str">
        <f>INDEX(환산공식!$C$16:$C$301,MATCH('배치점수 계산기'!W284,환산공식!$A$16:$A$301,0))</f>
        <v>경희 자연</v>
      </c>
      <c r="W284" s="7">
        <f t="shared" si="49"/>
        <v>33</v>
      </c>
      <c r="X284" s="7">
        <f t="shared" si="50"/>
        <v>1</v>
      </c>
      <c r="Y284" s="7">
        <f>IFERROR(INDEX(환산공식!Q$16:Q$200,MATCH($A284,환산공식!$A$16:$A$200,0)),"")</f>
        <v>0.8</v>
      </c>
      <c r="Z284" s="7">
        <f>IFERROR(INDEX(환산공식!R$16:R$200,MATCH($A284,환산공식!$A$16:$A$200,0)),"")</f>
        <v>1.4</v>
      </c>
      <c r="AA284" s="7">
        <f>IFERROR(INDEX(환산공식!U$16:U$200,MATCH($A284,환산공식!$A$16:$A$200,0)),"")</f>
        <v>1</v>
      </c>
      <c r="AB284" s="7">
        <f t="shared" si="51"/>
        <v>0.25</v>
      </c>
      <c r="AC284" s="7">
        <f t="shared" si="52"/>
        <v>0.43749999999999994</v>
      </c>
      <c r="AD284" s="7">
        <f t="shared" si="53"/>
        <v>0.3125</v>
      </c>
      <c r="AE284" s="7">
        <f>INDEX(환산공식!$AF$16:$AF$301,MATCH('배치점수 계산기'!W284,환산공식!$A$16:$A$301,0))</f>
        <v>1</v>
      </c>
      <c r="AF284" s="7">
        <f>INDEX(환산공식!$AP$16:$AP$301,MATCH('배치점수 계산기'!W284,환산공식!$A$16:$A$301,0))</f>
        <v>4</v>
      </c>
      <c r="AG284" s="7" t="str">
        <f t="shared" si="54"/>
        <v>표점</v>
      </c>
      <c r="AH284" s="7" t="str">
        <f t="shared" si="55"/>
        <v>변표</v>
      </c>
      <c r="BO284" s="210"/>
      <c r="BP284" s="210"/>
      <c r="BQ284" s="210"/>
      <c r="BR284" s="210"/>
      <c r="BS284" s="210"/>
      <c r="BT284" s="210"/>
      <c r="BU284" s="210"/>
      <c r="BV284" s="210"/>
      <c r="BW284" s="210"/>
      <c r="BX284" s="210"/>
      <c r="BY284" s="210"/>
      <c r="BZ284" s="210"/>
      <c r="CA284" s="210"/>
      <c r="CB284" s="210"/>
      <c r="CC284" s="210"/>
      <c r="EM284" s="120"/>
      <c r="ET284" s="210"/>
      <c r="EU284" s="210"/>
      <c r="EV284" s="210"/>
      <c r="EW284" s="210"/>
      <c r="EX284" s="210"/>
      <c r="EY284" s="210"/>
      <c r="EZ284" s="210"/>
      <c r="FA284" s="210"/>
      <c r="FB284" s="210"/>
      <c r="FC284" s="210"/>
      <c r="FD284" s="210"/>
      <c r="FE284" s="210"/>
      <c r="FF284" s="210"/>
      <c r="FG284" s="210"/>
      <c r="FH284" s="210"/>
      <c r="HR284" s="120"/>
      <c r="HY284" s="210"/>
      <c r="HZ284" s="210"/>
      <c r="IA284" s="210"/>
      <c r="IB284" s="210"/>
      <c r="IC284" s="210"/>
      <c r="ID284" s="210"/>
      <c r="IE284" s="210"/>
      <c r="IF284" s="210"/>
      <c r="IG284" s="210"/>
      <c r="IH284" s="210"/>
      <c r="II284" s="210"/>
      <c r="IJ284" s="210"/>
      <c r="IK284" s="210"/>
      <c r="IL284" s="210"/>
      <c r="IM284" s="210"/>
      <c r="KW284" s="120"/>
      <c r="LD284" s="210"/>
      <c r="LE284" s="210"/>
      <c r="LF284" s="210"/>
      <c r="LG284" s="210"/>
      <c r="LH284" s="210"/>
      <c r="LI284" s="210"/>
      <c r="LJ284" s="210"/>
      <c r="LK284" s="210"/>
      <c r="LL284" s="210"/>
      <c r="LM284" s="210"/>
      <c r="LN284" s="210"/>
      <c r="LO284" s="210"/>
      <c r="LP284" s="210"/>
      <c r="LQ284" s="210"/>
      <c r="LR284" s="210"/>
      <c r="OB284" s="120"/>
      <c r="OI284" s="210"/>
      <c r="OJ284" s="210"/>
      <c r="OK284" s="210"/>
      <c r="OL284" s="210"/>
      <c r="OM284" s="210"/>
      <c r="ON284" s="210"/>
      <c r="OO284" s="210"/>
      <c r="OP284" s="210"/>
      <c r="OQ284" s="210"/>
      <c r="OR284" s="210"/>
      <c r="OS284" s="210"/>
      <c r="OT284" s="210"/>
      <c r="OU284" s="210"/>
      <c r="OV284" s="210"/>
      <c r="OW284" s="210"/>
      <c r="RG284" s="120"/>
    </row>
    <row r="285" spans="1:475" x14ac:dyDescent="0.3">
      <c r="A285" s="7">
        <v>33</v>
      </c>
      <c r="B285" s="7">
        <v>275</v>
      </c>
      <c r="C285" s="7" t="s">
        <v>346</v>
      </c>
      <c r="D285" s="7" t="s">
        <v>410</v>
      </c>
      <c r="E285" s="7" t="s">
        <v>280</v>
      </c>
      <c r="F285" s="7" t="s">
        <v>274</v>
      </c>
      <c r="G285" s="41" t="str">
        <f t="shared" si="47"/>
        <v>X</v>
      </c>
      <c r="H285" s="41">
        <f>INDEX(환산공식!CI$16:CI$301,MATCH('배치점수 계산기'!$W285,환산공식!$A$16:$A$301,0))</f>
        <v>120</v>
      </c>
      <c r="I285" s="41" t="str">
        <f>CONCATENATE(ROUND(INDEX(환산공식!CJ$16:CJ$301,MATCH('배치점수 계산기'!$W285,환산공식!$A$16:$A$301,0)),1),"%")</f>
        <v>100%</v>
      </c>
      <c r="J285" s="41">
        <f>INDEX(환산공식!CK$16:CK$301,MATCH('배치점수 계산기'!$W285,환산공식!$A$16:$A$301,0))</f>
        <v>40</v>
      </c>
      <c r="K285" s="7">
        <f>INDEX(환산공식!$EF$16:$EF$301,MATCH('배치점수 계산기'!W285,환산공식!$A$16:$A$301,0))</f>
        <v>0</v>
      </c>
      <c r="L285" s="41" t="str">
        <f t="shared" si="45"/>
        <v>1% 이하</v>
      </c>
      <c r="M285" s="7">
        <v>561.93531988319614</v>
      </c>
      <c r="N285" s="7">
        <v>560.71999999999991</v>
      </c>
      <c r="O285" s="7">
        <v>559.52468875233774</v>
      </c>
      <c r="P285" s="7">
        <v>558.47699999999998</v>
      </c>
      <c r="Q285" s="7">
        <v>555.04100000000005</v>
      </c>
      <c r="R285" s="7">
        <f t="shared" si="46"/>
        <v>6</v>
      </c>
      <c r="T285" s="7">
        <f>COUNTIF($C$11:C285,C285)</f>
        <v>78</v>
      </c>
      <c r="U285" s="7" t="str">
        <f t="shared" si="48"/>
        <v>나78</v>
      </c>
      <c r="V285" s="7" t="str">
        <f>INDEX(환산공식!$C$16:$C$301,MATCH('배치점수 계산기'!W285,환산공식!$A$16:$A$301,0))</f>
        <v>경희 자연</v>
      </c>
      <c r="W285" s="7">
        <f t="shared" si="49"/>
        <v>33</v>
      </c>
      <c r="X285" s="7">
        <f t="shared" si="50"/>
        <v>1</v>
      </c>
      <c r="Y285" s="7">
        <f>IFERROR(INDEX(환산공식!Q$16:Q$200,MATCH($A285,환산공식!$A$16:$A$200,0)),"")</f>
        <v>0.8</v>
      </c>
      <c r="Z285" s="7">
        <f>IFERROR(INDEX(환산공식!R$16:R$200,MATCH($A285,환산공식!$A$16:$A$200,0)),"")</f>
        <v>1.4</v>
      </c>
      <c r="AA285" s="7">
        <f>IFERROR(INDEX(환산공식!U$16:U$200,MATCH($A285,환산공식!$A$16:$A$200,0)),"")</f>
        <v>1</v>
      </c>
      <c r="AB285" s="7">
        <f t="shared" si="51"/>
        <v>0.25</v>
      </c>
      <c r="AC285" s="7">
        <f t="shared" si="52"/>
        <v>0.43749999999999994</v>
      </c>
      <c r="AD285" s="7">
        <f t="shared" si="53"/>
        <v>0.3125</v>
      </c>
      <c r="AE285" s="7">
        <f>INDEX(환산공식!$AF$16:$AF$301,MATCH('배치점수 계산기'!W285,환산공식!$A$16:$A$301,0))</f>
        <v>1</v>
      </c>
      <c r="AF285" s="7">
        <f>INDEX(환산공식!$AP$16:$AP$301,MATCH('배치점수 계산기'!W285,환산공식!$A$16:$A$301,0))</f>
        <v>4</v>
      </c>
      <c r="AG285" s="7" t="str">
        <f t="shared" si="54"/>
        <v>표점</v>
      </c>
      <c r="AH285" s="7" t="str">
        <f t="shared" si="55"/>
        <v>변표</v>
      </c>
      <c r="BO285" s="210"/>
      <c r="BP285" s="210"/>
      <c r="BQ285" s="210"/>
      <c r="BR285" s="210"/>
      <c r="BS285" s="210"/>
      <c r="BT285" s="210"/>
      <c r="BU285" s="210"/>
      <c r="BV285" s="210"/>
      <c r="BW285" s="210"/>
      <c r="BX285" s="210"/>
      <c r="BY285" s="210"/>
      <c r="BZ285" s="210"/>
      <c r="CA285" s="210"/>
      <c r="CB285" s="210"/>
      <c r="CC285" s="210"/>
      <c r="EM285" s="120"/>
      <c r="ET285" s="210"/>
      <c r="EU285" s="210"/>
      <c r="EV285" s="210"/>
      <c r="EW285" s="210"/>
      <c r="EX285" s="210"/>
      <c r="EY285" s="210"/>
      <c r="EZ285" s="210"/>
      <c r="FA285" s="210"/>
      <c r="FB285" s="210"/>
      <c r="FC285" s="210"/>
      <c r="FD285" s="210"/>
      <c r="FE285" s="210"/>
      <c r="FF285" s="210"/>
      <c r="FG285" s="210"/>
      <c r="FH285" s="210"/>
      <c r="HR285" s="120"/>
      <c r="HY285" s="210"/>
      <c r="HZ285" s="210"/>
      <c r="IA285" s="210"/>
      <c r="IB285" s="210"/>
      <c r="IC285" s="210"/>
      <c r="ID285" s="210"/>
      <c r="IE285" s="210"/>
      <c r="IF285" s="210"/>
      <c r="IG285" s="210"/>
      <c r="IH285" s="210"/>
      <c r="II285" s="210"/>
      <c r="IJ285" s="210"/>
      <c r="IK285" s="210"/>
      <c r="IL285" s="210"/>
      <c r="IM285" s="210"/>
      <c r="KW285" s="120"/>
      <c r="LD285" s="210"/>
      <c r="LE285" s="210"/>
      <c r="LF285" s="210"/>
      <c r="LG285" s="210"/>
      <c r="LH285" s="210"/>
      <c r="LI285" s="210"/>
      <c r="LJ285" s="210"/>
      <c r="LK285" s="210"/>
      <c r="LL285" s="210"/>
      <c r="LM285" s="210"/>
      <c r="LN285" s="210"/>
      <c r="LO285" s="210"/>
      <c r="LP285" s="210"/>
      <c r="LQ285" s="210"/>
      <c r="LR285" s="210"/>
      <c r="OB285" s="120"/>
      <c r="OI285" s="210"/>
      <c r="OJ285" s="210"/>
      <c r="OK285" s="210"/>
      <c r="OL285" s="210"/>
      <c r="OM285" s="210"/>
      <c r="ON285" s="210"/>
      <c r="OO285" s="210"/>
      <c r="OP285" s="210"/>
      <c r="OQ285" s="210"/>
      <c r="OR285" s="210"/>
      <c r="OS285" s="210"/>
      <c r="OT285" s="210"/>
      <c r="OU285" s="210"/>
      <c r="OV285" s="210"/>
      <c r="OW285" s="210"/>
      <c r="RG285" s="120"/>
    </row>
    <row r="286" spans="1:475" x14ac:dyDescent="0.3">
      <c r="A286" s="7">
        <v>33</v>
      </c>
      <c r="B286" s="7">
        <v>276</v>
      </c>
      <c r="C286" s="7" t="s">
        <v>346</v>
      </c>
      <c r="D286" s="7" t="s">
        <v>410</v>
      </c>
      <c r="E286" s="7" t="s">
        <v>281</v>
      </c>
      <c r="F286" s="7" t="s">
        <v>274</v>
      </c>
      <c r="G286" s="41" t="str">
        <f t="shared" si="47"/>
        <v>X</v>
      </c>
      <c r="H286" s="41">
        <f>INDEX(환산공식!CI$16:CI$301,MATCH('배치점수 계산기'!$W286,환산공식!$A$16:$A$301,0))</f>
        <v>120</v>
      </c>
      <c r="I286" s="41" t="str">
        <f>CONCATENATE(ROUND(INDEX(환산공식!CJ$16:CJ$301,MATCH('배치점수 계산기'!$W286,환산공식!$A$16:$A$301,0)),1),"%")</f>
        <v>100%</v>
      </c>
      <c r="J286" s="41">
        <f>INDEX(환산공식!CK$16:CK$301,MATCH('배치점수 계산기'!$W286,환산공식!$A$16:$A$301,0))</f>
        <v>40</v>
      </c>
      <c r="K286" s="7">
        <f>INDEX(환산공식!$EF$16:$EF$301,MATCH('배치점수 계산기'!W286,환산공식!$A$16:$A$301,0))</f>
        <v>0</v>
      </c>
      <c r="L286" s="41" t="str">
        <f t="shared" si="45"/>
        <v>1% 이하</v>
      </c>
      <c r="M286" s="7">
        <v>560.2399999999999</v>
      </c>
      <c r="N286" s="7">
        <v>557.01799999999992</v>
      </c>
      <c r="O286" s="7">
        <v>555.51725067385439</v>
      </c>
      <c r="P286" s="7">
        <v>554.56100000000004</v>
      </c>
      <c r="Q286" s="7">
        <v>554.029</v>
      </c>
      <c r="R286" s="7">
        <f t="shared" si="46"/>
        <v>6</v>
      </c>
      <c r="T286" s="7">
        <f>COUNTIF($C$11:C286,C286)</f>
        <v>79</v>
      </c>
      <c r="U286" s="7" t="str">
        <f t="shared" si="48"/>
        <v>나79</v>
      </c>
      <c r="V286" s="7" t="str">
        <f>INDEX(환산공식!$C$16:$C$301,MATCH('배치점수 계산기'!W286,환산공식!$A$16:$A$301,0))</f>
        <v>경희 자연</v>
      </c>
      <c r="W286" s="7">
        <f t="shared" si="49"/>
        <v>33</v>
      </c>
      <c r="X286" s="7">
        <f t="shared" si="50"/>
        <v>1</v>
      </c>
      <c r="Y286" s="7">
        <f>IFERROR(INDEX(환산공식!Q$16:Q$200,MATCH($A286,환산공식!$A$16:$A$200,0)),"")</f>
        <v>0.8</v>
      </c>
      <c r="Z286" s="7">
        <f>IFERROR(INDEX(환산공식!R$16:R$200,MATCH($A286,환산공식!$A$16:$A$200,0)),"")</f>
        <v>1.4</v>
      </c>
      <c r="AA286" s="7">
        <f>IFERROR(INDEX(환산공식!U$16:U$200,MATCH($A286,환산공식!$A$16:$A$200,0)),"")</f>
        <v>1</v>
      </c>
      <c r="AB286" s="7">
        <f t="shared" si="51"/>
        <v>0.25</v>
      </c>
      <c r="AC286" s="7">
        <f t="shared" si="52"/>
        <v>0.43749999999999994</v>
      </c>
      <c r="AD286" s="7">
        <f t="shared" si="53"/>
        <v>0.3125</v>
      </c>
      <c r="AE286" s="7">
        <f>INDEX(환산공식!$AF$16:$AF$301,MATCH('배치점수 계산기'!W286,환산공식!$A$16:$A$301,0))</f>
        <v>1</v>
      </c>
      <c r="AF286" s="7">
        <f>INDEX(환산공식!$AP$16:$AP$301,MATCH('배치점수 계산기'!W286,환산공식!$A$16:$A$301,0))</f>
        <v>4</v>
      </c>
      <c r="AG286" s="7" t="str">
        <f t="shared" si="54"/>
        <v>표점</v>
      </c>
      <c r="AH286" s="7" t="str">
        <f t="shared" si="55"/>
        <v>변표</v>
      </c>
      <c r="BO286" s="210"/>
      <c r="BP286" s="210"/>
      <c r="BQ286" s="210"/>
      <c r="BR286" s="210"/>
      <c r="BS286" s="210"/>
      <c r="BT286" s="210"/>
      <c r="BU286" s="210"/>
      <c r="BV286" s="210"/>
      <c r="BW286" s="210"/>
      <c r="BX286" s="210"/>
      <c r="BY286" s="210"/>
      <c r="BZ286" s="210"/>
      <c r="CA286" s="210"/>
      <c r="CB286" s="210"/>
      <c r="CC286" s="210"/>
      <c r="EM286" s="120"/>
      <c r="ET286" s="210"/>
      <c r="EU286" s="210"/>
      <c r="EV286" s="210"/>
      <c r="EW286" s="210"/>
      <c r="EX286" s="210"/>
      <c r="EY286" s="210"/>
      <c r="EZ286" s="210"/>
      <c r="FA286" s="210"/>
      <c r="FB286" s="210"/>
      <c r="FC286" s="210"/>
      <c r="FD286" s="210"/>
      <c r="FE286" s="210"/>
      <c r="FF286" s="210"/>
      <c r="FG286" s="210"/>
      <c r="FH286" s="210"/>
      <c r="HR286" s="120"/>
      <c r="HY286" s="210"/>
      <c r="HZ286" s="210"/>
      <c r="IA286" s="210"/>
      <c r="IB286" s="210"/>
      <c r="IC286" s="210"/>
      <c r="ID286" s="210"/>
      <c r="IE286" s="210"/>
      <c r="IF286" s="210"/>
      <c r="IG286" s="210"/>
      <c r="IH286" s="210"/>
      <c r="II286" s="210"/>
      <c r="IJ286" s="210"/>
      <c r="IK286" s="210"/>
      <c r="IL286" s="210"/>
      <c r="IM286" s="210"/>
      <c r="KW286" s="120"/>
      <c r="LD286" s="210"/>
      <c r="LE286" s="210"/>
      <c r="LF286" s="210"/>
      <c r="LG286" s="210"/>
      <c r="LH286" s="210"/>
      <c r="LI286" s="210"/>
      <c r="LJ286" s="210"/>
      <c r="LK286" s="210"/>
      <c r="LL286" s="210"/>
      <c r="LM286" s="210"/>
      <c r="LN286" s="210"/>
      <c r="LO286" s="210"/>
      <c r="LP286" s="210"/>
      <c r="LQ286" s="210"/>
      <c r="LR286" s="210"/>
      <c r="OB286" s="120"/>
      <c r="OI286" s="210"/>
      <c r="OJ286" s="210"/>
      <c r="OK286" s="210"/>
      <c r="OL286" s="210"/>
      <c r="OM286" s="210"/>
      <c r="ON286" s="210"/>
      <c r="OO286" s="210"/>
      <c r="OP286" s="210"/>
      <c r="OQ286" s="210"/>
      <c r="OR286" s="210"/>
      <c r="OS286" s="210"/>
      <c r="OT286" s="210"/>
      <c r="OU286" s="210"/>
      <c r="OV286" s="210"/>
      <c r="OW286" s="210"/>
      <c r="RG286" s="120"/>
    </row>
    <row r="287" spans="1:475" x14ac:dyDescent="0.3">
      <c r="A287" s="7">
        <v>33</v>
      </c>
      <c r="B287" s="7">
        <v>277</v>
      </c>
      <c r="C287" s="7" t="s">
        <v>346</v>
      </c>
      <c r="D287" s="7" t="s">
        <v>410</v>
      </c>
      <c r="E287" s="7" t="s">
        <v>365</v>
      </c>
      <c r="F287" s="7" t="s">
        <v>274</v>
      </c>
      <c r="G287" s="41" t="str">
        <f t="shared" si="47"/>
        <v>X</v>
      </c>
      <c r="H287" s="41">
        <f>INDEX(환산공식!CI$16:CI$301,MATCH('배치점수 계산기'!$W287,환산공식!$A$16:$A$301,0))</f>
        <v>120</v>
      </c>
      <c r="I287" s="41" t="str">
        <f>CONCATENATE(ROUND(INDEX(환산공식!CJ$16:CJ$301,MATCH('배치점수 계산기'!$W287,환산공식!$A$16:$A$301,0)),1),"%")</f>
        <v>100%</v>
      </c>
      <c r="J287" s="41">
        <f>INDEX(환산공식!CK$16:CK$301,MATCH('배치점수 계산기'!$W287,환산공식!$A$16:$A$301,0))</f>
        <v>40</v>
      </c>
      <c r="K287" s="7">
        <f>INDEX(환산공식!$EF$16:$EF$301,MATCH('배치점수 계산기'!W287,환산공식!$A$16:$A$301,0))</f>
        <v>0</v>
      </c>
      <c r="L287" s="41" t="str">
        <f t="shared" si="45"/>
        <v>1% 이하</v>
      </c>
      <c r="M287" s="7">
        <v>559.04468875233772</v>
      </c>
      <c r="N287" s="7">
        <v>557.01799999999992</v>
      </c>
      <c r="O287" s="7">
        <v>555.51725067385439</v>
      </c>
      <c r="P287" s="7">
        <v>554.37040788762829</v>
      </c>
      <c r="Q287" s="7">
        <v>553.495</v>
      </c>
      <c r="R287" s="7">
        <f t="shared" si="46"/>
        <v>6</v>
      </c>
      <c r="T287" s="7">
        <f>COUNTIF($C$11:C287,C287)</f>
        <v>80</v>
      </c>
      <c r="U287" s="7" t="str">
        <f t="shared" si="48"/>
        <v>나80</v>
      </c>
      <c r="V287" s="7" t="str">
        <f>INDEX(환산공식!$C$16:$C$301,MATCH('배치점수 계산기'!W287,환산공식!$A$16:$A$301,0))</f>
        <v>경희 자연</v>
      </c>
      <c r="W287" s="7">
        <f t="shared" si="49"/>
        <v>33</v>
      </c>
      <c r="X287" s="7">
        <f t="shared" si="50"/>
        <v>1</v>
      </c>
      <c r="Y287" s="7">
        <f>IFERROR(INDEX(환산공식!Q$16:Q$200,MATCH($A287,환산공식!$A$16:$A$200,0)),"")</f>
        <v>0.8</v>
      </c>
      <c r="Z287" s="7">
        <f>IFERROR(INDEX(환산공식!R$16:R$200,MATCH($A287,환산공식!$A$16:$A$200,0)),"")</f>
        <v>1.4</v>
      </c>
      <c r="AA287" s="7">
        <f>IFERROR(INDEX(환산공식!U$16:U$200,MATCH($A287,환산공식!$A$16:$A$200,0)),"")</f>
        <v>1</v>
      </c>
      <c r="AB287" s="7">
        <f t="shared" si="51"/>
        <v>0.25</v>
      </c>
      <c r="AC287" s="7">
        <f t="shared" si="52"/>
        <v>0.43749999999999994</v>
      </c>
      <c r="AD287" s="7">
        <f t="shared" si="53"/>
        <v>0.3125</v>
      </c>
      <c r="AE287" s="7">
        <f>INDEX(환산공식!$AF$16:$AF$301,MATCH('배치점수 계산기'!W287,환산공식!$A$16:$A$301,0))</f>
        <v>1</v>
      </c>
      <c r="AF287" s="7">
        <f>INDEX(환산공식!$AP$16:$AP$301,MATCH('배치점수 계산기'!W287,환산공식!$A$16:$A$301,0))</f>
        <v>4</v>
      </c>
      <c r="AG287" s="7" t="str">
        <f t="shared" si="54"/>
        <v>표점</v>
      </c>
      <c r="AH287" s="7" t="str">
        <f t="shared" si="55"/>
        <v>변표</v>
      </c>
      <c r="BO287" s="210"/>
      <c r="BP287" s="210"/>
      <c r="BQ287" s="210"/>
      <c r="BR287" s="210"/>
      <c r="BS287" s="210"/>
      <c r="BT287" s="210"/>
      <c r="BU287" s="210"/>
      <c r="BV287" s="210"/>
      <c r="BW287" s="210"/>
      <c r="BX287" s="210"/>
      <c r="BY287" s="210"/>
      <c r="BZ287" s="210"/>
      <c r="CA287" s="210"/>
      <c r="CB287" s="210"/>
      <c r="CC287" s="210"/>
      <c r="EM287" s="120"/>
      <c r="ET287" s="210"/>
      <c r="EU287" s="210"/>
      <c r="EV287" s="210"/>
      <c r="EW287" s="210"/>
      <c r="EX287" s="210"/>
      <c r="EY287" s="210"/>
      <c r="EZ287" s="210"/>
      <c r="FA287" s="210"/>
      <c r="FB287" s="210"/>
      <c r="FC287" s="210"/>
      <c r="FD287" s="210"/>
      <c r="FE287" s="210"/>
      <c r="FF287" s="210"/>
      <c r="FG287" s="210"/>
      <c r="FH287" s="210"/>
      <c r="HR287" s="120"/>
      <c r="HY287" s="210"/>
      <c r="HZ287" s="210"/>
      <c r="IA287" s="210"/>
      <c r="IB287" s="210"/>
      <c r="IC287" s="210"/>
      <c r="ID287" s="210"/>
      <c r="IE287" s="210"/>
      <c r="IF287" s="210"/>
      <c r="IG287" s="210"/>
      <c r="IH287" s="210"/>
      <c r="II287" s="210"/>
      <c r="IJ287" s="210"/>
      <c r="IK287" s="210"/>
      <c r="IL287" s="210"/>
      <c r="IM287" s="210"/>
      <c r="KW287" s="120"/>
      <c r="LD287" s="210"/>
      <c r="LE287" s="210"/>
      <c r="LF287" s="210"/>
      <c r="LG287" s="210"/>
      <c r="LH287" s="210"/>
      <c r="LI287" s="210"/>
      <c r="LJ287" s="210"/>
      <c r="LK287" s="210"/>
      <c r="LL287" s="210"/>
      <c r="LM287" s="210"/>
      <c r="LN287" s="210"/>
      <c r="LO287" s="210"/>
      <c r="LP287" s="210"/>
      <c r="LQ287" s="210"/>
      <c r="LR287" s="210"/>
      <c r="OB287" s="120"/>
      <c r="OI287" s="210"/>
      <c r="OJ287" s="210"/>
      <c r="OK287" s="210"/>
      <c r="OL287" s="210"/>
      <c r="OM287" s="210"/>
      <c r="ON287" s="210"/>
      <c r="OO287" s="210"/>
      <c r="OP287" s="210"/>
      <c r="OQ287" s="210"/>
      <c r="OR287" s="210"/>
      <c r="OS287" s="210"/>
      <c r="OT287" s="210"/>
      <c r="OU287" s="210"/>
      <c r="OV287" s="210"/>
      <c r="OW287" s="210"/>
      <c r="RG287" s="120"/>
    </row>
    <row r="288" spans="1:475" x14ac:dyDescent="0.3">
      <c r="A288" s="7">
        <v>33</v>
      </c>
      <c r="B288" s="7">
        <v>278</v>
      </c>
      <c r="C288" s="7" t="s">
        <v>346</v>
      </c>
      <c r="D288" s="7" t="s">
        <v>410</v>
      </c>
      <c r="E288" s="7" t="s">
        <v>288</v>
      </c>
      <c r="F288" s="7" t="s">
        <v>274</v>
      </c>
      <c r="G288" s="41" t="str">
        <f t="shared" si="47"/>
        <v>X</v>
      </c>
      <c r="H288" s="41">
        <f>INDEX(환산공식!CI$16:CI$301,MATCH('배치점수 계산기'!$W288,환산공식!$A$16:$A$301,0))</f>
        <v>120</v>
      </c>
      <c r="I288" s="41" t="str">
        <f>CONCATENATE(ROUND(INDEX(환산공식!CJ$16:CJ$301,MATCH('배치점수 계산기'!$W288,환산공식!$A$16:$A$301,0)),1),"%")</f>
        <v>100%</v>
      </c>
      <c r="J288" s="41">
        <f>INDEX(환산공식!CK$16:CK$301,MATCH('배치점수 계산기'!$W288,환산공식!$A$16:$A$301,0))</f>
        <v>40</v>
      </c>
      <c r="K288" s="7">
        <f>INDEX(환산공식!$EF$16:$EF$301,MATCH('배치점수 계산기'!W288,환산공식!$A$16:$A$301,0))</f>
        <v>0</v>
      </c>
      <c r="L288" s="41" t="str">
        <f t="shared" si="45"/>
        <v>1% 이하</v>
      </c>
      <c r="M288" s="7">
        <v>561.93531988319614</v>
      </c>
      <c r="N288" s="7">
        <v>560.71999999999991</v>
      </c>
      <c r="O288" s="7">
        <v>559.52468875233774</v>
      </c>
      <c r="P288" s="7">
        <v>558.47699999999998</v>
      </c>
      <c r="Q288" s="7">
        <v>555.99725067385441</v>
      </c>
      <c r="R288" s="7">
        <f t="shared" si="46"/>
        <v>6</v>
      </c>
      <c r="T288" s="7">
        <f>COUNTIF($C$11:C288,C288)</f>
        <v>81</v>
      </c>
      <c r="U288" s="7" t="str">
        <f t="shared" si="48"/>
        <v>나81</v>
      </c>
      <c r="V288" s="7" t="str">
        <f>INDEX(환산공식!$C$16:$C$301,MATCH('배치점수 계산기'!W288,환산공식!$A$16:$A$301,0))</f>
        <v>경희 자연</v>
      </c>
      <c r="W288" s="7">
        <f t="shared" si="49"/>
        <v>33</v>
      </c>
      <c r="X288" s="7">
        <f t="shared" si="50"/>
        <v>1</v>
      </c>
      <c r="Y288" s="7">
        <f>IFERROR(INDEX(환산공식!Q$16:Q$200,MATCH($A288,환산공식!$A$16:$A$200,0)),"")</f>
        <v>0.8</v>
      </c>
      <c r="Z288" s="7">
        <f>IFERROR(INDEX(환산공식!R$16:R$200,MATCH($A288,환산공식!$A$16:$A$200,0)),"")</f>
        <v>1.4</v>
      </c>
      <c r="AA288" s="7">
        <f>IFERROR(INDEX(환산공식!U$16:U$200,MATCH($A288,환산공식!$A$16:$A$200,0)),"")</f>
        <v>1</v>
      </c>
      <c r="AB288" s="7">
        <f t="shared" si="51"/>
        <v>0.25</v>
      </c>
      <c r="AC288" s="7">
        <f t="shared" si="52"/>
        <v>0.43749999999999994</v>
      </c>
      <c r="AD288" s="7">
        <f t="shared" si="53"/>
        <v>0.3125</v>
      </c>
      <c r="AE288" s="7">
        <f>INDEX(환산공식!$AF$16:$AF$301,MATCH('배치점수 계산기'!W288,환산공식!$A$16:$A$301,0))</f>
        <v>1</v>
      </c>
      <c r="AF288" s="7">
        <f>INDEX(환산공식!$AP$16:$AP$301,MATCH('배치점수 계산기'!W288,환산공식!$A$16:$A$301,0))</f>
        <v>4</v>
      </c>
      <c r="AG288" s="7" t="str">
        <f t="shared" si="54"/>
        <v>표점</v>
      </c>
      <c r="AH288" s="7" t="str">
        <f t="shared" si="55"/>
        <v>변표</v>
      </c>
      <c r="BO288" s="210"/>
      <c r="BP288" s="210"/>
      <c r="BQ288" s="210"/>
      <c r="BR288" s="210"/>
      <c r="BS288" s="210"/>
      <c r="BT288" s="210"/>
      <c r="BU288" s="210"/>
      <c r="BV288" s="210"/>
      <c r="BW288" s="210"/>
      <c r="BX288" s="210"/>
      <c r="BY288" s="210"/>
      <c r="BZ288" s="210"/>
      <c r="CA288" s="210"/>
      <c r="CB288" s="210"/>
      <c r="CC288" s="210"/>
      <c r="EM288" s="120"/>
      <c r="ET288" s="210"/>
      <c r="EU288" s="210"/>
      <c r="EV288" s="210"/>
      <c r="EW288" s="210"/>
      <c r="EX288" s="210"/>
      <c r="EY288" s="210"/>
      <c r="EZ288" s="210"/>
      <c r="FA288" s="210"/>
      <c r="FB288" s="210"/>
      <c r="FC288" s="210"/>
      <c r="FD288" s="210"/>
      <c r="FE288" s="210"/>
      <c r="FF288" s="210"/>
      <c r="FG288" s="210"/>
      <c r="FH288" s="210"/>
      <c r="HR288" s="120"/>
      <c r="HY288" s="210"/>
      <c r="HZ288" s="210"/>
      <c r="IA288" s="210"/>
      <c r="IB288" s="210"/>
      <c r="IC288" s="210"/>
      <c r="ID288" s="210"/>
      <c r="IE288" s="210"/>
      <c r="IF288" s="210"/>
      <c r="IG288" s="210"/>
      <c r="IH288" s="210"/>
      <c r="II288" s="210"/>
      <c r="IJ288" s="210"/>
      <c r="IK288" s="210"/>
      <c r="IL288" s="210"/>
      <c r="IM288" s="210"/>
      <c r="KW288" s="120"/>
      <c r="LD288" s="210"/>
      <c r="LE288" s="210"/>
      <c r="LF288" s="210"/>
      <c r="LG288" s="210"/>
      <c r="LH288" s="210"/>
      <c r="LI288" s="210"/>
      <c r="LJ288" s="210"/>
      <c r="LK288" s="210"/>
      <c r="LL288" s="210"/>
      <c r="LM288" s="210"/>
      <c r="LN288" s="210"/>
      <c r="LO288" s="210"/>
      <c r="LP288" s="210"/>
      <c r="LQ288" s="210"/>
      <c r="LR288" s="210"/>
      <c r="OB288" s="120"/>
      <c r="OI288" s="210"/>
      <c r="OJ288" s="210"/>
      <c r="OK288" s="210"/>
      <c r="OL288" s="210"/>
      <c r="OM288" s="210"/>
      <c r="ON288" s="210"/>
      <c r="OO288" s="210"/>
      <c r="OP288" s="210"/>
      <c r="OQ288" s="210"/>
      <c r="OR288" s="210"/>
      <c r="OS288" s="210"/>
      <c r="OT288" s="210"/>
      <c r="OU288" s="210"/>
      <c r="OV288" s="210"/>
      <c r="OW288" s="210"/>
      <c r="RG288" s="120"/>
    </row>
    <row r="289" spans="1:475" x14ac:dyDescent="0.3">
      <c r="A289" s="7">
        <v>33</v>
      </c>
      <c r="B289" s="7">
        <v>279</v>
      </c>
      <c r="C289" s="7" t="s">
        <v>346</v>
      </c>
      <c r="D289" s="7" t="s">
        <v>410</v>
      </c>
      <c r="E289" s="7" t="s">
        <v>392</v>
      </c>
      <c r="F289" s="7" t="s">
        <v>274</v>
      </c>
      <c r="G289" s="41" t="str">
        <f t="shared" si="47"/>
        <v>X</v>
      </c>
      <c r="H289" s="41">
        <f>INDEX(환산공식!CI$16:CI$301,MATCH('배치점수 계산기'!$W289,환산공식!$A$16:$A$301,0))</f>
        <v>120</v>
      </c>
      <c r="I289" s="41" t="str">
        <f>CONCATENATE(ROUND(INDEX(환산공식!CJ$16:CJ$301,MATCH('배치점수 계산기'!$W289,환산공식!$A$16:$A$301,0)),1),"%")</f>
        <v>100%</v>
      </c>
      <c r="J289" s="41">
        <f>INDEX(환산공식!CK$16:CK$301,MATCH('배치점수 계산기'!$W289,환산공식!$A$16:$A$301,0))</f>
        <v>40</v>
      </c>
      <c r="K289" s="7">
        <f>INDEX(환산공식!$EF$16:$EF$301,MATCH('배치점수 계산기'!W289,환산공식!$A$16:$A$301,0))</f>
        <v>0</v>
      </c>
      <c r="L289" s="41" t="str">
        <f t="shared" si="45"/>
        <v>1% 이하</v>
      </c>
      <c r="M289" s="7">
        <v>557.99699999999996</v>
      </c>
      <c r="N289" s="7">
        <v>556.79099999999994</v>
      </c>
      <c r="O289" s="7">
        <v>555.51725067385439</v>
      </c>
      <c r="P289" s="7">
        <v>554.37040788762829</v>
      </c>
      <c r="Q289" s="7">
        <v>553.495</v>
      </c>
      <c r="R289" s="7">
        <f t="shared" si="46"/>
        <v>6</v>
      </c>
      <c r="T289" s="7">
        <f>COUNTIF($C$11:C289,C289)</f>
        <v>82</v>
      </c>
      <c r="U289" s="7" t="str">
        <f t="shared" si="48"/>
        <v>나82</v>
      </c>
      <c r="V289" s="7" t="str">
        <f>INDEX(환산공식!$C$16:$C$301,MATCH('배치점수 계산기'!W289,환산공식!$A$16:$A$301,0))</f>
        <v>경희 자연</v>
      </c>
      <c r="W289" s="7">
        <f t="shared" si="49"/>
        <v>33</v>
      </c>
      <c r="X289" s="7">
        <f t="shared" si="50"/>
        <v>1</v>
      </c>
      <c r="Y289" s="7">
        <f>IFERROR(INDEX(환산공식!Q$16:Q$200,MATCH($A289,환산공식!$A$16:$A$200,0)),"")</f>
        <v>0.8</v>
      </c>
      <c r="Z289" s="7">
        <f>IFERROR(INDEX(환산공식!R$16:R$200,MATCH($A289,환산공식!$A$16:$A$200,0)),"")</f>
        <v>1.4</v>
      </c>
      <c r="AA289" s="7">
        <f>IFERROR(INDEX(환산공식!U$16:U$200,MATCH($A289,환산공식!$A$16:$A$200,0)),"")</f>
        <v>1</v>
      </c>
      <c r="AB289" s="7">
        <f t="shared" si="51"/>
        <v>0.25</v>
      </c>
      <c r="AC289" s="7">
        <f t="shared" si="52"/>
        <v>0.43749999999999994</v>
      </c>
      <c r="AD289" s="7">
        <f t="shared" si="53"/>
        <v>0.3125</v>
      </c>
      <c r="AE289" s="7">
        <f>INDEX(환산공식!$AF$16:$AF$301,MATCH('배치점수 계산기'!W289,환산공식!$A$16:$A$301,0))</f>
        <v>1</v>
      </c>
      <c r="AF289" s="7">
        <f>INDEX(환산공식!$AP$16:$AP$301,MATCH('배치점수 계산기'!W289,환산공식!$A$16:$A$301,0))</f>
        <v>4</v>
      </c>
      <c r="AG289" s="7" t="str">
        <f t="shared" si="54"/>
        <v>표점</v>
      </c>
      <c r="AH289" s="7" t="str">
        <f t="shared" si="55"/>
        <v>변표</v>
      </c>
      <c r="BO289" s="210"/>
      <c r="BP289" s="210"/>
      <c r="BQ289" s="210"/>
      <c r="BR289" s="210"/>
      <c r="BS289" s="210"/>
      <c r="BT289" s="210"/>
      <c r="BU289" s="210"/>
      <c r="BV289" s="210"/>
      <c r="BW289" s="210"/>
      <c r="BX289" s="210"/>
      <c r="BY289" s="210"/>
      <c r="BZ289" s="210"/>
      <c r="CA289" s="210"/>
      <c r="CB289" s="210"/>
      <c r="CC289" s="210"/>
      <c r="EM289" s="120"/>
      <c r="ET289" s="210"/>
      <c r="EU289" s="210"/>
      <c r="EV289" s="210"/>
      <c r="EW289" s="210"/>
      <c r="EX289" s="210"/>
      <c r="EY289" s="210"/>
      <c r="EZ289" s="210"/>
      <c r="FA289" s="210"/>
      <c r="FB289" s="210"/>
      <c r="FC289" s="210"/>
      <c r="FD289" s="210"/>
      <c r="FE289" s="210"/>
      <c r="FF289" s="210"/>
      <c r="FG289" s="210"/>
      <c r="FH289" s="210"/>
      <c r="HR289" s="120"/>
      <c r="HY289" s="210"/>
      <c r="HZ289" s="210"/>
      <c r="IA289" s="210"/>
      <c r="IB289" s="210"/>
      <c r="IC289" s="210"/>
      <c r="ID289" s="210"/>
      <c r="IE289" s="210"/>
      <c r="IF289" s="210"/>
      <c r="IG289" s="210"/>
      <c r="IH289" s="210"/>
      <c r="II289" s="210"/>
      <c r="IJ289" s="210"/>
      <c r="IK289" s="210"/>
      <c r="IL289" s="210"/>
      <c r="IM289" s="210"/>
      <c r="KW289" s="120"/>
      <c r="LD289" s="210"/>
      <c r="LE289" s="210"/>
      <c r="LF289" s="210"/>
      <c r="LG289" s="210"/>
      <c r="LH289" s="210"/>
      <c r="LI289" s="210"/>
      <c r="LJ289" s="210"/>
      <c r="LK289" s="210"/>
      <c r="LL289" s="210"/>
      <c r="LM289" s="210"/>
      <c r="LN289" s="210"/>
      <c r="LO289" s="210"/>
      <c r="LP289" s="210"/>
      <c r="LQ289" s="210"/>
      <c r="LR289" s="210"/>
      <c r="OB289" s="120"/>
      <c r="OI289" s="210"/>
      <c r="OJ289" s="210"/>
      <c r="OK289" s="210"/>
      <c r="OL289" s="210"/>
      <c r="OM289" s="210"/>
      <c r="ON289" s="210"/>
      <c r="OO289" s="210"/>
      <c r="OP289" s="210"/>
      <c r="OQ289" s="210"/>
      <c r="OR289" s="210"/>
      <c r="OS289" s="210"/>
      <c r="OT289" s="210"/>
      <c r="OU289" s="210"/>
      <c r="OV289" s="210"/>
      <c r="OW289" s="210"/>
      <c r="RG289" s="120"/>
    </row>
    <row r="290" spans="1:475" x14ac:dyDescent="0.3">
      <c r="A290" s="7">
        <v>33</v>
      </c>
      <c r="B290" s="7">
        <v>280</v>
      </c>
      <c r="C290" s="7" t="s">
        <v>346</v>
      </c>
      <c r="D290" s="7" t="s">
        <v>410</v>
      </c>
      <c r="E290" s="7" t="s">
        <v>393</v>
      </c>
      <c r="F290" s="7" t="s">
        <v>274</v>
      </c>
      <c r="G290" s="41" t="str">
        <f t="shared" si="47"/>
        <v>X</v>
      </c>
      <c r="H290" s="41">
        <f>INDEX(환산공식!CI$16:CI$301,MATCH('배치점수 계산기'!$W290,환산공식!$A$16:$A$301,0))</f>
        <v>120</v>
      </c>
      <c r="I290" s="41" t="str">
        <f>CONCATENATE(ROUND(INDEX(환산공식!CJ$16:CJ$301,MATCH('배치점수 계산기'!$W290,환산공식!$A$16:$A$301,0)),1),"%")</f>
        <v>100%</v>
      </c>
      <c r="J290" s="41">
        <f>INDEX(환산공식!CK$16:CK$301,MATCH('배치점수 계산기'!$W290,환산공식!$A$16:$A$301,0))</f>
        <v>40</v>
      </c>
      <c r="K290" s="7">
        <f>INDEX(환산공식!$EF$16:$EF$301,MATCH('배치점수 계산기'!W290,환산공식!$A$16:$A$301,0))</f>
        <v>0</v>
      </c>
      <c r="L290" s="41" t="str">
        <f t="shared" si="45"/>
        <v>1% 이하</v>
      </c>
      <c r="M290" s="7">
        <v>557.99699999999996</v>
      </c>
      <c r="N290" s="7">
        <v>556.79099999999994</v>
      </c>
      <c r="O290" s="7">
        <v>555.51725067385439</v>
      </c>
      <c r="P290" s="7">
        <v>554.37040788762829</v>
      </c>
      <c r="Q290" s="7">
        <v>552.75757948996204</v>
      </c>
      <c r="R290" s="7">
        <f t="shared" si="46"/>
        <v>6</v>
      </c>
      <c r="T290" s="7">
        <f>COUNTIF($C$11:C290,C290)</f>
        <v>83</v>
      </c>
      <c r="U290" s="7" t="str">
        <f t="shared" si="48"/>
        <v>나83</v>
      </c>
      <c r="V290" s="7" t="str">
        <f>INDEX(환산공식!$C$16:$C$301,MATCH('배치점수 계산기'!W290,환산공식!$A$16:$A$301,0))</f>
        <v>경희 자연</v>
      </c>
      <c r="W290" s="7">
        <f t="shared" si="49"/>
        <v>33</v>
      </c>
      <c r="X290" s="7">
        <f t="shared" si="50"/>
        <v>1</v>
      </c>
      <c r="Y290" s="7">
        <f>IFERROR(INDEX(환산공식!Q$16:Q$200,MATCH($A290,환산공식!$A$16:$A$200,0)),"")</f>
        <v>0.8</v>
      </c>
      <c r="Z290" s="7">
        <f>IFERROR(INDEX(환산공식!R$16:R$200,MATCH($A290,환산공식!$A$16:$A$200,0)),"")</f>
        <v>1.4</v>
      </c>
      <c r="AA290" s="7">
        <f>IFERROR(INDEX(환산공식!U$16:U$200,MATCH($A290,환산공식!$A$16:$A$200,0)),"")</f>
        <v>1</v>
      </c>
      <c r="AB290" s="7">
        <f t="shared" si="51"/>
        <v>0.25</v>
      </c>
      <c r="AC290" s="7">
        <f t="shared" si="52"/>
        <v>0.43749999999999994</v>
      </c>
      <c r="AD290" s="7">
        <f t="shared" si="53"/>
        <v>0.3125</v>
      </c>
      <c r="AE290" s="7">
        <f>INDEX(환산공식!$AF$16:$AF$301,MATCH('배치점수 계산기'!W290,환산공식!$A$16:$A$301,0))</f>
        <v>1</v>
      </c>
      <c r="AF290" s="7">
        <f>INDEX(환산공식!$AP$16:$AP$301,MATCH('배치점수 계산기'!W290,환산공식!$A$16:$A$301,0))</f>
        <v>4</v>
      </c>
      <c r="AG290" s="7" t="str">
        <f t="shared" si="54"/>
        <v>표점</v>
      </c>
      <c r="AH290" s="7" t="str">
        <f t="shared" si="55"/>
        <v>변표</v>
      </c>
      <c r="BO290" s="210"/>
      <c r="BP290" s="210"/>
      <c r="BQ290" s="210"/>
      <c r="BR290" s="210"/>
      <c r="BS290" s="210"/>
      <c r="BT290" s="210"/>
      <c r="BU290" s="210"/>
      <c r="BV290" s="210"/>
      <c r="BW290" s="210"/>
      <c r="BX290" s="210"/>
      <c r="BY290" s="210"/>
      <c r="BZ290" s="210"/>
      <c r="CA290" s="210"/>
      <c r="CB290" s="210"/>
      <c r="CC290" s="210"/>
      <c r="EM290" s="120"/>
      <c r="ET290" s="210"/>
      <c r="EU290" s="210"/>
      <c r="EV290" s="210"/>
      <c r="EW290" s="210"/>
      <c r="EX290" s="210"/>
      <c r="EY290" s="210"/>
      <c r="EZ290" s="210"/>
      <c r="FA290" s="210"/>
      <c r="FB290" s="210"/>
      <c r="FC290" s="210"/>
      <c r="FD290" s="210"/>
      <c r="FE290" s="210"/>
      <c r="FF290" s="210"/>
      <c r="FG290" s="210"/>
      <c r="FH290" s="210"/>
      <c r="HR290" s="120"/>
      <c r="HY290" s="210"/>
      <c r="HZ290" s="210"/>
      <c r="IA290" s="210"/>
      <c r="IB290" s="210"/>
      <c r="IC290" s="210"/>
      <c r="ID290" s="210"/>
      <c r="IE290" s="210"/>
      <c r="IF290" s="210"/>
      <c r="IG290" s="210"/>
      <c r="IH290" s="210"/>
      <c r="II290" s="210"/>
      <c r="IJ290" s="210"/>
      <c r="IK290" s="210"/>
      <c r="IL290" s="210"/>
      <c r="IM290" s="210"/>
      <c r="KW290" s="120"/>
      <c r="LD290" s="210"/>
      <c r="LE290" s="210"/>
      <c r="LF290" s="210"/>
      <c r="LG290" s="210"/>
      <c r="LH290" s="210"/>
      <c r="LI290" s="210"/>
      <c r="LJ290" s="210"/>
      <c r="LK290" s="210"/>
      <c r="LL290" s="210"/>
      <c r="LM290" s="210"/>
      <c r="LN290" s="210"/>
      <c r="LO290" s="210"/>
      <c r="LP290" s="210"/>
      <c r="LQ290" s="210"/>
      <c r="LR290" s="210"/>
      <c r="OB290" s="120"/>
      <c r="OI290" s="210"/>
      <c r="OJ290" s="210"/>
      <c r="OK290" s="210"/>
      <c r="OL290" s="210"/>
      <c r="OM290" s="210"/>
      <c r="ON290" s="210"/>
      <c r="OO290" s="210"/>
      <c r="OP290" s="210"/>
      <c r="OQ290" s="210"/>
      <c r="OR290" s="210"/>
      <c r="OS290" s="210"/>
      <c r="OT290" s="210"/>
      <c r="OU290" s="210"/>
      <c r="OV290" s="210"/>
      <c r="OW290" s="210"/>
      <c r="RG290" s="120"/>
    </row>
    <row r="291" spans="1:475" x14ac:dyDescent="0.3">
      <c r="A291" s="7">
        <v>33</v>
      </c>
      <c r="B291" s="7">
        <v>281</v>
      </c>
      <c r="C291" s="7" t="s">
        <v>346</v>
      </c>
      <c r="D291" s="7" t="s">
        <v>410</v>
      </c>
      <c r="E291" s="7" t="s">
        <v>291</v>
      </c>
      <c r="F291" s="7" t="s">
        <v>274</v>
      </c>
      <c r="G291" s="41" t="str">
        <f t="shared" si="47"/>
        <v>X</v>
      </c>
      <c r="H291" s="41">
        <f>INDEX(환산공식!CI$16:CI$301,MATCH('배치점수 계산기'!$W291,환산공식!$A$16:$A$301,0))</f>
        <v>120</v>
      </c>
      <c r="I291" s="41" t="str">
        <f>CONCATENATE(ROUND(INDEX(환산공식!CJ$16:CJ$301,MATCH('배치점수 계산기'!$W291,환산공식!$A$16:$A$301,0)),1),"%")</f>
        <v>100%</v>
      </c>
      <c r="J291" s="41">
        <f>INDEX(환산공식!CK$16:CK$301,MATCH('배치점수 계산기'!$W291,환산공식!$A$16:$A$301,0))</f>
        <v>40</v>
      </c>
      <c r="K291" s="7">
        <f>INDEX(환산공식!$EF$16:$EF$301,MATCH('배치점수 계산기'!W291,환산공식!$A$16:$A$301,0))</f>
        <v>0</v>
      </c>
      <c r="L291" s="41" t="str">
        <f t="shared" si="45"/>
        <v>1% 이하</v>
      </c>
      <c r="M291" s="7">
        <v>557.99699999999996</v>
      </c>
      <c r="N291" s="7">
        <v>556.79099999999994</v>
      </c>
      <c r="O291" s="7">
        <v>555.51725067385439</v>
      </c>
      <c r="P291" s="7">
        <v>554.37040788762829</v>
      </c>
      <c r="Q291" s="7">
        <v>553.495</v>
      </c>
      <c r="R291" s="7">
        <f t="shared" si="46"/>
        <v>6</v>
      </c>
      <c r="T291" s="7">
        <f>COUNTIF($C$11:C291,C291)</f>
        <v>84</v>
      </c>
      <c r="U291" s="7" t="str">
        <f t="shared" si="48"/>
        <v>나84</v>
      </c>
      <c r="V291" s="7" t="str">
        <f>INDEX(환산공식!$C$16:$C$301,MATCH('배치점수 계산기'!W291,환산공식!$A$16:$A$301,0))</f>
        <v>경희 자연</v>
      </c>
      <c r="W291" s="7">
        <f t="shared" si="49"/>
        <v>33</v>
      </c>
      <c r="X291" s="7">
        <f t="shared" si="50"/>
        <v>1</v>
      </c>
      <c r="Y291" s="7">
        <f>IFERROR(INDEX(환산공식!Q$16:Q$200,MATCH($A291,환산공식!$A$16:$A$200,0)),"")</f>
        <v>0.8</v>
      </c>
      <c r="Z291" s="7">
        <f>IFERROR(INDEX(환산공식!R$16:R$200,MATCH($A291,환산공식!$A$16:$A$200,0)),"")</f>
        <v>1.4</v>
      </c>
      <c r="AA291" s="7">
        <f>IFERROR(INDEX(환산공식!U$16:U$200,MATCH($A291,환산공식!$A$16:$A$200,0)),"")</f>
        <v>1</v>
      </c>
      <c r="AB291" s="7">
        <f t="shared" si="51"/>
        <v>0.25</v>
      </c>
      <c r="AC291" s="7">
        <f t="shared" si="52"/>
        <v>0.43749999999999994</v>
      </c>
      <c r="AD291" s="7">
        <f t="shared" si="53"/>
        <v>0.3125</v>
      </c>
      <c r="AE291" s="7">
        <f>INDEX(환산공식!$AF$16:$AF$301,MATCH('배치점수 계산기'!W291,환산공식!$A$16:$A$301,0))</f>
        <v>1</v>
      </c>
      <c r="AF291" s="7">
        <f>INDEX(환산공식!$AP$16:$AP$301,MATCH('배치점수 계산기'!W291,환산공식!$A$16:$A$301,0))</f>
        <v>4</v>
      </c>
      <c r="AG291" s="7" t="str">
        <f t="shared" si="54"/>
        <v>표점</v>
      </c>
      <c r="AH291" s="7" t="str">
        <f t="shared" si="55"/>
        <v>변표</v>
      </c>
      <c r="BO291" s="210"/>
      <c r="BP291" s="210"/>
      <c r="BQ291" s="210"/>
      <c r="BR291" s="210"/>
      <c r="BS291" s="210"/>
      <c r="BT291" s="210"/>
      <c r="BU291" s="210"/>
      <c r="BV291" s="210"/>
      <c r="BW291" s="210"/>
      <c r="BX291" s="210"/>
      <c r="BY291" s="210"/>
      <c r="BZ291" s="210"/>
      <c r="CA291" s="210"/>
      <c r="CB291" s="210"/>
      <c r="CC291" s="210"/>
      <c r="EM291" s="120"/>
      <c r="ET291" s="210"/>
      <c r="EU291" s="210"/>
      <c r="EV291" s="210"/>
      <c r="EW291" s="210"/>
      <c r="EX291" s="210"/>
      <c r="EY291" s="210"/>
      <c r="EZ291" s="210"/>
      <c r="FA291" s="210"/>
      <c r="FB291" s="210"/>
      <c r="FC291" s="210"/>
      <c r="FD291" s="210"/>
      <c r="FE291" s="210"/>
      <c r="FF291" s="210"/>
      <c r="FG291" s="210"/>
      <c r="FH291" s="210"/>
      <c r="HR291" s="120"/>
      <c r="HY291" s="210"/>
      <c r="HZ291" s="210"/>
      <c r="IA291" s="210"/>
      <c r="IB291" s="210"/>
      <c r="IC291" s="210"/>
      <c r="ID291" s="210"/>
      <c r="IE291" s="210"/>
      <c r="IF291" s="210"/>
      <c r="IG291" s="210"/>
      <c r="IH291" s="210"/>
      <c r="II291" s="210"/>
      <c r="IJ291" s="210"/>
      <c r="IK291" s="210"/>
      <c r="IL291" s="210"/>
      <c r="IM291" s="210"/>
      <c r="KW291" s="120"/>
      <c r="LD291" s="210"/>
      <c r="LE291" s="210"/>
      <c r="LF291" s="210"/>
      <c r="LG291" s="210"/>
      <c r="LH291" s="210"/>
      <c r="LI291" s="210"/>
      <c r="LJ291" s="210"/>
      <c r="LK291" s="210"/>
      <c r="LL291" s="210"/>
      <c r="LM291" s="210"/>
      <c r="LN291" s="210"/>
      <c r="LO291" s="210"/>
      <c r="LP291" s="210"/>
      <c r="LQ291" s="210"/>
      <c r="LR291" s="210"/>
      <c r="OB291" s="120"/>
      <c r="OI291" s="210"/>
      <c r="OJ291" s="210"/>
      <c r="OK291" s="210"/>
      <c r="OL291" s="210"/>
      <c r="OM291" s="210"/>
      <c r="ON291" s="210"/>
      <c r="OO291" s="210"/>
      <c r="OP291" s="210"/>
      <c r="OQ291" s="210"/>
      <c r="OR291" s="210"/>
      <c r="OS291" s="210"/>
      <c r="OT291" s="210"/>
      <c r="OU291" s="210"/>
      <c r="OV291" s="210"/>
      <c r="OW291" s="210"/>
      <c r="RG291" s="120"/>
    </row>
    <row r="292" spans="1:475" x14ac:dyDescent="0.3">
      <c r="A292" s="7">
        <v>33</v>
      </c>
      <c r="B292" s="7">
        <v>282</v>
      </c>
      <c r="C292" s="7" t="s">
        <v>346</v>
      </c>
      <c r="D292" s="7" t="s">
        <v>410</v>
      </c>
      <c r="E292" s="7" t="s">
        <v>394</v>
      </c>
      <c r="F292" s="7" t="s">
        <v>274</v>
      </c>
      <c r="G292" s="41" t="str">
        <f t="shared" si="47"/>
        <v>X</v>
      </c>
      <c r="H292" s="41">
        <f>INDEX(환산공식!CI$16:CI$301,MATCH('배치점수 계산기'!$W292,환산공식!$A$16:$A$301,0))</f>
        <v>120</v>
      </c>
      <c r="I292" s="41" t="str">
        <f>CONCATENATE(ROUND(INDEX(환산공식!CJ$16:CJ$301,MATCH('배치점수 계산기'!$W292,환산공식!$A$16:$A$301,0)),1),"%")</f>
        <v>100%</v>
      </c>
      <c r="J292" s="41">
        <f>INDEX(환산공식!CK$16:CK$301,MATCH('배치점수 계산기'!$W292,환산공식!$A$16:$A$301,0))</f>
        <v>40</v>
      </c>
      <c r="K292" s="7">
        <f>INDEX(환산공식!$EF$16:$EF$301,MATCH('배치점수 계산기'!W292,환산공식!$A$16:$A$301,0))</f>
        <v>0</v>
      </c>
      <c r="L292" s="41" t="str">
        <f t="shared" si="45"/>
        <v>1% 이하</v>
      </c>
      <c r="M292" s="7">
        <v>557.99699999999996</v>
      </c>
      <c r="N292" s="7">
        <v>556.79099999999994</v>
      </c>
      <c r="O292" s="7">
        <v>555.51725067385439</v>
      </c>
      <c r="P292" s="7">
        <v>554.37040788762829</v>
      </c>
      <c r="Q292" s="7">
        <v>552.75757948996204</v>
      </c>
      <c r="R292" s="7">
        <f t="shared" si="46"/>
        <v>6</v>
      </c>
      <c r="T292" s="7">
        <f>COUNTIF($C$11:C292,C292)</f>
        <v>85</v>
      </c>
      <c r="U292" s="7" t="str">
        <f t="shared" si="48"/>
        <v>나85</v>
      </c>
      <c r="V292" s="7" t="str">
        <f>INDEX(환산공식!$C$16:$C$301,MATCH('배치점수 계산기'!W292,환산공식!$A$16:$A$301,0))</f>
        <v>경희 자연</v>
      </c>
      <c r="W292" s="7">
        <f t="shared" si="49"/>
        <v>33</v>
      </c>
      <c r="X292" s="7">
        <f t="shared" si="50"/>
        <v>1</v>
      </c>
      <c r="Y292" s="7">
        <f>IFERROR(INDEX(환산공식!Q$16:Q$200,MATCH($A292,환산공식!$A$16:$A$200,0)),"")</f>
        <v>0.8</v>
      </c>
      <c r="Z292" s="7">
        <f>IFERROR(INDEX(환산공식!R$16:R$200,MATCH($A292,환산공식!$A$16:$A$200,0)),"")</f>
        <v>1.4</v>
      </c>
      <c r="AA292" s="7">
        <f>IFERROR(INDEX(환산공식!U$16:U$200,MATCH($A292,환산공식!$A$16:$A$200,0)),"")</f>
        <v>1</v>
      </c>
      <c r="AB292" s="7">
        <f t="shared" si="51"/>
        <v>0.25</v>
      </c>
      <c r="AC292" s="7">
        <f t="shared" si="52"/>
        <v>0.43749999999999994</v>
      </c>
      <c r="AD292" s="7">
        <f t="shared" si="53"/>
        <v>0.3125</v>
      </c>
      <c r="AE292" s="7">
        <f>INDEX(환산공식!$AF$16:$AF$301,MATCH('배치점수 계산기'!W292,환산공식!$A$16:$A$301,0))</f>
        <v>1</v>
      </c>
      <c r="AF292" s="7">
        <f>INDEX(환산공식!$AP$16:$AP$301,MATCH('배치점수 계산기'!W292,환산공식!$A$16:$A$301,0))</f>
        <v>4</v>
      </c>
      <c r="AG292" s="7" t="str">
        <f t="shared" si="54"/>
        <v>표점</v>
      </c>
      <c r="AH292" s="7" t="str">
        <f t="shared" si="55"/>
        <v>변표</v>
      </c>
      <c r="BO292" s="210"/>
      <c r="BP292" s="210"/>
      <c r="BQ292" s="210"/>
      <c r="BR292" s="210"/>
      <c r="BS292" s="210"/>
      <c r="BT292" s="210"/>
      <c r="BU292" s="210"/>
      <c r="BV292" s="210"/>
      <c r="BW292" s="210"/>
      <c r="BX292" s="210"/>
      <c r="BY292" s="210"/>
      <c r="BZ292" s="210"/>
      <c r="CA292" s="210"/>
      <c r="CB292" s="210"/>
      <c r="CC292" s="210"/>
      <c r="EM292" s="120"/>
      <c r="ET292" s="210"/>
      <c r="EU292" s="210"/>
      <c r="EV292" s="210"/>
      <c r="EW292" s="210"/>
      <c r="EX292" s="210"/>
      <c r="EY292" s="210"/>
      <c r="EZ292" s="210"/>
      <c r="FA292" s="210"/>
      <c r="FB292" s="210"/>
      <c r="FC292" s="210"/>
      <c r="FD292" s="210"/>
      <c r="FE292" s="210"/>
      <c r="FF292" s="210"/>
      <c r="FG292" s="210"/>
      <c r="FH292" s="210"/>
      <c r="HR292" s="120"/>
      <c r="HY292" s="210"/>
      <c r="HZ292" s="210"/>
      <c r="IA292" s="210"/>
      <c r="IB292" s="210"/>
      <c r="IC292" s="210"/>
      <c r="ID292" s="210"/>
      <c r="IE292" s="210"/>
      <c r="IF292" s="210"/>
      <c r="IG292" s="210"/>
      <c r="IH292" s="210"/>
      <c r="II292" s="210"/>
      <c r="IJ292" s="210"/>
      <c r="IK292" s="210"/>
      <c r="IL292" s="210"/>
      <c r="IM292" s="210"/>
      <c r="KW292" s="120"/>
      <c r="LD292" s="210"/>
      <c r="LE292" s="210"/>
      <c r="LF292" s="210"/>
      <c r="LG292" s="210"/>
      <c r="LH292" s="210"/>
      <c r="LI292" s="210"/>
      <c r="LJ292" s="210"/>
      <c r="LK292" s="210"/>
      <c r="LL292" s="210"/>
      <c r="LM292" s="210"/>
      <c r="LN292" s="210"/>
      <c r="LO292" s="210"/>
      <c r="LP292" s="210"/>
      <c r="LQ292" s="210"/>
      <c r="LR292" s="210"/>
      <c r="OB292" s="120"/>
      <c r="OI292" s="210"/>
      <c r="OJ292" s="210"/>
      <c r="OK292" s="210"/>
      <c r="OL292" s="210"/>
      <c r="OM292" s="210"/>
      <c r="ON292" s="210"/>
      <c r="OO292" s="210"/>
      <c r="OP292" s="210"/>
      <c r="OQ292" s="210"/>
      <c r="OR292" s="210"/>
      <c r="OS292" s="210"/>
      <c r="OT292" s="210"/>
      <c r="OU292" s="210"/>
      <c r="OV292" s="210"/>
      <c r="OW292" s="210"/>
      <c r="RG292" s="120"/>
    </row>
    <row r="293" spans="1:475" x14ac:dyDescent="0.3">
      <c r="A293" s="7">
        <v>33</v>
      </c>
      <c r="B293" s="7">
        <v>283</v>
      </c>
      <c r="C293" s="7" t="s">
        <v>346</v>
      </c>
      <c r="D293" s="7" t="s">
        <v>410</v>
      </c>
      <c r="E293" s="7" t="s">
        <v>395</v>
      </c>
      <c r="F293" s="7" t="s">
        <v>274</v>
      </c>
      <c r="G293" s="41" t="str">
        <f t="shared" si="47"/>
        <v>X</v>
      </c>
      <c r="H293" s="41">
        <f>INDEX(환산공식!CI$16:CI$301,MATCH('배치점수 계산기'!$W293,환산공식!$A$16:$A$301,0))</f>
        <v>120</v>
      </c>
      <c r="I293" s="41" t="str">
        <f>CONCATENATE(ROUND(INDEX(환산공식!CJ$16:CJ$301,MATCH('배치점수 계산기'!$W293,환산공식!$A$16:$A$301,0)),1),"%")</f>
        <v>100%</v>
      </c>
      <c r="J293" s="41">
        <f>INDEX(환산공식!CK$16:CK$301,MATCH('배치점수 계산기'!$W293,환산공식!$A$16:$A$301,0))</f>
        <v>40</v>
      </c>
      <c r="K293" s="7">
        <f>INDEX(환산공식!$EF$16:$EF$301,MATCH('배치점수 계산기'!W293,환산공식!$A$16:$A$301,0))</f>
        <v>0</v>
      </c>
      <c r="L293" s="41" t="str">
        <f t="shared" si="45"/>
        <v>1% 이하</v>
      </c>
      <c r="M293" s="7">
        <v>557.99699999999996</v>
      </c>
      <c r="N293" s="7">
        <v>556.79099999999994</v>
      </c>
      <c r="O293" s="7">
        <v>555.51725067385439</v>
      </c>
      <c r="P293" s="7">
        <v>554.37040788762829</v>
      </c>
      <c r="Q293" s="7">
        <v>553.495</v>
      </c>
      <c r="R293" s="7">
        <f t="shared" si="46"/>
        <v>6</v>
      </c>
      <c r="T293" s="7">
        <f>COUNTIF($C$11:C293,C293)</f>
        <v>86</v>
      </c>
      <c r="U293" s="7" t="str">
        <f t="shared" si="48"/>
        <v>나86</v>
      </c>
      <c r="V293" s="7" t="str">
        <f>INDEX(환산공식!$C$16:$C$301,MATCH('배치점수 계산기'!W293,환산공식!$A$16:$A$301,0))</f>
        <v>경희 자연</v>
      </c>
      <c r="W293" s="7">
        <f t="shared" si="49"/>
        <v>33</v>
      </c>
      <c r="X293" s="7">
        <f t="shared" si="50"/>
        <v>1</v>
      </c>
      <c r="Y293" s="7">
        <f>IFERROR(INDEX(환산공식!Q$16:Q$200,MATCH($A293,환산공식!$A$16:$A$200,0)),"")</f>
        <v>0.8</v>
      </c>
      <c r="Z293" s="7">
        <f>IFERROR(INDEX(환산공식!R$16:R$200,MATCH($A293,환산공식!$A$16:$A$200,0)),"")</f>
        <v>1.4</v>
      </c>
      <c r="AA293" s="7">
        <f>IFERROR(INDEX(환산공식!U$16:U$200,MATCH($A293,환산공식!$A$16:$A$200,0)),"")</f>
        <v>1</v>
      </c>
      <c r="AB293" s="7">
        <f t="shared" si="51"/>
        <v>0.25</v>
      </c>
      <c r="AC293" s="7">
        <f t="shared" si="52"/>
        <v>0.43749999999999994</v>
      </c>
      <c r="AD293" s="7">
        <f t="shared" si="53"/>
        <v>0.3125</v>
      </c>
      <c r="AE293" s="7">
        <f>INDEX(환산공식!$AF$16:$AF$301,MATCH('배치점수 계산기'!W293,환산공식!$A$16:$A$301,0))</f>
        <v>1</v>
      </c>
      <c r="AF293" s="7">
        <f>INDEX(환산공식!$AP$16:$AP$301,MATCH('배치점수 계산기'!W293,환산공식!$A$16:$A$301,0))</f>
        <v>4</v>
      </c>
      <c r="AG293" s="7" t="str">
        <f t="shared" si="54"/>
        <v>표점</v>
      </c>
      <c r="AH293" s="7" t="str">
        <f t="shared" si="55"/>
        <v>변표</v>
      </c>
      <c r="BO293" s="210"/>
      <c r="BP293" s="210"/>
      <c r="BQ293" s="210"/>
      <c r="BR293" s="210"/>
      <c r="BS293" s="210"/>
      <c r="BT293" s="210"/>
      <c r="BU293" s="210"/>
      <c r="BV293" s="210"/>
      <c r="BW293" s="210"/>
      <c r="BX293" s="210"/>
      <c r="BY293" s="210"/>
      <c r="BZ293" s="210"/>
      <c r="CA293" s="210"/>
      <c r="CB293" s="210"/>
      <c r="CC293" s="210"/>
      <c r="EM293" s="120"/>
      <c r="ET293" s="210"/>
      <c r="EU293" s="210"/>
      <c r="EV293" s="210"/>
      <c r="EW293" s="210"/>
      <c r="EX293" s="210"/>
      <c r="EY293" s="210"/>
      <c r="EZ293" s="210"/>
      <c r="FA293" s="210"/>
      <c r="FB293" s="210"/>
      <c r="FC293" s="210"/>
      <c r="FD293" s="210"/>
      <c r="FE293" s="210"/>
      <c r="FF293" s="210"/>
      <c r="FG293" s="210"/>
      <c r="FH293" s="210"/>
      <c r="HR293" s="120"/>
      <c r="HY293" s="210"/>
      <c r="HZ293" s="210"/>
      <c r="IA293" s="210"/>
      <c r="IB293" s="210"/>
      <c r="IC293" s="210"/>
      <c r="ID293" s="210"/>
      <c r="IE293" s="210"/>
      <c r="IF293" s="210"/>
      <c r="IG293" s="210"/>
      <c r="IH293" s="210"/>
      <c r="II293" s="210"/>
      <c r="IJ293" s="210"/>
      <c r="IK293" s="210"/>
      <c r="IL293" s="210"/>
      <c r="IM293" s="210"/>
      <c r="KW293" s="120"/>
      <c r="LD293" s="210"/>
      <c r="LE293" s="210"/>
      <c r="LF293" s="210"/>
      <c r="LG293" s="210"/>
      <c r="LH293" s="210"/>
      <c r="LI293" s="210"/>
      <c r="LJ293" s="210"/>
      <c r="LK293" s="210"/>
      <c r="LL293" s="210"/>
      <c r="LM293" s="210"/>
      <c r="LN293" s="210"/>
      <c r="LO293" s="210"/>
      <c r="LP293" s="210"/>
      <c r="LQ293" s="210"/>
      <c r="LR293" s="210"/>
      <c r="OB293" s="120"/>
      <c r="OI293" s="210"/>
      <c r="OJ293" s="210"/>
      <c r="OK293" s="210"/>
      <c r="OL293" s="210"/>
      <c r="OM293" s="210"/>
      <c r="ON293" s="210"/>
      <c r="OO293" s="210"/>
      <c r="OP293" s="210"/>
      <c r="OQ293" s="210"/>
      <c r="OR293" s="210"/>
      <c r="OS293" s="210"/>
      <c r="OT293" s="210"/>
      <c r="OU293" s="210"/>
      <c r="OV293" s="210"/>
      <c r="OW293" s="210"/>
      <c r="RG293" s="120"/>
    </row>
    <row r="294" spans="1:475" x14ac:dyDescent="0.3">
      <c r="A294" s="7">
        <v>33</v>
      </c>
      <c r="B294" s="7">
        <v>284</v>
      </c>
      <c r="C294" s="7" t="s">
        <v>346</v>
      </c>
      <c r="D294" s="7" t="s">
        <v>410</v>
      </c>
      <c r="E294" s="7" t="s">
        <v>353</v>
      </c>
      <c r="F294" s="7" t="s">
        <v>274</v>
      </c>
      <c r="G294" s="41" t="str">
        <f t="shared" si="47"/>
        <v>X</v>
      </c>
      <c r="H294" s="41">
        <f>INDEX(환산공식!CI$16:CI$301,MATCH('배치점수 계산기'!$W294,환산공식!$A$16:$A$301,0))</f>
        <v>120</v>
      </c>
      <c r="I294" s="41" t="str">
        <f>CONCATENATE(ROUND(INDEX(환산공식!CJ$16:CJ$301,MATCH('배치점수 계산기'!$W294,환산공식!$A$16:$A$301,0)),1),"%")</f>
        <v>100%</v>
      </c>
      <c r="J294" s="41">
        <f>INDEX(환산공식!CK$16:CK$301,MATCH('배치점수 계산기'!$W294,환산공식!$A$16:$A$301,0))</f>
        <v>40</v>
      </c>
      <c r="K294" s="7">
        <f>INDEX(환산공식!$EF$16:$EF$301,MATCH('배치점수 계산기'!W294,환산공식!$A$16:$A$301,0))</f>
        <v>0</v>
      </c>
      <c r="L294" s="41" t="str">
        <f t="shared" si="45"/>
        <v>1% 이하</v>
      </c>
      <c r="M294" s="7">
        <v>561.93531988319614</v>
      </c>
      <c r="N294" s="7">
        <v>560.93999999999983</v>
      </c>
      <c r="O294" s="7">
        <v>560.02531341691122</v>
      </c>
      <c r="P294" s="7">
        <v>558.47699999999998</v>
      </c>
      <c r="Q294" s="7">
        <v>555.04100000000005</v>
      </c>
      <c r="R294" s="7">
        <f t="shared" si="46"/>
        <v>6</v>
      </c>
      <c r="T294" s="7">
        <f>COUNTIF($C$11:C294,C294)</f>
        <v>87</v>
      </c>
      <c r="U294" s="7" t="str">
        <f t="shared" si="48"/>
        <v>나87</v>
      </c>
      <c r="V294" s="7" t="str">
        <f>INDEX(환산공식!$C$16:$C$301,MATCH('배치점수 계산기'!W294,환산공식!$A$16:$A$301,0))</f>
        <v>경희 자연</v>
      </c>
      <c r="W294" s="7">
        <f t="shared" si="49"/>
        <v>33</v>
      </c>
      <c r="X294" s="7">
        <f t="shared" si="50"/>
        <v>1</v>
      </c>
      <c r="Y294" s="7">
        <f>IFERROR(INDEX(환산공식!Q$16:Q$200,MATCH($A294,환산공식!$A$16:$A$200,0)),"")</f>
        <v>0.8</v>
      </c>
      <c r="Z294" s="7">
        <f>IFERROR(INDEX(환산공식!R$16:R$200,MATCH($A294,환산공식!$A$16:$A$200,0)),"")</f>
        <v>1.4</v>
      </c>
      <c r="AA294" s="7">
        <f>IFERROR(INDEX(환산공식!U$16:U$200,MATCH($A294,환산공식!$A$16:$A$200,0)),"")</f>
        <v>1</v>
      </c>
      <c r="AB294" s="7">
        <f t="shared" si="51"/>
        <v>0.25</v>
      </c>
      <c r="AC294" s="7">
        <f t="shared" si="52"/>
        <v>0.43749999999999994</v>
      </c>
      <c r="AD294" s="7">
        <f t="shared" si="53"/>
        <v>0.3125</v>
      </c>
      <c r="AE294" s="7">
        <f>INDEX(환산공식!$AF$16:$AF$301,MATCH('배치점수 계산기'!W294,환산공식!$A$16:$A$301,0))</f>
        <v>1</v>
      </c>
      <c r="AF294" s="7">
        <f>INDEX(환산공식!$AP$16:$AP$301,MATCH('배치점수 계산기'!W294,환산공식!$A$16:$A$301,0))</f>
        <v>4</v>
      </c>
      <c r="AG294" s="7" t="str">
        <f t="shared" si="54"/>
        <v>표점</v>
      </c>
      <c r="AH294" s="7" t="str">
        <f t="shared" si="55"/>
        <v>변표</v>
      </c>
      <c r="BO294" s="210"/>
      <c r="BP294" s="210"/>
      <c r="BQ294" s="210"/>
      <c r="BR294" s="210"/>
      <c r="BS294" s="210"/>
      <c r="BT294" s="210"/>
      <c r="BU294" s="210"/>
      <c r="BV294" s="210"/>
      <c r="BW294" s="210"/>
      <c r="BX294" s="210"/>
      <c r="BY294" s="210"/>
      <c r="BZ294" s="210"/>
      <c r="CA294" s="210"/>
      <c r="CB294" s="210"/>
      <c r="CC294" s="210"/>
      <c r="EM294" s="120"/>
      <c r="ET294" s="210"/>
      <c r="EU294" s="210"/>
      <c r="EV294" s="210"/>
      <c r="EW294" s="210"/>
      <c r="EX294" s="210"/>
      <c r="EY294" s="210"/>
      <c r="EZ294" s="210"/>
      <c r="FA294" s="210"/>
      <c r="FB294" s="210"/>
      <c r="FC294" s="210"/>
      <c r="FD294" s="210"/>
      <c r="FE294" s="210"/>
      <c r="FF294" s="210"/>
      <c r="FG294" s="210"/>
      <c r="FH294" s="210"/>
      <c r="HR294" s="120"/>
      <c r="HY294" s="210"/>
      <c r="HZ294" s="210"/>
      <c r="IA294" s="210"/>
      <c r="IB294" s="210"/>
      <c r="IC294" s="210"/>
      <c r="ID294" s="210"/>
      <c r="IE294" s="210"/>
      <c r="IF294" s="210"/>
      <c r="IG294" s="210"/>
      <c r="IH294" s="210"/>
      <c r="II294" s="210"/>
      <c r="IJ294" s="210"/>
      <c r="IK294" s="210"/>
      <c r="IL294" s="210"/>
      <c r="IM294" s="210"/>
      <c r="KW294" s="120"/>
      <c r="LD294" s="210"/>
      <c r="LE294" s="210"/>
      <c r="LF294" s="210"/>
      <c r="LG294" s="210"/>
      <c r="LH294" s="210"/>
      <c r="LI294" s="210"/>
      <c r="LJ294" s="210"/>
      <c r="LK294" s="210"/>
      <c r="LL294" s="210"/>
      <c r="LM294" s="210"/>
      <c r="LN294" s="210"/>
      <c r="LO294" s="210"/>
      <c r="LP294" s="210"/>
      <c r="LQ294" s="210"/>
      <c r="LR294" s="210"/>
      <c r="OB294" s="120"/>
      <c r="OI294" s="210"/>
      <c r="OJ294" s="210"/>
      <c r="OK294" s="210"/>
      <c r="OL294" s="210"/>
      <c r="OM294" s="210"/>
      <c r="ON294" s="210"/>
      <c r="OO294" s="210"/>
      <c r="OP294" s="210"/>
      <c r="OQ294" s="210"/>
      <c r="OR294" s="210"/>
      <c r="OS294" s="210"/>
      <c r="OT294" s="210"/>
      <c r="OU294" s="210"/>
      <c r="OV294" s="210"/>
      <c r="OW294" s="210"/>
      <c r="RG294" s="120"/>
    </row>
    <row r="295" spans="1:475" x14ac:dyDescent="0.3">
      <c r="A295" s="7">
        <v>33</v>
      </c>
      <c r="B295" s="7">
        <v>285</v>
      </c>
      <c r="C295" s="7" t="s">
        <v>346</v>
      </c>
      <c r="D295" s="7" t="s">
        <v>410</v>
      </c>
      <c r="E295" s="7" t="s">
        <v>396</v>
      </c>
      <c r="F295" s="7" t="s">
        <v>274</v>
      </c>
      <c r="G295" s="41" t="str">
        <f t="shared" si="47"/>
        <v>X</v>
      </c>
      <c r="H295" s="41">
        <f>INDEX(환산공식!CI$16:CI$301,MATCH('배치점수 계산기'!$W295,환산공식!$A$16:$A$301,0))</f>
        <v>120</v>
      </c>
      <c r="I295" s="41" t="str">
        <f>CONCATENATE(ROUND(INDEX(환산공식!CJ$16:CJ$301,MATCH('배치점수 계산기'!$W295,환산공식!$A$16:$A$301,0)),1),"%")</f>
        <v>100%</v>
      </c>
      <c r="J295" s="41">
        <f>INDEX(환산공식!CK$16:CK$301,MATCH('배치점수 계산기'!$W295,환산공식!$A$16:$A$301,0))</f>
        <v>40</v>
      </c>
      <c r="K295" s="7">
        <f>INDEX(환산공식!$EF$16:$EF$301,MATCH('배치점수 계산기'!W295,환산공식!$A$16:$A$301,0))</f>
        <v>0</v>
      </c>
      <c r="L295" s="41" t="str">
        <f t="shared" si="45"/>
        <v>1% 이하</v>
      </c>
      <c r="M295" s="7">
        <v>561.93531988319614</v>
      </c>
      <c r="N295" s="7">
        <v>560.93999999999983</v>
      </c>
      <c r="O295" s="7">
        <v>560.02531341691122</v>
      </c>
      <c r="P295" s="7">
        <v>558.47699999999998</v>
      </c>
      <c r="Q295" s="7">
        <v>555.04100000000005</v>
      </c>
      <c r="R295" s="7">
        <f t="shared" si="46"/>
        <v>6</v>
      </c>
      <c r="T295" s="7">
        <f>COUNTIF($C$11:C295,C295)</f>
        <v>88</v>
      </c>
      <c r="U295" s="7" t="str">
        <f t="shared" si="48"/>
        <v>나88</v>
      </c>
      <c r="V295" s="7" t="str">
        <f>INDEX(환산공식!$C$16:$C$301,MATCH('배치점수 계산기'!W295,환산공식!$A$16:$A$301,0))</f>
        <v>경희 자연</v>
      </c>
      <c r="W295" s="7">
        <f t="shared" si="49"/>
        <v>33</v>
      </c>
      <c r="X295" s="7">
        <f t="shared" si="50"/>
        <v>1</v>
      </c>
      <c r="Y295" s="7">
        <f>IFERROR(INDEX(환산공식!Q$16:Q$200,MATCH($A295,환산공식!$A$16:$A$200,0)),"")</f>
        <v>0.8</v>
      </c>
      <c r="Z295" s="7">
        <f>IFERROR(INDEX(환산공식!R$16:R$200,MATCH($A295,환산공식!$A$16:$A$200,0)),"")</f>
        <v>1.4</v>
      </c>
      <c r="AA295" s="7">
        <f>IFERROR(INDEX(환산공식!U$16:U$200,MATCH($A295,환산공식!$A$16:$A$200,0)),"")</f>
        <v>1</v>
      </c>
      <c r="AB295" s="7">
        <f t="shared" si="51"/>
        <v>0.25</v>
      </c>
      <c r="AC295" s="7">
        <f t="shared" si="52"/>
        <v>0.43749999999999994</v>
      </c>
      <c r="AD295" s="7">
        <f t="shared" si="53"/>
        <v>0.3125</v>
      </c>
      <c r="AE295" s="7">
        <f>INDEX(환산공식!$AF$16:$AF$301,MATCH('배치점수 계산기'!W295,환산공식!$A$16:$A$301,0))</f>
        <v>1</v>
      </c>
      <c r="AF295" s="7">
        <f>INDEX(환산공식!$AP$16:$AP$301,MATCH('배치점수 계산기'!W295,환산공식!$A$16:$A$301,0))</f>
        <v>4</v>
      </c>
      <c r="AG295" s="7" t="str">
        <f t="shared" si="54"/>
        <v>표점</v>
      </c>
      <c r="AH295" s="7" t="str">
        <f t="shared" si="55"/>
        <v>변표</v>
      </c>
      <c r="BO295" s="210"/>
      <c r="BP295" s="210"/>
      <c r="BQ295" s="210"/>
      <c r="BR295" s="210"/>
      <c r="BS295" s="210"/>
      <c r="BT295" s="210"/>
      <c r="BU295" s="210"/>
      <c r="BV295" s="210"/>
      <c r="BW295" s="210"/>
      <c r="BX295" s="210"/>
      <c r="BY295" s="210"/>
      <c r="BZ295" s="210"/>
      <c r="CA295" s="210"/>
      <c r="CB295" s="210"/>
      <c r="CC295" s="210"/>
      <c r="EM295" s="120"/>
      <c r="ET295" s="210"/>
      <c r="EU295" s="210"/>
      <c r="EV295" s="210"/>
      <c r="EW295" s="210"/>
      <c r="EX295" s="210"/>
      <c r="EY295" s="210"/>
      <c r="EZ295" s="210"/>
      <c r="FA295" s="210"/>
      <c r="FB295" s="210"/>
      <c r="FC295" s="210"/>
      <c r="FD295" s="210"/>
      <c r="FE295" s="210"/>
      <c r="FF295" s="210"/>
      <c r="FG295" s="210"/>
      <c r="FH295" s="210"/>
      <c r="HR295" s="120"/>
      <c r="HY295" s="210"/>
      <c r="HZ295" s="210"/>
      <c r="IA295" s="210"/>
      <c r="IB295" s="210"/>
      <c r="IC295" s="210"/>
      <c r="ID295" s="210"/>
      <c r="IE295" s="210"/>
      <c r="IF295" s="210"/>
      <c r="IG295" s="210"/>
      <c r="IH295" s="210"/>
      <c r="II295" s="210"/>
      <c r="IJ295" s="210"/>
      <c r="IK295" s="210"/>
      <c r="IL295" s="210"/>
      <c r="IM295" s="210"/>
      <c r="KW295" s="120"/>
      <c r="LD295" s="210"/>
      <c r="LE295" s="210"/>
      <c r="LF295" s="210"/>
      <c r="LG295" s="210"/>
      <c r="LH295" s="210"/>
      <c r="LI295" s="210"/>
      <c r="LJ295" s="210"/>
      <c r="LK295" s="210"/>
      <c r="LL295" s="210"/>
      <c r="LM295" s="210"/>
      <c r="LN295" s="210"/>
      <c r="LO295" s="210"/>
      <c r="LP295" s="210"/>
      <c r="LQ295" s="210"/>
      <c r="LR295" s="210"/>
      <c r="OB295" s="120"/>
      <c r="OI295" s="210"/>
      <c r="OJ295" s="210"/>
      <c r="OK295" s="210"/>
      <c r="OL295" s="210"/>
      <c r="OM295" s="210"/>
      <c r="ON295" s="210"/>
      <c r="OO295" s="210"/>
      <c r="OP295" s="210"/>
      <c r="OQ295" s="210"/>
      <c r="OR295" s="210"/>
      <c r="OS295" s="210"/>
      <c r="OT295" s="210"/>
      <c r="OU295" s="210"/>
      <c r="OV295" s="210"/>
      <c r="OW295" s="210"/>
      <c r="RG295" s="120"/>
    </row>
    <row r="296" spans="1:475" x14ac:dyDescent="0.3">
      <c r="A296" s="7">
        <v>33</v>
      </c>
      <c r="B296" s="7">
        <v>286</v>
      </c>
      <c r="C296" s="7" t="s">
        <v>346</v>
      </c>
      <c r="D296" s="7" t="s">
        <v>410</v>
      </c>
      <c r="E296" s="7" t="s">
        <v>397</v>
      </c>
      <c r="F296" s="7" t="s">
        <v>274</v>
      </c>
      <c r="G296" s="41" t="str">
        <f t="shared" si="47"/>
        <v>X</v>
      </c>
      <c r="H296" s="41">
        <f>INDEX(환산공식!CI$16:CI$301,MATCH('배치점수 계산기'!$W296,환산공식!$A$16:$A$301,0))</f>
        <v>120</v>
      </c>
      <c r="I296" s="41" t="str">
        <f>CONCATENATE(ROUND(INDEX(환산공식!CJ$16:CJ$301,MATCH('배치점수 계산기'!$W296,환산공식!$A$16:$A$301,0)),1),"%")</f>
        <v>100%</v>
      </c>
      <c r="J296" s="41">
        <f>INDEX(환산공식!CK$16:CK$301,MATCH('배치점수 계산기'!$W296,환산공식!$A$16:$A$301,0))</f>
        <v>40</v>
      </c>
      <c r="K296" s="7">
        <f>INDEX(환산공식!$EF$16:$EF$301,MATCH('배치점수 계산기'!W296,환산공식!$A$16:$A$301,0))</f>
        <v>0</v>
      </c>
      <c r="L296" s="41" t="str">
        <f t="shared" si="45"/>
        <v>1% 이하</v>
      </c>
      <c r="M296" s="7">
        <v>561.93531988319614</v>
      </c>
      <c r="N296" s="7">
        <v>560.93999999999983</v>
      </c>
      <c r="O296" s="7">
        <v>560.02531341691122</v>
      </c>
      <c r="P296" s="7">
        <v>558.47699999999998</v>
      </c>
      <c r="Q296" s="7">
        <v>555.04100000000005</v>
      </c>
      <c r="R296" s="7">
        <f t="shared" si="46"/>
        <v>6</v>
      </c>
      <c r="T296" s="7">
        <f>COUNTIF($C$11:C296,C296)</f>
        <v>89</v>
      </c>
      <c r="U296" s="7" t="str">
        <f t="shared" si="48"/>
        <v>나89</v>
      </c>
      <c r="V296" s="7" t="str">
        <f>INDEX(환산공식!$C$16:$C$301,MATCH('배치점수 계산기'!W296,환산공식!$A$16:$A$301,0))</f>
        <v>경희 자연</v>
      </c>
      <c r="W296" s="7">
        <f t="shared" si="49"/>
        <v>33</v>
      </c>
      <c r="X296" s="7">
        <f t="shared" si="50"/>
        <v>1</v>
      </c>
      <c r="Y296" s="7">
        <f>IFERROR(INDEX(환산공식!Q$16:Q$200,MATCH($A296,환산공식!$A$16:$A$200,0)),"")</f>
        <v>0.8</v>
      </c>
      <c r="Z296" s="7">
        <f>IFERROR(INDEX(환산공식!R$16:R$200,MATCH($A296,환산공식!$A$16:$A$200,0)),"")</f>
        <v>1.4</v>
      </c>
      <c r="AA296" s="7">
        <f>IFERROR(INDEX(환산공식!U$16:U$200,MATCH($A296,환산공식!$A$16:$A$200,0)),"")</f>
        <v>1</v>
      </c>
      <c r="AB296" s="7">
        <f t="shared" si="51"/>
        <v>0.25</v>
      </c>
      <c r="AC296" s="7">
        <f t="shared" si="52"/>
        <v>0.43749999999999994</v>
      </c>
      <c r="AD296" s="7">
        <f t="shared" si="53"/>
        <v>0.3125</v>
      </c>
      <c r="AE296" s="7">
        <f>INDEX(환산공식!$AF$16:$AF$301,MATCH('배치점수 계산기'!W296,환산공식!$A$16:$A$301,0))</f>
        <v>1</v>
      </c>
      <c r="AF296" s="7">
        <f>INDEX(환산공식!$AP$16:$AP$301,MATCH('배치점수 계산기'!W296,환산공식!$A$16:$A$301,0))</f>
        <v>4</v>
      </c>
      <c r="AG296" s="7" t="str">
        <f t="shared" si="54"/>
        <v>표점</v>
      </c>
      <c r="AH296" s="7" t="str">
        <f t="shared" si="55"/>
        <v>변표</v>
      </c>
      <c r="BO296" s="210"/>
      <c r="BP296" s="210"/>
      <c r="BQ296" s="210"/>
      <c r="BR296" s="210"/>
      <c r="BS296" s="210"/>
      <c r="BT296" s="210"/>
      <c r="BU296" s="210"/>
      <c r="BV296" s="210"/>
      <c r="BW296" s="210"/>
      <c r="BX296" s="210"/>
      <c r="BY296" s="210"/>
      <c r="BZ296" s="210"/>
      <c r="CA296" s="210"/>
      <c r="CB296" s="210"/>
      <c r="CC296" s="210"/>
      <c r="EM296" s="120"/>
      <c r="ET296" s="210"/>
      <c r="EU296" s="210"/>
      <c r="EV296" s="210"/>
      <c r="EW296" s="210"/>
      <c r="EX296" s="210"/>
      <c r="EY296" s="210"/>
      <c r="EZ296" s="210"/>
      <c r="FA296" s="210"/>
      <c r="FB296" s="210"/>
      <c r="FC296" s="210"/>
      <c r="FD296" s="210"/>
      <c r="FE296" s="210"/>
      <c r="FF296" s="210"/>
      <c r="FG296" s="210"/>
      <c r="FH296" s="210"/>
      <c r="HR296" s="120"/>
      <c r="HY296" s="210"/>
      <c r="HZ296" s="210"/>
      <c r="IA296" s="210"/>
      <c r="IB296" s="210"/>
      <c r="IC296" s="210"/>
      <c r="ID296" s="210"/>
      <c r="IE296" s="210"/>
      <c r="IF296" s="210"/>
      <c r="IG296" s="210"/>
      <c r="IH296" s="210"/>
      <c r="II296" s="210"/>
      <c r="IJ296" s="210"/>
      <c r="IK296" s="210"/>
      <c r="IL296" s="210"/>
      <c r="IM296" s="210"/>
      <c r="KW296" s="120"/>
      <c r="LD296" s="210"/>
      <c r="LE296" s="210"/>
      <c r="LF296" s="210"/>
      <c r="LG296" s="210"/>
      <c r="LH296" s="210"/>
      <c r="LI296" s="210"/>
      <c r="LJ296" s="210"/>
      <c r="LK296" s="210"/>
      <c r="LL296" s="210"/>
      <c r="LM296" s="210"/>
      <c r="LN296" s="210"/>
      <c r="LO296" s="210"/>
      <c r="LP296" s="210"/>
      <c r="LQ296" s="210"/>
      <c r="LR296" s="210"/>
      <c r="OB296" s="120"/>
      <c r="OI296" s="210"/>
      <c r="OJ296" s="210"/>
      <c r="OK296" s="210"/>
      <c r="OL296" s="210"/>
      <c r="OM296" s="210"/>
      <c r="ON296" s="210"/>
      <c r="OO296" s="210"/>
      <c r="OP296" s="210"/>
      <c r="OQ296" s="210"/>
      <c r="OR296" s="210"/>
      <c r="OS296" s="210"/>
      <c r="OT296" s="210"/>
      <c r="OU296" s="210"/>
      <c r="OV296" s="210"/>
      <c r="OW296" s="210"/>
      <c r="RG296" s="120"/>
    </row>
    <row r="297" spans="1:475" x14ac:dyDescent="0.3">
      <c r="A297" s="7">
        <v>33</v>
      </c>
      <c r="B297" s="7">
        <v>287</v>
      </c>
      <c r="C297" s="7" t="s">
        <v>346</v>
      </c>
      <c r="D297" s="7" t="s">
        <v>410</v>
      </c>
      <c r="E297" s="7" t="s">
        <v>289</v>
      </c>
      <c r="F297" s="7" t="s">
        <v>274</v>
      </c>
      <c r="G297" s="41" t="str">
        <f t="shared" si="47"/>
        <v>X</v>
      </c>
      <c r="H297" s="41">
        <f>INDEX(환산공식!CI$16:CI$301,MATCH('배치점수 계산기'!$W297,환산공식!$A$16:$A$301,0))</f>
        <v>120</v>
      </c>
      <c r="I297" s="41" t="str">
        <f>CONCATENATE(ROUND(INDEX(환산공식!CJ$16:CJ$301,MATCH('배치점수 계산기'!$W297,환산공식!$A$16:$A$301,0)),1),"%")</f>
        <v>100%</v>
      </c>
      <c r="J297" s="41">
        <f>INDEX(환산공식!CK$16:CK$301,MATCH('배치점수 계산기'!$W297,환산공식!$A$16:$A$301,0))</f>
        <v>40</v>
      </c>
      <c r="K297" s="7">
        <f>INDEX(환산공식!$EF$16:$EF$301,MATCH('배치점수 계산기'!W297,환산공식!$A$16:$A$301,0))</f>
        <v>0</v>
      </c>
      <c r="L297" s="41" t="str">
        <f t="shared" si="45"/>
        <v>1% 이하</v>
      </c>
      <c r="M297" s="7">
        <v>561.93531988319614</v>
      </c>
      <c r="N297" s="7">
        <v>560.93999999999983</v>
      </c>
      <c r="O297" s="7">
        <v>560.02531341691122</v>
      </c>
      <c r="P297" s="7">
        <v>558.47699999999998</v>
      </c>
      <c r="Q297" s="7">
        <v>555.04100000000005</v>
      </c>
      <c r="R297" s="7">
        <f t="shared" si="46"/>
        <v>6</v>
      </c>
      <c r="T297" s="7">
        <f>COUNTIF($C$11:C297,C297)</f>
        <v>90</v>
      </c>
      <c r="U297" s="7" t="str">
        <f t="shared" si="48"/>
        <v>나90</v>
      </c>
      <c r="V297" s="7" t="str">
        <f>INDEX(환산공식!$C$16:$C$301,MATCH('배치점수 계산기'!W297,환산공식!$A$16:$A$301,0))</f>
        <v>경희 자연</v>
      </c>
      <c r="W297" s="7">
        <f t="shared" si="49"/>
        <v>33</v>
      </c>
      <c r="X297" s="7">
        <f t="shared" si="50"/>
        <v>1</v>
      </c>
      <c r="Y297" s="7">
        <f>IFERROR(INDEX(환산공식!Q$16:Q$200,MATCH($A297,환산공식!$A$16:$A$200,0)),"")</f>
        <v>0.8</v>
      </c>
      <c r="Z297" s="7">
        <f>IFERROR(INDEX(환산공식!R$16:R$200,MATCH($A297,환산공식!$A$16:$A$200,0)),"")</f>
        <v>1.4</v>
      </c>
      <c r="AA297" s="7">
        <f>IFERROR(INDEX(환산공식!U$16:U$200,MATCH($A297,환산공식!$A$16:$A$200,0)),"")</f>
        <v>1</v>
      </c>
      <c r="AB297" s="7">
        <f t="shared" si="51"/>
        <v>0.25</v>
      </c>
      <c r="AC297" s="7">
        <f t="shared" si="52"/>
        <v>0.43749999999999994</v>
      </c>
      <c r="AD297" s="7">
        <f t="shared" si="53"/>
        <v>0.3125</v>
      </c>
      <c r="AE297" s="7">
        <f>INDEX(환산공식!$AF$16:$AF$301,MATCH('배치점수 계산기'!W297,환산공식!$A$16:$A$301,0))</f>
        <v>1</v>
      </c>
      <c r="AF297" s="7">
        <f>INDEX(환산공식!$AP$16:$AP$301,MATCH('배치점수 계산기'!W297,환산공식!$A$16:$A$301,0))</f>
        <v>4</v>
      </c>
      <c r="AG297" s="7" t="str">
        <f t="shared" si="54"/>
        <v>표점</v>
      </c>
      <c r="AH297" s="7" t="str">
        <f t="shared" si="55"/>
        <v>변표</v>
      </c>
      <c r="BO297" s="210"/>
      <c r="BP297" s="210"/>
      <c r="BQ297" s="210"/>
      <c r="BR297" s="210"/>
      <c r="BS297" s="210"/>
      <c r="BT297" s="210"/>
      <c r="BU297" s="210"/>
      <c r="BV297" s="210"/>
      <c r="BW297" s="210"/>
      <c r="BX297" s="210"/>
      <c r="BY297" s="210"/>
      <c r="BZ297" s="210"/>
      <c r="CA297" s="210"/>
      <c r="CB297" s="210"/>
      <c r="CC297" s="210"/>
      <c r="EM297" s="120"/>
      <c r="ET297" s="210"/>
      <c r="EU297" s="210"/>
      <c r="EV297" s="210"/>
      <c r="EW297" s="210"/>
      <c r="EX297" s="210"/>
      <c r="EY297" s="210"/>
      <c r="EZ297" s="210"/>
      <c r="FA297" s="210"/>
      <c r="FB297" s="210"/>
      <c r="FC297" s="210"/>
      <c r="FD297" s="210"/>
      <c r="FE297" s="210"/>
      <c r="FF297" s="210"/>
      <c r="FG297" s="210"/>
      <c r="FH297" s="210"/>
      <c r="HR297" s="120"/>
      <c r="HY297" s="210"/>
      <c r="HZ297" s="210"/>
      <c r="IA297" s="210"/>
      <c r="IB297" s="210"/>
      <c r="IC297" s="210"/>
      <c r="ID297" s="210"/>
      <c r="IE297" s="210"/>
      <c r="IF297" s="210"/>
      <c r="IG297" s="210"/>
      <c r="IH297" s="210"/>
      <c r="II297" s="210"/>
      <c r="IJ297" s="210"/>
      <c r="IK297" s="210"/>
      <c r="IL297" s="210"/>
      <c r="IM297" s="210"/>
      <c r="KW297" s="120"/>
      <c r="LD297" s="210"/>
      <c r="LE297" s="210"/>
      <c r="LF297" s="210"/>
      <c r="LG297" s="210"/>
      <c r="LH297" s="210"/>
      <c r="LI297" s="210"/>
      <c r="LJ297" s="210"/>
      <c r="LK297" s="210"/>
      <c r="LL297" s="210"/>
      <c r="LM297" s="210"/>
      <c r="LN297" s="210"/>
      <c r="LO297" s="210"/>
      <c r="LP297" s="210"/>
      <c r="LQ297" s="210"/>
      <c r="LR297" s="210"/>
      <c r="OB297" s="120"/>
      <c r="OI297" s="210"/>
      <c r="OJ297" s="210"/>
      <c r="OK297" s="210"/>
      <c r="OL297" s="210"/>
      <c r="OM297" s="210"/>
      <c r="ON297" s="210"/>
      <c r="OO297" s="210"/>
      <c r="OP297" s="210"/>
      <c r="OQ297" s="210"/>
      <c r="OR297" s="210"/>
      <c r="OS297" s="210"/>
      <c r="OT297" s="210"/>
      <c r="OU297" s="210"/>
      <c r="OV297" s="210"/>
      <c r="OW297" s="210"/>
      <c r="RG297" s="120"/>
    </row>
    <row r="298" spans="1:475" x14ac:dyDescent="0.3">
      <c r="A298" s="7">
        <v>33</v>
      </c>
      <c r="B298" s="7">
        <v>288</v>
      </c>
      <c r="C298" s="7" t="s">
        <v>346</v>
      </c>
      <c r="D298" s="7" t="s">
        <v>410</v>
      </c>
      <c r="E298" s="7" t="s">
        <v>355</v>
      </c>
      <c r="F298" s="7" t="s">
        <v>274</v>
      </c>
      <c r="G298" s="41" t="str">
        <f t="shared" si="47"/>
        <v>X</v>
      </c>
      <c r="H298" s="41">
        <f>INDEX(환산공식!CI$16:CI$301,MATCH('배치점수 계산기'!$W298,환산공식!$A$16:$A$301,0))</f>
        <v>120</v>
      </c>
      <c r="I298" s="41" t="str">
        <f>CONCATENATE(ROUND(INDEX(환산공식!CJ$16:CJ$301,MATCH('배치점수 계산기'!$W298,환산공식!$A$16:$A$301,0)),1),"%")</f>
        <v>100%</v>
      </c>
      <c r="J298" s="41">
        <f>INDEX(환산공식!CK$16:CK$301,MATCH('배치점수 계산기'!$W298,환산공식!$A$16:$A$301,0))</f>
        <v>40</v>
      </c>
      <c r="K298" s="7">
        <f>INDEX(환산공식!$EF$16:$EF$301,MATCH('배치점수 계산기'!W298,환산공식!$A$16:$A$301,0))</f>
        <v>0</v>
      </c>
      <c r="L298" s="41" t="str">
        <f t="shared" si="45"/>
        <v>1% 이하</v>
      </c>
      <c r="M298" s="7">
        <v>561.93531988319614</v>
      </c>
      <c r="N298" s="7">
        <v>560.93999999999983</v>
      </c>
      <c r="O298" s="7">
        <v>560.02531341691122</v>
      </c>
      <c r="P298" s="7">
        <v>558.47699999999998</v>
      </c>
      <c r="Q298" s="7">
        <v>555.04100000000005</v>
      </c>
      <c r="R298" s="7">
        <f t="shared" si="46"/>
        <v>6</v>
      </c>
      <c r="T298" s="7">
        <f>COUNTIF($C$11:C298,C298)</f>
        <v>91</v>
      </c>
      <c r="U298" s="7" t="str">
        <f t="shared" si="48"/>
        <v>나91</v>
      </c>
      <c r="V298" s="7" t="str">
        <f>INDEX(환산공식!$C$16:$C$301,MATCH('배치점수 계산기'!W298,환산공식!$A$16:$A$301,0))</f>
        <v>경희 자연</v>
      </c>
      <c r="W298" s="7">
        <f t="shared" si="49"/>
        <v>33</v>
      </c>
      <c r="X298" s="7">
        <f t="shared" si="50"/>
        <v>1</v>
      </c>
      <c r="Y298" s="7">
        <f>IFERROR(INDEX(환산공식!Q$16:Q$200,MATCH($A298,환산공식!$A$16:$A$200,0)),"")</f>
        <v>0.8</v>
      </c>
      <c r="Z298" s="7">
        <f>IFERROR(INDEX(환산공식!R$16:R$200,MATCH($A298,환산공식!$A$16:$A$200,0)),"")</f>
        <v>1.4</v>
      </c>
      <c r="AA298" s="7">
        <f>IFERROR(INDEX(환산공식!U$16:U$200,MATCH($A298,환산공식!$A$16:$A$200,0)),"")</f>
        <v>1</v>
      </c>
      <c r="AB298" s="7">
        <f t="shared" si="51"/>
        <v>0.25</v>
      </c>
      <c r="AC298" s="7">
        <f t="shared" si="52"/>
        <v>0.43749999999999994</v>
      </c>
      <c r="AD298" s="7">
        <f t="shared" si="53"/>
        <v>0.3125</v>
      </c>
      <c r="AE298" s="7">
        <f>INDEX(환산공식!$AF$16:$AF$301,MATCH('배치점수 계산기'!W298,환산공식!$A$16:$A$301,0))</f>
        <v>1</v>
      </c>
      <c r="AF298" s="7">
        <f>INDEX(환산공식!$AP$16:$AP$301,MATCH('배치점수 계산기'!W298,환산공식!$A$16:$A$301,0))</f>
        <v>4</v>
      </c>
      <c r="AG298" s="7" t="str">
        <f t="shared" si="54"/>
        <v>표점</v>
      </c>
      <c r="AH298" s="7" t="str">
        <f t="shared" si="55"/>
        <v>변표</v>
      </c>
      <c r="BO298" s="210"/>
      <c r="BP298" s="210"/>
      <c r="BQ298" s="210"/>
      <c r="BR298" s="210"/>
      <c r="BS298" s="210"/>
      <c r="BT298" s="210"/>
      <c r="BU298" s="210"/>
      <c r="BV298" s="210"/>
      <c r="BW298" s="210"/>
      <c r="BX298" s="210"/>
      <c r="BY298" s="210"/>
      <c r="BZ298" s="210"/>
      <c r="CA298" s="210"/>
      <c r="CB298" s="210"/>
      <c r="CC298" s="210"/>
      <c r="EM298" s="120"/>
      <c r="ET298" s="210"/>
      <c r="EU298" s="210"/>
      <c r="EV298" s="210"/>
      <c r="EW298" s="210"/>
      <c r="EX298" s="210"/>
      <c r="EY298" s="210"/>
      <c r="EZ298" s="210"/>
      <c r="FA298" s="210"/>
      <c r="FB298" s="210"/>
      <c r="FC298" s="210"/>
      <c r="FD298" s="210"/>
      <c r="FE298" s="210"/>
      <c r="FF298" s="210"/>
      <c r="FG298" s="210"/>
      <c r="FH298" s="210"/>
      <c r="HR298" s="120"/>
      <c r="HY298" s="210"/>
      <c r="HZ298" s="210"/>
      <c r="IA298" s="210"/>
      <c r="IB298" s="210"/>
      <c r="IC298" s="210"/>
      <c r="ID298" s="210"/>
      <c r="IE298" s="210"/>
      <c r="IF298" s="210"/>
      <c r="IG298" s="210"/>
      <c r="IH298" s="210"/>
      <c r="II298" s="210"/>
      <c r="IJ298" s="210"/>
      <c r="IK298" s="210"/>
      <c r="IL298" s="210"/>
      <c r="IM298" s="210"/>
      <c r="KW298" s="120"/>
      <c r="LD298" s="210"/>
      <c r="LE298" s="210"/>
      <c r="LF298" s="210"/>
      <c r="LG298" s="210"/>
      <c r="LH298" s="210"/>
      <c r="LI298" s="210"/>
      <c r="LJ298" s="210"/>
      <c r="LK298" s="210"/>
      <c r="LL298" s="210"/>
      <c r="LM298" s="210"/>
      <c r="LN298" s="210"/>
      <c r="LO298" s="210"/>
      <c r="LP298" s="210"/>
      <c r="LQ298" s="210"/>
      <c r="LR298" s="210"/>
      <c r="OB298" s="120"/>
      <c r="OI298" s="210"/>
      <c r="OJ298" s="210"/>
      <c r="OK298" s="210"/>
      <c r="OL298" s="210"/>
      <c r="OM298" s="210"/>
      <c r="ON298" s="210"/>
      <c r="OO298" s="210"/>
      <c r="OP298" s="210"/>
      <c r="OQ298" s="210"/>
      <c r="OR298" s="210"/>
      <c r="OS298" s="210"/>
      <c r="OT298" s="210"/>
      <c r="OU298" s="210"/>
      <c r="OV298" s="210"/>
      <c r="OW298" s="210"/>
      <c r="RG298" s="120"/>
    </row>
    <row r="299" spans="1:475" x14ac:dyDescent="0.3">
      <c r="A299" s="7">
        <v>33</v>
      </c>
      <c r="B299" s="7">
        <v>289</v>
      </c>
      <c r="C299" s="7" t="s">
        <v>346</v>
      </c>
      <c r="D299" s="7" t="s">
        <v>410</v>
      </c>
      <c r="E299" s="7" t="s">
        <v>398</v>
      </c>
      <c r="F299" s="7" t="s">
        <v>274</v>
      </c>
      <c r="G299" s="41" t="str">
        <f t="shared" si="47"/>
        <v>X</v>
      </c>
      <c r="H299" s="41">
        <f>INDEX(환산공식!CI$16:CI$301,MATCH('배치점수 계산기'!$W299,환산공식!$A$16:$A$301,0))</f>
        <v>120</v>
      </c>
      <c r="I299" s="41" t="str">
        <f>CONCATENATE(ROUND(INDEX(환산공식!CJ$16:CJ$301,MATCH('배치점수 계산기'!$W299,환산공식!$A$16:$A$301,0)),1),"%")</f>
        <v>100%</v>
      </c>
      <c r="J299" s="41">
        <f>INDEX(환산공식!CK$16:CK$301,MATCH('배치점수 계산기'!$W299,환산공식!$A$16:$A$301,0))</f>
        <v>40</v>
      </c>
      <c r="K299" s="7">
        <f>INDEX(환산공식!$EF$16:$EF$301,MATCH('배치점수 계산기'!W299,환산공식!$A$16:$A$301,0))</f>
        <v>0</v>
      </c>
      <c r="L299" s="41" t="str">
        <f t="shared" si="45"/>
        <v>1% 이하</v>
      </c>
      <c r="M299" s="7">
        <v>557.31799999999998</v>
      </c>
      <c r="N299" s="7">
        <v>555.51725067385439</v>
      </c>
      <c r="O299" s="7">
        <v>554.029</v>
      </c>
      <c r="P299" s="7">
        <v>553.495</v>
      </c>
      <c r="Q299" s="7">
        <v>552.75757948996204</v>
      </c>
      <c r="R299" s="7">
        <f t="shared" si="46"/>
        <v>6</v>
      </c>
      <c r="T299" s="7">
        <f>COUNTIF($C$11:C299,C299)</f>
        <v>92</v>
      </c>
      <c r="U299" s="7" t="str">
        <f t="shared" si="48"/>
        <v>나92</v>
      </c>
      <c r="V299" s="7" t="str">
        <f>INDEX(환산공식!$C$16:$C$301,MATCH('배치점수 계산기'!W299,환산공식!$A$16:$A$301,0))</f>
        <v>경희 자연</v>
      </c>
      <c r="W299" s="7">
        <f t="shared" si="49"/>
        <v>33</v>
      </c>
      <c r="X299" s="7">
        <f t="shared" si="50"/>
        <v>1</v>
      </c>
      <c r="Y299" s="7">
        <f>IFERROR(INDEX(환산공식!Q$16:Q$200,MATCH($A299,환산공식!$A$16:$A$200,0)),"")</f>
        <v>0.8</v>
      </c>
      <c r="Z299" s="7">
        <f>IFERROR(INDEX(환산공식!R$16:R$200,MATCH($A299,환산공식!$A$16:$A$200,0)),"")</f>
        <v>1.4</v>
      </c>
      <c r="AA299" s="7">
        <f>IFERROR(INDEX(환산공식!U$16:U$200,MATCH($A299,환산공식!$A$16:$A$200,0)),"")</f>
        <v>1</v>
      </c>
      <c r="AB299" s="7">
        <f t="shared" si="51"/>
        <v>0.25</v>
      </c>
      <c r="AC299" s="7">
        <f t="shared" si="52"/>
        <v>0.43749999999999994</v>
      </c>
      <c r="AD299" s="7">
        <f t="shared" si="53"/>
        <v>0.3125</v>
      </c>
      <c r="AE299" s="7">
        <f>INDEX(환산공식!$AF$16:$AF$301,MATCH('배치점수 계산기'!W299,환산공식!$A$16:$A$301,0))</f>
        <v>1</v>
      </c>
      <c r="AF299" s="7">
        <f>INDEX(환산공식!$AP$16:$AP$301,MATCH('배치점수 계산기'!W299,환산공식!$A$16:$A$301,0))</f>
        <v>4</v>
      </c>
      <c r="AG299" s="7" t="str">
        <f t="shared" si="54"/>
        <v>표점</v>
      </c>
      <c r="AH299" s="7" t="str">
        <f t="shared" si="55"/>
        <v>변표</v>
      </c>
      <c r="BO299" s="210"/>
      <c r="BP299" s="210"/>
      <c r="BQ299" s="210"/>
      <c r="BR299" s="210"/>
      <c r="BS299" s="210"/>
      <c r="BT299" s="210"/>
      <c r="BU299" s="210"/>
      <c r="BV299" s="210"/>
      <c r="BW299" s="210"/>
      <c r="BX299" s="210"/>
      <c r="BY299" s="210"/>
      <c r="BZ299" s="210"/>
      <c r="CA299" s="210"/>
      <c r="CB299" s="210"/>
      <c r="CC299" s="210"/>
      <c r="EM299" s="120"/>
      <c r="ET299" s="210"/>
      <c r="EU299" s="210"/>
      <c r="EV299" s="210"/>
      <c r="EW299" s="210"/>
      <c r="EX299" s="210"/>
      <c r="EY299" s="210"/>
      <c r="EZ299" s="210"/>
      <c r="FA299" s="210"/>
      <c r="FB299" s="210"/>
      <c r="FC299" s="210"/>
      <c r="FD299" s="210"/>
      <c r="FE299" s="210"/>
      <c r="FF299" s="210"/>
      <c r="FG299" s="210"/>
      <c r="FH299" s="210"/>
      <c r="HR299" s="120"/>
      <c r="HY299" s="210"/>
      <c r="HZ299" s="210"/>
      <c r="IA299" s="210"/>
      <c r="IB299" s="210"/>
      <c r="IC299" s="210"/>
      <c r="ID299" s="210"/>
      <c r="IE299" s="210"/>
      <c r="IF299" s="210"/>
      <c r="IG299" s="210"/>
      <c r="IH299" s="210"/>
      <c r="II299" s="210"/>
      <c r="IJ299" s="210"/>
      <c r="IK299" s="210"/>
      <c r="IL299" s="210"/>
      <c r="IM299" s="210"/>
      <c r="KW299" s="120"/>
      <c r="LD299" s="210"/>
      <c r="LE299" s="210"/>
      <c r="LF299" s="210"/>
      <c r="LG299" s="210"/>
      <c r="LH299" s="210"/>
      <c r="LI299" s="210"/>
      <c r="LJ299" s="210"/>
      <c r="LK299" s="210"/>
      <c r="LL299" s="210"/>
      <c r="LM299" s="210"/>
      <c r="LN299" s="210"/>
      <c r="LO299" s="210"/>
      <c r="LP299" s="210"/>
      <c r="LQ299" s="210"/>
      <c r="LR299" s="210"/>
      <c r="OB299" s="120"/>
      <c r="OI299" s="210"/>
      <c r="OJ299" s="210"/>
      <c r="OK299" s="210"/>
      <c r="OL299" s="210"/>
      <c r="OM299" s="210"/>
      <c r="ON299" s="210"/>
      <c r="OO299" s="210"/>
      <c r="OP299" s="210"/>
      <c r="OQ299" s="210"/>
      <c r="OR299" s="210"/>
      <c r="OS299" s="210"/>
      <c r="OT299" s="210"/>
      <c r="OU299" s="210"/>
      <c r="OV299" s="210"/>
      <c r="OW299" s="210"/>
      <c r="RG299" s="120"/>
    </row>
    <row r="300" spans="1:475" x14ac:dyDescent="0.3">
      <c r="A300" s="7">
        <v>33</v>
      </c>
      <c r="B300" s="7">
        <v>290</v>
      </c>
      <c r="C300" s="7" t="s">
        <v>346</v>
      </c>
      <c r="D300" s="7" t="s">
        <v>410</v>
      </c>
      <c r="E300" s="7" t="s">
        <v>399</v>
      </c>
      <c r="F300" s="7" t="s">
        <v>274</v>
      </c>
      <c r="G300" s="41" t="str">
        <f t="shared" si="47"/>
        <v>X</v>
      </c>
      <c r="H300" s="41">
        <f>INDEX(환산공식!CI$16:CI$301,MATCH('배치점수 계산기'!$W300,환산공식!$A$16:$A$301,0))</f>
        <v>120</v>
      </c>
      <c r="I300" s="41" t="str">
        <f>CONCATENATE(ROUND(INDEX(환산공식!CJ$16:CJ$301,MATCH('배치점수 계산기'!$W300,환산공식!$A$16:$A$301,0)),1),"%")</f>
        <v>100%</v>
      </c>
      <c r="J300" s="41">
        <f>INDEX(환산공식!CK$16:CK$301,MATCH('배치점수 계산기'!$W300,환산공식!$A$16:$A$301,0))</f>
        <v>40</v>
      </c>
      <c r="K300" s="7">
        <f>INDEX(환산공식!$EF$16:$EF$301,MATCH('배치점수 계산기'!W300,환산공식!$A$16:$A$301,0))</f>
        <v>0</v>
      </c>
      <c r="L300" s="41" t="str">
        <f t="shared" si="45"/>
        <v>1% 이하</v>
      </c>
      <c r="M300" s="7">
        <v>557.31799999999998</v>
      </c>
      <c r="N300" s="7">
        <v>555.51725067385439</v>
      </c>
      <c r="O300" s="7">
        <v>554.029</v>
      </c>
      <c r="P300" s="7">
        <v>553.495</v>
      </c>
      <c r="Q300" s="7">
        <v>552.75757948996204</v>
      </c>
      <c r="R300" s="7">
        <f t="shared" si="46"/>
        <v>6</v>
      </c>
      <c r="T300" s="7">
        <f>COUNTIF($C$11:C300,C300)</f>
        <v>93</v>
      </c>
      <c r="U300" s="7" t="str">
        <f t="shared" si="48"/>
        <v>나93</v>
      </c>
      <c r="V300" s="7" t="str">
        <f>INDEX(환산공식!$C$16:$C$301,MATCH('배치점수 계산기'!W300,환산공식!$A$16:$A$301,0))</f>
        <v>경희 자연</v>
      </c>
      <c r="W300" s="7">
        <f t="shared" si="49"/>
        <v>33</v>
      </c>
      <c r="X300" s="7">
        <f t="shared" si="50"/>
        <v>1</v>
      </c>
      <c r="Y300" s="7">
        <f>IFERROR(INDEX(환산공식!Q$16:Q$200,MATCH($A300,환산공식!$A$16:$A$200,0)),"")</f>
        <v>0.8</v>
      </c>
      <c r="Z300" s="7">
        <f>IFERROR(INDEX(환산공식!R$16:R$200,MATCH($A300,환산공식!$A$16:$A$200,0)),"")</f>
        <v>1.4</v>
      </c>
      <c r="AA300" s="7">
        <f>IFERROR(INDEX(환산공식!U$16:U$200,MATCH($A300,환산공식!$A$16:$A$200,0)),"")</f>
        <v>1</v>
      </c>
      <c r="AB300" s="7">
        <f t="shared" si="51"/>
        <v>0.25</v>
      </c>
      <c r="AC300" s="7">
        <f t="shared" si="52"/>
        <v>0.43749999999999994</v>
      </c>
      <c r="AD300" s="7">
        <f t="shared" si="53"/>
        <v>0.3125</v>
      </c>
      <c r="AE300" s="7">
        <f>INDEX(환산공식!$AF$16:$AF$301,MATCH('배치점수 계산기'!W300,환산공식!$A$16:$A$301,0))</f>
        <v>1</v>
      </c>
      <c r="AF300" s="7">
        <f>INDEX(환산공식!$AP$16:$AP$301,MATCH('배치점수 계산기'!W300,환산공식!$A$16:$A$301,0))</f>
        <v>4</v>
      </c>
      <c r="AG300" s="7" t="str">
        <f t="shared" si="54"/>
        <v>표점</v>
      </c>
      <c r="AH300" s="7" t="str">
        <f t="shared" si="55"/>
        <v>변표</v>
      </c>
      <c r="BO300" s="210"/>
      <c r="BP300" s="210"/>
      <c r="BQ300" s="210"/>
      <c r="BR300" s="210"/>
      <c r="BS300" s="210"/>
      <c r="BT300" s="210"/>
      <c r="BU300" s="210"/>
      <c r="BV300" s="210"/>
      <c r="BW300" s="210"/>
      <c r="BX300" s="210"/>
      <c r="BY300" s="210"/>
      <c r="BZ300" s="210"/>
      <c r="CA300" s="210"/>
      <c r="CB300" s="210"/>
      <c r="CC300" s="210"/>
      <c r="EM300" s="120"/>
      <c r="ET300" s="210"/>
      <c r="EU300" s="210"/>
      <c r="EV300" s="210"/>
      <c r="EW300" s="210"/>
      <c r="EX300" s="210"/>
      <c r="EY300" s="210"/>
      <c r="EZ300" s="210"/>
      <c r="FA300" s="210"/>
      <c r="FB300" s="210"/>
      <c r="FC300" s="210"/>
      <c r="FD300" s="210"/>
      <c r="FE300" s="210"/>
      <c r="FF300" s="210"/>
      <c r="FG300" s="210"/>
      <c r="FH300" s="210"/>
      <c r="HR300" s="120"/>
      <c r="HY300" s="210"/>
      <c r="HZ300" s="210"/>
      <c r="IA300" s="210"/>
      <c r="IB300" s="210"/>
      <c r="IC300" s="210"/>
      <c r="ID300" s="210"/>
      <c r="IE300" s="210"/>
      <c r="IF300" s="210"/>
      <c r="IG300" s="210"/>
      <c r="IH300" s="210"/>
      <c r="II300" s="210"/>
      <c r="IJ300" s="210"/>
      <c r="IK300" s="210"/>
      <c r="IL300" s="210"/>
      <c r="IM300" s="210"/>
      <c r="KW300" s="120"/>
      <c r="LD300" s="210"/>
      <c r="LE300" s="210"/>
      <c r="LF300" s="210"/>
      <c r="LG300" s="210"/>
      <c r="LH300" s="210"/>
      <c r="LI300" s="210"/>
      <c r="LJ300" s="210"/>
      <c r="LK300" s="210"/>
      <c r="LL300" s="210"/>
      <c r="LM300" s="210"/>
      <c r="LN300" s="210"/>
      <c r="LO300" s="210"/>
      <c r="LP300" s="210"/>
      <c r="LQ300" s="210"/>
      <c r="LR300" s="210"/>
      <c r="OB300" s="120"/>
      <c r="OI300" s="210"/>
      <c r="OJ300" s="210"/>
      <c r="OK300" s="210"/>
      <c r="OL300" s="210"/>
      <c r="OM300" s="210"/>
      <c r="ON300" s="210"/>
      <c r="OO300" s="210"/>
      <c r="OP300" s="210"/>
      <c r="OQ300" s="210"/>
      <c r="OR300" s="210"/>
      <c r="OS300" s="210"/>
      <c r="OT300" s="210"/>
      <c r="OU300" s="210"/>
      <c r="OV300" s="210"/>
      <c r="OW300" s="210"/>
      <c r="RG300" s="120"/>
    </row>
    <row r="301" spans="1:475" x14ac:dyDescent="0.3">
      <c r="A301" s="7">
        <v>33</v>
      </c>
      <c r="B301" s="7">
        <v>291</v>
      </c>
      <c r="C301" s="7" t="s">
        <v>346</v>
      </c>
      <c r="D301" s="7" t="s">
        <v>410</v>
      </c>
      <c r="E301" s="7" t="s">
        <v>400</v>
      </c>
      <c r="F301" s="7" t="s">
        <v>274</v>
      </c>
      <c r="G301" s="41" t="str">
        <f t="shared" si="47"/>
        <v>X</v>
      </c>
      <c r="H301" s="41">
        <f>INDEX(환산공식!CI$16:CI$301,MATCH('배치점수 계산기'!$W301,환산공식!$A$16:$A$301,0))</f>
        <v>120</v>
      </c>
      <c r="I301" s="41" t="str">
        <f>CONCATENATE(ROUND(INDEX(환산공식!CJ$16:CJ$301,MATCH('배치점수 계산기'!$W301,환산공식!$A$16:$A$301,0)),1),"%")</f>
        <v>100%</v>
      </c>
      <c r="J301" s="41">
        <f>INDEX(환산공식!CK$16:CK$301,MATCH('배치점수 계산기'!$W301,환산공식!$A$16:$A$301,0))</f>
        <v>40</v>
      </c>
      <c r="K301" s="7">
        <f>INDEX(환산공식!$EF$16:$EF$301,MATCH('배치점수 계산기'!W301,환산공식!$A$16:$A$301,0))</f>
        <v>0</v>
      </c>
      <c r="L301" s="41" t="str">
        <f t="shared" si="45"/>
        <v>1% 이하</v>
      </c>
      <c r="M301" s="7">
        <v>557.31799999999998</v>
      </c>
      <c r="N301" s="7">
        <v>555.51725067385439</v>
      </c>
      <c r="O301" s="7">
        <v>554.029</v>
      </c>
      <c r="P301" s="7">
        <v>553.495</v>
      </c>
      <c r="Q301" s="7">
        <v>552.75757948996204</v>
      </c>
      <c r="R301" s="7">
        <f t="shared" si="46"/>
        <v>6</v>
      </c>
      <c r="T301" s="7">
        <f>COUNTIF($C$11:C301,C301)</f>
        <v>94</v>
      </c>
      <c r="U301" s="7" t="str">
        <f t="shared" si="48"/>
        <v>나94</v>
      </c>
      <c r="V301" s="7" t="str">
        <f>INDEX(환산공식!$C$16:$C$301,MATCH('배치점수 계산기'!W301,환산공식!$A$16:$A$301,0))</f>
        <v>경희 자연</v>
      </c>
      <c r="W301" s="7">
        <f t="shared" si="49"/>
        <v>33</v>
      </c>
      <c r="X301" s="7">
        <f t="shared" si="50"/>
        <v>1</v>
      </c>
      <c r="Y301" s="7">
        <f>IFERROR(INDEX(환산공식!Q$16:Q$200,MATCH($A301,환산공식!$A$16:$A$200,0)),"")</f>
        <v>0.8</v>
      </c>
      <c r="Z301" s="7">
        <f>IFERROR(INDEX(환산공식!R$16:R$200,MATCH($A301,환산공식!$A$16:$A$200,0)),"")</f>
        <v>1.4</v>
      </c>
      <c r="AA301" s="7">
        <f>IFERROR(INDEX(환산공식!U$16:U$200,MATCH($A301,환산공식!$A$16:$A$200,0)),"")</f>
        <v>1</v>
      </c>
      <c r="AB301" s="7">
        <f t="shared" si="51"/>
        <v>0.25</v>
      </c>
      <c r="AC301" s="7">
        <f t="shared" si="52"/>
        <v>0.43749999999999994</v>
      </c>
      <c r="AD301" s="7">
        <f t="shared" si="53"/>
        <v>0.3125</v>
      </c>
      <c r="AE301" s="7">
        <f>INDEX(환산공식!$AF$16:$AF$301,MATCH('배치점수 계산기'!W301,환산공식!$A$16:$A$301,0))</f>
        <v>1</v>
      </c>
      <c r="AF301" s="7">
        <f>INDEX(환산공식!$AP$16:$AP$301,MATCH('배치점수 계산기'!W301,환산공식!$A$16:$A$301,0))</f>
        <v>4</v>
      </c>
      <c r="AG301" s="7" t="str">
        <f t="shared" si="54"/>
        <v>표점</v>
      </c>
      <c r="AH301" s="7" t="str">
        <f t="shared" si="55"/>
        <v>변표</v>
      </c>
      <c r="BO301" s="210"/>
      <c r="BP301" s="210"/>
      <c r="BQ301" s="210"/>
      <c r="BR301" s="210"/>
      <c r="BS301" s="210"/>
      <c r="BT301" s="210"/>
      <c r="BU301" s="210"/>
      <c r="BV301" s="210"/>
      <c r="BW301" s="210"/>
      <c r="BX301" s="210"/>
      <c r="BY301" s="210"/>
      <c r="BZ301" s="210"/>
      <c r="CA301" s="210"/>
      <c r="CB301" s="210"/>
      <c r="CC301" s="210"/>
      <c r="EM301" s="120"/>
      <c r="ET301" s="210"/>
      <c r="EU301" s="210"/>
      <c r="EV301" s="210"/>
      <c r="EW301" s="210"/>
      <c r="EX301" s="210"/>
      <c r="EY301" s="210"/>
      <c r="EZ301" s="210"/>
      <c r="FA301" s="210"/>
      <c r="FB301" s="210"/>
      <c r="FC301" s="210"/>
      <c r="FD301" s="210"/>
      <c r="FE301" s="210"/>
      <c r="FF301" s="210"/>
      <c r="FG301" s="210"/>
      <c r="FH301" s="210"/>
      <c r="HR301" s="120"/>
      <c r="HY301" s="210"/>
      <c r="HZ301" s="210"/>
      <c r="IA301" s="210"/>
      <c r="IB301" s="210"/>
      <c r="IC301" s="210"/>
      <c r="ID301" s="210"/>
      <c r="IE301" s="210"/>
      <c r="IF301" s="210"/>
      <c r="IG301" s="210"/>
      <c r="IH301" s="210"/>
      <c r="II301" s="210"/>
      <c r="IJ301" s="210"/>
      <c r="IK301" s="210"/>
      <c r="IL301" s="210"/>
      <c r="IM301" s="210"/>
      <c r="KW301" s="120"/>
      <c r="LD301" s="210"/>
      <c r="LE301" s="210"/>
      <c r="LF301" s="210"/>
      <c r="LG301" s="210"/>
      <c r="LH301" s="210"/>
      <c r="LI301" s="210"/>
      <c r="LJ301" s="210"/>
      <c r="LK301" s="210"/>
      <c r="LL301" s="210"/>
      <c r="LM301" s="210"/>
      <c r="LN301" s="210"/>
      <c r="LO301" s="210"/>
      <c r="LP301" s="210"/>
      <c r="LQ301" s="210"/>
      <c r="LR301" s="210"/>
      <c r="OB301" s="120"/>
      <c r="OI301" s="210"/>
      <c r="OJ301" s="210"/>
      <c r="OK301" s="210"/>
      <c r="OL301" s="210"/>
      <c r="OM301" s="210"/>
      <c r="ON301" s="210"/>
      <c r="OO301" s="210"/>
      <c r="OP301" s="210"/>
      <c r="OQ301" s="210"/>
      <c r="OR301" s="210"/>
      <c r="OS301" s="210"/>
      <c r="OT301" s="210"/>
      <c r="OU301" s="210"/>
      <c r="OV301" s="210"/>
      <c r="OW301" s="210"/>
      <c r="RG301" s="120"/>
    </row>
    <row r="302" spans="1:475" x14ac:dyDescent="0.3">
      <c r="A302" s="7">
        <v>33</v>
      </c>
      <c r="B302" s="7">
        <v>292</v>
      </c>
      <c r="C302" s="7" t="s">
        <v>346</v>
      </c>
      <c r="D302" s="7" t="s">
        <v>410</v>
      </c>
      <c r="E302" s="7" t="s">
        <v>401</v>
      </c>
      <c r="F302" s="7" t="s">
        <v>274</v>
      </c>
      <c r="G302" s="41" t="str">
        <f t="shared" si="47"/>
        <v>X</v>
      </c>
      <c r="H302" s="41">
        <f>INDEX(환산공식!CI$16:CI$301,MATCH('배치점수 계산기'!$W302,환산공식!$A$16:$A$301,0))</f>
        <v>120</v>
      </c>
      <c r="I302" s="41" t="str">
        <f>CONCATENATE(ROUND(INDEX(환산공식!CJ$16:CJ$301,MATCH('배치점수 계산기'!$W302,환산공식!$A$16:$A$301,0)),1),"%")</f>
        <v>100%</v>
      </c>
      <c r="J302" s="41">
        <f>INDEX(환산공식!CK$16:CK$301,MATCH('배치점수 계산기'!$W302,환산공식!$A$16:$A$301,0))</f>
        <v>40</v>
      </c>
      <c r="K302" s="7">
        <f>INDEX(환산공식!$EF$16:$EF$301,MATCH('배치점수 계산기'!W302,환산공식!$A$16:$A$301,0))</f>
        <v>0</v>
      </c>
      <c r="L302" s="41" t="str">
        <f t="shared" si="45"/>
        <v>1% 이하</v>
      </c>
      <c r="M302" s="7">
        <v>557.31799999999998</v>
      </c>
      <c r="N302" s="7">
        <v>555.51725067385439</v>
      </c>
      <c r="O302" s="7">
        <v>554.029</v>
      </c>
      <c r="P302" s="7">
        <v>553.495</v>
      </c>
      <c r="Q302" s="7">
        <v>552.75757948996204</v>
      </c>
      <c r="R302" s="7">
        <f t="shared" si="46"/>
        <v>6</v>
      </c>
      <c r="T302" s="7">
        <f>COUNTIF($C$11:C302,C302)</f>
        <v>95</v>
      </c>
      <c r="U302" s="7" t="str">
        <f t="shared" si="48"/>
        <v>나95</v>
      </c>
      <c r="V302" s="7" t="str">
        <f>INDEX(환산공식!$C$16:$C$301,MATCH('배치점수 계산기'!W302,환산공식!$A$16:$A$301,0))</f>
        <v>경희 자연</v>
      </c>
      <c r="W302" s="7">
        <f t="shared" si="49"/>
        <v>33</v>
      </c>
      <c r="X302" s="7">
        <f t="shared" si="50"/>
        <v>1</v>
      </c>
      <c r="Y302" s="7">
        <f>IFERROR(INDEX(환산공식!Q$16:Q$200,MATCH($A302,환산공식!$A$16:$A$200,0)),"")</f>
        <v>0.8</v>
      </c>
      <c r="Z302" s="7">
        <f>IFERROR(INDEX(환산공식!R$16:R$200,MATCH($A302,환산공식!$A$16:$A$200,0)),"")</f>
        <v>1.4</v>
      </c>
      <c r="AA302" s="7">
        <f>IFERROR(INDEX(환산공식!U$16:U$200,MATCH($A302,환산공식!$A$16:$A$200,0)),"")</f>
        <v>1</v>
      </c>
      <c r="AB302" s="7">
        <f t="shared" si="51"/>
        <v>0.25</v>
      </c>
      <c r="AC302" s="7">
        <f t="shared" si="52"/>
        <v>0.43749999999999994</v>
      </c>
      <c r="AD302" s="7">
        <f t="shared" si="53"/>
        <v>0.3125</v>
      </c>
      <c r="AE302" s="7">
        <f>INDEX(환산공식!$AF$16:$AF$301,MATCH('배치점수 계산기'!W302,환산공식!$A$16:$A$301,0))</f>
        <v>1</v>
      </c>
      <c r="AF302" s="7">
        <f>INDEX(환산공식!$AP$16:$AP$301,MATCH('배치점수 계산기'!W302,환산공식!$A$16:$A$301,0))</f>
        <v>4</v>
      </c>
      <c r="AG302" s="7" t="str">
        <f t="shared" si="54"/>
        <v>표점</v>
      </c>
      <c r="AH302" s="7" t="str">
        <f t="shared" si="55"/>
        <v>변표</v>
      </c>
      <c r="BO302" s="210"/>
      <c r="BP302" s="210"/>
      <c r="BQ302" s="210"/>
      <c r="BR302" s="210"/>
      <c r="BS302" s="210"/>
      <c r="BT302" s="210"/>
      <c r="BU302" s="210"/>
      <c r="BV302" s="210"/>
      <c r="BW302" s="210"/>
      <c r="BX302" s="210"/>
      <c r="BY302" s="210"/>
      <c r="BZ302" s="210"/>
      <c r="CA302" s="210"/>
      <c r="CB302" s="210"/>
      <c r="CC302" s="210"/>
      <c r="EM302" s="120"/>
      <c r="ET302" s="210"/>
      <c r="EU302" s="210"/>
      <c r="EV302" s="210"/>
      <c r="EW302" s="210"/>
      <c r="EX302" s="210"/>
      <c r="EY302" s="210"/>
      <c r="EZ302" s="210"/>
      <c r="FA302" s="210"/>
      <c r="FB302" s="210"/>
      <c r="FC302" s="210"/>
      <c r="FD302" s="210"/>
      <c r="FE302" s="210"/>
      <c r="FF302" s="210"/>
      <c r="FG302" s="210"/>
      <c r="FH302" s="210"/>
      <c r="HR302" s="120"/>
      <c r="HY302" s="210"/>
      <c r="HZ302" s="210"/>
      <c r="IA302" s="210"/>
      <c r="IB302" s="210"/>
      <c r="IC302" s="210"/>
      <c r="ID302" s="210"/>
      <c r="IE302" s="210"/>
      <c r="IF302" s="210"/>
      <c r="IG302" s="210"/>
      <c r="IH302" s="210"/>
      <c r="II302" s="210"/>
      <c r="IJ302" s="210"/>
      <c r="IK302" s="210"/>
      <c r="IL302" s="210"/>
      <c r="IM302" s="210"/>
      <c r="KW302" s="120"/>
      <c r="LD302" s="210"/>
      <c r="LE302" s="210"/>
      <c r="LF302" s="210"/>
      <c r="LG302" s="210"/>
      <c r="LH302" s="210"/>
      <c r="LI302" s="210"/>
      <c r="LJ302" s="210"/>
      <c r="LK302" s="210"/>
      <c r="LL302" s="210"/>
      <c r="LM302" s="210"/>
      <c r="LN302" s="210"/>
      <c r="LO302" s="210"/>
      <c r="LP302" s="210"/>
      <c r="LQ302" s="210"/>
      <c r="LR302" s="210"/>
      <c r="OB302" s="120"/>
      <c r="OI302" s="210"/>
      <c r="OJ302" s="210"/>
      <c r="OK302" s="210"/>
      <c r="OL302" s="210"/>
      <c r="OM302" s="210"/>
      <c r="ON302" s="210"/>
      <c r="OO302" s="210"/>
      <c r="OP302" s="210"/>
      <c r="OQ302" s="210"/>
      <c r="OR302" s="210"/>
      <c r="OS302" s="210"/>
      <c r="OT302" s="210"/>
      <c r="OU302" s="210"/>
      <c r="OV302" s="210"/>
      <c r="OW302" s="210"/>
      <c r="RG302" s="120"/>
    </row>
    <row r="303" spans="1:475" x14ac:dyDescent="0.3">
      <c r="A303" s="7">
        <v>33</v>
      </c>
      <c r="B303" s="7">
        <v>293</v>
      </c>
      <c r="C303" s="7" t="s">
        <v>346</v>
      </c>
      <c r="D303" s="7" t="s">
        <v>410</v>
      </c>
      <c r="E303" s="7" t="s">
        <v>402</v>
      </c>
      <c r="F303" s="7" t="s">
        <v>274</v>
      </c>
      <c r="G303" s="41" t="str">
        <f t="shared" si="47"/>
        <v>X</v>
      </c>
      <c r="H303" s="41">
        <f>INDEX(환산공식!CI$16:CI$301,MATCH('배치점수 계산기'!$W303,환산공식!$A$16:$A$301,0))</f>
        <v>120</v>
      </c>
      <c r="I303" s="41" t="str">
        <f>CONCATENATE(ROUND(INDEX(환산공식!CJ$16:CJ$301,MATCH('배치점수 계산기'!$W303,환산공식!$A$16:$A$301,0)),1),"%")</f>
        <v>100%</v>
      </c>
      <c r="J303" s="41">
        <f>INDEX(환산공식!CK$16:CK$301,MATCH('배치점수 계산기'!$W303,환산공식!$A$16:$A$301,0))</f>
        <v>40</v>
      </c>
      <c r="K303" s="7">
        <f>INDEX(환산공식!$EF$16:$EF$301,MATCH('배치점수 계산기'!W303,환산공식!$A$16:$A$301,0))</f>
        <v>0</v>
      </c>
      <c r="L303" s="41" t="str">
        <f t="shared" si="45"/>
        <v>1% 이하</v>
      </c>
      <c r="M303" s="7">
        <v>559.04468875233772</v>
      </c>
      <c r="N303" s="7">
        <v>558.47731158063652</v>
      </c>
      <c r="O303" s="7">
        <v>557.01799999999992</v>
      </c>
      <c r="P303" s="7">
        <v>555.51725067385439</v>
      </c>
      <c r="Q303" s="7">
        <v>554.029</v>
      </c>
      <c r="R303" s="7">
        <f t="shared" si="46"/>
        <v>6</v>
      </c>
      <c r="T303" s="7">
        <f>COUNTIF($C$11:C303,C303)</f>
        <v>96</v>
      </c>
      <c r="U303" s="7" t="str">
        <f t="shared" si="48"/>
        <v>나96</v>
      </c>
      <c r="V303" s="7" t="str">
        <f>INDEX(환산공식!$C$16:$C$301,MATCH('배치점수 계산기'!W303,환산공식!$A$16:$A$301,0))</f>
        <v>경희 자연</v>
      </c>
      <c r="W303" s="7">
        <f t="shared" si="49"/>
        <v>33</v>
      </c>
      <c r="X303" s="7">
        <f t="shared" si="50"/>
        <v>1</v>
      </c>
      <c r="Y303" s="7">
        <f>IFERROR(INDEX(환산공식!Q$16:Q$200,MATCH($A303,환산공식!$A$16:$A$200,0)),"")</f>
        <v>0.8</v>
      </c>
      <c r="Z303" s="7">
        <f>IFERROR(INDEX(환산공식!R$16:R$200,MATCH($A303,환산공식!$A$16:$A$200,0)),"")</f>
        <v>1.4</v>
      </c>
      <c r="AA303" s="7">
        <f>IFERROR(INDEX(환산공식!U$16:U$200,MATCH($A303,환산공식!$A$16:$A$200,0)),"")</f>
        <v>1</v>
      </c>
      <c r="AB303" s="7">
        <f t="shared" si="51"/>
        <v>0.25</v>
      </c>
      <c r="AC303" s="7">
        <f t="shared" si="52"/>
        <v>0.43749999999999994</v>
      </c>
      <c r="AD303" s="7">
        <f t="shared" si="53"/>
        <v>0.3125</v>
      </c>
      <c r="AE303" s="7">
        <f>INDEX(환산공식!$AF$16:$AF$301,MATCH('배치점수 계산기'!W303,환산공식!$A$16:$A$301,0))</f>
        <v>1</v>
      </c>
      <c r="AF303" s="7">
        <f>INDEX(환산공식!$AP$16:$AP$301,MATCH('배치점수 계산기'!W303,환산공식!$A$16:$A$301,0))</f>
        <v>4</v>
      </c>
      <c r="AG303" s="7" t="str">
        <f t="shared" si="54"/>
        <v>표점</v>
      </c>
      <c r="AH303" s="7" t="str">
        <f t="shared" si="55"/>
        <v>변표</v>
      </c>
      <c r="BO303" s="210"/>
      <c r="BP303" s="210"/>
      <c r="BQ303" s="210"/>
      <c r="BR303" s="210"/>
      <c r="BS303" s="210"/>
      <c r="BT303" s="210"/>
      <c r="BU303" s="210"/>
      <c r="BV303" s="210"/>
      <c r="BW303" s="210"/>
      <c r="BX303" s="210"/>
      <c r="BY303" s="210"/>
      <c r="BZ303" s="210"/>
      <c r="CA303" s="210"/>
      <c r="CB303" s="210"/>
      <c r="CC303" s="210"/>
      <c r="EM303" s="120"/>
      <c r="ET303" s="210"/>
      <c r="EU303" s="210"/>
      <c r="EV303" s="210"/>
      <c r="EW303" s="210"/>
      <c r="EX303" s="210"/>
      <c r="EY303" s="210"/>
      <c r="EZ303" s="210"/>
      <c r="FA303" s="210"/>
      <c r="FB303" s="210"/>
      <c r="FC303" s="210"/>
      <c r="FD303" s="210"/>
      <c r="FE303" s="210"/>
      <c r="FF303" s="210"/>
      <c r="FG303" s="210"/>
      <c r="FH303" s="210"/>
      <c r="HR303" s="120"/>
      <c r="HY303" s="210"/>
      <c r="HZ303" s="210"/>
      <c r="IA303" s="210"/>
      <c r="IB303" s="210"/>
      <c r="IC303" s="210"/>
      <c r="ID303" s="210"/>
      <c r="IE303" s="210"/>
      <c r="IF303" s="210"/>
      <c r="IG303" s="210"/>
      <c r="IH303" s="210"/>
      <c r="II303" s="210"/>
      <c r="IJ303" s="210"/>
      <c r="IK303" s="210"/>
      <c r="IL303" s="210"/>
      <c r="IM303" s="210"/>
      <c r="KW303" s="120"/>
      <c r="LD303" s="210"/>
      <c r="LE303" s="210"/>
      <c r="LF303" s="210"/>
      <c r="LG303" s="210"/>
      <c r="LH303" s="210"/>
      <c r="LI303" s="210"/>
      <c r="LJ303" s="210"/>
      <c r="LK303" s="210"/>
      <c r="LL303" s="210"/>
      <c r="LM303" s="210"/>
      <c r="LN303" s="210"/>
      <c r="LO303" s="210"/>
      <c r="LP303" s="210"/>
      <c r="LQ303" s="210"/>
      <c r="LR303" s="210"/>
      <c r="OB303" s="120"/>
      <c r="OI303" s="210"/>
      <c r="OJ303" s="210"/>
      <c r="OK303" s="210"/>
      <c r="OL303" s="210"/>
      <c r="OM303" s="210"/>
      <c r="ON303" s="210"/>
      <c r="OO303" s="210"/>
      <c r="OP303" s="210"/>
      <c r="OQ303" s="210"/>
      <c r="OR303" s="210"/>
      <c r="OS303" s="210"/>
      <c r="OT303" s="210"/>
      <c r="OU303" s="210"/>
      <c r="OV303" s="210"/>
      <c r="OW303" s="210"/>
      <c r="RG303" s="120"/>
    </row>
    <row r="304" spans="1:475" x14ac:dyDescent="0.3">
      <c r="A304" s="7">
        <v>33</v>
      </c>
      <c r="B304" s="7">
        <v>294</v>
      </c>
      <c r="C304" s="7" t="s">
        <v>346</v>
      </c>
      <c r="D304" s="7" t="s">
        <v>410</v>
      </c>
      <c r="E304" s="7" t="s">
        <v>403</v>
      </c>
      <c r="F304" s="7" t="s">
        <v>274</v>
      </c>
      <c r="G304" s="41" t="str">
        <f t="shared" si="47"/>
        <v>X</v>
      </c>
      <c r="H304" s="41">
        <f>INDEX(환산공식!CI$16:CI$301,MATCH('배치점수 계산기'!$W304,환산공식!$A$16:$A$301,0))</f>
        <v>120</v>
      </c>
      <c r="I304" s="41" t="str">
        <f>CONCATENATE(ROUND(INDEX(환산공식!CJ$16:CJ$301,MATCH('배치점수 계산기'!$W304,환산공식!$A$16:$A$301,0)),1),"%")</f>
        <v>100%</v>
      </c>
      <c r="J304" s="41">
        <f>INDEX(환산공식!CK$16:CK$301,MATCH('배치점수 계산기'!$W304,환산공식!$A$16:$A$301,0))</f>
        <v>40</v>
      </c>
      <c r="K304" s="7">
        <f>INDEX(환산공식!$EF$16:$EF$301,MATCH('배치점수 계산기'!W304,환산공식!$A$16:$A$301,0))</f>
        <v>0</v>
      </c>
      <c r="L304" s="41" t="str">
        <f t="shared" si="45"/>
        <v>1% 이하</v>
      </c>
      <c r="M304" s="7">
        <v>556.79099999999994</v>
      </c>
      <c r="N304" s="7">
        <v>554.56100000000004</v>
      </c>
      <c r="O304" s="7">
        <v>553.495</v>
      </c>
      <c r="P304" s="7">
        <v>552.38300000000004</v>
      </c>
      <c r="Q304" s="7">
        <v>551.69443921675281</v>
      </c>
      <c r="R304" s="7">
        <f t="shared" si="46"/>
        <v>6</v>
      </c>
      <c r="T304" s="7">
        <f>COUNTIF($C$11:C304,C304)</f>
        <v>97</v>
      </c>
      <c r="U304" s="7" t="str">
        <f t="shared" si="48"/>
        <v>나97</v>
      </c>
      <c r="V304" s="7" t="str">
        <f>INDEX(환산공식!$C$16:$C$301,MATCH('배치점수 계산기'!W304,환산공식!$A$16:$A$301,0))</f>
        <v>경희 자연</v>
      </c>
      <c r="W304" s="7">
        <f t="shared" si="49"/>
        <v>33</v>
      </c>
      <c r="X304" s="7">
        <f t="shared" si="50"/>
        <v>1</v>
      </c>
      <c r="Y304" s="7">
        <f>IFERROR(INDEX(환산공식!Q$16:Q$200,MATCH($A304,환산공식!$A$16:$A$200,0)),"")</f>
        <v>0.8</v>
      </c>
      <c r="Z304" s="7">
        <f>IFERROR(INDEX(환산공식!R$16:R$200,MATCH($A304,환산공식!$A$16:$A$200,0)),"")</f>
        <v>1.4</v>
      </c>
      <c r="AA304" s="7">
        <f>IFERROR(INDEX(환산공식!U$16:U$200,MATCH($A304,환산공식!$A$16:$A$200,0)),"")</f>
        <v>1</v>
      </c>
      <c r="AB304" s="7">
        <f t="shared" si="51"/>
        <v>0.25</v>
      </c>
      <c r="AC304" s="7">
        <f t="shared" si="52"/>
        <v>0.43749999999999994</v>
      </c>
      <c r="AD304" s="7">
        <f t="shared" si="53"/>
        <v>0.3125</v>
      </c>
      <c r="AE304" s="7">
        <f>INDEX(환산공식!$AF$16:$AF$301,MATCH('배치점수 계산기'!W304,환산공식!$A$16:$A$301,0))</f>
        <v>1</v>
      </c>
      <c r="AF304" s="7">
        <f>INDEX(환산공식!$AP$16:$AP$301,MATCH('배치점수 계산기'!W304,환산공식!$A$16:$A$301,0))</f>
        <v>4</v>
      </c>
      <c r="AG304" s="7" t="str">
        <f t="shared" si="54"/>
        <v>표점</v>
      </c>
      <c r="AH304" s="7" t="str">
        <f t="shared" si="55"/>
        <v>변표</v>
      </c>
      <c r="BO304" s="210"/>
      <c r="BP304" s="210"/>
      <c r="BQ304" s="210"/>
      <c r="BR304" s="210"/>
      <c r="BS304" s="210"/>
      <c r="BT304" s="210"/>
      <c r="BU304" s="210"/>
      <c r="BV304" s="210"/>
      <c r="BW304" s="210"/>
      <c r="BX304" s="210"/>
      <c r="BY304" s="210"/>
      <c r="BZ304" s="210"/>
      <c r="CA304" s="210"/>
      <c r="CB304" s="210"/>
      <c r="CC304" s="210"/>
      <c r="EM304" s="120"/>
      <c r="ET304" s="210"/>
      <c r="EU304" s="210"/>
      <c r="EV304" s="210"/>
      <c r="EW304" s="210"/>
      <c r="EX304" s="210"/>
      <c r="EY304" s="210"/>
      <c r="EZ304" s="210"/>
      <c r="FA304" s="210"/>
      <c r="FB304" s="210"/>
      <c r="FC304" s="210"/>
      <c r="FD304" s="210"/>
      <c r="FE304" s="210"/>
      <c r="FF304" s="210"/>
      <c r="FG304" s="210"/>
      <c r="FH304" s="210"/>
      <c r="HR304" s="120"/>
      <c r="HY304" s="210"/>
      <c r="HZ304" s="210"/>
      <c r="IA304" s="210"/>
      <c r="IB304" s="210"/>
      <c r="IC304" s="210"/>
      <c r="ID304" s="210"/>
      <c r="IE304" s="210"/>
      <c r="IF304" s="210"/>
      <c r="IG304" s="210"/>
      <c r="IH304" s="210"/>
      <c r="II304" s="210"/>
      <c r="IJ304" s="210"/>
      <c r="IK304" s="210"/>
      <c r="IL304" s="210"/>
      <c r="IM304" s="210"/>
      <c r="KW304" s="120"/>
      <c r="LD304" s="210"/>
      <c r="LE304" s="210"/>
      <c r="LF304" s="210"/>
      <c r="LG304" s="210"/>
      <c r="LH304" s="210"/>
      <c r="LI304" s="210"/>
      <c r="LJ304" s="210"/>
      <c r="LK304" s="210"/>
      <c r="LL304" s="210"/>
      <c r="LM304" s="210"/>
      <c r="LN304" s="210"/>
      <c r="LO304" s="210"/>
      <c r="LP304" s="210"/>
      <c r="LQ304" s="210"/>
      <c r="LR304" s="210"/>
      <c r="OB304" s="120"/>
      <c r="OI304" s="210"/>
      <c r="OJ304" s="210"/>
      <c r="OK304" s="210"/>
      <c r="OL304" s="210"/>
      <c r="OM304" s="210"/>
      <c r="ON304" s="210"/>
      <c r="OO304" s="210"/>
      <c r="OP304" s="210"/>
      <c r="OQ304" s="210"/>
      <c r="OR304" s="210"/>
      <c r="OS304" s="210"/>
      <c r="OT304" s="210"/>
      <c r="OU304" s="210"/>
      <c r="OV304" s="210"/>
      <c r="OW304" s="210"/>
      <c r="RG304" s="120"/>
    </row>
    <row r="305" spans="1:475" x14ac:dyDescent="0.3">
      <c r="A305" s="7">
        <v>33</v>
      </c>
      <c r="B305" s="7">
        <v>295</v>
      </c>
      <c r="C305" s="7" t="s">
        <v>346</v>
      </c>
      <c r="D305" s="7" t="s">
        <v>410</v>
      </c>
      <c r="E305" s="7" t="s">
        <v>404</v>
      </c>
      <c r="F305" s="7" t="s">
        <v>274</v>
      </c>
      <c r="G305" s="41" t="str">
        <f t="shared" si="47"/>
        <v>X</v>
      </c>
      <c r="H305" s="41">
        <f>INDEX(환산공식!CI$16:CI$301,MATCH('배치점수 계산기'!$W305,환산공식!$A$16:$A$301,0))</f>
        <v>120</v>
      </c>
      <c r="I305" s="41" t="str">
        <f>CONCATENATE(ROUND(INDEX(환산공식!CJ$16:CJ$301,MATCH('배치점수 계산기'!$W305,환산공식!$A$16:$A$301,0)),1),"%")</f>
        <v>100%</v>
      </c>
      <c r="J305" s="41">
        <f>INDEX(환산공식!CK$16:CK$301,MATCH('배치점수 계산기'!$W305,환산공식!$A$16:$A$301,0))</f>
        <v>40</v>
      </c>
      <c r="K305" s="7">
        <f>INDEX(환산공식!$EF$16:$EF$301,MATCH('배치점수 계산기'!W305,환산공식!$A$16:$A$301,0))</f>
        <v>0</v>
      </c>
      <c r="L305" s="41" t="str">
        <f t="shared" si="45"/>
        <v>1% 이하</v>
      </c>
      <c r="M305" s="7">
        <v>556.79099999999994</v>
      </c>
      <c r="N305" s="7">
        <v>554.56100000000004</v>
      </c>
      <c r="O305" s="7">
        <v>553.495</v>
      </c>
      <c r="P305" s="7">
        <v>552.38300000000004</v>
      </c>
      <c r="Q305" s="7">
        <v>551.69443921675281</v>
      </c>
      <c r="R305" s="7">
        <f t="shared" si="46"/>
        <v>6</v>
      </c>
      <c r="T305" s="7">
        <f>COUNTIF($C$11:C305,C305)</f>
        <v>98</v>
      </c>
      <c r="U305" s="7" t="str">
        <f t="shared" si="48"/>
        <v>나98</v>
      </c>
      <c r="V305" s="7" t="str">
        <f>INDEX(환산공식!$C$16:$C$301,MATCH('배치점수 계산기'!W305,환산공식!$A$16:$A$301,0))</f>
        <v>경희 자연</v>
      </c>
      <c r="W305" s="7">
        <f t="shared" si="49"/>
        <v>33</v>
      </c>
      <c r="X305" s="7">
        <f t="shared" si="50"/>
        <v>1</v>
      </c>
      <c r="Y305" s="7">
        <f>IFERROR(INDEX(환산공식!Q$16:Q$200,MATCH($A305,환산공식!$A$16:$A$200,0)),"")</f>
        <v>0.8</v>
      </c>
      <c r="Z305" s="7">
        <f>IFERROR(INDEX(환산공식!R$16:R$200,MATCH($A305,환산공식!$A$16:$A$200,0)),"")</f>
        <v>1.4</v>
      </c>
      <c r="AA305" s="7">
        <f>IFERROR(INDEX(환산공식!U$16:U$200,MATCH($A305,환산공식!$A$16:$A$200,0)),"")</f>
        <v>1</v>
      </c>
      <c r="AB305" s="7">
        <f t="shared" si="51"/>
        <v>0.25</v>
      </c>
      <c r="AC305" s="7">
        <f t="shared" si="52"/>
        <v>0.43749999999999994</v>
      </c>
      <c r="AD305" s="7">
        <f t="shared" si="53"/>
        <v>0.3125</v>
      </c>
      <c r="AE305" s="7">
        <f>INDEX(환산공식!$AF$16:$AF$301,MATCH('배치점수 계산기'!W305,환산공식!$A$16:$A$301,0))</f>
        <v>1</v>
      </c>
      <c r="AF305" s="7">
        <f>INDEX(환산공식!$AP$16:$AP$301,MATCH('배치점수 계산기'!W305,환산공식!$A$16:$A$301,0))</f>
        <v>4</v>
      </c>
      <c r="AG305" s="7" t="str">
        <f t="shared" si="54"/>
        <v>표점</v>
      </c>
      <c r="AH305" s="7" t="str">
        <f t="shared" si="55"/>
        <v>변표</v>
      </c>
      <c r="BO305" s="210"/>
      <c r="BP305" s="210"/>
      <c r="BQ305" s="210"/>
      <c r="BR305" s="210"/>
      <c r="BS305" s="210"/>
      <c r="BT305" s="210"/>
      <c r="BU305" s="210"/>
      <c r="BV305" s="210"/>
      <c r="BW305" s="210"/>
      <c r="BX305" s="210"/>
      <c r="BY305" s="210"/>
      <c r="BZ305" s="210"/>
      <c r="CA305" s="210"/>
      <c r="CB305" s="210"/>
      <c r="CC305" s="210"/>
      <c r="EM305" s="120"/>
      <c r="ET305" s="210"/>
      <c r="EU305" s="210"/>
      <c r="EV305" s="210"/>
      <c r="EW305" s="210"/>
      <c r="EX305" s="210"/>
      <c r="EY305" s="210"/>
      <c r="EZ305" s="210"/>
      <c r="FA305" s="210"/>
      <c r="FB305" s="210"/>
      <c r="FC305" s="210"/>
      <c r="FD305" s="210"/>
      <c r="FE305" s="210"/>
      <c r="FF305" s="210"/>
      <c r="FG305" s="210"/>
      <c r="FH305" s="210"/>
      <c r="HR305" s="120"/>
      <c r="HY305" s="210"/>
      <c r="HZ305" s="210"/>
      <c r="IA305" s="210"/>
      <c r="IB305" s="210"/>
      <c r="IC305" s="210"/>
      <c r="ID305" s="210"/>
      <c r="IE305" s="210"/>
      <c r="IF305" s="210"/>
      <c r="IG305" s="210"/>
      <c r="IH305" s="210"/>
      <c r="II305" s="210"/>
      <c r="IJ305" s="210"/>
      <c r="IK305" s="210"/>
      <c r="IL305" s="210"/>
      <c r="IM305" s="210"/>
      <c r="KW305" s="120"/>
      <c r="LD305" s="210"/>
      <c r="LE305" s="210"/>
      <c r="LF305" s="210"/>
      <c r="LG305" s="210"/>
      <c r="LH305" s="210"/>
      <c r="LI305" s="210"/>
      <c r="LJ305" s="210"/>
      <c r="LK305" s="210"/>
      <c r="LL305" s="210"/>
      <c r="LM305" s="210"/>
      <c r="LN305" s="210"/>
      <c r="LO305" s="210"/>
      <c r="LP305" s="210"/>
      <c r="LQ305" s="210"/>
      <c r="LR305" s="210"/>
      <c r="OB305" s="120"/>
      <c r="OI305" s="210"/>
      <c r="OJ305" s="210"/>
      <c r="OK305" s="210"/>
      <c r="OL305" s="210"/>
      <c r="OM305" s="210"/>
      <c r="ON305" s="210"/>
      <c r="OO305" s="210"/>
      <c r="OP305" s="210"/>
      <c r="OQ305" s="210"/>
      <c r="OR305" s="210"/>
      <c r="OS305" s="210"/>
      <c r="OT305" s="210"/>
      <c r="OU305" s="210"/>
      <c r="OV305" s="210"/>
      <c r="OW305" s="210"/>
      <c r="RG305" s="120"/>
    </row>
    <row r="306" spans="1:475" x14ac:dyDescent="0.3">
      <c r="A306" s="7">
        <v>33</v>
      </c>
      <c r="B306" s="7">
        <v>296</v>
      </c>
      <c r="C306" s="7" t="s">
        <v>346</v>
      </c>
      <c r="D306" s="7" t="s">
        <v>410</v>
      </c>
      <c r="E306" s="7" t="s">
        <v>405</v>
      </c>
      <c r="F306" s="7" t="s">
        <v>274</v>
      </c>
      <c r="G306" s="41" t="str">
        <f t="shared" si="47"/>
        <v>X</v>
      </c>
      <c r="H306" s="41">
        <f>INDEX(환산공식!CI$16:CI$301,MATCH('배치점수 계산기'!$W306,환산공식!$A$16:$A$301,0))</f>
        <v>120</v>
      </c>
      <c r="I306" s="41" t="str">
        <f>CONCATENATE(ROUND(INDEX(환산공식!CJ$16:CJ$301,MATCH('배치점수 계산기'!$W306,환산공식!$A$16:$A$301,0)),1),"%")</f>
        <v>100%</v>
      </c>
      <c r="J306" s="41">
        <f>INDEX(환산공식!CK$16:CK$301,MATCH('배치점수 계산기'!$W306,환산공식!$A$16:$A$301,0))</f>
        <v>40</v>
      </c>
      <c r="K306" s="7">
        <f>INDEX(환산공식!$EF$16:$EF$301,MATCH('배치점수 계산기'!W306,환산공식!$A$16:$A$301,0))</f>
        <v>0</v>
      </c>
      <c r="L306" s="41" t="str">
        <f t="shared" si="45"/>
        <v>1% 이하</v>
      </c>
      <c r="M306" s="7">
        <v>556.79099999999994</v>
      </c>
      <c r="N306" s="7">
        <v>554.56100000000004</v>
      </c>
      <c r="O306" s="7">
        <v>553.495</v>
      </c>
      <c r="P306" s="7">
        <v>552.38300000000004</v>
      </c>
      <c r="Q306" s="7">
        <v>551.69443921675281</v>
      </c>
      <c r="R306" s="7">
        <f t="shared" si="46"/>
        <v>6</v>
      </c>
      <c r="T306" s="7">
        <f>COUNTIF($C$11:C306,C306)</f>
        <v>99</v>
      </c>
      <c r="U306" s="7" t="str">
        <f t="shared" si="48"/>
        <v>나99</v>
      </c>
      <c r="V306" s="7" t="str">
        <f>INDEX(환산공식!$C$16:$C$301,MATCH('배치점수 계산기'!W306,환산공식!$A$16:$A$301,0))</f>
        <v>경희 자연</v>
      </c>
      <c r="W306" s="7">
        <f t="shared" si="49"/>
        <v>33</v>
      </c>
      <c r="X306" s="7">
        <f t="shared" si="50"/>
        <v>1</v>
      </c>
      <c r="Y306" s="7">
        <f>IFERROR(INDEX(환산공식!Q$16:Q$200,MATCH($A306,환산공식!$A$16:$A$200,0)),"")</f>
        <v>0.8</v>
      </c>
      <c r="Z306" s="7">
        <f>IFERROR(INDEX(환산공식!R$16:R$200,MATCH($A306,환산공식!$A$16:$A$200,0)),"")</f>
        <v>1.4</v>
      </c>
      <c r="AA306" s="7">
        <f>IFERROR(INDEX(환산공식!U$16:U$200,MATCH($A306,환산공식!$A$16:$A$200,0)),"")</f>
        <v>1</v>
      </c>
      <c r="AB306" s="7">
        <f t="shared" si="51"/>
        <v>0.25</v>
      </c>
      <c r="AC306" s="7">
        <f t="shared" si="52"/>
        <v>0.43749999999999994</v>
      </c>
      <c r="AD306" s="7">
        <f t="shared" si="53"/>
        <v>0.3125</v>
      </c>
      <c r="AE306" s="7">
        <f>INDEX(환산공식!$AF$16:$AF$301,MATCH('배치점수 계산기'!W306,환산공식!$A$16:$A$301,0))</f>
        <v>1</v>
      </c>
      <c r="AF306" s="7">
        <f>INDEX(환산공식!$AP$16:$AP$301,MATCH('배치점수 계산기'!W306,환산공식!$A$16:$A$301,0))</f>
        <v>4</v>
      </c>
      <c r="AG306" s="7" t="str">
        <f t="shared" si="54"/>
        <v>표점</v>
      </c>
      <c r="AH306" s="7" t="str">
        <f t="shared" si="55"/>
        <v>변표</v>
      </c>
      <c r="BO306" s="210"/>
      <c r="BP306" s="210"/>
      <c r="BQ306" s="210"/>
      <c r="BR306" s="210"/>
      <c r="BS306" s="210"/>
      <c r="BT306" s="210"/>
      <c r="BU306" s="210"/>
      <c r="BV306" s="210"/>
      <c r="BW306" s="210"/>
      <c r="BX306" s="210"/>
      <c r="BY306" s="210"/>
      <c r="BZ306" s="210"/>
      <c r="CA306" s="210"/>
      <c r="CB306" s="210"/>
      <c r="CC306" s="210"/>
      <c r="EM306" s="120"/>
      <c r="ET306" s="210"/>
      <c r="EU306" s="210"/>
      <c r="EV306" s="210"/>
      <c r="EW306" s="210"/>
      <c r="EX306" s="210"/>
      <c r="EY306" s="210"/>
      <c r="EZ306" s="210"/>
      <c r="FA306" s="210"/>
      <c r="FB306" s="210"/>
      <c r="FC306" s="210"/>
      <c r="FD306" s="210"/>
      <c r="FE306" s="210"/>
      <c r="FF306" s="210"/>
      <c r="FG306" s="210"/>
      <c r="FH306" s="210"/>
      <c r="HR306" s="120"/>
      <c r="HY306" s="210"/>
      <c r="HZ306" s="210"/>
      <c r="IA306" s="210"/>
      <c r="IB306" s="210"/>
      <c r="IC306" s="210"/>
      <c r="ID306" s="210"/>
      <c r="IE306" s="210"/>
      <c r="IF306" s="210"/>
      <c r="IG306" s="210"/>
      <c r="IH306" s="210"/>
      <c r="II306" s="210"/>
      <c r="IJ306" s="210"/>
      <c r="IK306" s="210"/>
      <c r="IL306" s="210"/>
      <c r="IM306" s="210"/>
      <c r="KW306" s="120"/>
      <c r="LD306" s="210"/>
      <c r="LE306" s="210"/>
      <c r="LF306" s="210"/>
      <c r="LG306" s="210"/>
      <c r="LH306" s="210"/>
      <c r="LI306" s="210"/>
      <c r="LJ306" s="210"/>
      <c r="LK306" s="210"/>
      <c r="LL306" s="210"/>
      <c r="LM306" s="210"/>
      <c r="LN306" s="210"/>
      <c r="LO306" s="210"/>
      <c r="LP306" s="210"/>
      <c r="LQ306" s="210"/>
      <c r="LR306" s="210"/>
      <c r="OB306" s="120"/>
      <c r="OI306" s="210"/>
      <c r="OJ306" s="210"/>
      <c r="OK306" s="210"/>
      <c r="OL306" s="210"/>
      <c r="OM306" s="210"/>
      <c r="ON306" s="210"/>
      <c r="OO306" s="210"/>
      <c r="OP306" s="210"/>
      <c r="OQ306" s="210"/>
      <c r="OR306" s="210"/>
      <c r="OS306" s="210"/>
      <c r="OT306" s="210"/>
      <c r="OU306" s="210"/>
      <c r="OV306" s="210"/>
      <c r="OW306" s="210"/>
      <c r="RG306" s="120"/>
    </row>
    <row r="307" spans="1:475" x14ac:dyDescent="0.3">
      <c r="A307" s="7">
        <v>33</v>
      </c>
      <c r="B307" s="7">
        <v>297</v>
      </c>
      <c r="C307" s="7" t="s">
        <v>346</v>
      </c>
      <c r="D307" s="7" t="s">
        <v>410</v>
      </c>
      <c r="E307" s="7" t="s">
        <v>406</v>
      </c>
      <c r="F307" s="7" t="s">
        <v>274</v>
      </c>
      <c r="G307" s="41" t="str">
        <f t="shared" si="47"/>
        <v>X</v>
      </c>
      <c r="H307" s="41">
        <f>INDEX(환산공식!CI$16:CI$301,MATCH('배치점수 계산기'!$W307,환산공식!$A$16:$A$301,0))</f>
        <v>120</v>
      </c>
      <c r="I307" s="41" t="str">
        <f>CONCATENATE(ROUND(INDEX(환산공식!CJ$16:CJ$301,MATCH('배치점수 계산기'!$W307,환산공식!$A$16:$A$301,0)),1),"%")</f>
        <v>100%</v>
      </c>
      <c r="J307" s="41">
        <f>INDEX(환산공식!CK$16:CK$301,MATCH('배치점수 계산기'!$W307,환산공식!$A$16:$A$301,0))</f>
        <v>40</v>
      </c>
      <c r="K307" s="7">
        <f>INDEX(환산공식!$EF$16:$EF$301,MATCH('배치점수 계산기'!W307,환산공식!$A$16:$A$301,0))</f>
        <v>0</v>
      </c>
      <c r="L307" s="41" t="str">
        <f t="shared" si="45"/>
        <v>1% 이하</v>
      </c>
      <c r="M307" s="7">
        <v>556.79099999999994</v>
      </c>
      <c r="N307" s="7">
        <v>554.56100000000004</v>
      </c>
      <c r="O307" s="7">
        <v>553.495</v>
      </c>
      <c r="P307" s="7">
        <v>552.38300000000004</v>
      </c>
      <c r="Q307" s="7">
        <v>551.69443921675281</v>
      </c>
      <c r="R307" s="7">
        <f t="shared" si="46"/>
        <v>6</v>
      </c>
      <c r="T307" s="7">
        <f>COUNTIF($C$11:C307,C307)</f>
        <v>100</v>
      </c>
      <c r="U307" s="7" t="str">
        <f t="shared" si="48"/>
        <v>나100</v>
      </c>
      <c r="V307" s="7" t="str">
        <f>INDEX(환산공식!$C$16:$C$301,MATCH('배치점수 계산기'!W307,환산공식!$A$16:$A$301,0))</f>
        <v>경희 자연</v>
      </c>
      <c r="W307" s="7">
        <f t="shared" si="49"/>
        <v>33</v>
      </c>
      <c r="X307" s="7">
        <f t="shared" si="50"/>
        <v>1</v>
      </c>
      <c r="Y307" s="7">
        <f>IFERROR(INDEX(환산공식!Q$16:Q$200,MATCH($A307,환산공식!$A$16:$A$200,0)),"")</f>
        <v>0.8</v>
      </c>
      <c r="Z307" s="7">
        <f>IFERROR(INDEX(환산공식!R$16:R$200,MATCH($A307,환산공식!$A$16:$A$200,0)),"")</f>
        <v>1.4</v>
      </c>
      <c r="AA307" s="7">
        <f>IFERROR(INDEX(환산공식!U$16:U$200,MATCH($A307,환산공식!$A$16:$A$200,0)),"")</f>
        <v>1</v>
      </c>
      <c r="AB307" s="7">
        <f t="shared" si="51"/>
        <v>0.25</v>
      </c>
      <c r="AC307" s="7">
        <f t="shared" si="52"/>
        <v>0.43749999999999994</v>
      </c>
      <c r="AD307" s="7">
        <f t="shared" si="53"/>
        <v>0.3125</v>
      </c>
      <c r="AE307" s="7">
        <f>INDEX(환산공식!$AF$16:$AF$301,MATCH('배치점수 계산기'!W307,환산공식!$A$16:$A$301,0))</f>
        <v>1</v>
      </c>
      <c r="AF307" s="7">
        <f>INDEX(환산공식!$AP$16:$AP$301,MATCH('배치점수 계산기'!W307,환산공식!$A$16:$A$301,0))</f>
        <v>4</v>
      </c>
      <c r="AG307" s="7" t="str">
        <f t="shared" si="54"/>
        <v>표점</v>
      </c>
      <c r="AH307" s="7" t="str">
        <f t="shared" si="55"/>
        <v>변표</v>
      </c>
      <c r="BO307" s="210"/>
      <c r="BP307" s="210"/>
      <c r="BQ307" s="210"/>
      <c r="BR307" s="210"/>
      <c r="BS307" s="210"/>
      <c r="BT307" s="210"/>
      <c r="BU307" s="210"/>
      <c r="BV307" s="210"/>
      <c r="BW307" s="210"/>
      <c r="BX307" s="210"/>
      <c r="BY307" s="210"/>
      <c r="BZ307" s="210"/>
      <c r="CA307" s="210"/>
      <c r="CB307" s="210"/>
      <c r="CC307" s="210"/>
      <c r="EM307" s="120"/>
      <c r="ET307" s="210"/>
      <c r="EU307" s="210"/>
      <c r="EV307" s="210"/>
      <c r="EW307" s="210"/>
      <c r="EX307" s="210"/>
      <c r="EY307" s="210"/>
      <c r="EZ307" s="210"/>
      <c r="FA307" s="210"/>
      <c r="FB307" s="210"/>
      <c r="FC307" s="210"/>
      <c r="FD307" s="210"/>
      <c r="FE307" s="210"/>
      <c r="FF307" s="210"/>
      <c r="FG307" s="210"/>
      <c r="FH307" s="210"/>
      <c r="HR307" s="120"/>
      <c r="HY307" s="210"/>
      <c r="HZ307" s="210"/>
      <c r="IA307" s="210"/>
      <c r="IB307" s="210"/>
      <c r="IC307" s="210"/>
      <c r="ID307" s="210"/>
      <c r="IE307" s="210"/>
      <c r="IF307" s="210"/>
      <c r="IG307" s="210"/>
      <c r="IH307" s="210"/>
      <c r="II307" s="210"/>
      <c r="IJ307" s="210"/>
      <c r="IK307" s="210"/>
      <c r="IL307" s="210"/>
      <c r="IM307" s="210"/>
      <c r="KW307" s="120"/>
      <c r="LD307" s="210"/>
      <c r="LE307" s="210"/>
      <c r="LF307" s="210"/>
      <c r="LG307" s="210"/>
      <c r="LH307" s="210"/>
      <c r="LI307" s="210"/>
      <c r="LJ307" s="210"/>
      <c r="LK307" s="210"/>
      <c r="LL307" s="210"/>
      <c r="LM307" s="210"/>
      <c r="LN307" s="210"/>
      <c r="LO307" s="210"/>
      <c r="LP307" s="210"/>
      <c r="LQ307" s="210"/>
      <c r="LR307" s="210"/>
      <c r="OB307" s="120"/>
      <c r="OI307" s="210"/>
      <c r="OJ307" s="210"/>
      <c r="OK307" s="210"/>
      <c r="OL307" s="210"/>
      <c r="OM307" s="210"/>
      <c r="ON307" s="210"/>
      <c r="OO307" s="210"/>
      <c r="OP307" s="210"/>
      <c r="OQ307" s="210"/>
      <c r="OR307" s="210"/>
      <c r="OS307" s="210"/>
      <c r="OT307" s="210"/>
      <c r="OU307" s="210"/>
      <c r="OV307" s="210"/>
      <c r="OW307" s="210"/>
      <c r="RG307" s="120"/>
    </row>
    <row r="308" spans="1:475" x14ac:dyDescent="0.3">
      <c r="A308" s="7">
        <v>33</v>
      </c>
      <c r="B308" s="7">
        <v>298</v>
      </c>
      <c r="C308" s="7" t="s">
        <v>276</v>
      </c>
      <c r="D308" s="7" t="s">
        <v>380</v>
      </c>
      <c r="E308" s="7" t="s">
        <v>407</v>
      </c>
      <c r="F308" s="7" t="s">
        <v>274</v>
      </c>
      <c r="G308" s="41" t="str">
        <f t="shared" si="47"/>
        <v>X</v>
      </c>
      <c r="H308" s="41">
        <f>INDEX(환산공식!CI$16:CI$301,MATCH('배치점수 계산기'!$W308,환산공식!$A$16:$A$301,0))</f>
        <v>120</v>
      </c>
      <c r="I308" s="41" t="str">
        <f>CONCATENATE(ROUND(INDEX(환산공식!CJ$16:CJ$301,MATCH('배치점수 계산기'!$W308,환산공식!$A$16:$A$301,0)),1),"%")</f>
        <v>100%</v>
      </c>
      <c r="J308" s="41">
        <f>INDEX(환산공식!CK$16:CK$301,MATCH('배치점수 계산기'!$W308,환산공식!$A$16:$A$301,0))</f>
        <v>40</v>
      </c>
      <c r="K308" s="7">
        <f>INDEX(환산공식!$EF$16:$EF$301,MATCH('배치점수 계산기'!W308,환산공식!$A$16:$A$301,0))</f>
        <v>0</v>
      </c>
      <c r="L308" s="41" t="str">
        <f t="shared" si="45"/>
        <v>1% 이하</v>
      </c>
      <c r="M308" s="7">
        <v>567.02120440251576</v>
      </c>
      <c r="N308" s="7">
        <v>566.45999999999992</v>
      </c>
      <c r="O308" s="7">
        <v>564.2879999999999</v>
      </c>
      <c r="P308" s="7">
        <v>561.93531988319614</v>
      </c>
      <c r="Q308" s="7">
        <v>559.52468875233774</v>
      </c>
      <c r="R308" s="7">
        <f t="shared" si="46"/>
        <v>6</v>
      </c>
      <c r="T308" s="7">
        <f>COUNTIF($C$11:C308,C308)</f>
        <v>193</v>
      </c>
      <c r="U308" s="7" t="str">
        <f t="shared" si="48"/>
        <v>가193</v>
      </c>
      <c r="V308" s="7" t="str">
        <f>INDEX(환산공식!$C$16:$C$301,MATCH('배치점수 계산기'!W308,환산공식!$A$16:$A$301,0))</f>
        <v>경희 자연</v>
      </c>
      <c r="W308" s="7">
        <f t="shared" si="49"/>
        <v>33</v>
      </c>
      <c r="X308" s="7">
        <f t="shared" si="50"/>
        <v>1</v>
      </c>
      <c r="Y308" s="7">
        <f>IFERROR(INDEX(환산공식!Q$16:Q$200,MATCH($A308,환산공식!$A$16:$A$200,0)),"")</f>
        <v>0.8</v>
      </c>
      <c r="Z308" s="7">
        <f>IFERROR(INDEX(환산공식!R$16:R$200,MATCH($A308,환산공식!$A$16:$A$200,0)),"")</f>
        <v>1.4</v>
      </c>
      <c r="AA308" s="7">
        <f>IFERROR(INDEX(환산공식!U$16:U$200,MATCH($A308,환산공식!$A$16:$A$200,0)),"")</f>
        <v>1</v>
      </c>
      <c r="AB308" s="7">
        <f t="shared" si="51"/>
        <v>0.25</v>
      </c>
      <c r="AC308" s="7">
        <f t="shared" si="52"/>
        <v>0.43749999999999994</v>
      </c>
      <c r="AD308" s="7">
        <f t="shared" si="53"/>
        <v>0.3125</v>
      </c>
      <c r="AE308" s="7">
        <f>INDEX(환산공식!$AF$16:$AF$301,MATCH('배치점수 계산기'!W308,환산공식!$A$16:$A$301,0))</f>
        <v>1</v>
      </c>
      <c r="AF308" s="7">
        <f>INDEX(환산공식!$AP$16:$AP$301,MATCH('배치점수 계산기'!W308,환산공식!$A$16:$A$301,0))</f>
        <v>4</v>
      </c>
      <c r="AG308" s="7" t="str">
        <f t="shared" si="54"/>
        <v>표점</v>
      </c>
      <c r="AH308" s="7" t="str">
        <f t="shared" si="55"/>
        <v>변표</v>
      </c>
      <c r="BO308" s="210"/>
      <c r="BP308" s="210"/>
      <c r="BQ308" s="210"/>
      <c r="BR308" s="210"/>
      <c r="BS308" s="210"/>
      <c r="BT308" s="210"/>
      <c r="BU308" s="210"/>
      <c r="BV308" s="210"/>
      <c r="BW308" s="210"/>
      <c r="BX308" s="210"/>
      <c r="BY308" s="210"/>
      <c r="BZ308" s="210"/>
      <c r="CA308" s="210"/>
      <c r="CB308" s="210"/>
      <c r="CC308" s="210"/>
      <c r="EM308" s="120"/>
      <c r="ET308" s="210"/>
      <c r="EU308" s="210"/>
      <c r="EV308" s="210"/>
      <c r="EW308" s="210"/>
      <c r="EX308" s="210"/>
      <c r="EY308" s="210"/>
      <c r="EZ308" s="210"/>
      <c r="FA308" s="210"/>
      <c r="FB308" s="210"/>
      <c r="FC308" s="210"/>
      <c r="FD308" s="210"/>
      <c r="FE308" s="210"/>
      <c r="FF308" s="210"/>
      <c r="FG308" s="210"/>
      <c r="FH308" s="210"/>
      <c r="HR308" s="120"/>
      <c r="HY308" s="210"/>
      <c r="HZ308" s="210"/>
      <c r="IA308" s="210"/>
      <c r="IB308" s="210"/>
      <c r="IC308" s="210"/>
      <c r="ID308" s="210"/>
      <c r="IE308" s="210"/>
      <c r="IF308" s="210"/>
      <c r="IG308" s="210"/>
      <c r="IH308" s="210"/>
      <c r="II308" s="210"/>
      <c r="IJ308" s="210"/>
      <c r="IK308" s="210"/>
      <c r="IL308" s="210"/>
      <c r="IM308" s="210"/>
      <c r="KW308" s="120"/>
      <c r="LD308" s="210"/>
      <c r="LE308" s="210"/>
      <c r="LF308" s="210"/>
      <c r="LG308" s="210"/>
      <c r="LH308" s="210"/>
      <c r="LI308" s="210"/>
      <c r="LJ308" s="210"/>
      <c r="LK308" s="210"/>
      <c r="LL308" s="210"/>
      <c r="LM308" s="210"/>
      <c r="LN308" s="210"/>
      <c r="LO308" s="210"/>
      <c r="LP308" s="210"/>
      <c r="LQ308" s="210"/>
      <c r="LR308" s="210"/>
      <c r="OB308" s="120"/>
      <c r="OI308" s="210"/>
      <c r="OJ308" s="210"/>
      <c r="OK308" s="210"/>
      <c r="OL308" s="210"/>
      <c r="OM308" s="210"/>
      <c r="ON308" s="210"/>
      <c r="OO308" s="210"/>
      <c r="OP308" s="210"/>
      <c r="OQ308" s="210"/>
      <c r="OR308" s="210"/>
      <c r="OS308" s="210"/>
      <c r="OT308" s="210"/>
      <c r="OU308" s="210"/>
      <c r="OV308" s="210"/>
      <c r="OW308" s="210"/>
      <c r="RG308" s="120"/>
    </row>
    <row r="309" spans="1:475" x14ac:dyDescent="0.3">
      <c r="A309" s="7">
        <v>33</v>
      </c>
      <c r="B309" s="7">
        <v>299</v>
      </c>
      <c r="C309" s="7" t="s">
        <v>276</v>
      </c>
      <c r="D309" s="7" t="s">
        <v>380</v>
      </c>
      <c r="E309" s="7" t="s">
        <v>408</v>
      </c>
      <c r="F309" s="7" t="s">
        <v>274</v>
      </c>
      <c r="G309" s="41" t="str">
        <f t="shared" si="47"/>
        <v>X</v>
      </c>
      <c r="H309" s="41">
        <f>INDEX(환산공식!CI$16:CI$301,MATCH('배치점수 계산기'!$W309,환산공식!$A$16:$A$301,0))</f>
        <v>120</v>
      </c>
      <c r="I309" s="41" t="str">
        <f>CONCATENATE(ROUND(INDEX(환산공식!CJ$16:CJ$301,MATCH('배치점수 계산기'!$W309,환산공식!$A$16:$A$301,0)),1),"%")</f>
        <v>100%</v>
      </c>
      <c r="J309" s="41">
        <f>INDEX(환산공식!CK$16:CK$301,MATCH('배치점수 계산기'!$W309,환산공식!$A$16:$A$301,0))</f>
        <v>40</v>
      </c>
      <c r="K309" s="7">
        <f>INDEX(환산공식!$EF$16:$EF$301,MATCH('배치점수 계산기'!W309,환산공식!$A$16:$A$301,0))</f>
        <v>0</v>
      </c>
      <c r="L309" s="41" t="str">
        <f t="shared" si="45"/>
        <v>1% 이하</v>
      </c>
      <c r="M309" s="7">
        <v>568.24300000000005</v>
      </c>
      <c r="N309" s="7">
        <v>567.41600000000005</v>
      </c>
      <c r="O309" s="7">
        <v>566.553</v>
      </c>
      <c r="P309" s="7">
        <v>563.70367972472206</v>
      </c>
      <c r="Q309" s="7">
        <v>561.19999999999993</v>
      </c>
      <c r="R309" s="7">
        <f t="shared" si="46"/>
        <v>6</v>
      </c>
      <c r="T309" s="7">
        <f>COUNTIF($C$11:C309,C309)</f>
        <v>194</v>
      </c>
      <c r="U309" s="7" t="str">
        <f t="shared" si="48"/>
        <v>가194</v>
      </c>
      <c r="V309" s="7" t="str">
        <f>INDEX(환산공식!$C$16:$C$301,MATCH('배치점수 계산기'!W309,환산공식!$A$16:$A$301,0))</f>
        <v>경희 자연</v>
      </c>
      <c r="W309" s="7">
        <f t="shared" si="49"/>
        <v>33</v>
      </c>
      <c r="X309" s="7">
        <f t="shared" si="50"/>
        <v>1</v>
      </c>
      <c r="Y309" s="7">
        <f>IFERROR(INDEX(환산공식!Q$16:Q$200,MATCH($A309,환산공식!$A$16:$A$200,0)),"")</f>
        <v>0.8</v>
      </c>
      <c r="Z309" s="7">
        <f>IFERROR(INDEX(환산공식!R$16:R$200,MATCH($A309,환산공식!$A$16:$A$200,0)),"")</f>
        <v>1.4</v>
      </c>
      <c r="AA309" s="7">
        <f>IFERROR(INDEX(환산공식!U$16:U$200,MATCH($A309,환산공식!$A$16:$A$200,0)),"")</f>
        <v>1</v>
      </c>
      <c r="AB309" s="7">
        <f t="shared" si="51"/>
        <v>0.25</v>
      </c>
      <c r="AC309" s="7">
        <f t="shared" si="52"/>
        <v>0.43749999999999994</v>
      </c>
      <c r="AD309" s="7">
        <f t="shared" si="53"/>
        <v>0.3125</v>
      </c>
      <c r="AE309" s="7">
        <f>INDEX(환산공식!$AF$16:$AF$301,MATCH('배치점수 계산기'!W309,환산공식!$A$16:$A$301,0))</f>
        <v>1</v>
      </c>
      <c r="AF309" s="7">
        <f>INDEX(환산공식!$AP$16:$AP$301,MATCH('배치점수 계산기'!W309,환산공식!$A$16:$A$301,0))</f>
        <v>4</v>
      </c>
      <c r="AG309" s="7" t="str">
        <f t="shared" si="54"/>
        <v>표점</v>
      </c>
      <c r="AH309" s="7" t="str">
        <f t="shared" si="55"/>
        <v>변표</v>
      </c>
      <c r="BO309" s="210"/>
      <c r="BP309" s="210"/>
      <c r="BQ309" s="210"/>
      <c r="BR309" s="210"/>
      <c r="BS309" s="210"/>
      <c r="BT309" s="210"/>
      <c r="BU309" s="210"/>
      <c r="BV309" s="210"/>
      <c r="BW309" s="210"/>
      <c r="BX309" s="210"/>
      <c r="BY309" s="210"/>
      <c r="BZ309" s="210"/>
      <c r="CA309" s="210"/>
      <c r="CB309" s="210"/>
      <c r="CC309" s="210"/>
      <c r="EM309" s="120"/>
      <c r="ET309" s="210"/>
      <c r="EU309" s="210"/>
      <c r="EV309" s="210"/>
      <c r="EW309" s="210"/>
      <c r="EX309" s="210"/>
      <c r="EY309" s="210"/>
      <c r="EZ309" s="210"/>
      <c r="FA309" s="210"/>
      <c r="FB309" s="210"/>
      <c r="FC309" s="210"/>
      <c r="FD309" s="210"/>
      <c r="FE309" s="210"/>
      <c r="FF309" s="210"/>
      <c r="FG309" s="210"/>
      <c r="FH309" s="210"/>
      <c r="HR309" s="120"/>
      <c r="HY309" s="210"/>
      <c r="HZ309" s="210"/>
      <c r="IA309" s="210"/>
      <c r="IB309" s="210"/>
      <c r="IC309" s="210"/>
      <c r="ID309" s="210"/>
      <c r="IE309" s="210"/>
      <c r="IF309" s="210"/>
      <c r="IG309" s="210"/>
      <c r="IH309" s="210"/>
      <c r="II309" s="210"/>
      <c r="IJ309" s="210"/>
      <c r="IK309" s="210"/>
      <c r="IL309" s="210"/>
      <c r="IM309" s="210"/>
      <c r="KW309" s="120"/>
      <c r="LD309" s="210"/>
      <c r="LE309" s="210"/>
      <c r="LF309" s="210"/>
      <c r="LG309" s="210"/>
      <c r="LH309" s="210"/>
      <c r="LI309" s="210"/>
      <c r="LJ309" s="210"/>
      <c r="LK309" s="210"/>
      <c r="LL309" s="210"/>
      <c r="LM309" s="210"/>
      <c r="LN309" s="210"/>
      <c r="LO309" s="210"/>
      <c r="LP309" s="210"/>
      <c r="LQ309" s="210"/>
      <c r="LR309" s="210"/>
      <c r="OB309" s="120"/>
      <c r="OI309" s="210"/>
      <c r="OJ309" s="210"/>
      <c r="OK309" s="210"/>
      <c r="OL309" s="210"/>
      <c r="OM309" s="210"/>
      <c r="ON309" s="210"/>
      <c r="OO309" s="210"/>
      <c r="OP309" s="210"/>
      <c r="OQ309" s="210"/>
      <c r="OR309" s="210"/>
      <c r="OS309" s="210"/>
      <c r="OT309" s="210"/>
      <c r="OU309" s="210"/>
      <c r="OV309" s="210"/>
      <c r="OW309" s="210"/>
      <c r="RG309" s="120"/>
    </row>
    <row r="310" spans="1:475" x14ac:dyDescent="0.3">
      <c r="A310" s="7">
        <v>33</v>
      </c>
      <c r="B310" s="7">
        <v>300</v>
      </c>
      <c r="C310" s="7" t="s">
        <v>276</v>
      </c>
      <c r="D310" s="7" t="s">
        <v>380</v>
      </c>
      <c r="E310" s="7" t="s">
        <v>260</v>
      </c>
      <c r="F310" s="7" t="s">
        <v>274</v>
      </c>
      <c r="G310" s="41" t="str">
        <f t="shared" si="47"/>
        <v>X</v>
      </c>
      <c r="H310" s="41">
        <f>INDEX(환산공식!CI$16:CI$301,MATCH('배치점수 계산기'!$W310,환산공식!$A$16:$A$301,0))</f>
        <v>120</v>
      </c>
      <c r="I310" s="41" t="str">
        <f>CONCATENATE(ROUND(INDEX(환산공식!CJ$16:CJ$301,MATCH('배치점수 계산기'!$W310,환산공식!$A$16:$A$301,0)),1),"%")</f>
        <v>100%</v>
      </c>
      <c r="J310" s="41">
        <f>INDEX(환산공식!CK$16:CK$301,MATCH('배치점수 계산기'!$W310,환산공식!$A$16:$A$301,0))</f>
        <v>40</v>
      </c>
      <c r="K310" s="7">
        <f>INDEX(환산공식!$EF$16:$EF$301,MATCH('배치점수 계산기'!W310,환산공식!$A$16:$A$301,0))</f>
        <v>0</v>
      </c>
      <c r="L310" s="41" t="str">
        <f t="shared" si="45"/>
        <v>1% 이하</v>
      </c>
      <c r="M310" s="7">
        <v>560.2399999999999</v>
      </c>
      <c r="N310" s="7">
        <v>559.04468875233772</v>
      </c>
      <c r="O310" s="7">
        <v>557.99699999999996</v>
      </c>
      <c r="P310" s="7">
        <v>556.79099999999994</v>
      </c>
      <c r="Q310" s="7">
        <v>555.51725067385439</v>
      </c>
      <c r="R310" s="7">
        <f t="shared" si="46"/>
        <v>6</v>
      </c>
      <c r="T310" s="7">
        <f>COUNTIF($C$11:C310,C310)</f>
        <v>195</v>
      </c>
      <c r="U310" s="7" t="str">
        <f t="shared" si="48"/>
        <v>가195</v>
      </c>
      <c r="V310" s="7" t="str">
        <f>INDEX(환산공식!$C$16:$C$301,MATCH('배치점수 계산기'!W310,환산공식!$A$16:$A$301,0))</f>
        <v>경희 자연</v>
      </c>
      <c r="W310" s="7">
        <f t="shared" si="49"/>
        <v>33</v>
      </c>
      <c r="X310" s="7">
        <f t="shared" si="50"/>
        <v>1</v>
      </c>
      <c r="Y310" s="7">
        <f>IFERROR(INDEX(환산공식!Q$16:Q$200,MATCH($A310,환산공식!$A$16:$A$200,0)),"")</f>
        <v>0.8</v>
      </c>
      <c r="Z310" s="7">
        <f>IFERROR(INDEX(환산공식!R$16:R$200,MATCH($A310,환산공식!$A$16:$A$200,0)),"")</f>
        <v>1.4</v>
      </c>
      <c r="AA310" s="7">
        <f>IFERROR(INDEX(환산공식!U$16:U$200,MATCH($A310,환산공식!$A$16:$A$200,0)),"")</f>
        <v>1</v>
      </c>
      <c r="AB310" s="7">
        <f t="shared" si="51"/>
        <v>0.25</v>
      </c>
      <c r="AC310" s="7">
        <f t="shared" si="52"/>
        <v>0.43749999999999994</v>
      </c>
      <c r="AD310" s="7">
        <f t="shared" si="53"/>
        <v>0.3125</v>
      </c>
      <c r="AE310" s="7">
        <f>INDEX(환산공식!$AF$16:$AF$301,MATCH('배치점수 계산기'!W310,환산공식!$A$16:$A$301,0))</f>
        <v>1</v>
      </c>
      <c r="AF310" s="7">
        <f>INDEX(환산공식!$AP$16:$AP$301,MATCH('배치점수 계산기'!W310,환산공식!$A$16:$A$301,0))</f>
        <v>4</v>
      </c>
      <c r="AG310" s="7" t="str">
        <f t="shared" si="54"/>
        <v>표점</v>
      </c>
      <c r="AH310" s="7" t="str">
        <f t="shared" si="55"/>
        <v>변표</v>
      </c>
      <c r="BO310" s="210"/>
      <c r="BP310" s="210"/>
      <c r="BQ310" s="210"/>
      <c r="BR310" s="210"/>
      <c r="BS310" s="210"/>
      <c r="BT310" s="210"/>
      <c r="BU310" s="210"/>
      <c r="BV310" s="210"/>
      <c r="BW310" s="210"/>
      <c r="BX310" s="210"/>
      <c r="BY310" s="210"/>
      <c r="BZ310" s="210"/>
      <c r="CA310" s="210"/>
      <c r="CB310" s="210"/>
      <c r="CC310" s="210"/>
      <c r="EM310" s="120"/>
      <c r="ET310" s="210"/>
      <c r="EU310" s="210"/>
      <c r="EV310" s="210"/>
      <c r="EW310" s="210"/>
      <c r="EX310" s="210"/>
      <c r="EY310" s="210"/>
      <c r="EZ310" s="210"/>
      <c r="FA310" s="210"/>
      <c r="FB310" s="210"/>
      <c r="FC310" s="210"/>
      <c r="FD310" s="210"/>
      <c r="FE310" s="210"/>
      <c r="FF310" s="210"/>
      <c r="FG310" s="210"/>
      <c r="FH310" s="210"/>
      <c r="HR310" s="120"/>
      <c r="HY310" s="210"/>
      <c r="HZ310" s="210"/>
      <c r="IA310" s="210"/>
      <c r="IB310" s="210"/>
      <c r="IC310" s="210"/>
      <c r="ID310" s="210"/>
      <c r="IE310" s="210"/>
      <c r="IF310" s="210"/>
      <c r="IG310" s="210"/>
      <c r="IH310" s="210"/>
      <c r="II310" s="210"/>
      <c r="IJ310" s="210"/>
      <c r="IK310" s="210"/>
      <c r="IL310" s="210"/>
      <c r="IM310" s="210"/>
      <c r="KW310" s="120"/>
      <c r="LD310" s="210"/>
      <c r="LE310" s="210"/>
      <c r="LF310" s="210"/>
      <c r="LG310" s="210"/>
      <c r="LH310" s="210"/>
      <c r="LI310" s="210"/>
      <c r="LJ310" s="210"/>
      <c r="LK310" s="210"/>
      <c r="LL310" s="210"/>
      <c r="LM310" s="210"/>
      <c r="LN310" s="210"/>
      <c r="LO310" s="210"/>
      <c r="LP310" s="210"/>
      <c r="LQ310" s="210"/>
      <c r="LR310" s="210"/>
      <c r="OB310" s="120"/>
      <c r="OI310" s="210"/>
      <c r="OJ310" s="210"/>
      <c r="OK310" s="210"/>
      <c r="OL310" s="210"/>
      <c r="OM310" s="210"/>
      <c r="ON310" s="210"/>
      <c r="OO310" s="210"/>
      <c r="OP310" s="210"/>
      <c r="OQ310" s="210"/>
      <c r="OR310" s="210"/>
      <c r="OS310" s="210"/>
      <c r="OT310" s="210"/>
      <c r="OU310" s="210"/>
      <c r="OV310" s="210"/>
      <c r="OW310" s="210"/>
      <c r="RG310" s="120"/>
    </row>
    <row r="311" spans="1:475" x14ac:dyDescent="0.3">
      <c r="A311" s="7">
        <v>34</v>
      </c>
      <c r="B311" s="7">
        <v>301</v>
      </c>
      <c r="C311" s="7" t="s">
        <v>276</v>
      </c>
      <c r="D311" s="7" t="s">
        <v>380</v>
      </c>
      <c r="E311" s="7" t="s">
        <v>409</v>
      </c>
      <c r="F311" s="7" t="s">
        <v>275</v>
      </c>
      <c r="G311" s="41" t="str">
        <f t="shared" si="47"/>
        <v>X</v>
      </c>
      <c r="H311" s="41">
        <f>INDEX(환산공식!CI$16:CI$301,MATCH('배치점수 계산기'!$W311,환산공식!$A$16:$A$301,0))</f>
        <v>120</v>
      </c>
      <c r="I311" s="41" t="str">
        <f>CONCATENATE(ROUND(INDEX(환산공식!CJ$16:CJ$301,MATCH('배치점수 계산기'!$W311,환산공식!$A$16:$A$301,0)),1),"%")</f>
        <v>100%</v>
      </c>
      <c r="J311" s="41">
        <f>INDEX(환산공식!CK$16:CK$301,MATCH('배치점수 계산기'!$W311,환산공식!$A$16:$A$301,0))</f>
        <v>40</v>
      </c>
      <c r="K311" s="7">
        <f>INDEX(환산공식!$EF$16:$EF$301,MATCH('배치점수 계산기'!W311,환산공식!$A$16:$A$301,0))</f>
        <v>0</v>
      </c>
      <c r="L311" s="41" t="str">
        <f t="shared" si="45"/>
        <v>1% 이하</v>
      </c>
      <c r="M311" s="7">
        <v>553.87279999999998</v>
      </c>
      <c r="N311" s="7">
        <v>552.37999999999988</v>
      </c>
      <c r="O311" s="7">
        <v>551.05039999999985</v>
      </c>
      <c r="P311" s="7">
        <v>550.63760000000002</v>
      </c>
      <c r="Q311" s="7">
        <v>549.7381223068553</v>
      </c>
      <c r="R311" s="7">
        <f t="shared" si="46"/>
        <v>6</v>
      </c>
      <c r="T311" s="7">
        <f>COUNTIF($C$11:C311,C311)</f>
        <v>196</v>
      </c>
      <c r="U311" s="7" t="str">
        <f t="shared" si="48"/>
        <v>가196</v>
      </c>
      <c r="V311" s="7" t="str">
        <f>INDEX(환산공식!$C$16:$C$301,MATCH('배치점수 계산기'!W311,환산공식!$A$16:$A$301,0))</f>
        <v>경희 통합인문</v>
      </c>
      <c r="W311" s="7">
        <f t="shared" si="49"/>
        <v>34</v>
      </c>
      <c r="X311" s="7">
        <f t="shared" si="50"/>
        <v>1</v>
      </c>
      <c r="Y311" s="7">
        <f>IFERROR(INDEX(환산공식!Q$16:Q$200,MATCH($A311,환산공식!$A$16:$A$200,0)),"")</f>
        <v>1.4</v>
      </c>
      <c r="Z311" s="7">
        <f>IFERROR(INDEX(환산공식!R$16:R$200,MATCH($A311,환산공식!$A$16:$A$200,0)),"")</f>
        <v>1</v>
      </c>
      <c r="AA311" s="7">
        <f>IFERROR(INDEX(환산공식!U$16:U$200,MATCH($A311,환산공식!$A$16:$A$200,0)),"")</f>
        <v>0.8</v>
      </c>
      <c r="AB311" s="7">
        <f t="shared" si="51"/>
        <v>0.43749999999999994</v>
      </c>
      <c r="AC311" s="7">
        <f t="shared" si="52"/>
        <v>0.3125</v>
      </c>
      <c r="AD311" s="7">
        <f t="shared" si="53"/>
        <v>0.25</v>
      </c>
      <c r="AE311" s="7">
        <f>INDEX(환산공식!$AF$16:$AF$301,MATCH('배치점수 계산기'!W311,환산공식!$A$16:$A$301,0))</f>
        <v>1</v>
      </c>
      <c r="AF311" s="7">
        <f>INDEX(환산공식!$AP$16:$AP$301,MATCH('배치점수 계산기'!W311,환산공식!$A$16:$A$301,0))</f>
        <v>4</v>
      </c>
      <c r="AG311" s="7" t="str">
        <f t="shared" si="54"/>
        <v>표점</v>
      </c>
      <c r="AH311" s="7" t="str">
        <f t="shared" si="55"/>
        <v>변표</v>
      </c>
      <c r="BO311" s="210"/>
      <c r="BP311" s="210"/>
      <c r="BQ311" s="210"/>
      <c r="BR311" s="210"/>
      <c r="BS311" s="210"/>
      <c r="BT311" s="210"/>
      <c r="BU311" s="210"/>
      <c r="BV311" s="210"/>
      <c r="BW311" s="210"/>
      <c r="BX311" s="210"/>
      <c r="BY311" s="210"/>
      <c r="BZ311" s="210"/>
      <c r="CA311" s="210"/>
      <c r="CB311" s="210"/>
      <c r="CC311" s="210"/>
      <c r="EM311" s="120"/>
      <c r="ET311" s="210"/>
      <c r="EU311" s="210"/>
      <c r="EV311" s="210"/>
      <c r="EW311" s="210"/>
      <c r="EX311" s="210"/>
      <c r="EY311" s="210"/>
      <c r="EZ311" s="210"/>
      <c r="FA311" s="210"/>
      <c r="FB311" s="210"/>
      <c r="FC311" s="210"/>
      <c r="FD311" s="210"/>
      <c r="FE311" s="210"/>
      <c r="FF311" s="210"/>
      <c r="FG311" s="210"/>
      <c r="FH311" s="210"/>
      <c r="HR311" s="120"/>
      <c r="HY311" s="210"/>
      <c r="HZ311" s="210"/>
      <c r="IA311" s="210"/>
      <c r="IB311" s="210"/>
      <c r="IC311" s="210"/>
      <c r="ID311" s="210"/>
      <c r="IE311" s="210"/>
      <c r="IF311" s="210"/>
      <c r="IG311" s="210"/>
      <c r="IH311" s="210"/>
      <c r="II311" s="210"/>
      <c r="IJ311" s="210"/>
      <c r="IK311" s="210"/>
      <c r="IL311" s="210"/>
      <c r="IM311" s="210"/>
      <c r="KW311" s="120"/>
      <c r="LD311" s="210"/>
      <c r="LE311" s="210"/>
      <c r="LF311" s="210"/>
      <c r="LG311" s="210"/>
      <c r="LH311" s="210"/>
      <c r="LI311" s="210"/>
      <c r="LJ311" s="210"/>
      <c r="LK311" s="210"/>
      <c r="LL311" s="210"/>
      <c r="LM311" s="210"/>
      <c r="LN311" s="210"/>
      <c r="LO311" s="210"/>
      <c r="LP311" s="210"/>
      <c r="LQ311" s="210"/>
      <c r="LR311" s="210"/>
      <c r="OB311" s="120"/>
      <c r="OI311" s="210"/>
      <c r="OJ311" s="210"/>
      <c r="OK311" s="210"/>
      <c r="OL311" s="210"/>
      <c r="OM311" s="210"/>
      <c r="ON311" s="210"/>
      <c r="OO311" s="210"/>
      <c r="OP311" s="210"/>
      <c r="OQ311" s="210"/>
      <c r="OR311" s="210"/>
      <c r="OS311" s="210"/>
      <c r="OT311" s="210"/>
      <c r="OU311" s="210"/>
      <c r="OV311" s="210"/>
      <c r="OW311" s="210"/>
      <c r="RG311" s="120"/>
    </row>
    <row r="312" spans="1:475" x14ac:dyDescent="0.3">
      <c r="A312" s="7">
        <v>34</v>
      </c>
      <c r="B312" s="7">
        <v>302</v>
      </c>
      <c r="C312" s="7" t="s">
        <v>346</v>
      </c>
      <c r="D312" s="7" t="s">
        <v>410</v>
      </c>
      <c r="E312" s="7" t="s">
        <v>411</v>
      </c>
      <c r="F312" s="7" t="s">
        <v>275</v>
      </c>
      <c r="G312" s="41" t="str">
        <f t="shared" si="47"/>
        <v>X</v>
      </c>
      <c r="H312" s="41">
        <f>INDEX(환산공식!CI$16:CI$301,MATCH('배치점수 계산기'!$W312,환산공식!$A$16:$A$301,0))</f>
        <v>120</v>
      </c>
      <c r="I312" s="41" t="str">
        <f>CONCATENATE(ROUND(INDEX(환산공식!CJ$16:CJ$301,MATCH('배치점수 계산기'!$W312,환산공식!$A$16:$A$301,0)),1),"%")</f>
        <v>100%</v>
      </c>
      <c r="J312" s="41">
        <f>INDEX(환산공식!CK$16:CK$301,MATCH('배치점수 계산기'!$W312,환산공식!$A$16:$A$301,0))</f>
        <v>40</v>
      </c>
      <c r="K312" s="7">
        <f>INDEX(환산공식!$EF$16:$EF$301,MATCH('배치점수 계산기'!W312,환산공식!$A$16:$A$301,0))</f>
        <v>0</v>
      </c>
      <c r="L312" s="41" t="str">
        <f t="shared" si="45"/>
        <v>1% 이하</v>
      </c>
      <c r="M312" s="7">
        <v>545.40015696619957</v>
      </c>
      <c r="N312" s="7">
        <v>543.04725925925925</v>
      </c>
      <c r="O312" s="7">
        <v>540.89437199222004</v>
      </c>
      <c r="P312" s="7">
        <v>538.82311731843572</v>
      </c>
      <c r="Q312" s="7">
        <v>536.58302247191011</v>
      </c>
      <c r="R312" s="7">
        <f t="shared" si="46"/>
        <v>6</v>
      </c>
      <c r="T312" s="7">
        <f>COUNTIF($C$11:C312,C312)</f>
        <v>101</v>
      </c>
      <c r="U312" s="7" t="str">
        <f t="shared" si="48"/>
        <v>나101</v>
      </c>
      <c r="V312" s="7" t="str">
        <f>INDEX(환산공식!$C$16:$C$301,MATCH('배치점수 계산기'!W312,환산공식!$A$16:$A$301,0))</f>
        <v>경희 통합인문</v>
      </c>
      <c r="W312" s="7">
        <f t="shared" si="49"/>
        <v>34</v>
      </c>
      <c r="X312" s="7">
        <f t="shared" si="50"/>
        <v>1</v>
      </c>
      <c r="Y312" s="7">
        <f>IFERROR(INDEX(환산공식!Q$16:Q$200,MATCH($A312,환산공식!$A$16:$A$200,0)),"")</f>
        <v>1.4</v>
      </c>
      <c r="Z312" s="7">
        <f>IFERROR(INDEX(환산공식!R$16:R$200,MATCH($A312,환산공식!$A$16:$A$200,0)),"")</f>
        <v>1</v>
      </c>
      <c r="AA312" s="7">
        <f>IFERROR(INDEX(환산공식!U$16:U$200,MATCH($A312,환산공식!$A$16:$A$200,0)),"")</f>
        <v>0.8</v>
      </c>
      <c r="AB312" s="7">
        <f t="shared" si="51"/>
        <v>0.43749999999999994</v>
      </c>
      <c r="AC312" s="7">
        <f t="shared" si="52"/>
        <v>0.3125</v>
      </c>
      <c r="AD312" s="7">
        <f t="shared" si="53"/>
        <v>0.25</v>
      </c>
      <c r="AE312" s="7">
        <f>INDEX(환산공식!$AF$16:$AF$301,MATCH('배치점수 계산기'!W312,환산공식!$A$16:$A$301,0))</f>
        <v>1</v>
      </c>
      <c r="AF312" s="7">
        <f>INDEX(환산공식!$AP$16:$AP$301,MATCH('배치점수 계산기'!W312,환산공식!$A$16:$A$301,0))</f>
        <v>4</v>
      </c>
      <c r="AG312" s="7" t="str">
        <f t="shared" si="54"/>
        <v>표점</v>
      </c>
      <c r="AH312" s="7" t="str">
        <f t="shared" si="55"/>
        <v>변표</v>
      </c>
      <c r="BO312" s="210"/>
      <c r="BP312" s="210"/>
      <c r="BQ312" s="210"/>
      <c r="BR312" s="210"/>
      <c r="BS312" s="210"/>
      <c r="BT312" s="210"/>
      <c r="BU312" s="210"/>
      <c r="BV312" s="210"/>
      <c r="BW312" s="210"/>
      <c r="BX312" s="210"/>
      <c r="BY312" s="210"/>
      <c r="BZ312" s="210"/>
      <c r="CA312" s="210"/>
      <c r="CB312" s="210"/>
      <c r="CC312" s="210"/>
      <c r="EM312" s="120"/>
      <c r="ET312" s="210"/>
      <c r="EU312" s="210"/>
      <c r="EV312" s="210"/>
      <c r="EW312" s="210"/>
      <c r="EX312" s="210"/>
      <c r="EY312" s="210"/>
      <c r="EZ312" s="210"/>
      <c r="FA312" s="210"/>
      <c r="FB312" s="210"/>
      <c r="FC312" s="210"/>
      <c r="FD312" s="210"/>
      <c r="FE312" s="210"/>
      <c r="FF312" s="210"/>
      <c r="FG312" s="210"/>
      <c r="FH312" s="210"/>
      <c r="HR312" s="120"/>
      <c r="HY312" s="210"/>
      <c r="HZ312" s="210"/>
      <c r="IA312" s="210"/>
      <c r="IB312" s="210"/>
      <c r="IC312" s="210"/>
      <c r="ID312" s="210"/>
      <c r="IE312" s="210"/>
      <c r="IF312" s="210"/>
      <c r="IG312" s="210"/>
      <c r="IH312" s="210"/>
      <c r="II312" s="210"/>
      <c r="IJ312" s="210"/>
      <c r="IK312" s="210"/>
      <c r="IL312" s="210"/>
      <c r="IM312" s="210"/>
      <c r="KW312" s="120"/>
      <c r="LD312" s="210"/>
      <c r="LE312" s="210"/>
      <c r="LF312" s="210"/>
      <c r="LG312" s="210"/>
      <c r="LH312" s="210"/>
      <c r="LI312" s="210"/>
      <c r="LJ312" s="210"/>
      <c r="LK312" s="210"/>
      <c r="LL312" s="210"/>
      <c r="LM312" s="210"/>
      <c r="LN312" s="210"/>
      <c r="LO312" s="210"/>
      <c r="LP312" s="210"/>
      <c r="LQ312" s="210"/>
      <c r="LR312" s="210"/>
      <c r="OB312" s="120"/>
      <c r="OI312" s="210"/>
      <c r="OJ312" s="210"/>
      <c r="OK312" s="210"/>
      <c r="OL312" s="210"/>
      <c r="OM312" s="210"/>
      <c r="ON312" s="210"/>
      <c r="OO312" s="210"/>
      <c r="OP312" s="210"/>
      <c r="OQ312" s="210"/>
      <c r="OR312" s="210"/>
      <c r="OS312" s="210"/>
      <c r="OT312" s="210"/>
      <c r="OU312" s="210"/>
      <c r="OV312" s="210"/>
      <c r="OW312" s="210"/>
      <c r="RG312" s="120"/>
    </row>
    <row r="313" spans="1:475" x14ac:dyDescent="0.3">
      <c r="A313" s="7">
        <v>34</v>
      </c>
      <c r="B313" s="7">
        <v>303</v>
      </c>
      <c r="C313" s="7" t="s">
        <v>346</v>
      </c>
      <c r="D313" s="7" t="s">
        <v>410</v>
      </c>
      <c r="E313" s="7" t="s">
        <v>412</v>
      </c>
      <c r="F313" s="7" t="s">
        <v>275</v>
      </c>
      <c r="G313" s="41" t="str">
        <f t="shared" si="47"/>
        <v>X</v>
      </c>
      <c r="H313" s="41">
        <f>INDEX(환산공식!CI$16:CI$301,MATCH('배치점수 계산기'!$W313,환산공식!$A$16:$A$301,0))</f>
        <v>120</v>
      </c>
      <c r="I313" s="41" t="str">
        <f>CONCATENATE(ROUND(INDEX(환산공식!CJ$16:CJ$301,MATCH('배치점수 계산기'!$W313,환산공식!$A$16:$A$301,0)),1),"%")</f>
        <v>100%</v>
      </c>
      <c r="J313" s="41">
        <f>INDEX(환산공식!CK$16:CK$301,MATCH('배치점수 계산기'!$W313,환산공식!$A$16:$A$301,0))</f>
        <v>40</v>
      </c>
      <c r="K313" s="7">
        <f>INDEX(환산공식!$EF$16:$EF$301,MATCH('배치점수 계산기'!W313,환산공식!$A$16:$A$301,0))</f>
        <v>0</v>
      </c>
      <c r="L313" s="41" t="str">
        <f t="shared" si="45"/>
        <v>1% 이하</v>
      </c>
      <c r="M313" s="7">
        <v>545.40015696619957</v>
      </c>
      <c r="N313" s="7">
        <v>543.04725925925925</v>
      </c>
      <c r="O313" s="7">
        <v>541.36159999999995</v>
      </c>
      <c r="P313" s="7">
        <v>539.24719999999991</v>
      </c>
      <c r="Q313" s="7">
        <v>537.94495131505323</v>
      </c>
      <c r="R313" s="7">
        <f t="shared" si="46"/>
        <v>6</v>
      </c>
      <c r="T313" s="7">
        <f>COUNTIF($C$11:C313,C313)</f>
        <v>102</v>
      </c>
      <c r="U313" s="7" t="str">
        <f t="shared" si="48"/>
        <v>나102</v>
      </c>
      <c r="V313" s="7" t="str">
        <f>INDEX(환산공식!$C$16:$C$301,MATCH('배치점수 계산기'!W313,환산공식!$A$16:$A$301,0))</f>
        <v>경희 통합인문</v>
      </c>
      <c r="W313" s="7">
        <f t="shared" si="49"/>
        <v>34</v>
      </c>
      <c r="X313" s="7">
        <f t="shared" si="50"/>
        <v>1</v>
      </c>
      <c r="Y313" s="7">
        <f>IFERROR(INDEX(환산공식!Q$16:Q$200,MATCH($A313,환산공식!$A$16:$A$200,0)),"")</f>
        <v>1.4</v>
      </c>
      <c r="Z313" s="7">
        <f>IFERROR(INDEX(환산공식!R$16:R$200,MATCH($A313,환산공식!$A$16:$A$200,0)),"")</f>
        <v>1</v>
      </c>
      <c r="AA313" s="7">
        <f>IFERROR(INDEX(환산공식!U$16:U$200,MATCH($A313,환산공식!$A$16:$A$200,0)),"")</f>
        <v>0.8</v>
      </c>
      <c r="AB313" s="7">
        <f t="shared" si="51"/>
        <v>0.43749999999999994</v>
      </c>
      <c r="AC313" s="7">
        <f t="shared" si="52"/>
        <v>0.3125</v>
      </c>
      <c r="AD313" s="7">
        <f t="shared" si="53"/>
        <v>0.25</v>
      </c>
      <c r="AE313" s="7">
        <f>INDEX(환산공식!$AF$16:$AF$301,MATCH('배치점수 계산기'!W313,환산공식!$A$16:$A$301,0))</f>
        <v>1</v>
      </c>
      <c r="AF313" s="7">
        <f>INDEX(환산공식!$AP$16:$AP$301,MATCH('배치점수 계산기'!W313,환산공식!$A$16:$A$301,0))</f>
        <v>4</v>
      </c>
      <c r="AG313" s="7" t="str">
        <f t="shared" si="54"/>
        <v>표점</v>
      </c>
      <c r="AH313" s="7" t="str">
        <f t="shared" si="55"/>
        <v>변표</v>
      </c>
      <c r="BO313" s="210"/>
      <c r="BP313" s="210"/>
      <c r="BQ313" s="210"/>
      <c r="BR313" s="210"/>
      <c r="BS313" s="210"/>
      <c r="BT313" s="210"/>
      <c r="BU313" s="210"/>
      <c r="BV313" s="210"/>
      <c r="BW313" s="210"/>
      <c r="BX313" s="210"/>
      <c r="BY313" s="210"/>
      <c r="BZ313" s="210"/>
      <c r="CA313" s="210"/>
      <c r="CB313" s="210"/>
      <c r="CC313" s="210"/>
      <c r="EM313" s="120"/>
      <c r="ET313" s="210"/>
      <c r="EU313" s="210"/>
      <c r="EV313" s="210"/>
      <c r="EW313" s="210"/>
      <c r="EX313" s="210"/>
      <c r="EY313" s="210"/>
      <c r="EZ313" s="210"/>
      <c r="FA313" s="210"/>
      <c r="FB313" s="210"/>
      <c r="FC313" s="210"/>
      <c r="FD313" s="210"/>
      <c r="FE313" s="210"/>
      <c r="FF313" s="210"/>
      <c r="FG313" s="210"/>
      <c r="FH313" s="210"/>
      <c r="HR313" s="120"/>
      <c r="HY313" s="210"/>
      <c r="HZ313" s="210"/>
      <c r="IA313" s="210"/>
      <c r="IB313" s="210"/>
      <c r="IC313" s="210"/>
      <c r="ID313" s="210"/>
      <c r="IE313" s="210"/>
      <c r="IF313" s="210"/>
      <c r="IG313" s="210"/>
      <c r="IH313" s="210"/>
      <c r="II313" s="210"/>
      <c r="IJ313" s="210"/>
      <c r="IK313" s="210"/>
      <c r="IL313" s="210"/>
      <c r="IM313" s="210"/>
      <c r="KW313" s="120"/>
      <c r="LD313" s="210"/>
      <c r="LE313" s="210"/>
      <c r="LF313" s="210"/>
      <c r="LG313" s="210"/>
      <c r="LH313" s="210"/>
      <c r="LI313" s="210"/>
      <c r="LJ313" s="210"/>
      <c r="LK313" s="210"/>
      <c r="LL313" s="210"/>
      <c r="LM313" s="210"/>
      <c r="LN313" s="210"/>
      <c r="LO313" s="210"/>
      <c r="LP313" s="210"/>
      <c r="LQ313" s="210"/>
      <c r="LR313" s="210"/>
      <c r="OB313" s="120"/>
      <c r="OI313" s="210"/>
      <c r="OJ313" s="210"/>
      <c r="OK313" s="210"/>
      <c r="OL313" s="210"/>
      <c r="OM313" s="210"/>
      <c r="ON313" s="210"/>
      <c r="OO313" s="210"/>
      <c r="OP313" s="210"/>
      <c r="OQ313" s="210"/>
      <c r="OR313" s="210"/>
      <c r="OS313" s="210"/>
      <c r="OT313" s="210"/>
      <c r="OU313" s="210"/>
      <c r="OV313" s="210"/>
      <c r="OW313" s="210"/>
      <c r="RG313" s="120"/>
    </row>
    <row r="314" spans="1:475" x14ac:dyDescent="0.3">
      <c r="A314" s="7">
        <v>34</v>
      </c>
      <c r="B314" s="7">
        <v>304</v>
      </c>
      <c r="C314" s="7" t="s">
        <v>346</v>
      </c>
      <c r="D314" s="7" t="s">
        <v>410</v>
      </c>
      <c r="E314" s="7" t="s">
        <v>413</v>
      </c>
      <c r="F314" s="7" t="s">
        <v>275</v>
      </c>
      <c r="G314" s="41" t="str">
        <f t="shared" si="47"/>
        <v>X</v>
      </c>
      <c r="H314" s="41">
        <f>INDEX(환산공식!CI$16:CI$301,MATCH('배치점수 계산기'!$W314,환산공식!$A$16:$A$301,0))</f>
        <v>120</v>
      </c>
      <c r="I314" s="41" t="str">
        <f>CONCATENATE(ROUND(INDEX(환산공식!CJ$16:CJ$301,MATCH('배치점수 계산기'!$W314,환산공식!$A$16:$A$301,0)),1),"%")</f>
        <v>100%</v>
      </c>
      <c r="J314" s="41">
        <f>INDEX(환산공식!CK$16:CK$301,MATCH('배치점수 계산기'!$W314,환산공식!$A$16:$A$301,0))</f>
        <v>40</v>
      </c>
      <c r="K314" s="7">
        <f>INDEX(환산공식!$EF$16:$EF$301,MATCH('배치점수 계산기'!W314,환산공식!$A$16:$A$301,0))</f>
        <v>0</v>
      </c>
      <c r="L314" s="41" t="str">
        <f t="shared" si="45"/>
        <v>1% 이하</v>
      </c>
      <c r="M314" s="7">
        <v>545.40015696619957</v>
      </c>
      <c r="N314" s="7">
        <v>543.04725925925925</v>
      </c>
      <c r="O314" s="7">
        <v>540.89437199222004</v>
      </c>
      <c r="P314" s="7">
        <v>538.82311731843572</v>
      </c>
      <c r="Q314" s="7">
        <v>536.58302247191011</v>
      </c>
      <c r="R314" s="7">
        <f t="shared" si="46"/>
        <v>6</v>
      </c>
      <c r="T314" s="7">
        <f>COUNTIF($C$11:C314,C314)</f>
        <v>103</v>
      </c>
      <c r="U314" s="7" t="str">
        <f t="shared" si="48"/>
        <v>나103</v>
      </c>
      <c r="V314" s="7" t="str">
        <f>INDEX(환산공식!$C$16:$C$301,MATCH('배치점수 계산기'!W314,환산공식!$A$16:$A$301,0))</f>
        <v>경희 통합인문</v>
      </c>
      <c r="W314" s="7">
        <f t="shared" si="49"/>
        <v>34</v>
      </c>
      <c r="X314" s="7">
        <f t="shared" si="50"/>
        <v>1</v>
      </c>
      <c r="Y314" s="7">
        <f>IFERROR(INDEX(환산공식!Q$16:Q$200,MATCH($A314,환산공식!$A$16:$A$200,0)),"")</f>
        <v>1.4</v>
      </c>
      <c r="Z314" s="7">
        <f>IFERROR(INDEX(환산공식!R$16:R$200,MATCH($A314,환산공식!$A$16:$A$200,0)),"")</f>
        <v>1</v>
      </c>
      <c r="AA314" s="7">
        <f>IFERROR(INDEX(환산공식!U$16:U$200,MATCH($A314,환산공식!$A$16:$A$200,0)),"")</f>
        <v>0.8</v>
      </c>
      <c r="AB314" s="7">
        <f t="shared" si="51"/>
        <v>0.43749999999999994</v>
      </c>
      <c r="AC314" s="7">
        <f t="shared" si="52"/>
        <v>0.3125</v>
      </c>
      <c r="AD314" s="7">
        <f t="shared" si="53"/>
        <v>0.25</v>
      </c>
      <c r="AE314" s="7">
        <f>INDEX(환산공식!$AF$16:$AF$301,MATCH('배치점수 계산기'!W314,환산공식!$A$16:$A$301,0))</f>
        <v>1</v>
      </c>
      <c r="AF314" s="7">
        <f>INDEX(환산공식!$AP$16:$AP$301,MATCH('배치점수 계산기'!W314,환산공식!$A$16:$A$301,0))</f>
        <v>4</v>
      </c>
      <c r="AG314" s="7" t="str">
        <f t="shared" si="54"/>
        <v>표점</v>
      </c>
      <c r="AH314" s="7" t="str">
        <f t="shared" si="55"/>
        <v>변표</v>
      </c>
      <c r="BO314" s="210"/>
      <c r="BP314" s="210"/>
      <c r="BQ314" s="210"/>
      <c r="BR314" s="210"/>
      <c r="BS314" s="210"/>
      <c r="BT314" s="210"/>
      <c r="BU314" s="210"/>
      <c r="BV314" s="210"/>
      <c r="BW314" s="210"/>
      <c r="BX314" s="210"/>
      <c r="BY314" s="210"/>
      <c r="BZ314" s="210"/>
      <c r="CA314" s="210"/>
      <c r="CB314" s="210"/>
      <c r="CC314" s="210"/>
      <c r="EM314" s="120"/>
      <c r="ET314" s="210"/>
      <c r="EU314" s="210"/>
      <c r="EV314" s="210"/>
      <c r="EW314" s="210"/>
      <c r="EX314" s="210"/>
      <c r="EY314" s="210"/>
      <c r="EZ314" s="210"/>
      <c r="FA314" s="210"/>
      <c r="FB314" s="210"/>
      <c r="FC314" s="210"/>
      <c r="FD314" s="210"/>
      <c r="FE314" s="210"/>
      <c r="FF314" s="210"/>
      <c r="FG314" s="210"/>
      <c r="FH314" s="210"/>
      <c r="HR314" s="120"/>
      <c r="HY314" s="210"/>
      <c r="HZ314" s="210"/>
      <c r="IA314" s="210"/>
      <c r="IB314" s="210"/>
      <c r="IC314" s="210"/>
      <c r="ID314" s="210"/>
      <c r="IE314" s="210"/>
      <c r="IF314" s="210"/>
      <c r="IG314" s="210"/>
      <c r="IH314" s="210"/>
      <c r="II314" s="210"/>
      <c r="IJ314" s="210"/>
      <c r="IK314" s="210"/>
      <c r="IL314" s="210"/>
      <c r="IM314" s="210"/>
      <c r="KW314" s="120"/>
      <c r="LD314" s="210"/>
      <c r="LE314" s="210"/>
      <c r="LF314" s="210"/>
      <c r="LG314" s="210"/>
      <c r="LH314" s="210"/>
      <c r="LI314" s="210"/>
      <c r="LJ314" s="210"/>
      <c r="LK314" s="210"/>
      <c r="LL314" s="210"/>
      <c r="LM314" s="210"/>
      <c r="LN314" s="210"/>
      <c r="LO314" s="210"/>
      <c r="LP314" s="210"/>
      <c r="LQ314" s="210"/>
      <c r="LR314" s="210"/>
      <c r="OB314" s="120"/>
      <c r="OI314" s="210"/>
      <c r="OJ314" s="210"/>
      <c r="OK314" s="210"/>
      <c r="OL314" s="210"/>
      <c r="OM314" s="210"/>
      <c r="ON314" s="210"/>
      <c r="OO314" s="210"/>
      <c r="OP314" s="210"/>
      <c r="OQ314" s="210"/>
      <c r="OR314" s="210"/>
      <c r="OS314" s="210"/>
      <c r="OT314" s="210"/>
      <c r="OU314" s="210"/>
      <c r="OV314" s="210"/>
      <c r="OW314" s="210"/>
      <c r="RG314" s="120"/>
    </row>
    <row r="315" spans="1:475" x14ac:dyDescent="0.3">
      <c r="A315" s="7">
        <v>34</v>
      </c>
      <c r="B315" s="7">
        <v>305</v>
      </c>
      <c r="C315" s="7" t="s">
        <v>346</v>
      </c>
      <c r="D315" s="7" t="s">
        <v>410</v>
      </c>
      <c r="E315" s="7" t="s">
        <v>414</v>
      </c>
      <c r="F315" s="7" t="s">
        <v>275</v>
      </c>
      <c r="G315" s="41" t="str">
        <f t="shared" si="47"/>
        <v>X</v>
      </c>
      <c r="H315" s="41">
        <f>INDEX(환산공식!CI$16:CI$301,MATCH('배치점수 계산기'!$W315,환산공식!$A$16:$A$301,0))</f>
        <v>120</v>
      </c>
      <c r="I315" s="41" t="str">
        <f>CONCATENATE(ROUND(INDEX(환산공식!CJ$16:CJ$301,MATCH('배치점수 계산기'!$W315,환산공식!$A$16:$A$301,0)),1),"%")</f>
        <v>100%</v>
      </c>
      <c r="J315" s="41">
        <f>INDEX(환산공식!CK$16:CK$301,MATCH('배치점수 계산기'!$W315,환산공식!$A$16:$A$301,0))</f>
        <v>40</v>
      </c>
      <c r="K315" s="7">
        <f>INDEX(환산공식!$EF$16:$EF$301,MATCH('배치점수 계산기'!W315,환산공식!$A$16:$A$301,0))</f>
        <v>0</v>
      </c>
      <c r="L315" s="41" t="str">
        <f t="shared" si="45"/>
        <v>1% 이하</v>
      </c>
      <c r="M315" s="7">
        <v>545.40015696619957</v>
      </c>
      <c r="N315" s="7">
        <v>543.04725925925925</v>
      </c>
      <c r="O315" s="7">
        <v>541.36159999999995</v>
      </c>
      <c r="P315" s="7">
        <v>539.24719999999991</v>
      </c>
      <c r="Q315" s="7">
        <v>537.94495131505323</v>
      </c>
      <c r="R315" s="7">
        <f t="shared" si="46"/>
        <v>6</v>
      </c>
      <c r="T315" s="7">
        <f>COUNTIF($C$11:C315,C315)</f>
        <v>104</v>
      </c>
      <c r="U315" s="7" t="str">
        <f t="shared" si="48"/>
        <v>나104</v>
      </c>
      <c r="V315" s="7" t="str">
        <f>INDEX(환산공식!$C$16:$C$301,MATCH('배치점수 계산기'!W315,환산공식!$A$16:$A$301,0))</f>
        <v>경희 통합인문</v>
      </c>
      <c r="W315" s="7">
        <f t="shared" si="49"/>
        <v>34</v>
      </c>
      <c r="X315" s="7">
        <f t="shared" si="50"/>
        <v>1</v>
      </c>
      <c r="Y315" s="7">
        <f>IFERROR(INDEX(환산공식!Q$16:Q$200,MATCH($A315,환산공식!$A$16:$A$200,0)),"")</f>
        <v>1.4</v>
      </c>
      <c r="Z315" s="7">
        <f>IFERROR(INDEX(환산공식!R$16:R$200,MATCH($A315,환산공식!$A$16:$A$200,0)),"")</f>
        <v>1</v>
      </c>
      <c r="AA315" s="7">
        <f>IFERROR(INDEX(환산공식!U$16:U$200,MATCH($A315,환산공식!$A$16:$A$200,0)),"")</f>
        <v>0.8</v>
      </c>
      <c r="AB315" s="7">
        <f t="shared" si="51"/>
        <v>0.43749999999999994</v>
      </c>
      <c r="AC315" s="7">
        <f t="shared" si="52"/>
        <v>0.3125</v>
      </c>
      <c r="AD315" s="7">
        <f t="shared" si="53"/>
        <v>0.25</v>
      </c>
      <c r="AE315" s="7">
        <f>INDEX(환산공식!$AF$16:$AF$301,MATCH('배치점수 계산기'!W315,환산공식!$A$16:$A$301,0))</f>
        <v>1</v>
      </c>
      <c r="AF315" s="7">
        <f>INDEX(환산공식!$AP$16:$AP$301,MATCH('배치점수 계산기'!W315,환산공식!$A$16:$A$301,0))</f>
        <v>4</v>
      </c>
      <c r="AG315" s="7" t="str">
        <f t="shared" si="54"/>
        <v>표점</v>
      </c>
      <c r="AH315" s="7" t="str">
        <f t="shared" si="55"/>
        <v>변표</v>
      </c>
      <c r="BO315" s="210"/>
      <c r="BP315" s="210"/>
      <c r="BQ315" s="210"/>
      <c r="BR315" s="210"/>
      <c r="BS315" s="210"/>
      <c r="BT315" s="210"/>
      <c r="BU315" s="210"/>
      <c r="BV315" s="210"/>
      <c r="BW315" s="210"/>
      <c r="BX315" s="210"/>
      <c r="BY315" s="210"/>
      <c r="BZ315" s="210"/>
      <c r="CA315" s="210"/>
      <c r="CB315" s="210"/>
      <c r="CC315" s="210"/>
      <c r="EM315" s="120"/>
      <c r="ET315" s="210"/>
      <c r="EU315" s="210"/>
      <c r="EV315" s="210"/>
      <c r="EW315" s="210"/>
      <c r="EX315" s="210"/>
      <c r="EY315" s="210"/>
      <c r="EZ315" s="210"/>
      <c r="FA315" s="210"/>
      <c r="FB315" s="210"/>
      <c r="FC315" s="210"/>
      <c r="FD315" s="210"/>
      <c r="FE315" s="210"/>
      <c r="FF315" s="210"/>
      <c r="FG315" s="210"/>
      <c r="FH315" s="210"/>
      <c r="HR315" s="120"/>
      <c r="HY315" s="210"/>
      <c r="HZ315" s="210"/>
      <c r="IA315" s="210"/>
      <c r="IB315" s="210"/>
      <c r="IC315" s="210"/>
      <c r="ID315" s="210"/>
      <c r="IE315" s="210"/>
      <c r="IF315" s="210"/>
      <c r="IG315" s="210"/>
      <c r="IH315" s="210"/>
      <c r="II315" s="210"/>
      <c r="IJ315" s="210"/>
      <c r="IK315" s="210"/>
      <c r="IL315" s="210"/>
      <c r="IM315" s="210"/>
      <c r="KW315" s="120"/>
      <c r="LD315" s="210"/>
      <c r="LE315" s="210"/>
      <c r="LF315" s="210"/>
      <c r="LG315" s="210"/>
      <c r="LH315" s="210"/>
      <c r="LI315" s="210"/>
      <c r="LJ315" s="210"/>
      <c r="LK315" s="210"/>
      <c r="LL315" s="210"/>
      <c r="LM315" s="210"/>
      <c r="LN315" s="210"/>
      <c r="LO315" s="210"/>
      <c r="LP315" s="210"/>
      <c r="LQ315" s="210"/>
      <c r="LR315" s="210"/>
      <c r="OB315" s="120"/>
      <c r="OI315" s="210"/>
      <c r="OJ315" s="210"/>
      <c r="OK315" s="210"/>
      <c r="OL315" s="210"/>
      <c r="OM315" s="210"/>
      <c r="ON315" s="210"/>
      <c r="OO315" s="210"/>
      <c r="OP315" s="210"/>
      <c r="OQ315" s="210"/>
      <c r="OR315" s="210"/>
      <c r="OS315" s="210"/>
      <c r="OT315" s="210"/>
      <c r="OU315" s="210"/>
      <c r="OV315" s="210"/>
      <c r="OW315" s="210"/>
      <c r="RG315" s="120"/>
    </row>
    <row r="316" spans="1:475" x14ac:dyDescent="0.3">
      <c r="A316" s="7">
        <v>34</v>
      </c>
      <c r="B316" s="7">
        <v>306</v>
      </c>
      <c r="C316" s="7" t="s">
        <v>346</v>
      </c>
      <c r="D316" s="7" t="s">
        <v>410</v>
      </c>
      <c r="E316" s="7" t="s">
        <v>415</v>
      </c>
      <c r="F316" s="7" t="s">
        <v>275</v>
      </c>
      <c r="G316" s="41" t="str">
        <f t="shared" si="47"/>
        <v>X</v>
      </c>
      <c r="H316" s="41">
        <f>INDEX(환산공식!CI$16:CI$301,MATCH('배치점수 계산기'!$W316,환산공식!$A$16:$A$301,0))</f>
        <v>120</v>
      </c>
      <c r="I316" s="41" t="str">
        <f>CONCATENATE(ROUND(INDEX(환산공식!CJ$16:CJ$301,MATCH('배치점수 계산기'!$W316,환산공식!$A$16:$A$301,0)),1),"%")</f>
        <v>100%</v>
      </c>
      <c r="J316" s="41">
        <f>INDEX(환산공식!CK$16:CK$301,MATCH('배치점수 계산기'!$W316,환산공식!$A$16:$A$301,0))</f>
        <v>40</v>
      </c>
      <c r="K316" s="7">
        <f>INDEX(환산공식!$EF$16:$EF$301,MATCH('배치점수 계산기'!W316,환산공식!$A$16:$A$301,0))</f>
        <v>0</v>
      </c>
      <c r="L316" s="41" t="str">
        <f t="shared" si="45"/>
        <v>1% 이하</v>
      </c>
      <c r="M316" s="7">
        <v>545.40015696619957</v>
      </c>
      <c r="N316" s="7">
        <v>543.04725925925925</v>
      </c>
      <c r="O316" s="7">
        <v>541.36159999999995</v>
      </c>
      <c r="P316" s="7">
        <v>539.24719999999991</v>
      </c>
      <c r="Q316" s="7">
        <v>537.94495131505323</v>
      </c>
      <c r="R316" s="7">
        <f t="shared" si="46"/>
        <v>6</v>
      </c>
      <c r="T316" s="7">
        <f>COUNTIF($C$11:C316,C316)</f>
        <v>105</v>
      </c>
      <c r="U316" s="7" t="str">
        <f t="shared" si="48"/>
        <v>나105</v>
      </c>
      <c r="V316" s="7" t="str">
        <f>INDEX(환산공식!$C$16:$C$301,MATCH('배치점수 계산기'!W316,환산공식!$A$16:$A$301,0))</f>
        <v>경희 통합인문</v>
      </c>
      <c r="W316" s="7">
        <f t="shared" si="49"/>
        <v>34</v>
      </c>
      <c r="X316" s="7">
        <f t="shared" si="50"/>
        <v>1</v>
      </c>
      <c r="Y316" s="7">
        <f>IFERROR(INDEX(환산공식!Q$16:Q$200,MATCH($A316,환산공식!$A$16:$A$200,0)),"")</f>
        <v>1.4</v>
      </c>
      <c r="Z316" s="7">
        <f>IFERROR(INDEX(환산공식!R$16:R$200,MATCH($A316,환산공식!$A$16:$A$200,0)),"")</f>
        <v>1</v>
      </c>
      <c r="AA316" s="7">
        <f>IFERROR(INDEX(환산공식!U$16:U$200,MATCH($A316,환산공식!$A$16:$A$200,0)),"")</f>
        <v>0.8</v>
      </c>
      <c r="AB316" s="7">
        <f t="shared" si="51"/>
        <v>0.43749999999999994</v>
      </c>
      <c r="AC316" s="7">
        <f t="shared" si="52"/>
        <v>0.3125</v>
      </c>
      <c r="AD316" s="7">
        <f t="shared" si="53"/>
        <v>0.25</v>
      </c>
      <c r="AE316" s="7">
        <f>INDEX(환산공식!$AF$16:$AF$301,MATCH('배치점수 계산기'!W316,환산공식!$A$16:$A$301,0))</f>
        <v>1</v>
      </c>
      <c r="AF316" s="7">
        <f>INDEX(환산공식!$AP$16:$AP$301,MATCH('배치점수 계산기'!W316,환산공식!$A$16:$A$301,0))</f>
        <v>4</v>
      </c>
      <c r="AG316" s="7" t="str">
        <f t="shared" si="54"/>
        <v>표점</v>
      </c>
      <c r="AH316" s="7" t="str">
        <f t="shared" si="55"/>
        <v>변표</v>
      </c>
      <c r="BO316" s="210"/>
      <c r="BP316" s="210"/>
      <c r="BQ316" s="210"/>
      <c r="BR316" s="210"/>
      <c r="BS316" s="210"/>
      <c r="BT316" s="210"/>
      <c r="BU316" s="210"/>
      <c r="BV316" s="210"/>
      <c r="BW316" s="210"/>
      <c r="BX316" s="210"/>
      <c r="BY316" s="210"/>
      <c r="BZ316" s="210"/>
      <c r="CA316" s="210"/>
      <c r="CB316" s="210"/>
      <c r="CC316" s="210"/>
      <c r="EM316" s="120"/>
      <c r="ET316" s="210"/>
      <c r="EU316" s="210"/>
      <c r="EV316" s="210"/>
      <c r="EW316" s="210"/>
      <c r="EX316" s="210"/>
      <c r="EY316" s="210"/>
      <c r="EZ316" s="210"/>
      <c r="FA316" s="210"/>
      <c r="FB316" s="210"/>
      <c r="FC316" s="210"/>
      <c r="FD316" s="210"/>
      <c r="FE316" s="210"/>
      <c r="FF316" s="210"/>
      <c r="FG316" s="210"/>
      <c r="FH316" s="210"/>
      <c r="HR316" s="120"/>
      <c r="HY316" s="210"/>
      <c r="HZ316" s="210"/>
      <c r="IA316" s="210"/>
      <c r="IB316" s="210"/>
      <c r="IC316" s="210"/>
      <c r="ID316" s="210"/>
      <c r="IE316" s="210"/>
      <c r="IF316" s="210"/>
      <c r="IG316" s="210"/>
      <c r="IH316" s="210"/>
      <c r="II316" s="210"/>
      <c r="IJ316" s="210"/>
      <c r="IK316" s="210"/>
      <c r="IL316" s="210"/>
      <c r="IM316" s="210"/>
      <c r="KW316" s="120"/>
      <c r="LD316" s="210"/>
      <c r="LE316" s="210"/>
      <c r="LF316" s="210"/>
      <c r="LG316" s="210"/>
      <c r="LH316" s="210"/>
      <c r="LI316" s="210"/>
      <c r="LJ316" s="210"/>
      <c r="LK316" s="210"/>
      <c r="LL316" s="210"/>
      <c r="LM316" s="210"/>
      <c r="LN316" s="210"/>
      <c r="LO316" s="210"/>
      <c r="LP316" s="210"/>
      <c r="LQ316" s="210"/>
      <c r="LR316" s="210"/>
      <c r="OB316" s="120"/>
      <c r="OI316" s="210"/>
      <c r="OJ316" s="210"/>
      <c r="OK316" s="210"/>
      <c r="OL316" s="210"/>
      <c r="OM316" s="210"/>
      <c r="ON316" s="210"/>
      <c r="OO316" s="210"/>
      <c r="OP316" s="210"/>
      <c r="OQ316" s="210"/>
      <c r="OR316" s="210"/>
      <c r="OS316" s="210"/>
      <c r="OT316" s="210"/>
      <c r="OU316" s="210"/>
      <c r="OV316" s="210"/>
      <c r="OW316" s="210"/>
      <c r="RG316" s="120"/>
    </row>
    <row r="317" spans="1:475" x14ac:dyDescent="0.3">
      <c r="A317" s="7">
        <v>34</v>
      </c>
      <c r="B317" s="7">
        <v>307</v>
      </c>
      <c r="C317" s="7" t="s">
        <v>346</v>
      </c>
      <c r="D317" s="7" t="s">
        <v>410</v>
      </c>
      <c r="E317" s="7" t="s">
        <v>416</v>
      </c>
      <c r="F317" s="7" t="s">
        <v>275</v>
      </c>
      <c r="G317" s="41" t="str">
        <f t="shared" si="47"/>
        <v>X</v>
      </c>
      <c r="H317" s="41">
        <f>INDEX(환산공식!CI$16:CI$301,MATCH('배치점수 계산기'!$W317,환산공식!$A$16:$A$301,0))</f>
        <v>120</v>
      </c>
      <c r="I317" s="41" t="str">
        <f>CONCATENATE(ROUND(INDEX(환산공식!CJ$16:CJ$301,MATCH('배치점수 계산기'!$W317,환산공식!$A$16:$A$301,0)),1),"%")</f>
        <v>100%</v>
      </c>
      <c r="J317" s="41">
        <f>INDEX(환산공식!CK$16:CK$301,MATCH('배치점수 계산기'!$W317,환산공식!$A$16:$A$301,0))</f>
        <v>40</v>
      </c>
      <c r="K317" s="7">
        <f>INDEX(환산공식!$EF$16:$EF$301,MATCH('배치점수 계산기'!W317,환산공식!$A$16:$A$301,0))</f>
        <v>0</v>
      </c>
      <c r="L317" s="41" t="str">
        <f t="shared" si="45"/>
        <v>1% 이하</v>
      </c>
      <c r="M317" s="7">
        <v>545.40015696619957</v>
      </c>
      <c r="N317" s="7">
        <v>543.04725925925925</v>
      </c>
      <c r="O317" s="7">
        <v>541.36159999999995</v>
      </c>
      <c r="P317" s="7">
        <v>539.24719999999991</v>
      </c>
      <c r="Q317" s="7">
        <v>537.94495131505323</v>
      </c>
      <c r="R317" s="7">
        <f t="shared" si="46"/>
        <v>6</v>
      </c>
      <c r="T317" s="7">
        <f>COUNTIF($C$11:C317,C317)</f>
        <v>106</v>
      </c>
      <c r="U317" s="7" t="str">
        <f t="shared" si="48"/>
        <v>나106</v>
      </c>
      <c r="V317" s="7" t="str">
        <f>INDEX(환산공식!$C$16:$C$301,MATCH('배치점수 계산기'!W317,환산공식!$A$16:$A$301,0))</f>
        <v>경희 통합인문</v>
      </c>
      <c r="W317" s="7">
        <f t="shared" si="49"/>
        <v>34</v>
      </c>
      <c r="X317" s="7">
        <f t="shared" si="50"/>
        <v>1</v>
      </c>
      <c r="Y317" s="7">
        <f>IFERROR(INDEX(환산공식!Q$16:Q$200,MATCH($A317,환산공식!$A$16:$A$200,0)),"")</f>
        <v>1.4</v>
      </c>
      <c r="Z317" s="7">
        <f>IFERROR(INDEX(환산공식!R$16:R$200,MATCH($A317,환산공식!$A$16:$A$200,0)),"")</f>
        <v>1</v>
      </c>
      <c r="AA317" s="7">
        <f>IFERROR(INDEX(환산공식!U$16:U$200,MATCH($A317,환산공식!$A$16:$A$200,0)),"")</f>
        <v>0.8</v>
      </c>
      <c r="AB317" s="7">
        <f t="shared" si="51"/>
        <v>0.43749999999999994</v>
      </c>
      <c r="AC317" s="7">
        <f t="shared" si="52"/>
        <v>0.3125</v>
      </c>
      <c r="AD317" s="7">
        <f t="shared" si="53"/>
        <v>0.25</v>
      </c>
      <c r="AE317" s="7">
        <f>INDEX(환산공식!$AF$16:$AF$301,MATCH('배치점수 계산기'!W317,환산공식!$A$16:$A$301,0))</f>
        <v>1</v>
      </c>
      <c r="AF317" s="7">
        <f>INDEX(환산공식!$AP$16:$AP$301,MATCH('배치점수 계산기'!W317,환산공식!$A$16:$A$301,0))</f>
        <v>4</v>
      </c>
      <c r="AG317" s="7" t="str">
        <f t="shared" si="54"/>
        <v>표점</v>
      </c>
      <c r="AH317" s="7" t="str">
        <f t="shared" si="55"/>
        <v>변표</v>
      </c>
      <c r="BO317" s="210"/>
      <c r="BP317" s="210"/>
      <c r="BQ317" s="210"/>
      <c r="BR317" s="210"/>
      <c r="BS317" s="210"/>
      <c r="BT317" s="210"/>
      <c r="BU317" s="210"/>
      <c r="BV317" s="210"/>
      <c r="BW317" s="210"/>
      <c r="BX317" s="210"/>
      <c r="BY317" s="210"/>
      <c r="BZ317" s="210"/>
      <c r="CA317" s="210"/>
      <c r="CB317" s="210"/>
      <c r="CC317" s="210"/>
      <c r="EM317" s="120"/>
      <c r="ET317" s="210"/>
      <c r="EU317" s="210"/>
      <c r="EV317" s="210"/>
      <c r="EW317" s="210"/>
      <c r="EX317" s="210"/>
      <c r="EY317" s="210"/>
      <c r="EZ317" s="210"/>
      <c r="FA317" s="210"/>
      <c r="FB317" s="210"/>
      <c r="FC317" s="210"/>
      <c r="FD317" s="210"/>
      <c r="FE317" s="210"/>
      <c r="FF317" s="210"/>
      <c r="FG317" s="210"/>
      <c r="FH317" s="210"/>
      <c r="HR317" s="120"/>
      <c r="HY317" s="210"/>
      <c r="HZ317" s="210"/>
      <c r="IA317" s="210"/>
      <c r="IB317" s="210"/>
      <c r="IC317" s="210"/>
      <c r="ID317" s="210"/>
      <c r="IE317" s="210"/>
      <c r="IF317" s="210"/>
      <c r="IG317" s="210"/>
      <c r="IH317" s="210"/>
      <c r="II317" s="210"/>
      <c r="IJ317" s="210"/>
      <c r="IK317" s="210"/>
      <c r="IL317" s="210"/>
      <c r="IM317" s="210"/>
      <c r="KW317" s="120"/>
      <c r="LD317" s="210"/>
      <c r="LE317" s="210"/>
      <c r="LF317" s="210"/>
      <c r="LG317" s="210"/>
      <c r="LH317" s="210"/>
      <c r="LI317" s="210"/>
      <c r="LJ317" s="210"/>
      <c r="LK317" s="210"/>
      <c r="LL317" s="210"/>
      <c r="LM317" s="210"/>
      <c r="LN317" s="210"/>
      <c r="LO317" s="210"/>
      <c r="LP317" s="210"/>
      <c r="LQ317" s="210"/>
      <c r="LR317" s="210"/>
      <c r="OB317" s="120"/>
      <c r="OI317" s="210"/>
      <c r="OJ317" s="210"/>
      <c r="OK317" s="210"/>
      <c r="OL317" s="210"/>
      <c r="OM317" s="210"/>
      <c r="ON317" s="210"/>
      <c r="OO317" s="210"/>
      <c r="OP317" s="210"/>
      <c r="OQ317" s="210"/>
      <c r="OR317" s="210"/>
      <c r="OS317" s="210"/>
      <c r="OT317" s="210"/>
      <c r="OU317" s="210"/>
      <c r="OV317" s="210"/>
      <c r="OW317" s="210"/>
      <c r="RG317" s="120"/>
    </row>
    <row r="318" spans="1:475" x14ac:dyDescent="0.3">
      <c r="A318" s="7">
        <v>34</v>
      </c>
      <c r="B318" s="7">
        <v>308</v>
      </c>
      <c r="C318" s="7" t="s">
        <v>346</v>
      </c>
      <c r="D318" s="7" t="s">
        <v>410</v>
      </c>
      <c r="E318" s="7" t="s">
        <v>417</v>
      </c>
      <c r="F318" s="7" t="s">
        <v>275</v>
      </c>
      <c r="G318" s="41" t="str">
        <f t="shared" si="47"/>
        <v>X</v>
      </c>
      <c r="H318" s="41">
        <f>INDEX(환산공식!CI$16:CI$301,MATCH('배치점수 계산기'!$W318,환산공식!$A$16:$A$301,0))</f>
        <v>120</v>
      </c>
      <c r="I318" s="41" t="str">
        <f>CONCATENATE(ROUND(INDEX(환산공식!CJ$16:CJ$301,MATCH('배치점수 계산기'!$W318,환산공식!$A$16:$A$301,0)),1),"%")</f>
        <v>100%</v>
      </c>
      <c r="J318" s="41">
        <f>INDEX(환산공식!CK$16:CK$301,MATCH('배치점수 계산기'!$W318,환산공식!$A$16:$A$301,0))</f>
        <v>40</v>
      </c>
      <c r="K318" s="7">
        <f>INDEX(환산공식!$EF$16:$EF$301,MATCH('배치점수 계산기'!W318,환산공식!$A$16:$A$301,0))</f>
        <v>0</v>
      </c>
      <c r="L318" s="41" t="str">
        <f t="shared" si="45"/>
        <v>1% 이하</v>
      </c>
      <c r="M318" s="7">
        <v>547.25199999999995</v>
      </c>
      <c r="N318" s="7">
        <v>545.92559999999992</v>
      </c>
      <c r="O318" s="7">
        <v>544.17370540242541</v>
      </c>
      <c r="P318" s="7">
        <v>542.50878008298753</v>
      </c>
      <c r="Q318" s="7">
        <v>539.82719999999995</v>
      </c>
      <c r="R318" s="7">
        <f t="shared" si="46"/>
        <v>6</v>
      </c>
      <c r="T318" s="7">
        <f>COUNTIF($C$11:C318,C318)</f>
        <v>107</v>
      </c>
      <c r="U318" s="7" t="str">
        <f t="shared" si="48"/>
        <v>나107</v>
      </c>
      <c r="V318" s="7" t="str">
        <f>INDEX(환산공식!$C$16:$C$301,MATCH('배치점수 계산기'!W318,환산공식!$A$16:$A$301,0))</f>
        <v>경희 통합인문</v>
      </c>
      <c r="W318" s="7">
        <f t="shared" si="49"/>
        <v>34</v>
      </c>
      <c r="X318" s="7">
        <f t="shared" si="50"/>
        <v>1</v>
      </c>
      <c r="Y318" s="7">
        <f>IFERROR(INDEX(환산공식!Q$16:Q$200,MATCH($A318,환산공식!$A$16:$A$200,0)),"")</f>
        <v>1.4</v>
      </c>
      <c r="Z318" s="7">
        <f>IFERROR(INDEX(환산공식!R$16:R$200,MATCH($A318,환산공식!$A$16:$A$200,0)),"")</f>
        <v>1</v>
      </c>
      <c r="AA318" s="7">
        <f>IFERROR(INDEX(환산공식!U$16:U$200,MATCH($A318,환산공식!$A$16:$A$200,0)),"")</f>
        <v>0.8</v>
      </c>
      <c r="AB318" s="7">
        <f t="shared" si="51"/>
        <v>0.43749999999999994</v>
      </c>
      <c r="AC318" s="7">
        <f t="shared" si="52"/>
        <v>0.3125</v>
      </c>
      <c r="AD318" s="7">
        <f t="shared" si="53"/>
        <v>0.25</v>
      </c>
      <c r="AE318" s="7">
        <f>INDEX(환산공식!$AF$16:$AF$301,MATCH('배치점수 계산기'!W318,환산공식!$A$16:$A$301,0))</f>
        <v>1</v>
      </c>
      <c r="AF318" s="7">
        <f>INDEX(환산공식!$AP$16:$AP$301,MATCH('배치점수 계산기'!W318,환산공식!$A$16:$A$301,0))</f>
        <v>4</v>
      </c>
      <c r="AG318" s="7" t="str">
        <f t="shared" si="54"/>
        <v>표점</v>
      </c>
      <c r="AH318" s="7" t="str">
        <f t="shared" si="55"/>
        <v>변표</v>
      </c>
      <c r="BO318" s="210"/>
      <c r="BP318" s="210"/>
      <c r="BQ318" s="210"/>
      <c r="BR318" s="210"/>
      <c r="BS318" s="210"/>
      <c r="BT318" s="210"/>
      <c r="BU318" s="210"/>
      <c r="BV318" s="210"/>
      <c r="BW318" s="210"/>
      <c r="BX318" s="210"/>
      <c r="BY318" s="210"/>
      <c r="BZ318" s="210"/>
      <c r="CA318" s="210"/>
      <c r="CB318" s="210"/>
      <c r="CC318" s="210"/>
      <c r="EM318" s="120"/>
      <c r="ET318" s="210"/>
      <c r="EU318" s="210"/>
      <c r="EV318" s="210"/>
      <c r="EW318" s="210"/>
      <c r="EX318" s="210"/>
      <c r="EY318" s="210"/>
      <c r="EZ318" s="210"/>
      <c r="FA318" s="210"/>
      <c r="FB318" s="210"/>
      <c r="FC318" s="210"/>
      <c r="FD318" s="210"/>
      <c r="FE318" s="210"/>
      <c r="FF318" s="210"/>
      <c r="FG318" s="210"/>
      <c r="FH318" s="210"/>
      <c r="HR318" s="120"/>
      <c r="HY318" s="210"/>
      <c r="HZ318" s="210"/>
      <c r="IA318" s="210"/>
      <c r="IB318" s="210"/>
      <c r="IC318" s="210"/>
      <c r="ID318" s="210"/>
      <c r="IE318" s="210"/>
      <c r="IF318" s="210"/>
      <c r="IG318" s="210"/>
      <c r="IH318" s="210"/>
      <c r="II318" s="210"/>
      <c r="IJ318" s="210"/>
      <c r="IK318" s="210"/>
      <c r="IL318" s="210"/>
      <c r="IM318" s="210"/>
      <c r="KW318" s="120"/>
      <c r="LD318" s="210"/>
      <c r="LE318" s="210"/>
      <c r="LF318" s="210"/>
      <c r="LG318" s="210"/>
      <c r="LH318" s="210"/>
      <c r="LI318" s="210"/>
      <c r="LJ318" s="210"/>
      <c r="LK318" s="210"/>
      <c r="LL318" s="210"/>
      <c r="LM318" s="210"/>
      <c r="LN318" s="210"/>
      <c r="LO318" s="210"/>
      <c r="LP318" s="210"/>
      <c r="LQ318" s="210"/>
      <c r="LR318" s="210"/>
      <c r="OB318" s="120"/>
      <c r="OI318" s="210"/>
      <c r="OJ318" s="210"/>
      <c r="OK318" s="210"/>
      <c r="OL318" s="210"/>
      <c r="OM318" s="210"/>
      <c r="ON318" s="210"/>
      <c r="OO318" s="210"/>
      <c r="OP318" s="210"/>
      <c r="OQ318" s="210"/>
      <c r="OR318" s="210"/>
      <c r="OS318" s="210"/>
      <c r="OT318" s="210"/>
      <c r="OU318" s="210"/>
      <c r="OV318" s="210"/>
      <c r="OW318" s="210"/>
      <c r="RG318" s="120"/>
    </row>
    <row r="319" spans="1:475" x14ac:dyDescent="0.3">
      <c r="A319" s="7">
        <v>35</v>
      </c>
      <c r="B319" s="7">
        <v>309</v>
      </c>
      <c r="C319" s="7" t="s">
        <v>346</v>
      </c>
      <c r="D319" s="7" t="s">
        <v>410</v>
      </c>
      <c r="E319" s="7" t="s">
        <v>418</v>
      </c>
      <c r="F319" s="7" t="s">
        <v>275</v>
      </c>
      <c r="G319" s="41" t="str">
        <f t="shared" si="47"/>
        <v>X</v>
      </c>
      <c r="H319" s="41">
        <f>INDEX(환산공식!CI$16:CI$301,MATCH('배치점수 계산기'!$W319,환산공식!$A$16:$A$301,0))</f>
        <v>120</v>
      </c>
      <c r="I319" s="41" t="str">
        <f>CONCATENATE(ROUND(INDEX(환산공식!CJ$16:CJ$301,MATCH('배치점수 계산기'!$W319,환산공식!$A$16:$A$301,0)),1),"%")</f>
        <v>100%</v>
      </c>
      <c r="J319" s="41">
        <f>INDEX(환산공식!CK$16:CK$301,MATCH('배치점수 계산기'!$W319,환산공식!$A$16:$A$301,0))</f>
        <v>40</v>
      </c>
      <c r="K319" s="7">
        <f>INDEX(환산공식!$EF$16:$EF$301,MATCH('배치점수 계산기'!W319,환산공식!$A$16:$A$301,0))</f>
        <v>0</v>
      </c>
      <c r="L319" s="41" t="str">
        <f t="shared" si="45"/>
        <v>1% 이하</v>
      </c>
      <c r="M319" s="7">
        <v>545.76605408942191</v>
      </c>
      <c r="N319" s="7">
        <v>544.572</v>
      </c>
      <c r="O319" s="7">
        <v>542.63939851607586</v>
      </c>
      <c r="P319" s="7">
        <v>540.81439999999986</v>
      </c>
      <c r="Q319" s="7">
        <v>538.5616</v>
      </c>
      <c r="R319" s="7">
        <f t="shared" si="46"/>
        <v>6</v>
      </c>
      <c r="T319" s="7">
        <f>COUNTIF($C$11:C319,C319)</f>
        <v>108</v>
      </c>
      <c r="U319" s="7" t="str">
        <f t="shared" si="48"/>
        <v>나108</v>
      </c>
      <c r="V319" s="7" t="str">
        <f>INDEX(환산공식!$C$16:$C$301,MATCH('배치점수 계산기'!W319,환산공식!$A$16:$A$301,0))</f>
        <v>경희 통합사회</v>
      </c>
      <c r="W319" s="7">
        <f t="shared" si="49"/>
        <v>35</v>
      </c>
      <c r="X319" s="7">
        <f t="shared" si="50"/>
        <v>1</v>
      </c>
      <c r="Y319" s="7">
        <f>IFERROR(INDEX(환산공식!Q$16:Q$200,MATCH($A319,환산공식!$A$16:$A$200,0)),"")</f>
        <v>1</v>
      </c>
      <c r="Z319" s="7">
        <f>IFERROR(INDEX(환산공식!R$16:R$200,MATCH($A319,환산공식!$A$16:$A$200,0)),"")</f>
        <v>1.4</v>
      </c>
      <c r="AA319" s="7">
        <f>IFERROR(INDEX(환산공식!U$16:U$200,MATCH($A319,환산공식!$A$16:$A$200,0)),"")</f>
        <v>0.8</v>
      </c>
      <c r="AB319" s="7">
        <f t="shared" si="51"/>
        <v>0.3125</v>
      </c>
      <c r="AC319" s="7">
        <f t="shared" si="52"/>
        <v>0.43749999999999994</v>
      </c>
      <c r="AD319" s="7">
        <f t="shared" si="53"/>
        <v>0.25</v>
      </c>
      <c r="AE319" s="7">
        <f>INDEX(환산공식!$AF$16:$AF$301,MATCH('배치점수 계산기'!W319,환산공식!$A$16:$A$301,0))</f>
        <v>1</v>
      </c>
      <c r="AF319" s="7">
        <f>INDEX(환산공식!$AP$16:$AP$301,MATCH('배치점수 계산기'!W319,환산공식!$A$16:$A$301,0))</f>
        <v>4</v>
      </c>
      <c r="AG319" s="7" t="str">
        <f t="shared" si="54"/>
        <v>표점</v>
      </c>
      <c r="AH319" s="7" t="str">
        <f t="shared" si="55"/>
        <v>변표</v>
      </c>
      <c r="BO319" s="210"/>
      <c r="BP319" s="210"/>
      <c r="BQ319" s="210"/>
      <c r="BR319" s="210"/>
      <c r="BS319" s="210"/>
      <c r="BT319" s="210"/>
      <c r="BU319" s="210"/>
      <c r="BV319" s="210"/>
      <c r="BW319" s="210"/>
      <c r="BX319" s="210"/>
      <c r="BY319" s="210"/>
      <c r="BZ319" s="210"/>
      <c r="CA319" s="210"/>
      <c r="CB319" s="210"/>
      <c r="CC319" s="210"/>
      <c r="EM319" s="120"/>
      <c r="ET319" s="210"/>
      <c r="EU319" s="210"/>
      <c r="EV319" s="210"/>
      <c r="EW319" s="210"/>
      <c r="EX319" s="210"/>
      <c r="EY319" s="210"/>
      <c r="EZ319" s="210"/>
      <c r="FA319" s="210"/>
      <c r="FB319" s="210"/>
      <c r="FC319" s="210"/>
      <c r="FD319" s="210"/>
      <c r="FE319" s="210"/>
      <c r="FF319" s="210"/>
      <c r="FG319" s="210"/>
      <c r="FH319" s="210"/>
      <c r="HR319" s="120"/>
      <c r="HY319" s="210"/>
      <c r="HZ319" s="210"/>
      <c r="IA319" s="210"/>
      <c r="IB319" s="210"/>
      <c r="IC319" s="210"/>
      <c r="ID319" s="210"/>
      <c r="IE319" s="210"/>
      <c r="IF319" s="210"/>
      <c r="IG319" s="210"/>
      <c r="IH319" s="210"/>
      <c r="II319" s="210"/>
      <c r="IJ319" s="210"/>
      <c r="IK319" s="210"/>
      <c r="IL319" s="210"/>
      <c r="IM319" s="210"/>
      <c r="KW319" s="120"/>
      <c r="LD319" s="210"/>
      <c r="LE319" s="210"/>
      <c r="LF319" s="210"/>
      <c r="LG319" s="210"/>
      <c r="LH319" s="210"/>
      <c r="LI319" s="210"/>
      <c r="LJ319" s="210"/>
      <c r="LK319" s="210"/>
      <c r="LL319" s="210"/>
      <c r="LM319" s="210"/>
      <c r="LN319" s="210"/>
      <c r="LO319" s="210"/>
      <c r="LP319" s="210"/>
      <c r="LQ319" s="210"/>
      <c r="LR319" s="210"/>
      <c r="OB319" s="120"/>
      <c r="OI319" s="210"/>
      <c r="OJ319" s="210"/>
      <c r="OK319" s="210"/>
      <c r="OL319" s="210"/>
      <c r="OM319" s="210"/>
      <c r="ON319" s="210"/>
      <c r="OO319" s="210"/>
      <c r="OP319" s="210"/>
      <c r="OQ319" s="210"/>
      <c r="OR319" s="210"/>
      <c r="OS319" s="210"/>
      <c r="OT319" s="210"/>
      <c r="OU319" s="210"/>
      <c r="OV319" s="210"/>
      <c r="OW319" s="210"/>
      <c r="RG319" s="120"/>
    </row>
    <row r="320" spans="1:475" x14ac:dyDescent="0.3">
      <c r="A320" s="7">
        <v>39</v>
      </c>
      <c r="B320" s="7">
        <v>310</v>
      </c>
      <c r="C320" s="7" t="s">
        <v>346</v>
      </c>
      <c r="D320" s="7" t="s">
        <v>419</v>
      </c>
      <c r="E320" s="7" t="s">
        <v>301</v>
      </c>
      <c r="F320" s="7" t="s">
        <v>275</v>
      </c>
      <c r="G320" s="41" t="str">
        <f t="shared" si="47"/>
        <v>X</v>
      </c>
      <c r="H320" s="41">
        <f>INDEX(환산공식!CI$16:CI$301,MATCH('배치점수 계산기'!$W320,환산공식!$A$16:$A$301,0))</f>
        <v>250</v>
      </c>
      <c r="I320" s="41" t="str">
        <f>CONCATENATE(ROUND(INDEX(환산공식!CJ$16:CJ$301,MATCH('배치점수 계산기'!$W320,환산공식!$A$16:$A$301,0)),1),"%")</f>
        <v>100%</v>
      </c>
      <c r="J320" s="41">
        <f>INDEX(환산공식!CK$16:CK$301,MATCH('배치점수 계산기'!$W320,환산공식!$A$16:$A$301,0))</f>
        <v>0</v>
      </c>
      <c r="K320" s="7">
        <f>INDEX(환산공식!$EF$16:$EF$301,MATCH('배치점수 계산기'!W320,환산공식!$A$16:$A$301,0))</f>
        <v>0</v>
      </c>
      <c r="L320" s="41" t="str">
        <f t="shared" si="45"/>
        <v>1% 이하</v>
      </c>
      <c r="M320" s="7">
        <v>894.73683022275759</v>
      </c>
      <c r="N320" s="7">
        <v>891.56068633353402</v>
      </c>
      <c r="O320" s="7">
        <v>888.13385957323067</v>
      </c>
      <c r="P320" s="7">
        <v>881.27307858598306</v>
      </c>
      <c r="Q320" s="7">
        <v>875.28091511137882</v>
      </c>
      <c r="R320" s="7">
        <f t="shared" si="46"/>
        <v>6</v>
      </c>
      <c r="T320" s="7">
        <f>COUNTIF($C$11:C320,C320)</f>
        <v>109</v>
      </c>
      <c r="U320" s="7" t="str">
        <f t="shared" si="48"/>
        <v>나109</v>
      </c>
      <c r="V320" s="7" t="str">
        <f>INDEX(환산공식!$C$16:$C$301,MATCH('배치점수 계산기'!W320,환산공식!$A$16:$A$301,0))</f>
        <v>서울시립 통합</v>
      </c>
      <c r="W320" s="7">
        <f t="shared" si="49"/>
        <v>39</v>
      </c>
      <c r="X320" s="7">
        <f t="shared" si="50"/>
        <v>1</v>
      </c>
      <c r="Y320" s="7">
        <f>IFERROR(INDEX(환산공식!Q$16:Q$200,MATCH($A320,환산공식!$A$16:$A$200,0)),"")</f>
        <v>2.0134228187919465</v>
      </c>
      <c r="Z320" s="7">
        <f>IFERROR(INDEX(환산공식!R$16:R$200,MATCH($A320,환산공식!$A$16:$A$200,0)),"")</f>
        <v>2.0408163265306123</v>
      </c>
      <c r="AA320" s="7">
        <f>IFERROR(INDEX(환산공식!U$16:U$200,MATCH($A320,환산공식!$A$16:$A$200,0)),"")</f>
        <v>1.1363636363636365</v>
      </c>
      <c r="AB320" s="7">
        <f t="shared" si="51"/>
        <v>0.3878976880865993</v>
      </c>
      <c r="AC320" s="7">
        <f t="shared" si="52"/>
        <v>0.39317520765240338</v>
      </c>
      <c r="AD320" s="7">
        <f t="shared" si="53"/>
        <v>0.21892710426099735</v>
      </c>
      <c r="AE320" s="7">
        <f>INDEX(환산공식!$AF$16:$AF$301,MATCH('배치점수 계산기'!W320,환산공식!$A$16:$A$301,0))</f>
        <v>12</v>
      </c>
      <c r="AF320" s="7">
        <f>INDEX(환산공식!$AP$16:$AP$301,MATCH('배치점수 계산기'!W320,환산공식!$A$16:$A$301,0))</f>
        <v>42</v>
      </c>
      <c r="AG320" s="7" t="str">
        <f t="shared" si="54"/>
        <v>표점/만점</v>
      </c>
      <c r="AH320" s="7" t="str">
        <f t="shared" si="55"/>
        <v>변표/만점</v>
      </c>
      <c r="BO320" s="210"/>
      <c r="BP320" s="210"/>
      <c r="BQ320" s="210"/>
      <c r="BR320" s="210"/>
      <c r="BS320" s="210"/>
      <c r="BT320" s="210"/>
      <c r="BU320" s="210"/>
      <c r="BV320" s="210"/>
      <c r="BW320" s="210"/>
      <c r="BX320" s="210"/>
      <c r="BY320" s="210"/>
      <c r="BZ320" s="210"/>
      <c r="CA320" s="210"/>
      <c r="CB320" s="210"/>
      <c r="CC320" s="210"/>
      <c r="EM320" s="120"/>
      <c r="ET320" s="210"/>
      <c r="EU320" s="210"/>
      <c r="EV320" s="210"/>
      <c r="EW320" s="210"/>
      <c r="EX320" s="210"/>
      <c r="EY320" s="210"/>
      <c r="EZ320" s="210"/>
      <c r="FA320" s="210"/>
      <c r="FB320" s="210"/>
      <c r="FC320" s="210"/>
      <c r="FD320" s="210"/>
      <c r="FE320" s="210"/>
      <c r="FF320" s="210"/>
      <c r="FG320" s="210"/>
      <c r="FH320" s="210"/>
      <c r="HR320" s="120"/>
      <c r="HY320" s="210"/>
      <c r="HZ320" s="210"/>
      <c r="IA320" s="210"/>
      <c r="IB320" s="210"/>
      <c r="IC320" s="210"/>
      <c r="ID320" s="210"/>
      <c r="IE320" s="210"/>
      <c r="IF320" s="210"/>
      <c r="IG320" s="210"/>
      <c r="IH320" s="210"/>
      <c r="II320" s="210"/>
      <c r="IJ320" s="210"/>
      <c r="IK320" s="210"/>
      <c r="IL320" s="210"/>
      <c r="IM320" s="210"/>
      <c r="KW320" s="120"/>
      <c r="LD320" s="210"/>
      <c r="LE320" s="210"/>
      <c r="LF320" s="210"/>
      <c r="LG320" s="210"/>
      <c r="LH320" s="210"/>
      <c r="LI320" s="210"/>
      <c r="LJ320" s="210"/>
      <c r="LK320" s="210"/>
      <c r="LL320" s="210"/>
      <c r="LM320" s="210"/>
      <c r="LN320" s="210"/>
      <c r="LO320" s="210"/>
      <c r="LP320" s="210"/>
      <c r="LQ320" s="210"/>
      <c r="LR320" s="210"/>
      <c r="OB320" s="120"/>
      <c r="OI320" s="210"/>
      <c r="OJ320" s="210"/>
      <c r="OK320" s="210"/>
      <c r="OL320" s="210"/>
      <c r="OM320" s="210"/>
      <c r="ON320" s="210"/>
      <c r="OO320" s="210"/>
      <c r="OP320" s="210"/>
      <c r="OQ320" s="210"/>
      <c r="OR320" s="210"/>
      <c r="OS320" s="210"/>
      <c r="OT320" s="210"/>
      <c r="OU320" s="210"/>
      <c r="OV320" s="210"/>
      <c r="OW320" s="210"/>
      <c r="RG320" s="120"/>
    </row>
    <row r="321" spans="1:475" x14ac:dyDescent="0.3">
      <c r="A321" s="7">
        <v>39</v>
      </c>
      <c r="B321" s="7">
        <v>311</v>
      </c>
      <c r="C321" s="7" t="s">
        <v>346</v>
      </c>
      <c r="D321" s="7" t="s">
        <v>419</v>
      </c>
      <c r="E321" s="7" t="s">
        <v>420</v>
      </c>
      <c r="F321" s="7" t="s">
        <v>275</v>
      </c>
      <c r="G321" s="41" t="str">
        <f t="shared" si="47"/>
        <v>X</v>
      </c>
      <c r="H321" s="41">
        <f>INDEX(환산공식!CI$16:CI$301,MATCH('배치점수 계산기'!$W321,환산공식!$A$16:$A$301,0))</f>
        <v>250</v>
      </c>
      <c r="I321" s="41" t="str">
        <f>CONCATENATE(ROUND(INDEX(환산공식!CJ$16:CJ$301,MATCH('배치점수 계산기'!$W321,환산공식!$A$16:$A$301,0)),1),"%")</f>
        <v>100%</v>
      </c>
      <c r="J321" s="41">
        <f>INDEX(환산공식!CK$16:CK$301,MATCH('배치점수 계산기'!$W321,환산공식!$A$16:$A$301,0))</f>
        <v>0</v>
      </c>
      <c r="K321" s="7">
        <f>INDEX(환산공식!$EF$16:$EF$301,MATCH('배치점수 계산기'!W321,환산공식!$A$16:$A$301,0))</f>
        <v>0</v>
      </c>
      <c r="L321" s="41" t="str">
        <f t="shared" si="45"/>
        <v>1% 이하</v>
      </c>
      <c r="M321" s="7">
        <v>888.13385957323067</v>
      </c>
      <c r="N321" s="7">
        <v>885.6243076459964</v>
      </c>
      <c r="O321" s="7">
        <v>881.27307858598306</v>
      </c>
      <c r="P321" s="7">
        <v>877.96520168573147</v>
      </c>
      <c r="Q321" s="7">
        <v>871.11486945507909</v>
      </c>
      <c r="R321" s="7">
        <f t="shared" si="46"/>
        <v>6</v>
      </c>
      <c r="T321" s="7">
        <f>COUNTIF($C$11:C321,C321)</f>
        <v>110</v>
      </c>
      <c r="U321" s="7" t="str">
        <f t="shared" si="48"/>
        <v>나110</v>
      </c>
      <c r="V321" s="7" t="str">
        <f>INDEX(환산공식!$C$16:$C$301,MATCH('배치점수 계산기'!W321,환산공식!$A$16:$A$301,0))</f>
        <v>서울시립 통합</v>
      </c>
      <c r="W321" s="7">
        <f t="shared" si="49"/>
        <v>39</v>
      </c>
      <c r="X321" s="7">
        <f t="shared" si="50"/>
        <v>1</v>
      </c>
      <c r="Y321" s="7">
        <f>IFERROR(INDEX(환산공식!Q$16:Q$200,MATCH($A321,환산공식!$A$16:$A$200,0)),"")</f>
        <v>2.0134228187919465</v>
      </c>
      <c r="Z321" s="7">
        <f>IFERROR(INDEX(환산공식!R$16:R$200,MATCH($A321,환산공식!$A$16:$A$200,0)),"")</f>
        <v>2.0408163265306123</v>
      </c>
      <c r="AA321" s="7">
        <f>IFERROR(INDEX(환산공식!U$16:U$200,MATCH($A321,환산공식!$A$16:$A$200,0)),"")</f>
        <v>1.1363636363636365</v>
      </c>
      <c r="AB321" s="7">
        <f t="shared" si="51"/>
        <v>0.3878976880865993</v>
      </c>
      <c r="AC321" s="7">
        <f t="shared" si="52"/>
        <v>0.39317520765240338</v>
      </c>
      <c r="AD321" s="7">
        <f t="shared" si="53"/>
        <v>0.21892710426099735</v>
      </c>
      <c r="AE321" s="7">
        <f>INDEX(환산공식!$AF$16:$AF$301,MATCH('배치점수 계산기'!W321,환산공식!$A$16:$A$301,0))</f>
        <v>12</v>
      </c>
      <c r="AF321" s="7">
        <f>INDEX(환산공식!$AP$16:$AP$301,MATCH('배치점수 계산기'!W321,환산공식!$A$16:$A$301,0))</f>
        <v>42</v>
      </c>
      <c r="AG321" s="7" t="str">
        <f t="shared" si="54"/>
        <v>표점/만점</v>
      </c>
      <c r="AH321" s="7" t="str">
        <f t="shared" si="55"/>
        <v>변표/만점</v>
      </c>
      <c r="BO321" s="210"/>
      <c r="BP321" s="210"/>
      <c r="BQ321" s="210"/>
      <c r="BR321" s="210"/>
      <c r="BS321" s="210"/>
      <c r="BT321" s="210"/>
      <c r="BU321" s="210"/>
      <c r="BV321" s="210"/>
      <c r="BW321" s="210"/>
      <c r="BX321" s="210"/>
      <c r="BY321" s="210"/>
      <c r="BZ321" s="210"/>
      <c r="CA321" s="210"/>
      <c r="CB321" s="210"/>
      <c r="CC321" s="210"/>
      <c r="EM321" s="120"/>
      <c r="ET321" s="210"/>
      <c r="EU321" s="210"/>
      <c r="EV321" s="210"/>
      <c r="EW321" s="210"/>
      <c r="EX321" s="210"/>
      <c r="EY321" s="210"/>
      <c r="EZ321" s="210"/>
      <c r="FA321" s="210"/>
      <c r="FB321" s="210"/>
      <c r="FC321" s="210"/>
      <c r="FD321" s="210"/>
      <c r="FE321" s="210"/>
      <c r="FF321" s="210"/>
      <c r="FG321" s="210"/>
      <c r="FH321" s="210"/>
      <c r="HR321" s="120"/>
      <c r="HY321" s="210"/>
      <c r="HZ321" s="210"/>
      <c r="IA321" s="210"/>
      <c r="IB321" s="210"/>
      <c r="IC321" s="210"/>
      <c r="ID321" s="210"/>
      <c r="IE321" s="210"/>
      <c r="IF321" s="210"/>
      <c r="IG321" s="210"/>
      <c r="IH321" s="210"/>
      <c r="II321" s="210"/>
      <c r="IJ321" s="210"/>
      <c r="IK321" s="210"/>
      <c r="IL321" s="210"/>
      <c r="IM321" s="210"/>
      <c r="KW321" s="120"/>
      <c r="LD321" s="210"/>
      <c r="LE321" s="210"/>
      <c r="LF321" s="210"/>
      <c r="LG321" s="210"/>
      <c r="LH321" s="210"/>
      <c r="LI321" s="210"/>
      <c r="LJ321" s="210"/>
      <c r="LK321" s="210"/>
      <c r="LL321" s="210"/>
      <c r="LM321" s="210"/>
      <c r="LN321" s="210"/>
      <c r="LO321" s="210"/>
      <c r="LP321" s="210"/>
      <c r="LQ321" s="210"/>
      <c r="LR321" s="210"/>
      <c r="OB321" s="120"/>
      <c r="OI321" s="210"/>
      <c r="OJ321" s="210"/>
      <c r="OK321" s="210"/>
      <c r="OL321" s="210"/>
      <c r="OM321" s="210"/>
      <c r="ON321" s="210"/>
      <c r="OO321" s="210"/>
      <c r="OP321" s="210"/>
      <c r="OQ321" s="210"/>
      <c r="OR321" s="210"/>
      <c r="OS321" s="210"/>
      <c r="OT321" s="210"/>
      <c r="OU321" s="210"/>
      <c r="OV321" s="210"/>
      <c r="OW321" s="210"/>
      <c r="RG321" s="120"/>
    </row>
    <row r="322" spans="1:475" x14ac:dyDescent="0.3">
      <c r="A322" s="7">
        <v>40</v>
      </c>
      <c r="B322" s="7">
        <v>312</v>
      </c>
      <c r="C322" s="7" t="s">
        <v>346</v>
      </c>
      <c r="D322" s="7" t="s">
        <v>419</v>
      </c>
      <c r="E322" s="7" t="s">
        <v>261</v>
      </c>
      <c r="F322" s="7" t="s">
        <v>275</v>
      </c>
      <c r="G322" s="41" t="str">
        <f t="shared" si="47"/>
        <v>X</v>
      </c>
      <c r="H322" s="41">
        <f>INDEX(환산공식!CI$16:CI$301,MATCH('배치점수 계산기'!$W322,환산공식!$A$16:$A$301,0))</f>
        <v>250</v>
      </c>
      <c r="I322" s="41" t="str">
        <f>CONCATENATE(ROUND(INDEX(환산공식!CJ$16:CJ$301,MATCH('배치점수 계산기'!$W322,환산공식!$A$16:$A$301,0)),1),"%")</f>
        <v>100%</v>
      </c>
      <c r="J322" s="41">
        <f>INDEX(환산공식!CK$16:CK$301,MATCH('배치점수 계산기'!$W322,환산공식!$A$16:$A$301,0))</f>
        <v>0</v>
      </c>
      <c r="K322" s="7">
        <f>INDEX(환산공식!$EF$16:$EF$301,MATCH('배치점수 계산기'!W322,환산공식!$A$16:$A$301,0))</f>
        <v>0</v>
      </c>
      <c r="L322" s="41" t="str">
        <f t="shared" si="45"/>
        <v>1% 이하</v>
      </c>
      <c r="M322" s="7">
        <v>887.1936484045757</v>
      </c>
      <c r="N322" s="7">
        <v>883.77886815171587</v>
      </c>
      <c r="O322" s="7">
        <v>880.18558573622386</v>
      </c>
      <c r="P322" s="7">
        <v>874.4682420228778</v>
      </c>
      <c r="Q322" s="7">
        <v>870.42315873971506</v>
      </c>
      <c r="R322" s="7">
        <f t="shared" si="46"/>
        <v>6</v>
      </c>
      <c r="T322" s="7">
        <f>COUNTIF($C$11:C322,C322)</f>
        <v>111</v>
      </c>
      <c r="U322" s="7" t="str">
        <f t="shared" si="48"/>
        <v>나111</v>
      </c>
      <c r="V322" s="7" t="str">
        <f>INDEX(환산공식!$C$16:$C$301,MATCH('배치점수 계산기'!W322,환산공식!$A$16:$A$301,0))</f>
        <v>서울시립 경영경제세무</v>
      </c>
      <c r="W322" s="7">
        <f t="shared" si="49"/>
        <v>40</v>
      </c>
      <c r="X322" s="7">
        <f t="shared" si="50"/>
        <v>1</v>
      </c>
      <c r="Y322" s="7">
        <f>IFERROR(INDEX(환산공식!Q$16:Q$200,MATCH($A322,환산공식!$A$16:$A$200,0)),"")</f>
        <v>2.0134228187919465</v>
      </c>
      <c r="Z322" s="7">
        <f>IFERROR(INDEX(환산공식!R$16:R$200,MATCH($A322,환산공식!$A$16:$A$200,0)),"")</f>
        <v>2.3809523809523809</v>
      </c>
      <c r="AA322" s="7">
        <f>IFERROR(INDEX(환산공식!U$16:U$200,MATCH($A322,환산공식!$A$16:$A$200,0)),"")</f>
        <v>0.75757575757575757</v>
      </c>
      <c r="AB322" s="7">
        <f t="shared" si="51"/>
        <v>0.39080783871422525</v>
      </c>
      <c r="AC322" s="7">
        <f t="shared" si="52"/>
        <v>0.46214577752713937</v>
      </c>
      <c r="AD322" s="7">
        <f t="shared" si="53"/>
        <v>0.14704638375863524</v>
      </c>
      <c r="AE322" s="7">
        <f>INDEX(환산공식!$AF$16:$AF$301,MATCH('배치점수 계산기'!W322,환산공식!$A$16:$A$301,0))</f>
        <v>12</v>
      </c>
      <c r="AF322" s="7">
        <f>INDEX(환산공식!$AP$16:$AP$301,MATCH('배치점수 계산기'!W322,환산공식!$A$16:$A$301,0))</f>
        <v>42</v>
      </c>
      <c r="AG322" s="7" t="str">
        <f t="shared" si="54"/>
        <v>표점/만점</v>
      </c>
      <c r="AH322" s="7" t="str">
        <f t="shared" si="55"/>
        <v>변표/만점</v>
      </c>
      <c r="BO322" s="210"/>
      <c r="BP322" s="210"/>
      <c r="BQ322" s="210"/>
      <c r="BR322" s="210"/>
      <c r="BS322" s="210"/>
      <c r="BT322" s="210"/>
      <c r="BU322" s="210"/>
      <c r="BV322" s="210"/>
      <c r="BW322" s="210"/>
      <c r="BX322" s="210"/>
      <c r="BY322" s="210"/>
      <c r="BZ322" s="210"/>
      <c r="CA322" s="210"/>
      <c r="CB322" s="210"/>
      <c r="CC322" s="210"/>
      <c r="EM322" s="120"/>
      <c r="ET322" s="210"/>
      <c r="EU322" s="210"/>
      <c r="EV322" s="210"/>
      <c r="EW322" s="210"/>
      <c r="EX322" s="210"/>
      <c r="EY322" s="210"/>
      <c r="EZ322" s="210"/>
      <c r="FA322" s="210"/>
      <c r="FB322" s="210"/>
      <c r="FC322" s="210"/>
      <c r="FD322" s="210"/>
      <c r="FE322" s="210"/>
      <c r="FF322" s="210"/>
      <c r="FG322" s="210"/>
      <c r="FH322" s="210"/>
      <c r="HR322" s="120"/>
      <c r="HY322" s="210"/>
      <c r="HZ322" s="210"/>
      <c r="IA322" s="210"/>
      <c r="IB322" s="210"/>
      <c r="IC322" s="210"/>
      <c r="ID322" s="210"/>
      <c r="IE322" s="210"/>
      <c r="IF322" s="210"/>
      <c r="IG322" s="210"/>
      <c r="IH322" s="210"/>
      <c r="II322" s="210"/>
      <c r="IJ322" s="210"/>
      <c r="IK322" s="210"/>
      <c r="IL322" s="210"/>
      <c r="IM322" s="210"/>
      <c r="KW322" s="120"/>
      <c r="LD322" s="210"/>
      <c r="LE322" s="210"/>
      <c r="LF322" s="210"/>
      <c r="LG322" s="210"/>
      <c r="LH322" s="210"/>
      <c r="LI322" s="210"/>
      <c r="LJ322" s="210"/>
      <c r="LK322" s="210"/>
      <c r="LL322" s="210"/>
      <c r="LM322" s="210"/>
      <c r="LN322" s="210"/>
      <c r="LO322" s="210"/>
      <c r="LP322" s="210"/>
      <c r="LQ322" s="210"/>
      <c r="LR322" s="210"/>
      <c r="OB322" s="120"/>
      <c r="OI322" s="210"/>
      <c r="OJ322" s="210"/>
      <c r="OK322" s="210"/>
      <c r="OL322" s="210"/>
      <c r="OM322" s="210"/>
      <c r="ON322" s="210"/>
      <c r="OO322" s="210"/>
      <c r="OP322" s="210"/>
      <c r="OQ322" s="210"/>
      <c r="OR322" s="210"/>
      <c r="OS322" s="210"/>
      <c r="OT322" s="210"/>
      <c r="OU322" s="210"/>
      <c r="OV322" s="210"/>
      <c r="OW322" s="210"/>
      <c r="RG322" s="120"/>
    </row>
    <row r="323" spans="1:475" x14ac:dyDescent="0.3">
      <c r="A323" s="7">
        <v>39</v>
      </c>
      <c r="B323" s="7">
        <v>313</v>
      </c>
      <c r="C323" s="7" t="s">
        <v>346</v>
      </c>
      <c r="D323" s="7" t="s">
        <v>419</v>
      </c>
      <c r="E323" s="7" t="s">
        <v>421</v>
      </c>
      <c r="F323" s="7" t="s">
        <v>275</v>
      </c>
      <c r="G323" s="41" t="str">
        <f t="shared" si="47"/>
        <v>X</v>
      </c>
      <c r="H323" s="41">
        <f>INDEX(환산공식!CI$16:CI$301,MATCH('배치점수 계산기'!$W323,환산공식!$A$16:$A$301,0))</f>
        <v>250</v>
      </c>
      <c r="I323" s="41" t="str">
        <f>CONCATENATE(ROUND(INDEX(환산공식!CJ$16:CJ$301,MATCH('배치점수 계산기'!$W323,환산공식!$A$16:$A$301,0)),1),"%")</f>
        <v>100%</v>
      </c>
      <c r="J323" s="41">
        <f>INDEX(환산공식!CK$16:CK$301,MATCH('배치점수 계산기'!$W323,환산공식!$A$16:$A$301,0))</f>
        <v>0</v>
      </c>
      <c r="K323" s="7">
        <f>INDEX(환산공식!$EF$16:$EF$301,MATCH('배치점수 계산기'!W323,환산공식!$A$16:$A$301,0))</f>
        <v>0</v>
      </c>
      <c r="L323" s="41" t="str">
        <f t="shared" si="45"/>
        <v>1% 이하</v>
      </c>
      <c r="M323" s="7">
        <v>888.13385957323067</v>
      </c>
      <c r="N323" s="7">
        <v>885.6243076459964</v>
      </c>
      <c r="O323" s="7">
        <v>881.27307858598306</v>
      </c>
      <c r="P323" s="7">
        <v>877.96520168573147</v>
      </c>
      <c r="Q323" s="7">
        <v>874.35084513080574</v>
      </c>
      <c r="R323" s="7">
        <f t="shared" si="46"/>
        <v>6</v>
      </c>
      <c r="T323" s="7">
        <f>COUNTIF($C$11:C323,C323)</f>
        <v>112</v>
      </c>
      <c r="U323" s="7" t="str">
        <f t="shared" si="48"/>
        <v>나112</v>
      </c>
      <c r="V323" s="7" t="str">
        <f>INDEX(환산공식!$C$16:$C$301,MATCH('배치점수 계산기'!W323,환산공식!$A$16:$A$301,0))</f>
        <v>서울시립 통합</v>
      </c>
      <c r="W323" s="7">
        <f t="shared" si="49"/>
        <v>39</v>
      </c>
      <c r="X323" s="7">
        <f t="shared" si="50"/>
        <v>1</v>
      </c>
      <c r="Y323" s="7">
        <f>IFERROR(INDEX(환산공식!Q$16:Q$200,MATCH($A323,환산공식!$A$16:$A$200,0)),"")</f>
        <v>2.0134228187919465</v>
      </c>
      <c r="Z323" s="7">
        <f>IFERROR(INDEX(환산공식!R$16:R$200,MATCH($A323,환산공식!$A$16:$A$200,0)),"")</f>
        <v>2.0408163265306123</v>
      </c>
      <c r="AA323" s="7">
        <f>IFERROR(INDEX(환산공식!U$16:U$200,MATCH($A323,환산공식!$A$16:$A$200,0)),"")</f>
        <v>1.1363636363636365</v>
      </c>
      <c r="AB323" s="7">
        <f t="shared" si="51"/>
        <v>0.3878976880865993</v>
      </c>
      <c r="AC323" s="7">
        <f t="shared" si="52"/>
        <v>0.39317520765240338</v>
      </c>
      <c r="AD323" s="7">
        <f t="shared" si="53"/>
        <v>0.21892710426099735</v>
      </c>
      <c r="AE323" s="7">
        <f>INDEX(환산공식!$AF$16:$AF$301,MATCH('배치점수 계산기'!W323,환산공식!$A$16:$A$301,0))</f>
        <v>12</v>
      </c>
      <c r="AF323" s="7">
        <f>INDEX(환산공식!$AP$16:$AP$301,MATCH('배치점수 계산기'!W323,환산공식!$A$16:$A$301,0))</f>
        <v>42</v>
      </c>
      <c r="AG323" s="7" t="str">
        <f t="shared" si="54"/>
        <v>표점/만점</v>
      </c>
      <c r="AH323" s="7" t="str">
        <f t="shared" si="55"/>
        <v>변표/만점</v>
      </c>
      <c r="BO323" s="210"/>
      <c r="BP323" s="210"/>
      <c r="BQ323" s="210"/>
      <c r="BR323" s="210"/>
      <c r="BS323" s="210"/>
      <c r="BT323" s="210"/>
      <c r="BU323" s="210"/>
      <c r="BV323" s="210"/>
      <c r="BW323" s="210"/>
      <c r="BX323" s="210"/>
      <c r="BY323" s="210"/>
      <c r="BZ323" s="210"/>
      <c r="CA323" s="210"/>
      <c r="CB323" s="210"/>
      <c r="CC323" s="210"/>
      <c r="EM323" s="120"/>
      <c r="ET323" s="210"/>
      <c r="EU323" s="210"/>
      <c r="EV323" s="210"/>
      <c r="EW323" s="210"/>
      <c r="EX323" s="210"/>
      <c r="EY323" s="210"/>
      <c r="EZ323" s="210"/>
      <c r="FA323" s="210"/>
      <c r="FB323" s="210"/>
      <c r="FC323" s="210"/>
      <c r="FD323" s="210"/>
      <c r="FE323" s="210"/>
      <c r="FF323" s="210"/>
      <c r="FG323" s="210"/>
      <c r="FH323" s="210"/>
      <c r="HR323" s="120"/>
      <c r="HY323" s="210"/>
      <c r="HZ323" s="210"/>
      <c r="IA323" s="210"/>
      <c r="IB323" s="210"/>
      <c r="IC323" s="210"/>
      <c r="ID323" s="210"/>
      <c r="IE323" s="210"/>
      <c r="IF323" s="210"/>
      <c r="IG323" s="210"/>
      <c r="IH323" s="210"/>
      <c r="II323" s="210"/>
      <c r="IJ323" s="210"/>
      <c r="IK323" s="210"/>
      <c r="IL323" s="210"/>
      <c r="IM323" s="210"/>
      <c r="KW323" s="120"/>
      <c r="LD323" s="210"/>
      <c r="LE323" s="210"/>
      <c r="LF323" s="210"/>
      <c r="LG323" s="210"/>
      <c r="LH323" s="210"/>
      <c r="LI323" s="210"/>
      <c r="LJ323" s="210"/>
      <c r="LK323" s="210"/>
      <c r="LL323" s="210"/>
      <c r="LM323" s="210"/>
      <c r="LN323" s="210"/>
      <c r="LO323" s="210"/>
      <c r="LP323" s="210"/>
      <c r="LQ323" s="210"/>
      <c r="LR323" s="210"/>
      <c r="OB323" s="120"/>
      <c r="OI323" s="210"/>
      <c r="OJ323" s="210"/>
      <c r="OK323" s="210"/>
      <c r="OL323" s="210"/>
      <c r="OM323" s="210"/>
      <c r="ON323" s="210"/>
      <c r="OO323" s="210"/>
      <c r="OP323" s="210"/>
      <c r="OQ323" s="210"/>
      <c r="OR323" s="210"/>
      <c r="OS323" s="210"/>
      <c r="OT323" s="210"/>
      <c r="OU323" s="210"/>
      <c r="OV323" s="210"/>
      <c r="OW323" s="210"/>
      <c r="RG323" s="120"/>
    </row>
    <row r="324" spans="1:475" x14ac:dyDescent="0.3">
      <c r="A324" s="7">
        <v>40</v>
      </c>
      <c r="B324" s="7">
        <v>314</v>
      </c>
      <c r="C324" s="7" t="s">
        <v>346</v>
      </c>
      <c r="D324" s="7" t="s">
        <v>419</v>
      </c>
      <c r="E324" s="7" t="s">
        <v>422</v>
      </c>
      <c r="F324" s="7" t="s">
        <v>275</v>
      </c>
      <c r="G324" s="41" t="str">
        <f t="shared" si="47"/>
        <v>X</v>
      </c>
      <c r="H324" s="41">
        <f>INDEX(환산공식!CI$16:CI$301,MATCH('배치점수 계산기'!$W324,환산공식!$A$16:$A$301,0))</f>
        <v>250</v>
      </c>
      <c r="I324" s="41" t="str">
        <f>CONCATENATE(ROUND(INDEX(환산공식!CJ$16:CJ$301,MATCH('배치점수 계산기'!$W324,환산공식!$A$16:$A$301,0)),1),"%")</f>
        <v>100%</v>
      </c>
      <c r="J324" s="41">
        <f>INDEX(환산공식!CK$16:CK$301,MATCH('배치점수 계산기'!$W324,환산공식!$A$16:$A$301,0))</f>
        <v>0</v>
      </c>
      <c r="K324" s="7">
        <f>INDEX(환산공식!$EF$16:$EF$301,MATCH('배치점수 계산기'!W324,환산공식!$A$16:$A$301,0))</f>
        <v>0</v>
      </c>
      <c r="L324" s="41" t="str">
        <f t="shared" si="45"/>
        <v>1% 이하</v>
      </c>
      <c r="M324" s="7">
        <v>887.1936484045757</v>
      </c>
      <c r="N324" s="7">
        <v>883.77886815171587</v>
      </c>
      <c r="O324" s="7">
        <v>881.26276339554488</v>
      </c>
      <c r="P324" s="7">
        <v>876.08429003597462</v>
      </c>
      <c r="Q324" s="7">
        <v>872.88306615061424</v>
      </c>
      <c r="R324" s="7">
        <f t="shared" si="46"/>
        <v>6</v>
      </c>
      <c r="T324" s="7">
        <f>COUNTIF($C$11:C324,C324)</f>
        <v>113</v>
      </c>
      <c r="U324" s="7" t="str">
        <f t="shared" si="48"/>
        <v>나113</v>
      </c>
      <c r="V324" s="7" t="str">
        <f>INDEX(환산공식!$C$16:$C$301,MATCH('배치점수 계산기'!W324,환산공식!$A$16:$A$301,0))</f>
        <v>서울시립 경영경제세무</v>
      </c>
      <c r="W324" s="7">
        <f t="shared" si="49"/>
        <v>40</v>
      </c>
      <c r="X324" s="7">
        <f t="shared" si="50"/>
        <v>1</v>
      </c>
      <c r="Y324" s="7">
        <f>IFERROR(INDEX(환산공식!Q$16:Q$200,MATCH($A324,환산공식!$A$16:$A$200,0)),"")</f>
        <v>2.0134228187919465</v>
      </c>
      <c r="Z324" s="7">
        <f>IFERROR(INDEX(환산공식!R$16:R$200,MATCH($A324,환산공식!$A$16:$A$200,0)),"")</f>
        <v>2.3809523809523809</v>
      </c>
      <c r="AA324" s="7">
        <f>IFERROR(INDEX(환산공식!U$16:U$200,MATCH($A324,환산공식!$A$16:$A$200,0)),"")</f>
        <v>0.75757575757575757</v>
      </c>
      <c r="AB324" s="7">
        <f t="shared" si="51"/>
        <v>0.39080783871422525</v>
      </c>
      <c r="AC324" s="7">
        <f t="shared" si="52"/>
        <v>0.46214577752713937</v>
      </c>
      <c r="AD324" s="7">
        <f t="shared" si="53"/>
        <v>0.14704638375863524</v>
      </c>
      <c r="AE324" s="7">
        <f>INDEX(환산공식!$AF$16:$AF$301,MATCH('배치점수 계산기'!W324,환산공식!$A$16:$A$301,0))</f>
        <v>12</v>
      </c>
      <c r="AF324" s="7">
        <f>INDEX(환산공식!$AP$16:$AP$301,MATCH('배치점수 계산기'!W324,환산공식!$A$16:$A$301,0))</f>
        <v>42</v>
      </c>
      <c r="AG324" s="7" t="str">
        <f t="shared" si="54"/>
        <v>표점/만점</v>
      </c>
      <c r="AH324" s="7" t="str">
        <f t="shared" si="55"/>
        <v>변표/만점</v>
      </c>
      <c r="BO324" s="210"/>
      <c r="BP324" s="210"/>
      <c r="BQ324" s="210"/>
      <c r="BR324" s="210"/>
      <c r="BS324" s="210"/>
      <c r="BT324" s="210"/>
      <c r="BU324" s="210"/>
      <c r="BV324" s="210"/>
      <c r="BW324" s="210"/>
      <c r="BX324" s="210"/>
      <c r="BY324" s="210"/>
      <c r="BZ324" s="210"/>
      <c r="CA324" s="210"/>
      <c r="CB324" s="210"/>
      <c r="CC324" s="210"/>
      <c r="EM324" s="120"/>
      <c r="ET324" s="210"/>
      <c r="EU324" s="210"/>
      <c r="EV324" s="210"/>
      <c r="EW324" s="210"/>
      <c r="EX324" s="210"/>
      <c r="EY324" s="210"/>
      <c r="EZ324" s="210"/>
      <c r="FA324" s="210"/>
      <c r="FB324" s="210"/>
      <c r="FC324" s="210"/>
      <c r="FD324" s="210"/>
      <c r="FE324" s="210"/>
      <c r="FF324" s="210"/>
      <c r="FG324" s="210"/>
      <c r="FH324" s="210"/>
      <c r="HR324" s="120"/>
      <c r="HY324" s="210"/>
      <c r="HZ324" s="210"/>
      <c r="IA324" s="210"/>
      <c r="IB324" s="210"/>
      <c r="IC324" s="210"/>
      <c r="ID324" s="210"/>
      <c r="IE324" s="210"/>
      <c r="IF324" s="210"/>
      <c r="IG324" s="210"/>
      <c r="IH324" s="210"/>
      <c r="II324" s="210"/>
      <c r="IJ324" s="210"/>
      <c r="IK324" s="210"/>
      <c r="IL324" s="210"/>
      <c r="IM324" s="210"/>
      <c r="KW324" s="120"/>
      <c r="LD324" s="210"/>
      <c r="LE324" s="210"/>
      <c r="LF324" s="210"/>
      <c r="LG324" s="210"/>
      <c r="LH324" s="210"/>
      <c r="LI324" s="210"/>
      <c r="LJ324" s="210"/>
      <c r="LK324" s="210"/>
      <c r="LL324" s="210"/>
      <c r="LM324" s="210"/>
      <c r="LN324" s="210"/>
      <c r="LO324" s="210"/>
      <c r="LP324" s="210"/>
      <c r="LQ324" s="210"/>
      <c r="LR324" s="210"/>
      <c r="OB324" s="120"/>
      <c r="OI324" s="210"/>
      <c r="OJ324" s="210"/>
      <c r="OK324" s="210"/>
      <c r="OL324" s="210"/>
      <c r="OM324" s="210"/>
      <c r="ON324" s="210"/>
      <c r="OO324" s="210"/>
      <c r="OP324" s="210"/>
      <c r="OQ324" s="210"/>
      <c r="OR324" s="210"/>
      <c r="OS324" s="210"/>
      <c r="OT324" s="210"/>
      <c r="OU324" s="210"/>
      <c r="OV324" s="210"/>
      <c r="OW324" s="210"/>
      <c r="RG324" s="120"/>
    </row>
    <row r="325" spans="1:475" x14ac:dyDescent="0.3">
      <c r="A325" s="7">
        <v>40</v>
      </c>
      <c r="B325" s="7">
        <v>315</v>
      </c>
      <c r="C325" s="7" t="s">
        <v>346</v>
      </c>
      <c r="D325" s="7" t="s">
        <v>419</v>
      </c>
      <c r="E325" s="7" t="s">
        <v>262</v>
      </c>
      <c r="F325" s="7" t="s">
        <v>275</v>
      </c>
      <c r="G325" s="41" t="str">
        <f t="shared" si="47"/>
        <v>X</v>
      </c>
      <c r="H325" s="41">
        <f>INDEX(환산공식!CI$16:CI$301,MATCH('배치점수 계산기'!$W325,환산공식!$A$16:$A$301,0))</f>
        <v>250</v>
      </c>
      <c r="I325" s="41" t="str">
        <f>CONCATENATE(ROUND(INDEX(환산공식!CJ$16:CJ$301,MATCH('배치점수 계산기'!$W325,환산공식!$A$16:$A$301,0)),1),"%")</f>
        <v>100%</v>
      </c>
      <c r="J325" s="41">
        <f>INDEX(환산공식!CK$16:CK$301,MATCH('배치점수 계산기'!$W325,환산공식!$A$16:$A$301,0))</f>
        <v>0</v>
      </c>
      <c r="K325" s="7">
        <f>INDEX(환산공식!$EF$16:$EF$301,MATCH('배치점수 계산기'!W325,환산공식!$A$16:$A$301,0))</f>
        <v>0</v>
      </c>
      <c r="L325" s="41" t="str">
        <f t="shared" si="45"/>
        <v>1% 이하</v>
      </c>
      <c r="M325" s="7">
        <v>887.1936484045757</v>
      </c>
      <c r="N325" s="7">
        <v>883.77886815171587</v>
      </c>
      <c r="O325" s="7">
        <v>880.18558573622386</v>
      </c>
      <c r="P325" s="7">
        <v>874.4682420228778</v>
      </c>
      <c r="Q325" s="7">
        <v>870.42315873971506</v>
      </c>
      <c r="R325" s="7">
        <f t="shared" si="46"/>
        <v>6</v>
      </c>
      <c r="T325" s="7">
        <f>COUNTIF($C$11:C325,C325)</f>
        <v>114</v>
      </c>
      <c r="U325" s="7" t="str">
        <f t="shared" si="48"/>
        <v>나114</v>
      </c>
      <c r="V325" s="7" t="str">
        <f>INDEX(환산공식!$C$16:$C$301,MATCH('배치점수 계산기'!W325,환산공식!$A$16:$A$301,0))</f>
        <v>서울시립 경영경제세무</v>
      </c>
      <c r="W325" s="7">
        <f t="shared" si="49"/>
        <v>40</v>
      </c>
      <c r="X325" s="7">
        <f t="shared" si="50"/>
        <v>1</v>
      </c>
      <c r="Y325" s="7">
        <f>IFERROR(INDEX(환산공식!Q$16:Q$200,MATCH($A325,환산공식!$A$16:$A$200,0)),"")</f>
        <v>2.0134228187919465</v>
      </c>
      <c r="Z325" s="7">
        <f>IFERROR(INDEX(환산공식!R$16:R$200,MATCH($A325,환산공식!$A$16:$A$200,0)),"")</f>
        <v>2.3809523809523809</v>
      </c>
      <c r="AA325" s="7">
        <f>IFERROR(INDEX(환산공식!U$16:U$200,MATCH($A325,환산공식!$A$16:$A$200,0)),"")</f>
        <v>0.75757575757575757</v>
      </c>
      <c r="AB325" s="7">
        <f t="shared" si="51"/>
        <v>0.39080783871422525</v>
      </c>
      <c r="AC325" s="7">
        <f t="shared" si="52"/>
        <v>0.46214577752713937</v>
      </c>
      <c r="AD325" s="7">
        <f t="shared" si="53"/>
        <v>0.14704638375863524</v>
      </c>
      <c r="AE325" s="7">
        <f>INDEX(환산공식!$AF$16:$AF$301,MATCH('배치점수 계산기'!W325,환산공식!$A$16:$A$301,0))</f>
        <v>12</v>
      </c>
      <c r="AF325" s="7">
        <f>INDEX(환산공식!$AP$16:$AP$301,MATCH('배치점수 계산기'!W325,환산공식!$A$16:$A$301,0))</f>
        <v>42</v>
      </c>
      <c r="AG325" s="7" t="str">
        <f t="shared" si="54"/>
        <v>표점/만점</v>
      </c>
      <c r="AH325" s="7" t="str">
        <f t="shared" si="55"/>
        <v>변표/만점</v>
      </c>
      <c r="BO325" s="210"/>
      <c r="BP325" s="210"/>
      <c r="BQ325" s="210"/>
      <c r="BR325" s="210"/>
      <c r="BS325" s="210"/>
      <c r="BT325" s="210"/>
      <c r="BU325" s="210"/>
      <c r="BV325" s="210"/>
      <c r="BW325" s="210"/>
      <c r="BX325" s="210"/>
      <c r="BY325" s="210"/>
      <c r="BZ325" s="210"/>
      <c r="CA325" s="210"/>
      <c r="CB325" s="210"/>
      <c r="CC325" s="210"/>
      <c r="EM325" s="120"/>
      <c r="ET325" s="210"/>
      <c r="EU325" s="210"/>
      <c r="EV325" s="210"/>
      <c r="EW325" s="210"/>
      <c r="EX325" s="210"/>
      <c r="EY325" s="210"/>
      <c r="EZ325" s="210"/>
      <c r="FA325" s="210"/>
      <c r="FB325" s="210"/>
      <c r="FC325" s="210"/>
      <c r="FD325" s="210"/>
      <c r="FE325" s="210"/>
      <c r="FF325" s="210"/>
      <c r="FG325" s="210"/>
      <c r="FH325" s="210"/>
      <c r="HR325" s="120"/>
      <c r="HY325" s="210"/>
      <c r="HZ325" s="210"/>
      <c r="IA325" s="210"/>
      <c r="IB325" s="210"/>
      <c r="IC325" s="210"/>
      <c r="ID325" s="210"/>
      <c r="IE325" s="210"/>
      <c r="IF325" s="210"/>
      <c r="IG325" s="210"/>
      <c r="IH325" s="210"/>
      <c r="II325" s="210"/>
      <c r="IJ325" s="210"/>
      <c r="IK325" s="210"/>
      <c r="IL325" s="210"/>
      <c r="IM325" s="210"/>
      <c r="KW325" s="120"/>
      <c r="LD325" s="210"/>
      <c r="LE325" s="210"/>
      <c r="LF325" s="210"/>
      <c r="LG325" s="210"/>
      <c r="LH325" s="210"/>
      <c r="LI325" s="210"/>
      <c r="LJ325" s="210"/>
      <c r="LK325" s="210"/>
      <c r="LL325" s="210"/>
      <c r="LM325" s="210"/>
      <c r="LN325" s="210"/>
      <c r="LO325" s="210"/>
      <c r="LP325" s="210"/>
      <c r="LQ325" s="210"/>
      <c r="LR325" s="210"/>
      <c r="OB325" s="120"/>
      <c r="OI325" s="210"/>
      <c r="OJ325" s="210"/>
      <c r="OK325" s="210"/>
      <c r="OL325" s="210"/>
      <c r="OM325" s="210"/>
      <c r="ON325" s="210"/>
      <c r="OO325" s="210"/>
      <c r="OP325" s="210"/>
      <c r="OQ325" s="210"/>
      <c r="OR325" s="210"/>
      <c r="OS325" s="210"/>
      <c r="OT325" s="210"/>
      <c r="OU325" s="210"/>
      <c r="OV325" s="210"/>
      <c r="OW325" s="210"/>
      <c r="RG325" s="120"/>
    </row>
    <row r="326" spans="1:475" x14ac:dyDescent="0.3">
      <c r="A326" s="7">
        <v>39</v>
      </c>
      <c r="B326" s="7">
        <v>316</v>
      </c>
      <c r="C326" s="7" t="s">
        <v>346</v>
      </c>
      <c r="D326" s="7" t="s">
        <v>419</v>
      </c>
      <c r="E326" s="7" t="s">
        <v>299</v>
      </c>
      <c r="F326" s="7" t="s">
        <v>275</v>
      </c>
      <c r="G326" s="41" t="str">
        <f t="shared" si="47"/>
        <v>X</v>
      </c>
      <c r="H326" s="41">
        <f>INDEX(환산공식!CI$16:CI$301,MATCH('배치점수 계산기'!$W326,환산공식!$A$16:$A$301,0))</f>
        <v>250</v>
      </c>
      <c r="I326" s="41" t="str">
        <f>CONCATENATE(ROUND(INDEX(환산공식!CJ$16:CJ$301,MATCH('배치점수 계산기'!$W326,환산공식!$A$16:$A$301,0)),1),"%")</f>
        <v>100%</v>
      </c>
      <c r="J326" s="41">
        <f>INDEX(환산공식!CK$16:CK$301,MATCH('배치점수 계산기'!$W326,환산공식!$A$16:$A$301,0))</f>
        <v>0</v>
      </c>
      <c r="K326" s="7">
        <f>INDEX(환산공식!$EF$16:$EF$301,MATCH('배치점수 계산기'!W326,환산공식!$A$16:$A$301,0))</f>
        <v>0</v>
      </c>
      <c r="L326" s="41" t="str">
        <f t="shared" si="45"/>
        <v>1% 이하</v>
      </c>
      <c r="M326" s="7">
        <v>888.13385957323067</v>
      </c>
      <c r="N326" s="7">
        <v>885.6243076459964</v>
      </c>
      <c r="O326" s="7">
        <v>881.27307858598306</v>
      </c>
      <c r="P326" s="7">
        <v>877.96520168573147</v>
      </c>
      <c r="Q326" s="7">
        <v>874.35084513080574</v>
      </c>
      <c r="R326" s="7">
        <f t="shared" si="46"/>
        <v>6</v>
      </c>
      <c r="T326" s="7">
        <f>COUNTIF($C$11:C326,C326)</f>
        <v>115</v>
      </c>
      <c r="U326" s="7" t="str">
        <f t="shared" si="48"/>
        <v>나115</v>
      </c>
      <c r="V326" s="7" t="str">
        <f>INDEX(환산공식!$C$16:$C$301,MATCH('배치점수 계산기'!W326,환산공식!$A$16:$A$301,0))</f>
        <v>서울시립 통합</v>
      </c>
      <c r="W326" s="7">
        <f t="shared" si="49"/>
        <v>39</v>
      </c>
      <c r="X326" s="7">
        <f t="shared" si="50"/>
        <v>1</v>
      </c>
      <c r="Y326" s="7">
        <f>IFERROR(INDEX(환산공식!Q$16:Q$200,MATCH($A326,환산공식!$A$16:$A$200,0)),"")</f>
        <v>2.0134228187919465</v>
      </c>
      <c r="Z326" s="7">
        <f>IFERROR(INDEX(환산공식!R$16:R$200,MATCH($A326,환산공식!$A$16:$A$200,0)),"")</f>
        <v>2.0408163265306123</v>
      </c>
      <c r="AA326" s="7">
        <f>IFERROR(INDEX(환산공식!U$16:U$200,MATCH($A326,환산공식!$A$16:$A$200,0)),"")</f>
        <v>1.1363636363636365</v>
      </c>
      <c r="AB326" s="7">
        <f t="shared" si="51"/>
        <v>0.3878976880865993</v>
      </c>
      <c r="AC326" s="7">
        <f t="shared" si="52"/>
        <v>0.39317520765240338</v>
      </c>
      <c r="AD326" s="7">
        <f t="shared" si="53"/>
        <v>0.21892710426099735</v>
      </c>
      <c r="AE326" s="7">
        <f>INDEX(환산공식!$AF$16:$AF$301,MATCH('배치점수 계산기'!W326,환산공식!$A$16:$A$301,0))</f>
        <v>12</v>
      </c>
      <c r="AF326" s="7">
        <f>INDEX(환산공식!$AP$16:$AP$301,MATCH('배치점수 계산기'!W326,환산공식!$A$16:$A$301,0))</f>
        <v>42</v>
      </c>
      <c r="AG326" s="7" t="str">
        <f t="shared" si="54"/>
        <v>표점/만점</v>
      </c>
      <c r="AH326" s="7" t="str">
        <f t="shared" si="55"/>
        <v>변표/만점</v>
      </c>
      <c r="BO326" s="210"/>
      <c r="BP326" s="210"/>
      <c r="BQ326" s="210"/>
      <c r="BR326" s="210"/>
      <c r="BS326" s="210"/>
      <c r="BT326" s="210"/>
      <c r="BU326" s="210"/>
      <c r="BV326" s="210"/>
      <c r="BW326" s="210"/>
      <c r="BX326" s="210"/>
      <c r="BY326" s="210"/>
      <c r="BZ326" s="210"/>
      <c r="CA326" s="210"/>
      <c r="CB326" s="210"/>
      <c r="CC326" s="210"/>
      <c r="EM326" s="120"/>
      <c r="ET326" s="210"/>
      <c r="EU326" s="210"/>
      <c r="EV326" s="210"/>
      <c r="EW326" s="210"/>
      <c r="EX326" s="210"/>
      <c r="EY326" s="210"/>
      <c r="EZ326" s="210"/>
      <c r="FA326" s="210"/>
      <c r="FB326" s="210"/>
      <c r="FC326" s="210"/>
      <c r="FD326" s="210"/>
      <c r="FE326" s="210"/>
      <c r="FF326" s="210"/>
      <c r="FG326" s="210"/>
      <c r="FH326" s="210"/>
      <c r="HR326" s="120"/>
      <c r="HY326" s="210"/>
      <c r="HZ326" s="210"/>
      <c r="IA326" s="210"/>
      <c r="IB326" s="210"/>
      <c r="IC326" s="210"/>
      <c r="ID326" s="210"/>
      <c r="IE326" s="210"/>
      <c r="IF326" s="210"/>
      <c r="IG326" s="210"/>
      <c r="IH326" s="210"/>
      <c r="II326" s="210"/>
      <c r="IJ326" s="210"/>
      <c r="IK326" s="210"/>
      <c r="IL326" s="210"/>
      <c r="IM326" s="210"/>
      <c r="KW326" s="120"/>
      <c r="LD326" s="210"/>
      <c r="LE326" s="210"/>
      <c r="LF326" s="210"/>
      <c r="LG326" s="210"/>
      <c r="LH326" s="210"/>
      <c r="LI326" s="210"/>
      <c r="LJ326" s="210"/>
      <c r="LK326" s="210"/>
      <c r="LL326" s="210"/>
      <c r="LM326" s="210"/>
      <c r="LN326" s="210"/>
      <c r="LO326" s="210"/>
      <c r="LP326" s="210"/>
      <c r="LQ326" s="210"/>
      <c r="LR326" s="210"/>
      <c r="OB326" s="120"/>
      <c r="OI326" s="210"/>
      <c r="OJ326" s="210"/>
      <c r="OK326" s="210"/>
      <c r="OL326" s="210"/>
      <c r="OM326" s="210"/>
      <c r="ON326" s="210"/>
      <c r="OO326" s="210"/>
      <c r="OP326" s="210"/>
      <c r="OQ326" s="210"/>
      <c r="OR326" s="210"/>
      <c r="OS326" s="210"/>
      <c r="OT326" s="210"/>
      <c r="OU326" s="210"/>
      <c r="OV326" s="210"/>
      <c r="OW326" s="210"/>
      <c r="RG326" s="120"/>
    </row>
    <row r="327" spans="1:475" x14ac:dyDescent="0.3">
      <c r="A327" s="7">
        <v>39</v>
      </c>
      <c r="B327" s="7">
        <v>317</v>
      </c>
      <c r="C327" s="7" t="s">
        <v>346</v>
      </c>
      <c r="D327" s="7" t="s">
        <v>419</v>
      </c>
      <c r="E327" s="7" t="s">
        <v>303</v>
      </c>
      <c r="F327" s="7" t="s">
        <v>275</v>
      </c>
      <c r="G327" s="41" t="str">
        <f t="shared" si="47"/>
        <v>X</v>
      </c>
      <c r="H327" s="41">
        <f>INDEX(환산공식!CI$16:CI$301,MATCH('배치점수 계산기'!$W327,환산공식!$A$16:$A$301,0))</f>
        <v>250</v>
      </c>
      <c r="I327" s="41" t="str">
        <f>CONCATENATE(ROUND(INDEX(환산공식!CJ$16:CJ$301,MATCH('배치점수 계산기'!$W327,환산공식!$A$16:$A$301,0)),1),"%")</f>
        <v>100%</v>
      </c>
      <c r="J327" s="41">
        <f>INDEX(환산공식!CK$16:CK$301,MATCH('배치점수 계산기'!$W327,환산공식!$A$16:$A$301,0))</f>
        <v>0</v>
      </c>
      <c r="K327" s="7">
        <f>INDEX(환산공식!$EF$16:$EF$301,MATCH('배치점수 계산기'!W327,환산공식!$A$16:$A$301,0))</f>
        <v>0</v>
      </c>
      <c r="L327" s="41" t="str">
        <f t="shared" si="45"/>
        <v>1% 이하</v>
      </c>
      <c r="M327" s="7">
        <v>888.13385957323067</v>
      </c>
      <c r="N327" s="7">
        <v>885.6243076459964</v>
      </c>
      <c r="O327" s="7">
        <v>881.27307858598306</v>
      </c>
      <c r="P327" s="7">
        <v>877.96520168573147</v>
      </c>
      <c r="Q327" s="7">
        <v>874.35084513080574</v>
      </c>
      <c r="R327" s="7">
        <f t="shared" si="46"/>
        <v>6</v>
      </c>
      <c r="T327" s="7">
        <f>COUNTIF($C$11:C327,C327)</f>
        <v>116</v>
      </c>
      <c r="U327" s="7" t="str">
        <f t="shared" si="48"/>
        <v>나116</v>
      </c>
      <c r="V327" s="7" t="str">
        <f>INDEX(환산공식!$C$16:$C$301,MATCH('배치점수 계산기'!W327,환산공식!$A$16:$A$301,0))</f>
        <v>서울시립 통합</v>
      </c>
      <c r="W327" s="7">
        <f t="shared" si="49"/>
        <v>39</v>
      </c>
      <c r="X327" s="7">
        <f t="shared" si="50"/>
        <v>1</v>
      </c>
      <c r="Y327" s="7">
        <f>IFERROR(INDEX(환산공식!Q$16:Q$200,MATCH($A327,환산공식!$A$16:$A$200,0)),"")</f>
        <v>2.0134228187919465</v>
      </c>
      <c r="Z327" s="7">
        <f>IFERROR(INDEX(환산공식!R$16:R$200,MATCH($A327,환산공식!$A$16:$A$200,0)),"")</f>
        <v>2.0408163265306123</v>
      </c>
      <c r="AA327" s="7">
        <f>IFERROR(INDEX(환산공식!U$16:U$200,MATCH($A327,환산공식!$A$16:$A$200,0)),"")</f>
        <v>1.1363636363636365</v>
      </c>
      <c r="AB327" s="7">
        <f t="shared" si="51"/>
        <v>0.3878976880865993</v>
      </c>
      <c r="AC327" s="7">
        <f t="shared" si="52"/>
        <v>0.39317520765240338</v>
      </c>
      <c r="AD327" s="7">
        <f t="shared" si="53"/>
        <v>0.21892710426099735</v>
      </c>
      <c r="AE327" s="7">
        <f>INDEX(환산공식!$AF$16:$AF$301,MATCH('배치점수 계산기'!W327,환산공식!$A$16:$A$301,0))</f>
        <v>12</v>
      </c>
      <c r="AF327" s="7">
        <f>INDEX(환산공식!$AP$16:$AP$301,MATCH('배치점수 계산기'!W327,환산공식!$A$16:$A$301,0))</f>
        <v>42</v>
      </c>
      <c r="AG327" s="7" t="str">
        <f t="shared" si="54"/>
        <v>표점/만점</v>
      </c>
      <c r="AH327" s="7" t="str">
        <f t="shared" si="55"/>
        <v>변표/만점</v>
      </c>
      <c r="BO327" s="210"/>
      <c r="BP327" s="210"/>
      <c r="BQ327" s="210"/>
      <c r="BR327" s="210"/>
      <c r="BS327" s="210"/>
      <c r="BT327" s="210"/>
      <c r="BU327" s="210"/>
      <c r="BV327" s="210"/>
      <c r="BW327" s="210"/>
      <c r="BX327" s="210"/>
      <c r="BY327" s="210"/>
      <c r="BZ327" s="210"/>
      <c r="CA327" s="210"/>
      <c r="CB327" s="210"/>
      <c r="CC327" s="210"/>
      <c r="EM327" s="120"/>
      <c r="ET327" s="210"/>
      <c r="EU327" s="210"/>
      <c r="EV327" s="210"/>
      <c r="EW327" s="210"/>
      <c r="EX327" s="210"/>
      <c r="EY327" s="210"/>
      <c r="EZ327" s="210"/>
      <c r="FA327" s="210"/>
      <c r="FB327" s="210"/>
      <c r="FC327" s="210"/>
      <c r="FD327" s="210"/>
      <c r="FE327" s="210"/>
      <c r="FF327" s="210"/>
      <c r="FG327" s="210"/>
      <c r="FH327" s="210"/>
      <c r="HR327" s="120"/>
      <c r="HY327" s="210"/>
      <c r="HZ327" s="210"/>
      <c r="IA327" s="210"/>
      <c r="IB327" s="210"/>
      <c r="IC327" s="210"/>
      <c r="ID327" s="210"/>
      <c r="IE327" s="210"/>
      <c r="IF327" s="210"/>
      <c r="IG327" s="210"/>
      <c r="IH327" s="210"/>
      <c r="II327" s="210"/>
      <c r="IJ327" s="210"/>
      <c r="IK327" s="210"/>
      <c r="IL327" s="210"/>
      <c r="IM327" s="210"/>
      <c r="KW327" s="120"/>
      <c r="LD327" s="210"/>
      <c r="LE327" s="210"/>
      <c r="LF327" s="210"/>
      <c r="LG327" s="210"/>
      <c r="LH327" s="210"/>
      <c r="LI327" s="210"/>
      <c r="LJ327" s="210"/>
      <c r="LK327" s="210"/>
      <c r="LL327" s="210"/>
      <c r="LM327" s="210"/>
      <c r="LN327" s="210"/>
      <c r="LO327" s="210"/>
      <c r="LP327" s="210"/>
      <c r="LQ327" s="210"/>
      <c r="LR327" s="210"/>
      <c r="OB327" s="120"/>
      <c r="OI327" s="210"/>
      <c r="OJ327" s="210"/>
      <c r="OK327" s="210"/>
      <c r="OL327" s="210"/>
      <c r="OM327" s="210"/>
      <c r="ON327" s="210"/>
      <c r="OO327" s="210"/>
      <c r="OP327" s="210"/>
      <c r="OQ327" s="210"/>
      <c r="OR327" s="210"/>
      <c r="OS327" s="210"/>
      <c r="OT327" s="210"/>
      <c r="OU327" s="210"/>
      <c r="OV327" s="210"/>
      <c r="OW327" s="210"/>
      <c r="RG327" s="120"/>
    </row>
    <row r="328" spans="1:475" x14ac:dyDescent="0.3">
      <c r="A328" s="7">
        <v>39</v>
      </c>
      <c r="B328" s="7">
        <v>318</v>
      </c>
      <c r="C328" s="7" t="s">
        <v>346</v>
      </c>
      <c r="D328" s="7" t="s">
        <v>419</v>
      </c>
      <c r="E328" s="7" t="s">
        <v>339</v>
      </c>
      <c r="F328" s="7" t="s">
        <v>275</v>
      </c>
      <c r="G328" s="41" t="str">
        <f t="shared" si="47"/>
        <v>X</v>
      </c>
      <c r="H328" s="41">
        <f>INDEX(환산공식!CI$16:CI$301,MATCH('배치점수 계산기'!$W328,환산공식!$A$16:$A$301,0))</f>
        <v>250</v>
      </c>
      <c r="I328" s="41" t="str">
        <f>CONCATENATE(ROUND(INDEX(환산공식!CJ$16:CJ$301,MATCH('배치점수 계산기'!$W328,환산공식!$A$16:$A$301,0)),1),"%")</f>
        <v>100%</v>
      </c>
      <c r="J328" s="41">
        <f>INDEX(환산공식!CK$16:CK$301,MATCH('배치점수 계산기'!$W328,환산공식!$A$16:$A$301,0))</f>
        <v>0</v>
      </c>
      <c r="K328" s="7">
        <f>INDEX(환산공식!$EF$16:$EF$301,MATCH('배치점수 계산기'!W328,환산공식!$A$16:$A$301,0))</f>
        <v>0</v>
      </c>
      <c r="L328" s="41" t="str">
        <f t="shared" si="45"/>
        <v>1% 이하</v>
      </c>
      <c r="M328" s="7">
        <v>886.95239818328241</v>
      </c>
      <c r="N328" s="7">
        <v>884.24530085673928</v>
      </c>
      <c r="O328" s="7">
        <v>880.01102898679528</v>
      </c>
      <c r="P328" s="7">
        <v>877.0539228159771</v>
      </c>
      <c r="Q328" s="7">
        <v>871.11486945507909</v>
      </c>
      <c r="R328" s="7">
        <f t="shared" si="46"/>
        <v>6</v>
      </c>
      <c r="T328" s="7">
        <f>COUNTIF($C$11:C328,C328)</f>
        <v>117</v>
      </c>
      <c r="U328" s="7" t="str">
        <f t="shared" si="48"/>
        <v>나117</v>
      </c>
      <c r="V328" s="7" t="str">
        <f>INDEX(환산공식!$C$16:$C$301,MATCH('배치점수 계산기'!W328,환산공식!$A$16:$A$301,0))</f>
        <v>서울시립 통합</v>
      </c>
      <c r="W328" s="7">
        <f t="shared" si="49"/>
        <v>39</v>
      </c>
      <c r="X328" s="7">
        <f t="shared" si="50"/>
        <v>1</v>
      </c>
      <c r="Y328" s="7">
        <f>IFERROR(INDEX(환산공식!Q$16:Q$200,MATCH($A328,환산공식!$A$16:$A$200,0)),"")</f>
        <v>2.0134228187919465</v>
      </c>
      <c r="Z328" s="7">
        <f>IFERROR(INDEX(환산공식!R$16:R$200,MATCH($A328,환산공식!$A$16:$A$200,0)),"")</f>
        <v>2.0408163265306123</v>
      </c>
      <c r="AA328" s="7">
        <f>IFERROR(INDEX(환산공식!U$16:U$200,MATCH($A328,환산공식!$A$16:$A$200,0)),"")</f>
        <v>1.1363636363636365</v>
      </c>
      <c r="AB328" s="7">
        <f t="shared" si="51"/>
        <v>0.3878976880865993</v>
      </c>
      <c r="AC328" s="7">
        <f t="shared" si="52"/>
        <v>0.39317520765240338</v>
      </c>
      <c r="AD328" s="7">
        <f t="shared" si="53"/>
        <v>0.21892710426099735</v>
      </c>
      <c r="AE328" s="7">
        <f>INDEX(환산공식!$AF$16:$AF$301,MATCH('배치점수 계산기'!W328,환산공식!$A$16:$A$301,0))</f>
        <v>12</v>
      </c>
      <c r="AF328" s="7">
        <f>INDEX(환산공식!$AP$16:$AP$301,MATCH('배치점수 계산기'!W328,환산공식!$A$16:$A$301,0))</f>
        <v>42</v>
      </c>
      <c r="AG328" s="7" t="str">
        <f t="shared" si="54"/>
        <v>표점/만점</v>
      </c>
      <c r="AH328" s="7" t="str">
        <f t="shared" si="55"/>
        <v>변표/만점</v>
      </c>
      <c r="BO328" s="210"/>
      <c r="BP328" s="210"/>
      <c r="BQ328" s="210"/>
      <c r="BR328" s="210"/>
      <c r="BS328" s="210"/>
      <c r="BT328" s="210"/>
      <c r="BU328" s="210"/>
      <c r="BV328" s="210"/>
      <c r="BW328" s="210"/>
      <c r="BX328" s="210"/>
      <c r="BY328" s="210"/>
      <c r="BZ328" s="210"/>
      <c r="CA328" s="210"/>
      <c r="CB328" s="210"/>
      <c r="CC328" s="210"/>
      <c r="EM328" s="120"/>
      <c r="ET328" s="210"/>
      <c r="EU328" s="210"/>
      <c r="EV328" s="210"/>
      <c r="EW328" s="210"/>
      <c r="EX328" s="210"/>
      <c r="EY328" s="210"/>
      <c r="EZ328" s="210"/>
      <c r="FA328" s="210"/>
      <c r="FB328" s="210"/>
      <c r="FC328" s="210"/>
      <c r="FD328" s="210"/>
      <c r="FE328" s="210"/>
      <c r="FF328" s="210"/>
      <c r="FG328" s="210"/>
      <c r="FH328" s="210"/>
      <c r="HR328" s="120"/>
      <c r="HY328" s="210"/>
      <c r="HZ328" s="210"/>
      <c r="IA328" s="210"/>
      <c r="IB328" s="210"/>
      <c r="IC328" s="210"/>
      <c r="ID328" s="210"/>
      <c r="IE328" s="210"/>
      <c r="IF328" s="210"/>
      <c r="IG328" s="210"/>
      <c r="IH328" s="210"/>
      <c r="II328" s="210"/>
      <c r="IJ328" s="210"/>
      <c r="IK328" s="210"/>
      <c r="IL328" s="210"/>
      <c r="IM328" s="210"/>
      <c r="KW328" s="120"/>
      <c r="LD328" s="210"/>
      <c r="LE328" s="210"/>
      <c r="LF328" s="210"/>
      <c r="LG328" s="210"/>
      <c r="LH328" s="210"/>
      <c r="LI328" s="210"/>
      <c r="LJ328" s="210"/>
      <c r="LK328" s="210"/>
      <c r="LL328" s="210"/>
      <c r="LM328" s="210"/>
      <c r="LN328" s="210"/>
      <c r="LO328" s="210"/>
      <c r="LP328" s="210"/>
      <c r="LQ328" s="210"/>
      <c r="LR328" s="210"/>
      <c r="OB328" s="120"/>
      <c r="OI328" s="210"/>
      <c r="OJ328" s="210"/>
      <c r="OK328" s="210"/>
      <c r="OL328" s="210"/>
      <c r="OM328" s="210"/>
      <c r="ON328" s="210"/>
      <c r="OO328" s="210"/>
      <c r="OP328" s="210"/>
      <c r="OQ328" s="210"/>
      <c r="OR328" s="210"/>
      <c r="OS328" s="210"/>
      <c r="OT328" s="210"/>
      <c r="OU328" s="210"/>
      <c r="OV328" s="210"/>
      <c r="OW328" s="210"/>
      <c r="RG328" s="120"/>
    </row>
    <row r="329" spans="1:475" x14ac:dyDescent="0.3">
      <c r="A329" s="7">
        <v>39</v>
      </c>
      <c r="B329" s="7">
        <v>319</v>
      </c>
      <c r="C329" s="7" t="s">
        <v>346</v>
      </c>
      <c r="D329" s="7" t="s">
        <v>419</v>
      </c>
      <c r="E329" s="7" t="s">
        <v>309</v>
      </c>
      <c r="F329" s="7" t="s">
        <v>275</v>
      </c>
      <c r="G329" s="41" t="str">
        <f t="shared" si="47"/>
        <v>X</v>
      </c>
      <c r="H329" s="41">
        <f>INDEX(환산공식!CI$16:CI$301,MATCH('배치점수 계산기'!$W329,환산공식!$A$16:$A$301,0))</f>
        <v>250</v>
      </c>
      <c r="I329" s="41" t="str">
        <f>CONCATENATE(ROUND(INDEX(환산공식!CJ$16:CJ$301,MATCH('배치점수 계산기'!$W329,환산공식!$A$16:$A$301,0)),1),"%")</f>
        <v>100%</v>
      </c>
      <c r="J329" s="41">
        <f>INDEX(환산공식!CK$16:CK$301,MATCH('배치점수 계산기'!$W329,환산공식!$A$16:$A$301,0))</f>
        <v>0</v>
      </c>
      <c r="K329" s="7">
        <f>INDEX(환산공식!$EF$16:$EF$301,MATCH('배치점수 계산기'!W329,환산공식!$A$16:$A$301,0))</f>
        <v>0</v>
      </c>
      <c r="L329" s="41" t="str">
        <f t="shared" si="45"/>
        <v>1% 이하</v>
      </c>
      <c r="M329" s="7">
        <v>886.95239818328241</v>
      </c>
      <c r="N329" s="7">
        <v>884.24530085673928</v>
      </c>
      <c r="O329" s="7">
        <v>880.01102898679528</v>
      </c>
      <c r="P329" s="7">
        <v>876.32372065021082</v>
      </c>
      <c r="Q329" s="7">
        <v>869.36757489065462</v>
      </c>
      <c r="R329" s="7">
        <f t="shared" si="46"/>
        <v>6</v>
      </c>
      <c r="T329" s="7">
        <f>COUNTIF($C$11:C329,C329)</f>
        <v>118</v>
      </c>
      <c r="U329" s="7" t="str">
        <f t="shared" si="48"/>
        <v>나118</v>
      </c>
      <c r="V329" s="7" t="str">
        <f>INDEX(환산공식!$C$16:$C$301,MATCH('배치점수 계산기'!W329,환산공식!$A$16:$A$301,0))</f>
        <v>서울시립 통합</v>
      </c>
      <c r="W329" s="7">
        <f t="shared" si="49"/>
        <v>39</v>
      </c>
      <c r="X329" s="7">
        <f t="shared" si="50"/>
        <v>1</v>
      </c>
      <c r="Y329" s="7">
        <f>IFERROR(INDEX(환산공식!Q$16:Q$200,MATCH($A329,환산공식!$A$16:$A$200,0)),"")</f>
        <v>2.0134228187919465</v>
      </c>
      <c r="Z329" s="7">
        <f>IFERROR(INDEX(환산공식!R$16:R$200,MATCH($A329,환산공식!$A$16:$A$200,0)),"")</f>
        <v>2.0408163265306123</v>
      </c>
      <c r="AA329" s="7">
        <f>IFERROR(INDEX(환산공식!U$16:U$200,MATCH($A329,환산공식!$A$16:$A$200,0)),"")</f>
        <v>1.1363636363636365</v>
      </c>
      <c r="AB329" s="7">
        <f t="shared" si="51"/>
        <v>0.3878976880865993</v>
      </c>
      <c r="AC329" s="7">
        <f t="shared" si="52"/>
        <v>0.39317520765240338</v>
      </c>
      <c r="AD329" s="7">
        <f t="shared" si="53"/>
        <v>0.21892710426099735</v>
      </c>
      <c r="AE329" s="7">
        <f>INDEX(환산공식!$AF$16:$AF$301,MATCH('배치점수 계산기'!W329,환산공식!$A$16:$A$301,0))</f>
        <v>12</v>
      </c>
      <c r="AF329" s="7">
        <f>INDEX(환산공식!$AP$16:$AP$301,MATCH('배치점수 계산기'!W329,환산공식!$A$16:$A$301,0))</f>
        <v>42</v>
      </c>
      <c r="AG329" s="7" t="str">
        <f t="shared" si="54"/>
        <v>표점/만점</v>
      </c>
      <c r="AH329" s="7" t="str">
        <f t="shared" si="55"/>
        <v>변표/만점</v>
      </c>
      <c r="BO329" s="210"/>
      <c r="BP329" s="210"/>
      <c r="BQ329" s="210"/>
      <c r="BR329" s="210"/>
      <c r="BS329" s="210"/>
      <c r="BT329" s="210"/>
      <c r="BU329" s="210"/>
      <c r="BV329" s="210"/>
      <c r="BW329" s="210"/>
      <c r="BX329" s="210"/>
      <c r="BY329" s="210"/>
      <c r="BZ329" s="210"/>
      <c r="CA329" s="210"/>
      <c r="CB329" s="210"/>
      <c r="CC329" s="210"/>
      <c r="EM329" s="120"/>
      <c r="ET329" s="210"/>
      <c r="EU329" s="210"/>
      <c r="EV329" s="210"/>
      <c r="EW329" s="210"/>
      <c r="EX329" s="210"/>
      <c r="EY329" s="210"/>
      <c r="EZ329" s="210"/>
      <c r="FA329" s="210"/>
      <c r="FB329" s="210"/>
      <c r="FC329" s="210"/>
      <c r="FD329" s="210"/>
      <c r="FE329" s="210"/>
      <c r="FF329" s="210"/>
      <c r="FG329" s="210"/>
      <c r="FH329" s="210"/>
      <c r="HR329" s="120"/>
      <c r="HY329" s="210"/>
      <c r="HZ329" s="210"/>
      <c r="IA329" s="210"/>
      <c r="IB329" s="210"/>
      <c r="IC329" s="210"/>
      <c r="ID329" s="210"/>
      <c r="IE329" s="210"/>
      <c r="IF329" s="210"/>
      <c r="IG329" s="210"/>
      <c r="IH329" s="210"/>
      <c r="II329" s="210"/>
      <c r="IJ329" s="210"/>
      <c r="IK329" s="210"/>
      <c r="IL329" s="210"/>
      <c r="IM329" s="210"/>
      <c r="KW329" s="120"/>
      <c r="LD329" s="210"/>
      <c r="LE329" s="210"/>
      <c r="LF329" s="210"/>
      <c r="LG329" s="210"/>
      <c r="LH329" s="210"/>
      <c r="LI329" s="210"/>
      <c r="LJ329" s="210"/>
      <c r="LK329" s="210"/>
      <c r="LL329" s="210"/>
      <c r="LM329" s="210"/>
      <c r="LN329" s="210"/>
      <c r="LO329" s="210"/>
      <c r="LP329" s="210"/>
      <c r="LQ329" s="210"/>
      <c r="LR329" s="210"/>
      <c r="OB329" s="120"/>
      <c r="OI329" s="210"/>
      <c r="OJ329" s="210"/>
      <c r="OK329" s="210"/>
      <c r="OL329" s="210"/>
      <c r="OM329" s="210"/>
      <c r="ON329" s="210"/>
      <c r="OO329" s="210"/>
      <c r="OP329" s="210"/>
      <c r="OQ329" s="210"/>
      <c r="OR329" s="210"/>
      <c r="OS329" s="210"/>
      <c r="OT329" s="210"/>
      <c r="OU329" s="210"/>
      <c r="OV329" s="210"/>
      <c r="OW329" s="210"/>
      <c r="RG329" s="120"/>
    </row>
    <row r="330" spans="1:475" x14ac:dyDescent="0.3">
      <c r="A330" s="7">
        <v>39</v>
      </c>
      <c r="B330" s="7">
        <v>320</v>
      </c>
      <c r="C330" s="7" t="s">
        <v>346</v>
      </c>
      <c r="D330" s="7" t="s">
        <v>419</v>
      </c>
      <c r="E330" s="7" t="s">
        <v>312</v>
      </c>
      <c r="F330" s="7" t="s">
        <v>275</v>
      </c>
      <c r="G330" s="41" t="str">
        <f t="shared" si="47"/>
        <v>X</v>
      </c>
      <c r="H330" s="41">
        <f>INDEX(환산공식!CI$16:CI$301,MATCH('배치점수 계산기'!$W330,환산공식!$A$16:$A$301,0))</f>
        <v>250</v>
      </c>
      <c r="I330" s="41" t="str">
        <f>CONCATENATE(ROUND(INDEX(환산공식!CJ$16:CJ$301,MATCH('배치점수 계산기'!$W330,환산공식!$A$16:$A$301,0)),1),"%")</f>
        <v>100%</v>
      </c>
      <c r="J330" s="41">
        <f>INDEX(환산공식!CK$16:CK$301,MATCH('배치점수 계산기'!$W330,환산공식!$A$16:$A$301,0))</f>
        <v>0</v>
      </c>
      <c r="K330" s="7">
        <f>INDEX(환산공식!$EF$16:$EF$301,MATCH('배치점수 계산기'!W330,환산공식!$A$16:$A$301,0))</f>
        <v>0</v>
      </c>
      <c r="L330" s="41" t="str">
        <f t="shared" si="45"/>
        <v>1% 이하</v>
      </c>
      <c r="M330" s="7">
        <v>886.95239818328241</v>
      </c>
      <c r="N330" s="7">
        <v>884.24530085673928</v>
      </c>
      <c r="O330" s="7">
        <v>880.01102898679528</v>
      </c>
      <c r="P330" s="7">
        <v>876.32372065021082</v>
      </c>
      <c r="Q330" s="7">
        <v>869.36757489065462</v>
      </c>
      <c r="R330" s="7">
        <f t="shared" si="46"/>
        <v>6</v>
      </c>
      <c r="T330" s="7">
        <f>COUNTIF($C$11:C330,C330)</f>
        <v>119</v>
      </c>
      <c r="U330" s="7" t="str">
        <f t="shared" si="48"/>
        <v>나119</v>
      </c>
      <c r="V330" s="7" t="str">
        <f>INDEX(환산공식!$C$16:$C$301,MATCH('배치점수 계산기'!W330,환산공식!$A$16:$A$301,0))</f>
        <v>서울시립 통합</v>
      </c>
      <c r="W330" s="7">
        <f t="shared" si="49"/>
        <v>39</v>
      </c>
      <c r="X330" s="7">
        <f t="shared" si="50"/>
        <v>1</v>
      </c>
      <c r="Y330" s="7">
        <f>IFERROR(INDEX(환산공식!Q$16:Q$200,MATCH($A330,환산공식!$A$16:$A$200,0)),"")</f>
        <v>2.0134228187919465</v>
      </c>
      <c r="Z330" s="7">
        <f>IFERROR(INDEX(환산공식!R$16:R$200,MATCH($A330,환산공식!$A$16:$A$200,0)),"")</f>
        <v>2.0408163265306123</v>
      </c>
      <c r="AA330" s="7">
        <f>IFERROR(INDEX(환산공식!U$16:U$200,MATCH($A330,환산공식!$A$16:$A$200,0)),"")</f>
        <v>1.1363636363636365</v>
      </c>
      <c r="AB330" s="7">
        <f t="shared" si="51"/>
        <v>0.3878976880865993</v>
      </c>
      <c r="AC330" s="7">
        <f t="shared" si="52"/>
        <v>0.39317520765240338</v>
      </c>
      <c r="AD330" s="7">
        <f t="shared" si="53"/>
        <v>0.21892710426099735</v>
      </c>
      <c r="AE330" s="7">
        <f>INDEX(환산공식!$AF$16:$AF$301,MATCH('배치점수 계산기'!W330,환산공식!$A$16:$A$301,0))</f>
        <v>12</v>
      </c>
      <c r="AF330" s="7">
        <f>INDEX(환산공식!$AP$16:$AP$301,MATCH('배치점수 계산기'!W330,환산공식!$A$16:$A$301,0))</f>
        <v>42</v>
      </c>
      <c r="AG330" s="7" t="str">
        <f t="shared" si="54"/>
        <v>표점/만점</v>
      </c>
      <c r="AH330" s="7" t="str">
        <f t="shared" si="55"/>
        <v>변표/만점</v>
      </c>
      <c r="BO330" s="210"/>
      <c r="BP330" s="210"/>
      <c r="BQ330" s="210"/>
      <c r="BR330" s="210"/>
      <c r="BS330" s="210"/>
      <c r="BT330" s="210"/>
      <c r="BU330" s="210"/>
      <c r="BV330" s="210"/>
      <c r="BW330" s="210"/>
      <c r="BX330" s="210"/>
      <c r="BY330" s="210"/>
      <c r="BZ330" s="210"/>
      <c r="CA330" s="210"/>
      <c r="CB330" s="210"/>
      <c r="CC330" s="210"/>
      <c r="EM330" s="120"/>
      <c r="ET330" s="210"/>
      <c r="EU330" s="210"/>
      <c r="EV330" s="210"/>
      <c r="EW330" s="210"/>
      <c r="EX330" s="210"/>
      <c r="EY330" s="210"/>
      <c r="EZ330" s="210"/>
      <c r="FA330" s="210"/>
      <c r="FB330" s="210"/>
      <c r="FC330" s="210"/>
      <c r="FD330" s="210"/>
      <c r="FE330" s="210"/>
      <c r="FF330" s="210"/>
      <c r="FG330" s="210"/>
      <c r="FH330" s="210"/>
      <c r="HR330" s="120"/>
      <c r="HY330" s="210"/>
      <c r="HZ330" s="210"/>
      <c r="IA330" s="210"/>
      <c r="IB330" s="210"/>
      <c r="IC330" s="210"/>
      <c r="ID330" s="210"/>
      <c r="IE330" s="210"/>
      <c r="IF330" s="210"/>
      <c r="IG330" s="210"/>
      <c r="IH330" s="210"/>
      <c r="II330" s="210"/>
      <c r="IJ330" s="210"/>
      <c r="IK330" s="210"/>
      <c r="IL330" s="210"/>
      <c r="IM330" s="210"/>
      <c r="KW330" s="120"/>
      <c r="LD330" s="210"/>
      <c r="LE330" s="210"/>
      <c r="LF330" s="210"/>
      <c r="LG330" s="210"/>
      <c r="LH330" s="210"/>
      <c r="LI330" s="210"/>
      <c r="LJ330" s="210"/>
      <c r="LK330" s="210"/>
      <c r="LL330" s="210"/>
      <c r="LM330" s="210"/>
      <c r="LN330" s="210"/>
      <c r="LO330" s="210"/>
      <c r="LP330" s="210"/>
      <c r="LQ330" s="210"/>
      <c r="LR330" s="210"/>
      <c r="OB330" s="120"/>
      <c r="OI330" s="210"/>
      <c r="OJ330" s="210"/>
      <c r="OK330" s="210"/>
      <c r="OL330" s="210"/>
      <c r="OM330" s="210"/>
      <c r="ON330" s="210"/>
      <c r="OO330" s="210"/>
      <c r="OP330" s="210"/>
      <c r="OQ330" s="210"/>
      <c r="OR330" s="210"/>
      <c r="OS330" s="210"/>
      <c r="OT330" s="210"/>
      <c r="OU330" s="210"/>
      <c r="OV330" s="210"/>
      <c r="OW330" s="210"/>
      <c r="RG330" s="120"/>
    </row>
    <row r="331" spans="1:475" x14ac:dyDescent="0.3">
      <c r="A331" s="7">
        <v>39</v>
      </c>
      <c r="B331" s="7">
        <v>321</v>
      </c>
      <c r="C331" s="7" t="s">
        <v>276</v>
      </c>
      <c r="D331" s="7" t="s">
        <v>419</v>
      </c>
      <c r="E331" s="7" t="s">
        <v>423</v>
      </c>
      <c r="F331" s="7" t="s">
        <v>275</v>
      </c>
      <c r="G331" s="41" t="str">
        <f t="shared" si="47"/>
        <v>X</v>
      </c>
      <c r="H331" s="41">
        <f>INDEX(환산공식!CI$16:CI$301,MATCH('배치점수 계산기'!$W331,환산공식!$A$16:$A$301,0))</f>
        <v>250</v>
      </c>
      <c r="I331" s="41" t="str">
        <f>CONCATENATE(ROUND(INDEX(환산공식!CJ$16:CJ$301,MATCH('배치점수 계산기'!$W331,환산공식!$A$16:$A$301,0)),1),"%")</f>
        <v>100%</v>
      </c>
      <c r="J331" s="41">
        <f>INDEX(환산공식!CK$16:CK$301,MATCH('배치점수 계산기'!$W331,환산공식!$A$16:$A$301,0))</f>
        <v>0</v>
      </c>
      <c r="K331" s="7">
        <f>INDEX(환산공식!$EF$16:$EF$301,MATCH('배치점수 계산기'!W331,환산공식!$A$16:$A$301,0))</f>
        <v>0</v>
      </c>
      <c r="L331" s="41" t="str">
        <f t="shared" ref="L331:L394" si="56">IF(K331&gt;M331,"90% 이상",IF(K331&gt;N331,CONCATENATE(ROUND(((K331-N331)/(M331-N331))*20+70,0),"%"),IF(K331&gt;O331,CONCATENATE(ROUND(((K331-O331)/(N331-O331))*30+40,0),"%"),IF(K331&gt;P331,CONCATENATE(ROUND(((K331-P331)/(O331-P331))*30+10,0),"%"),IF(K331&gt;Q331,CONCATENATE(ROUND(((K331-Q331)/(P331-Q331))*9+1,0),"%"),"1% 이하")))))</f>
        <v>1% 이하</v>
      </c>
      <c r="M331" s="7">
        <v>888.13385957323067</v>
      </c>
      <c r="N331" s="7">
        <v>886.95239818328241</v>
      </c>
      <c r="O331" s="7">
        <v>884.24530085673928</v>
      </c>
      <c r="P331" s="7">
        <v>878.96255267910897</v>
      </c>
      <c r="Q331" s="7">
        <v>875.28091511137882</v>
      </c>
      <c r="R331" s="7">
        <f t="shared" ref="R331:R394" si="57">IF(K331&gt;M331,1,IF(K331&gt;N331,2,IF(K331&gt;O331,3,IF(K331&gt;P331,4,IF(K331&gt;=Q331,5,IF(K331&lt;Q331,6))))))</f>
        <v>6</v>
      </c>
      <c r="T331" s="7">
        <f>COUNTIF($C$11:C331,C331)</f>
        <v>197</v>
      </c>
      <c r="U331" s="7" t="str">
        <f t="shared" si="48"/>
        <v>가197</v>
      </c>
      <c r="V331" s="7" t="str">
        <f>INDEX(환산공식!$C$16:$C$301,MATCH('배치점수 계산기'!W331,환산공식!$A$16:$A$301,0))</f>
        <v>서울시립 통합</v>
      </c>
      <c r="W331" s="7">
        <f t="shared" si="49"/>
        <v>39</v>
      </c>
      <c r="X331" s="7">
        <f t="shared" si="50"/>
        <v>1</v>
      </c>
      <c r="Y331" s="7">
        <f>IFERROR(INDEX(환산공식!Q$16:Q$200,MATCH($A331,환산공식!$A$16:$A$200,0)),"")</f>
        <v>2.0134228187919465</v>
      </c>
      <c r="Z331" s="7">
        <f>IFERROR(INDEX(환산공식!R$16:R$200,MATCH($A331,환산공식!$A$16:$A$200,0)),"")</f>
        <v>2.0408163265306123</v>
      </c>
      <c r="AA331" s="7">
        <f>IFERROR(INDEX(환산공식!U$16:U$200,MATCH($A331,환산공식!$A$16:$A$200,0)),"")</f>
        <v>1.1363636363636365</v>
      </c>
      <c r="AB331" s="7">
        <f t="shared" si="51"/>
        <v>0.3878976880865993</v>
      </c>
      <c r="AC331" s="7">
        <f t="shared" si="52"/>
        <v>0.39317520765240338</v>
      </c>
      <c r="AD331" s="7">
        <f t="shared" si="53"/>
        <v>0.21892710426099735</v>
      </c>
      <c r="AE331" s="7">
        <f>INDEX(환산공식!$AF$16:$AF$301,MATCH('배치점수 계산기'!W331,환산공식!$A$16:$A$301,0))</f>
        <v>12</v>
      </c>
      <c r="AF331" s="7">
        <f>INDEX(환산공식!$AP$16:$AP$301,MATCH('배치점수 계산기'!W331,환산공식!$A$16:$A$301,0))</f>
        <v>42</v>
      </c>
      <c r="AG331" s="7" t="str">
        <f t="shared" si="54"/>
        <v>표점/만점</v>
      </c>
      <c r="AH331" s="7" t="str">
        <f t="shared" si="55"/>
        <v>변표/만점</v>
      </c>
      <c r="BO331" s="210"/>
      <c r="BP331" s="210"/>
      <c r="BQ331" s="210"/>
      <c r="BR331" s="210"/>
      <c r="BS331" s="210"/>
      <c r="BT331" s="210"/>
      <c r="BU331" s="210"/>
      <c r="BV331" s="210"/>
      <c r="BW331" s="210"/>
      <c r="BX331" s="210"/>
      <c r="BY331" s="210"/>
      <c r="BZ331" s="210"/>
      <c r="CA331" s="210"/>
      <c r="CB331" s="210"/>
      <c r="CC331" s="210"/>
      <c r="EM331" s="120"/>
      <c r="ET331" s="210"/>
      <c r="EU331" s="210"/>
      <c r="EV331" s="210"/>
      <c r="EW331" s="210"/>
      <c r="EX331" s="210"/>
      <c r="EY331" s="210"/>
      <c r="EZ331" s="210"/>
      <c r="FA331" s="210"/>
      <c r="FB331" s="210"/>
      <c r="FC331" s="210"/>
      <c r="FD331" s="210"/>
      <c r="FE331" s="210"/>
      <c r="FF331" s="210"/>
      <c r="FG331" s="210"/>
      <c r="FH331" s="210"/>
      <c r="HR331" s="120"/>
      <c r="HY331" s="210"/>
      <c r="HZ331" s="210"/>
      <c r="IA331" s="210"/>
      <c r="IB331" s="210"/>
      <c r="IC331" s="210"/>
      <c r="ID331" s="210"/>
      <c r="IE331" s="210"/>
      <c r="IF331" s="210"/>
      <c r="IG331" s="210"/>
      <c r="IH331" s="210"/>
      <c r="II331" s="210"/>
      <c r="IJ331" s="210"/>
      <c r="IK331" s="210"/>
      <c r="IL331" s="210"/>
      <c r="IM331" s="210"/>
      <c r="KW331" s="120"/>
      <c r="LD331" s="210"/>
      <c r="LE331" s="210"/>
      <c r="LF331" s="210"/>
      <c r="LG331" s="210"/>
      <c r="LH331" s="210"/>
      <c r="LI331" s="210"/>
      <c r="LJ331" s="210"/>
      <c r="LK331" s="210"/>
      <c r="LL331" s="210"/>
      <c r="LM331" s="210"/>
      <c r="LN331" s="210"/>
      <c r="LO331" s="210"/>
      <c r="LP331" s="210"/>
      <c r="LQ331" s="210"/>
      <c r="LR331" s="210"/>
      <c r="OB331" s="120"/>
      <c r="OI331" s="210"/>
      <c r="OJ331" s="210"/>
      <c r="OK331" s="210"/>
      <c r="OL331" s="210"/>
      <c r="OM331" s="210"/>
      <c r="ON331" s="210"/>
      <c r="OO331" s="210"/>
      <c r="OP331" s="210"/>
      <c r="OQ331" s="210"/>
      <c r="OR331" s="210"/>
      <c r="OS331" s="210"/>
      <c r="OT331" s="210"/>
      <c r="OU331" s="210"/>
      <c r="OV331" s="210"/>
      <c r="OW331" s="210"/>
      <c r="RG331" s="120"/>
    </row>
    <row r="332" spans="1:475" x14ac:dyDescent="0.3">
      <c r="A332" s="7">
        <v>39</v>
      </c>
      <c r="B332" s="7">
        <v>322</v>
      </c>
      <c r="C332" s="7" t="s">
        <v>346</v>
      </c>
      <c r="D332" s="7" t="s">
        <v>419</v>
      </c>
      <c r="E332" s="7" t="s">
        <v>424</v>
      </c>
      <c r="F332" s="7" t="s">
        <v>275</v>
      </c>
      <c r="G332" s="41" t="str">
        <f t="shared" ref="G332:G395" si="58">IFERROR(IF(BJ332=0,"X","O"),"")</f>
        <v>X</v>
      </c>
      <c r="H332" s="41">
        <f>INDEX(환산공식!CI$16:CI$301,MATCH('배치점수 계산기'!$W332,환산공식!$A$16:$A$301,0))</f>
        <v>250</v>
      </c>
      <c r="I332" s="41" t="str">
        <f>CONCATENATE(ROUND(INDEX(환산공식!CJ$16:CJ$301,MATCH('배치점수 계산기'!$W332,환산공식!$A$16:$A$301,0)),1),"%")</f>
        <v>100%</v>
      </c>
      <c r="J332" s="41">
        <f>INDEX(환산공식!CK$16:CK$301,MATCH('배치점수 계산기'!$W332,환산공식!$A$16:$A$301,0))</f>
        <v>0</v>
      </c>
      <c r="K332" s="7">
        <f>INDEX(환산공식!$EF$16:$EF$301,MATCH('배치점수 계산기'!W332,환산공식!$A$16:$A$301,0))</f>
        <v>0</v>
      </c>
      <c r="L332" s="41" t="str">
        <f t="shared" si="56"/>
        <v>1% 이하</v>
      </c>
      <c r="M332" s="7">
        <v>888.13385957323067</v>
      </c>
      <c r="N332" s="7">
        <v>886.95239818328241</v>
      </c>
      <c r="O332" s="7">
        <v>884.24530085673928</v>
      </c>
      <c r="P332" s="7">
        <v>878.96255267910897</v>
      </c>
      <c r="Q332" s="7">
        <v>875.28091511137882</v>
      </c>
      <c r="R332" s="7">
        <f t="shared" si="57"/>
        <v>6</v>
      </c>
      <c r="T332" s="7">
        <f>COUNTIF($C$11:C332,C332)</f>
        <v>120</v>
      </c>
      <c r="U332" s="7" t="str">
        <f t="shared" ref="U332:U395" si="59">CONCATENATE(C332,T332)</f>
        <v>나120</v>
      </c>
      <c r="V332" s="7" t="str">
        <f>INDEX(환산공식!$C$16:$C$301,MATCH('배치점수 계산기'!W332,환산공식!$A$16:$A$301,0))</f>
        <v>서울시립 통합</v>
      </c>
      <c r="W332" s="7">
        <f t="shared" ref="W332:W395" si="60">A332</f>
        <v>39</v>
      </c>
      <c r="X332" s="7">
        <f t="shared" ref="X332:X395" si="61">IF(OR(D332=0,D332=""),"",IF(LEFT(D332,1)=LEFT(V332,1),1,2))</f>
        <v>1</v>
      </c>
      <c r="Y332" s="7">
        <f>IFERROR(INDEX(환산공식!Q$16:Q$200,MATCH($A332,환산공식!$A$16:$A$200,0)),"")</f>
        <v>2.0134228187919465</v>
      </c>
      <c r="Z332" s="7">
        <f>IFERROR(INDEX(환산공식!R$16:R$200,MATCH($A332,환산공식!$A$16:$A$200,0)),"")</f>
        <v>2.0408163265306123</v>
      </c>
      <c r="AA332" s="7">
        <f>IFERROR(INDEX(환산공식!U$16:U$200,MATCH($A332,환산공식!$A$16:$A$200,0)),"")</f>
        <v>1.1363636363636365</v>
      </c>
      <c r="AB332" s="7">
        <f t="shared" ref="AB332:AB395" si="62">Y332/($Y332+$Z332+$AA332)</f>
        <v>0.3878976880865993</v>
      </c>
      <c r="AC332" s="7">
        <f t="shared" ref="AC332:AC395" si="63">Z332/($Y332+$Z332+$AA332)</f>
        <v>0.39317520765240338</v>
      </c>
      <c r="AD332" s="7">
        <f t="shared" ref="AD332:AD395" si="64">AA332/($Y332+$Z332+$AA332)</f>
        <v>0.21892710426099735</v>
      </c>
      <c r="AE332" s="7">
        <f>INDEX(환산공식!$AF$16:$AF$301,MATCH('배치점수 계산기'!W332,환산공식!$A$16:$A$301,0))</f>
        <v>12</v>
      </c>
      <c r="AF332" s="7">
        <f>INDEX(환산공식!$AP$16:$AP$301,MATCH('배치점수 계산기'!W332,환산공식!$A$16:$A$301,0))</f>
        <v>42</v>
      </c>
      <c r="AG332" s="7" t="str">
        <f t="shared" ref="AG332:AG395" si="65">IF(AE332=1,"표점",IF(AE332=12,"표점/만점",IF(AE332=2,"백분위")))</f>
        <v>표점/만점</v>
      </c>
      <c r="AH332" s="7" t="str">
        <f t="shared" ref="AH332:AH395" si="66">IF(AF332=1,"표점",IF(AF332=12,"표점/만점",IF(AF332=2,"백분위",IF(AF332=4,"변표",IF(AF332=42,"변표/만점")))))</f>
        <v>변표/만점</v>
      </c>
      <c r="BO332" s="210"/>
      <c r="BP332" s="210"/>
      <c r="BQ332" s="210"/>
      <c r="BR332" s="210"/>
      <c r="BS332" s="210"/>
      <c r="BT332" s="210"/>
      <c r="BU332" s="210"/>
      <c r="BV332" s="210"/>
      <c r="BW332" s="210"/>
      <c r="BX332" s="210"/>
      <c r="BY332" s="210"/>
      <c r="BZ332" s="210"/>
      <c r="CA332" s="210"/>
      <c r="CB332" s="210"/>
      <c r="CC332" s="210"/>
      <c r="EM332" s="120"/>
      <c r="ET332" s="210"/>
      <c r="EU332" s="210"/>
      <c r="EV332" s="210"/>
      <c r="EW332" s="210"/>
      <c r="EX332" s="210"/>
      <c r="EY332" s="210"/>
      <c r="EZ332" s="210"/>
      <c r="FA332" s="210"/>
      <c r="FB332" s="210"/>
      <c r="FC332" s="210"/>
      <c r="FD332" s="210"/>
      <c r="FE332" s="210"/>
      <c r="FF332" s="210"/>
      <c r="FG332" s="210"/>
      <c r="FH332" s="210"/>
      <c r="HR332" s="120"/>
      <c r="HY332" s="210"/>
      <c r="HZ332" s="210"/>
      <c r="IA332" s="210"/>
      <c r="IB332" s="210"/>
      <c r="IC332" s="210"/>
      <c r="ID332" s="210"/>
      <c r="IE332" s="210"/>
      <c r="IF332" s="210"/>
      <c r="IG332" s="210"/>
      <c r="IH332" s="210"/>
      <c r="II332" s="210"/>
      <c r="IJ332" s="210"/>
      <c r="IK332" s="210"/>
      <c r="IL332" s="210"/>
      <c r="IM332" s="210"/>
      <c r="KW332" s="120"/>
      <c r="LD332" s="210"/>
      <c r="LE332" s="210"/>
      <c r="LF332" s="210"/>
      <c r="LG332" s="210"/>
      <c r="LH332" s="210"/>
      <c r="LI332" s="210"/>
      <c r="LJ332" s="210"/>
      <c r="LK332" s="210"/>
      <c r="LL332" s="210"/>
      <c r="LM332" s="210"/>
      <c r="LN332" s="210"/>
      <c r="LO332" s="210"/>
      <c r="LP332" s="210"/>
      <c r="LQ332" s="210"/>
      <c r="LR332" s="210"/>
      <c r="OB332" s="120"/>
      <c r="OI332" s="210"/>
      <c r="OJ332" s="210"/>
      <c r="OK332" s="210"/>
      <c r="OL332" s="210"/>
      <c r="OM332" s="210"/>
      <c r="ON332" s="210"/>
      <c r="OO332" s="210"/>
      <c r="OP332" s="210"/>
      <c r="OQ332" s="210"/>
      <c r="OR332" s="210"/>
      <c r="OS332" s="210"/>
      <c r="OT332" s="210"/>
      <c r="OU332" s="210"/>
      <c r="OV332" s="210"/>
      <c r="OW332" s="210"/>
      <c r="RG332" s="120"/>
    </row>
    <row r="333" spans="1:475" x14ac:dyDescent="0.3">
      <c r="A333" s="7">
        <v>41</v>
      </c>
      <c r="B333" s="7">
        <v>323</v>
      </c>
      <c r="C333" s="7" t="s">
        <v>346</v>
      </c>
      <c r="D333" s="7" t="s">
        <v>419</v>
      </c>
      <c r="E333" s="7" t="s">
        <v>425</v>
      </c>
      <c r="F333" s="7" t="s">
        <v>274</v>
      </c>
      <c r="G333" s="41" t="str">
        <f t="shared" si="58"/>
        <v>X</v>
      </c>
      <c r="H333" s="41">
        <f>INDEX(환산공식!CI$16:CI$301,MATCH('배치점수 계산기'!$W333,환산공식!$A$16:$A$301,0))</f>
        <v>250</v>
      </c>
      <c r="I333" s="41" t="str">
        <f>CONCATENATE(ROUND(INDEX(환산공식!CJ$16:CJ$301,MATCH('배치점수 계산기'!$W333,환산공식!$A$16:$A$301,0)),1),"%")</f>
        <v>100%</v>
      </c>
      <c r="J333" s="41">
        <f>INDEX(환산공식!CK$16:CK$301,MATCH('배치점수 계산기'!$W333,환산공식!$A$16:$A$301,0))</f>
        <v>0</v>
      </c>
      <c r="K333" s="7">
        <f>INDEX(환산공식!$EF$16:$EF$301,MATCH('배치점수 계산기'!W333,환산공식!$A$16:$A$301,0))</f>
        <v>0</v>
      </c>
      <c r="L333" s="41" t="str">
        <f t="shared" si="56"/>
        <v>1% 이하</v>
      </c>
      <c r="M333" s="7">
        <v>898.87030077807049</v>
      </c>
      <c r="N333" s="7">
        <v>895.79315114662745</v>
      </c>
      <c r="O333" s="7">
        <v>891.6154381074482</v>
      </c>
      <c r="P333" s="7">
        <v>889.69066571165195</v>
      </c>
      <c r="Q333" s="7">
        <v>886.86426622369117</v>
      </c>
      <c r="R333" s="7">
        <f t="shared" si="57"/>
        <v>6</v>
      </c>
      <c r="T333" s="7">
        <f>COUNTIF($C$11:C333,C333)</f>
        <v>121</v>
      </c>
      <c r="U333" s="7" t="str">
        <f t="shared" si="59"/>
        <v>나121</v>
      </c>
      <c r="V333" s="7" t="str">
        <f>INDEX(환산공식!$C$16:$C$301,MATCH('배치점수 계산기'!W333,환산공식!$A$16:$A$301,0))</f>
        <v>서울시립 자연</v>
      </c>
      <c r="W333" s="7">
        <f t="shared" si="60"/>
        <v>41</v>
      </c>
      <c r="X333" s="7">
        <f t="shared" si="61"/>
        <v>1</v>
      </c>
      <c r="Y333" s="7">
        <f>IFERROR(INDEX(환산공식!Q$16:Q$200,MATCH($A333,환산공식!$A$16:$A$200,0)),"")</f>
        <v>1.3422818791946309</v>
      </c>
      <c r="Z333" s="7">
        <f>IFERROR(INDEX(환산공식!R$16:R$200,MATCH($A333,환산공식!$A$16:$A$200,0)),"")</f>
        <v>2.3809523809523809</v>
      </c>
      <c r="AA333" s="7">
        <f>IFERROR(INDEX(환산공식!U$16:U$200,MATCH($A333,환산공식!$A$16:$A$200,0)),"")</f>
        <v>1.4058765640376776</v>
      </c>
      <c r="AB333" s="7">
        <f t="shared" si="62"/>
        <v>0.26169874763975232</v>
      </c>
      <c r="AC333" s="7">
        <f t="shared" si="63"/>
        <v>0.46420373093241774</v>
      </c>
      <c r="AD333" s="7">
        <f t="shared" si="64"/>
        <v>0.27409752142783</v>
      </c>
      <c r="AE333" s="7">
        <f>INDEX(환산공식!$AF$16:$AF$301,MATCH('배치점수 계산기'!W333,환산공식!$A$16:$A$301,0))</f>
        <v>12</v>
      </c>
      <c r="AF333" s="7">
        <f>INDEX(환산공식!$AP$16:$AP$301,MATCH('배치점수 계산기'!W333,환산공식!$A$16:$A$301,0))</f>
        <v>42</v>
      </c>
      <c r="AG333" s="7" t="str">
        <f t="shared" si="65"/>
        <v>표점/만점</v>
      </c>
      <c r="AH333" s="7" t="str">
        <f t="shared" si="66"/>
        <v>변표/만점</v>
      </c>
      <c r="BO333" s="210"/>
      <c r="BP333" s="210"/>
      <c r="BQ333" s="210"/>
      <c r="BR333" s="210"/>
      <c r="BS333" s="210"/>
      <c r="BT333" s="210"/>
      <c r="BU333" s="210"/>
      <c r="BV333" s="210"/>
      <c r="BW333" s="210"/>
      <c r="BX333" s="210"/>
      <c r="BY333" s="210"/>
      <c r="BZ333" s="210"/>
      <c r="CA333" s="210"/>
      <c r="CB333" s="210"/>
      <c r="CC333" s="210"/>
      <c r="EM333" s="120"/>
      <c r="ET333" s="210"/>
      <c r="EU333" s="210"/>
      <c r="EV333" s="210"/>
      <c r="EW333" s="210"/>
      <c r="EX333" s="210"/>
      <c r="EY333" s="210"/>
      <c r="EZ333" s="210"/>
      <c r="FA333" s="210"/>
      <c r="FB333" s="210"/>
      <c r="FC333" s="210"/>
      <c r="FD333" s="210"/>
      <c r="FE333" s="210"/>
      <c r="FF333" s="210"/>
      <c r="FG333" s="210"/>
      <c r="FH333" s="210"/>
      <c r="HR333" s="120"/>
      <c r="HY333" s="210"/>
      <c r="HZ333" s="210"/>
      <c r="IA333" s="210"/>
      <c r="IB333" s="210"/>
      <c r="IC333" s="210"/>
      <c r="ID333" s="210"/>
      <c r="IE333" s="210"/>
      <c r="IF333" s="210"/>
      <c r="IG333" s="210"/>
      <c r="IH333" s="210"/>
      <c r="II333" s="210"/>
      <c r="IJ333" s="210"/>
      <c r="IK333" s="210"/>
      <c r="IL333" s="210"/>
      <c r="IM333" s="210"/>
      <c r="KW333" s="120"/>
      <c r="LD333" s="210"/>
      <c r="LE333" s="210"/>
      <c r="LF333" s="210"/>
      <c r="LG333" s="210"/>
      <c r="LH333" s="210"/>
      <c r="LI333" s="210"/>
      <c r="LJ333" s="210"/>
      <c r="LK333" s="210"/>
      <c r="LL333" s="210"/>
      <c r="LM333" s="210"/>
      <c r="LN333" s="210"/>
      <c r="LO333" s="210"/>
      <c r="LP333" s="210"/>
      <c r="LQ333" s="210"/>
      <c r="LR333" s="210"/>
      <c r="OB333" s="120"/>
      <c r="OI333" s="210"/>
      <c r="OJ333" s="210"/>
      <c r="OK333" s="210"/>
      <c r="OL333" s="210"/>
      <c r="OM333" s="210"/>
      <c r="ON333" s="210"/>
      <c r="OO333" s="210"/>
      <c r="OP333" s="210"/>
      <c r="OQ333" s="210"/>
      <c r="OR333" s="210"/>
      <c r="OS333" s="210"/>
      <c r="OT333" s="210"/>
      <c r="OU333" s="210"/>
      <c r="OV333" s="210"/>
      <c r="OW333" s="210"/>
      <c r="RG333" s="120"/>
    </row>
    <row r="334" spans="1:475" x14ac:dyDescent="0.3">
      <c r="A334" s="7">
        <v>41</v>
      </c>
      <c r="B334" s="7">
        <v>324</v>
      </c>
      <c r="C334" s="7" t="s">
        <v>346</v>
      </c>
      <c r="D334" s="7" t="s">
        <v>419</v>
      </c>
      <c r="E334" s="7" t="s">
        <v>288</v>
      </c>
      <c r="F334" s="7" t="s">
        <v>274</v>
      </c>
      <c r="G334" s="41" t="str">
        <f t="shared" si="58"/>
        <v>X</v>
      </c>
      <c r="H334" s="41">
        <f>INDEX(환산공식!CI$16:CI$301,MATCH('배치점수 계산기'!$W334,환산공식!$A$16:$A$301,0))</f>
        <v>250</v>
      </c>
      <c r="I334" s="41" t="str">
        <f>CONCATENATE(ROUND(INDEX(환산공식!CJ$16:CJ$301,MATCH('배치점수 계산기'!$W334,환산공식!$A$16:$A$301,0)),1),"%")</f>
        <v>100%</v>
      </c>
      <c r="J334" s="41">
        <f>INDEX(환산공식!CK$16:CK$301,MATCH('배치점수 계산기'!$W334,환산공식!$A$16:$A$301,0))</f>
        <v>0</v>
      </c>
      <c r="K334" s="7">
        <f>INDEX(환산공식!$EF$16:$EF$301,MATCH('배치점수 계산기'!W334,환산공식!$A$16:$A$301,0))</f>
        <v>0</v>
      </c>
      <c r="L334" s="41" t="str">
        <f t="shared" si="56"/>
        <v>1% 이하</v>
      </c>
      <c r="M334" s="7">
        <v>898.17345847824299</v>
      </c>
      <c r="N334" s="7">
        <v>894.19850213628069</v>
      </c>
      <c r="O334" s="7">
        <v>892.23785449269462</v>
      </c>
      <c r="P334" s="7">
        <v>888.75149669991447</v>
      </c>
      <c r="Q334" s="7">
        <v>886.86426622369117</v>
      </c>
      <c r="R334" s="7">
        <f t="shared" si="57"/>
        <v>6</v>
      </c>
      <c r="T334" s="7">
        <f>COUNTIF($C$11:C334,C334)</f>
        <v>122</v>
      </c>
      <c r="U334" s="7" t="str">
        <f t="shared" si="59"/>
        <v>나122</v>
      </c>
      <c r="V334" s="7" t="str">
        <f>INDEX(환산공식!$C$16:$C$301,MATCH('배치점수 계산기'!W334,환산공식!$A$16:$A$301,0))</f>
        <v>서울시립 자연</v>
      </c>
      <c r="W334" s="7">
        <f t="shared" si="60"/>
        <v>41</v>
      </c>
      <c r="X334" s="7">
        <f t="shared" si="61"/>
        <v>1</v>
      </c>
      <c r="Y334" s="7">
        <f>IFERROR(INDEX(환산공식!Q$16:Q$200,MATCH($A334,환산공식!$A$16:$A$200,0)),"")</f>
        <v>1.3422818791946309</v>
      </c>
      <c r="Z334" s="7">
        <f>IFERROR(INDEX(환산공식!R$16:R$200,MATCH($A334,환산공식!$A$16:$A$200,0)),"")</f>
        <v>2.3809523809523809</v>
      </c>
      <c r="AA334" s="7">
        <f>IFERROR(INDEX(환산공식!U$16:U$200,MATCH($A334,환산공식!$A$16:$A$200,0)),"")</f>
        <v>1.4058765640376776</v>
      </c>
      <c r="AB334" s="7">
        <f t="shared" si="62"/>
        <v>0.26169874763975232</v>
      </c>
      <c r="AC334" s="7">
        <f t="shared" si="63"/>
        <v>0.46420373093241774</v>
      </c>
      <c r="AD334" s="7">
        <f t="shared" si="64"/>
        <v>0.27409752142783</v>
      </c>
      <c r="AE334" s="7">
        <f>INDEX(환산공식!$AF$16:$AF$301,MATCH('배치점수 계산기'!W334,환산공식!$A$16:$A$301,0))</f>
        <v>12</v>
      </c>
      <c r="AF334" s="7">
        <f>INDEX(환산공식!$AP$16:$AP$301,MATCH('배치점수 계산기'!W334,환산공식!$A$16:$A$301,0))</f>
        <v>42</v>
      </c>
      <c r="AG334" s="7" t="str">
        <f t="shared" si="65"/>
        <v>표점/만점</v>
      </c>
      <c r="AH334" s="7" t="str">
        <f t="shared" si="66"/>
        <v>변표/만점</v>
      </c>
      <c r="BO334" s="210"/>
      <c r="BP334" s="210"/>
      <c r="BQ334" s="210"/>
      <c r="BR334" s="210"/>
      <c r="BS334" s="210"/>
      <c r="BT334" s="210"/>
      <c r="BU334" s="210"/>
      <c r="BV334" s="210"/>
      <c r="BW334" s="210"/>
      <c r="BX334" s="210"/>
      <c r="BY334" s="210"/>
      <c r="BZ334" s="210"/>
      <c r="CA334" s="210"/>
      <c r="CB334" s="210"/>
      <c r="CC334" s="210"/>
      <c r="EM334" s="120"/>
      <c r="ET334" s="210"/>
      <c r="EU334" s="210"/>
      <c r="EV334" s="210"/>
      <c r="EW334" s="210"/>
      <c r="EX334" s="210"/>
      <c r="EY334" s="210"/>
      <c r="EZ334" s="210"/>
      <c r="FA334" s="210"/>
      <c r="FB334" s="210"/>
      <c r="FC334" s="210"/>
      <c r="FD334" s="210"/>
      <c r="FE334" s="210"/>
      <c r="FF334" s="210"/>
      <c r="FG334" s="210"/>
      <c r="FH334" s="210"/>
      <c r="HR334" s="120"/>
      <c r="HY334" s="210"/>
      <c r="HZ334" s="210"/>
      <c r="IA334" s="210"/>
      <c r="IB334" s="210"/>
      <c r="IC334" s="210"/>
      <c r="ID334" s="210"/>
      <c r="IE334" s="210"/>
      <c r="IF334" s="210"/>
      <c r="IG334" s="210"/>
      <c r="IH334" s="210"/>
      <c r="II334" s="210"/>
      <c r="IJ334" s="210"/>
      <c r="IK334" s="210"/>
      <c r="IL334" s="210"/>
      <c r="IM334" s="210"/>
      <c r="KW334" s="120"/>
      <c r="LD334" s="210"/>
      <c r="LE334" s="210"/>
      <c r="LF334" s="210"/>
      <c r="LG334" s="210"/>
      <c r="LH334" s="210"/>
      <c r="LI334" s="210"/>
      <c r="LJ334" s="210"/>
      <c r="LK334" s="210"/>
      <c r="LL334" s="210"/>
      <c r="LM334" s="210"/>
      <c r="LN334" s="210"/>
      <c r="LO334" s="210"/>
      <c r="LP334" s="210"/>
      <c r="LQ334" s="210"/>
      <c r="LR334" s="210"/>
      <c r="OB334" s="120"/>
      <c r="OI334" s="210"/>
      <c r="OJ334" s="210"/>
      <c r="OK334" s="210"/>
      <c r="OL334" s="210"/>
      <c r="OM334" s="210"/>
      <c r="ON334" s="210"/>
      <c r="OO334" s="210"/>
      <c r="OP334" s="210"/>
      <c r="OQ334" s="210"/>
      <c r="OR334" s="210"/>
      <c r="OS334" s="210"/>
      <c r="OT334" s="210"/>
      <c r="OU334" s="210"/>
      <c r="OV334" s="210"/>
      <c r="OW334" s="210"/>
      <c r="RG334" s="120"/>
    </row>
    <row r="335" spans="1:475" x14ac:dyDescent="0.3">
      <c r="A335" s="7">
        <v>41</v>
      </c>
      <c r="B335" s="7">
        <v>325</v>
      </c>
      <c r="C335" s="7" t="s">
        <v>346</v>
      </c>
      <c r="D335" s="7" t="s">
        <v>419</v>
      </c>
      <c r="E335" s="7" t="s">
        <v>280</v>
      </c>
      <c r="F335" s="7" t="s">
        <v>274</v>
      </c>
      <c r="G335" s="41" t="str">
        <f t="shared" si="58"/>
        <v>X</v>
      </c>
      <c r="H335" s="41">
        <f>INDEX(환산공식!CI$16:CI$301,MATCH('배치점수 계산기'!$W335,환산공식!$A$16:$A$301,0))</f>
        <v>250</v>
      </c>
      <c r="I335" s="41" t="str">
        <f>CONCATENATE(ROUND(INDEX(환산공식!CJ$16:CJ$301,MATCH('배치점수 계산기'!$W335,환산공식!$A$16:$A$301,0)),1),"%")</f>
        <v>100%</v>
      </c>
      <c r="J335" s="41">
        <f>INDEX(환산공식!CK$16:CK$301,MATCH('배치점수 계산기'!$W335,환산공식!$A$16:$A$301,0))</f>
        <v>0</v>
      </c>
      <c r="K335" s="7">
        <f>INDEX(환산공식!$EF$16:$EF$301,MATCH('배치점수 계산기'!W335,환산공식!$A$16:$A$301,0))</f>
        <v>0</v>
      </c>
      <c r="L335" s="41" t="str">
        <f t="shared" si="56"/>
        <v>1% 이하</v>
      </c>
      <c r="M335" s="7">
        <v>896.66727310323472</v>
      </c>
      <c r="N335" s="7">
        <v>892.85652862076086</v>
      </c>
      <c r="O335" s="7">
        <v>890.66685915809057</v>
      </c>
      <c r="P335" s="7">
        <v>887.76687158946925</v>
      </c>
      <c r="Q335" s="7">
        <v>885.95174709813205</v>
      </c>
      <c r="R335" s="7">
        <f t="shared" si="57"/>
        <v>6</v>
      </c>
      <c r="T335" s="7">
        <f>COUNTIF($C$11:C335,C335)</f>
        <v>123</v>
      </c>
      <c r="U335" s="7" t="str">
        <f t="shared" si="59"/>
        <v>나123</v>
      </c>
      <c r="V335" s="7" t="str">
        <f>INDEX(환산공식!$C$16:$C$301,MATCH('배치점수 계산기'!W335,환산공식!$A$16:$A$301,0))</f>
        <v>서울시립 자연</v>
      </c>
      <c r="W335" s="7">
        <f t="shared" si="60"/>
        <v>41</v>
      </c>
      <c r="X335" s="7">
        <f t="shared" si="61"/>
        <v>1</v>
      </c>
      <c r="Y335" s="7">
        <f>IFERROR(INDEX(환산공식!Q$16:Q$200,MATCH($A335,환산공식!$A$16:$A$200,0)),"")</f>
        <v>1.3422818791946309</v>
      </c>
      <c r="Z335" s="7">
        <f>IFERROR(INDEX(환산공식!R$16:R$200,MATCH($A335,환산공식!$A$16:$A$200,0)),"")</f>
        <v>2.3809523809523809</v>
      </c>
      <c r="AA335" s="7">
        <f>IFERROR(INDEX(환산공식!U$16:U$200,MATCH($A335,환산공식!$A$16:$A$200,0)),"")</f>
        <v>1.4058765640376776</v>
      </c>
      <c r="AB335" s="7">
        <f t="shared" si="62"/>
        <v>0.26169874763975232</v>
      </c>
      <c r="AC335" s="7">
        <f t="shared" si="63"/>
        <v>0.46420373093241774</v>
      </c>
      <c r="AD335" s="7">
        <f t="shared" si="64"/>
        <v>0.27409752142783</v>
      </c>
      <c r="AE335" s="7">
        <f>INDEX(환산공식!$AF$16:$AF$301,MATCH('배치점수 계산기'!W335,환산공식!$A$16:$A$301,0))</f>
        <v>12</v>
      </c>
      <c r="AF335" s="7">
        <f>INDEX(환산공식!$AP$16:$AP$301,MATCH('배치점수 계산기'!W335,환산공식!$A$16:$A$301,0))</f>
        <v>42</v>
      </c>
      <c r="AG335" s="7" t="str">
        <f t="shared" si="65"/>
        <v>표점/만점</v>
      </c>
      <c r="AH335" s="7" t="str">
        <f t="shared" si="66"/>
        <v>변표/만점</v>
      </c>
      <c r="BO335" s="210"/>
      <c r="BP335" s="210"/>
      <c r="BQ335" s="210"/>
      <c r="BR335" s="210"/>
      <c r="BS335" s="210"/>
      <c r="BT335" s="210"/>
      <c r="BU335" s="210"/>
      <c r="BV335" s="210"/>
      <c r="BW335" s="210"/>
      <c r="BX335" s="210"/>
      <c r="BY335" s="210"/>
      <c r="BZ335" s="210"/>
      <c r="CA335" s="210"/>
      <c r="CB335" s="210"/>
      <c r="CC335" s="210"/>
      <c r="EM335" s="120"/>
      <c r="ET335" s="210"/>
      <c r="EU335" s="210"/>
      <c r="EV335" s="210"/>
      <c r="EW335" s="210"/>
      <c r="EX335" s="210"/>
      <c r="EY335" s="210"/>
      <c r="EZ335" s="210"/>
      <c r="FA335" s="210"/>
      <c r="FB335" s="210"/>
      <c r="FC335" s="210"/>
      <c r="FD335" s="210"/>
      <c r="FE335" s="210"/>
      <c r="FF335" s="210"/>
      <c r="FG335" s="210"/>
      <c r="FH335" s="210"/>
      <c r="HR335" s="120"/>
      <c r="HY335" s="210"/>
      <c r="HZ335" s="210"/>
      <c r="IA335" s="210"/>
      <c r="IB335" s="210"/>
      <c r="IC335" s="210"/>
      <c r="ID335" s="210"/>
      <c r="IE335" s="210"/>
      <c r="IF335" s="210"/>
      <c r="IG335" s="210"/>
      <c r="IH335" s="210"/>
      <c r="II335" s="210"/>
      <c r="IJ335" s="210"/>
      <c r="IK335" s="210"/>
      <c r="IL335" s="210"/>
      <c r="IM335" s="210"/>
      <c r="KW335" s="120"/>
      <c r="LD335" s="210"/>
      <c r="LE335" s="210"/>
      <c r="LF335" s="210"/>
      <c r="LG335" s="210"/>
      <c r="LH335" s="210"/>
      <c r="LI335" s="210"/>
      <c r="LJ335" s="210"/>
      <c r="LK335" s="210"/>
      <c r="LL335" s="210"/>
      <c r="LM335" s="210"/>
      <c r="LN335" s="210"/>
      <c r="LO335" s="210"/>
      <c r="LP335" s="210"/>
      <c r="LQ335" s="210"/>
      <c r="LR335" s="210"/>
      <c r="OB335" s="120"/>
      <c r="OI335" s="210"/>
      <c r="OJ335" s="210"/>
      <c r="OK335" s="210"/>
      <c r="OL335" s="210"/>
      <c r="OM335" s="210"/>
      <c r="ON335" s="210"/>
      <c r="OO335" s="210"/>
      <c r="OP335" s="210"/>
      <c r="OQ335" s="210"/>
      <c r="OR335" s="210"/>
      <c r="OS335" s="210"/>
      <c r="OT335" s="210"/>
      <c r="OU335" s="210"/>
      <c r="OV335" s="210"/>
      <c r="OW335" s="210"/>
      <c r="RG335" s="120"/>
    </row>
    <row r="336" spans="1:475" x14ac:dyDescent="0.3">
      <c r="A336" s="7">
        <v>41</v>
      </c>
      <c r="B336" s="7">
        <v>326</v>
      </c>
      <c r="C336" s="7" t="s">
        <v>346</v>
      </c>
      <c r="D336" s="7" t="s">
        <v>419</v>
      </c>
      <c r="E336" s="7" t="s">
        <v>286</v>
      </c>
      <c r="F336" s="7" t="s">
        <v>274</v>
      </c>
      <c r="G336" s="41" t="str">
        <f t="shared" si="58"/>
        <v>X</v>
      </c>
      <c r="H336" s="41">
        <f>INDEX(환산공식!CI$16:CI$301,MATCH('배치점수 계산기'!$W336,환산공식!$A$16:$A$301,0))</f>
        <v>250</v>
      </c>
      <c r="I336" s="41" t="str">
        <f>CONCATENATE(ROUND(INDEX(환산공식!CJ$16:CJ$301,MATCH('배치점수 계산기'!$W336,환산공식!$A$16:$A$301,0)),1),"%")</f>
        <v>100%</v>
      </c>
      <c r="J336" s="41">
        <f>INDEX(환산공식!CK$16:CK$301,MATCH('배치점수 계산기'!$W336,환산공식!$A$16:$A$301,0))</f>
        <v>0</v>
      </c>
      <c r="K336" s="7">
        <f>INDEX(환산공식!$EF$16:$EF$301,MATCH('배치점수 계산기'!W336,환산공식!$A$16:$A$301,0))</f>
        <v>0</v>
      </c>
      <c r="L336" s="41" t="str">
        <f t="shared" si="56"/>
        <v>1% 이하</v>
      </c>
      <c r="M336" s="7">
        <v>898.17345847824299</v>
      </c>
      <c r="N336" s="7">
        <v>894.19850213628069</v>
      </c>
      <c r="O336" s="7">
        <v>892.23785449269462</v>
      </c>
      <c r="P336" s="7">
        <v>890.66685915809057</v>
      </c>
      <c r="Q336" s="7">
        <v>887.76687158946925</v>
      </c>
      <c r="R336" s="7">
        <f t="shared" si="57"/>
        <v>6</v>
      </c>
      <c r="T336" s="7">
        <f>COUNTIF($C$11:C336,C336)</f>
        <v>124</v>
      </c>
      <c r="U336" s="7" t="str">
        <f t="shared" si="59"/>
        <v>나124</v>
      </c>
      <c r="V336" s="7" t="str">
        <f>INDEX(환산공식!$C$16:$C$301,MATCH('배치점수 계산기'!W336,환산공식!$A$16:$A$301,0))</f>
        <v>서울시립 자연</v>
      </c>
      <c r="W336" s="7">
        <f t="shared" si="60"/>
        <v>41</v>
      </c>
      <c r="X336" s="7">
        <f t="shared" si="61"/>
        <v>1</v>
      </c>
      <c r="Y336" s="7">
        <f>IFERROR(INDEX(환산공식!Q$16:Q$200,MATCH($A336,환산공식!$A$16:$A$200,0)),"")</f>
        <v>1.3422818791946309</v>
      </c>
      <c r="Z336" s="7">
        <f>IFERROR(INDEX(환산공식!R$16:R$200,MATCH($A336,환산공식!$A$16:$A$200,0)),"")</f>
        <v>2.3809523809523809</v>
      </c>
      <c r="AA336" s="7">
        <f>IFERROR(INDEX(환산공식!U$16:U$200,MATCH($A336,환산공식!$A$16:$A$200,0)),"")</f>
        <v>1.4058765640376776</v>
      </c>
      <c r="AB336" s="7">
        <f t="shared" si="62"/>
        <v>0.26169874763975232</v>
      </c>
      <c r="AC336" s="7">
        <f t="shared" si="63"/>
        <v>0.46420373093241774</v>
      </c>
      <c r="AD336" s="7">
        <f t="shared" si="64"/>
        <v>0.27409752142783</v>
      </c>
      <c r="AE336" s="7">
        <f>INDEX(환산공식!$AF$16:$AF$301,MATCH('배치점수 계산기'!W336,환산공식!$A$16:$A$301,0))</f>
        <v>12</v>
      </c>
      <c r="AF336" s="7">
        <f>INDEX(환산공식!$AP$16:$AP$301,MATCH('배치점수 계산기'!W336,환산공식!$A$16:$A$301,0))</f>
        <v>42</v>
      </c>
      <c r="AG336" s="7" t="str">
        <f t="shared" si="65"/>
        <v>표점/만점</v>
      </c>
      <c r="AH336" s="7" t="str">
        <f t="shared" si="66"/>
        <v>변표/만점</v>
      </c>
      <c r="BO336" s="210"/>
      <c r="BP336" s="210"/>
      <c r="BQ336" s="210"/>
      <c r="BR336" s="210"/>
      <c r="BS336" s="210"/>
      <c r="BT336" s="210"/>
      <c r="BU336" s="210"/>
      <c r="BV336" s="210"/>
      <c r="BW336" s="210"/>
      <c r="BX336" s="210"/>
      <c r="BY336" s="210"/>
      <c r="BZ336" s="210"/>
      <c r="CA336" s="210"/>
      <c r="CB336" s="210"/>
      <c r="CC336" s="210"/>
      <c r="EM336" s="120"/>
      <c r="ET336" s="210"/>
      <c r="EU336" s="210"/>
      <c r="EV336" s="210"/>
      <c r="EW336" s="210"/>
      <c r="EX336" s="210"/>
      <c r="EY336" s="210"/>
      <c r="EZ336" s="210"/>
      <c r="FA336" s="210"/>
      <c r="FB336" s="210"/>
      <c r="FC336" s="210"/>
      <c r="FD336" s="210"/>
      <c r="FE336" s="210"/>
      <c r="FF336" s="210"/>
      <c r="FG336" s="210"/>
      <c r="FH336" s="210"/>
      <c r="HR336" s="120"/>
      <c r="HY336" s="210"/>
      <c r="HZ336" s="210"/>
      <c r="IA336" s="210"/>
      <c r="IB336" s="210"/>
      <c r="IC336" s="210"/>
      <c r="ID336" s="210"/>
      <c r="IE336" s="210"/>
      <c r="IF336" s="210"/>
      <c r="IG336" s="210"/>
      <c r="IH336" s="210"/>
      <c r="II336" s="210"/>
      <c r="IJ336" s="210"/>
      <c r="IK336" s="210"/>
      <c r="IL336" s="210"/>
      <c r="IM336" s="210"/>
      <c r="KW336" s="120"/>
      <c r="LD336" s="210"/>
      <c r="LE336" s="210"/>
      <c r="LF336" s="210"/>
      <c r="LG336" s="210"/>
      <c r="LH336" s="210"/>
      <c r="LI336" s="210"/>
      <c r="LJ336" s="210"/>
      <c r="LK336" s="210"/>
      <c r="LL336" s="210"/>
      <c r="LM336" s="210"/>
      <c r="LN336" s="210"/>
      <c r="LO336" s="210"/>
      <c r="LP336" s="210"/>
      <c r="LQ336" s="210"/>
      <c r="LR336" s="210"/>
      <c r="OB336" s="120"/>
      <c r="OI336" s="210"/>
      <c r="OJ336" s="210"/>
      <c r="OK336" s="210"/>
      <c r="OL336" s="210"/>
      <c r="OM336" s="210"/>
      <c r="ON336" s="210"/>
      <c r="OO336" s="210"/>
      <c r="OP336" s="210"/>
      <c r="OQ336" s="210"/>
      <c r="OR336" s="210"/>
      <c r="OS336" s="210"/>
      <c r="OT336" s="210"/>
      <c r="OU336" s="210"/>
      <c r="OV336" s="210"/>
      <c r="OW336" s="210"/>
      <c r="RG336" s="120"/>
    </row>
    <row r="337" spans="1:475" x14ac:dyDescent="0.3">
      <c r="A337" s="7">
        <v>41</v>
      </c>
      <c r="B337" s="7">
        <v>327</v>
      </c>
      <c r="C337" s="7" t="s">
        <v>346</v>
      </c>
      <c r="D337" s="7" t="s">
        <v>419</v>
      </c>
      <c r="E337" s="7" t="s">
        <v>426</v>
      </c>
      <c r="F337" s="7" t="s">
        <v>274</v>
      </c>
      <c r="G337" s="41" t="str">
        <f t="shared" si="58"/>
        <v>X</v>
      </c>
      <c r="H337" s="41">
        <f>INDEX(환산공식!CI$16:CI$301,MATCH('배치점수 계산기'!$W337,환산공식!$A$16:$A$301,0))</f>
        <v>250</v>
      </c>
      <c r="I337" s="41" t="str">
        <f>CONCATENATE(ROUND(INDEX(환산공식!CJ$16:CJ$301,MATCH('배치점수 계산기'!$W337,환산공식!$A$16:$A$301,0)),1),"%")</f>
        <v>100%</v>
      </c>
      <c r="J337" s="41">
        <f>INDEX(환산공식!CK$16:CK$301,MATCH('배치점수 계산기'!$W337,환산공식!$A$16:$A$301,0))</f>
        <v>0</v>
      </c>
      <c r="K337" s="7">
        <f>INDEX(환산공식!$EF$16:$EF$301,MATCH('배치점수 계산기'!W337,환산공식!$A$16:$A$301,0))</f>
        <v>0</v>
      </c>
      <c r="L337" s="41" t="str">
        <f t="shared" si="56"/>
        <v>1% 이하</v>
      </c>
      <c r="M337" s="7">
        <v>886.66426622369124</v>
      </c>
      <c r="N337" s="7">
        <v>885.75174709813211</v>
      </c>
      <c r="O337" s="7">
        <v>883.95163840482371</v>
      </c>
      <c r="P337" s="7">
        <v>881.02986340637233</v>
      </c>
      <c r="Q337" s="7">
        <v>878.14864500499516</v>
      </c>
      <c r="R337" s="7">
        <f t="shared" si="57"/>
        <v>6</v>
      </c>
      <c r="T337" s="7">
        <f>COUNTIF($C$11:C337,C337)</f>
        <v>125</v>
      </c>
      <c r="U337" s="7" t="str">
        <f t="shared" si="59"/>
        <v>나125</v>
      </c>
      <c r="V337" s="7" t="str">
        <f>INDEX(환산공식!$C$16:$C$301,MATCH('배치점수 계산기'!W337,환산공식!$A$16:$A$301,0))</f>
        <v>서울시립 자연</v>
      </c>
      <c r="W337" s="7">
        <f t="shared" si="60"/>
        <v>41</v>
      </c>
      <c r="X337" s="7">
        <f t="shared" si="61"/>
        <v>1</v>
      </c>
      <c r="Y337" s="7">
        <f>IFERROR(INDEX(환산공식!Q$16:Q$200,MATCH($A337,환산공식!$A$16:$A$200,0)),"")</f>
        <v>1.3422818791946309</v>
      </c>
      <c r="Z337" s="7">
        <f>IFERROR(INDEX(환산공식!R$16:R$200,MATCH($A337,환산공식!$A$16:$A$200,0)),"")</f>
        <v>2.3809523809523809</v>
      </c>
      <c r="AA337" s="7">
        <f>IFERROR(INDEX(환산공식!U$16:U$200,MATCH($A337,환산공식!$A$16:$A$200,0)),"")</f>
        <v>1.4058765640376776</v>
      </c>
      <c r="AB337" s="7">
        <f t="shared" si="62"/>
        <v>0.26169874763975232</v>
      </c>
      <c r="AC337" s="7">
        <f t="shared" si="63"/>
        <v>0.46420373093241774</v>
      </c>
      <c r="AD337" s="7">
        <f t="shared" si="64"/>
        <v>0.27409752142783</v>
      </c>
      <c r="AE337" s="7">
        <f>INDEX(환산공식!$AF$16:$AF$301,MATCH('배치점수 계산기'!W337,환산공식!$A$16:$A$301,0))</f>
        <v>12</v>
      </c>
      <c r="AF337" s="7">
        <f>INDEX(환산공식!$AP$16:$AP$301,MATCH('배치점수 계산기'!W337,환산공식!$A$16:$A$301,0))</f>
        <v>42</v>
      </c>
      <c r="AG337" s="7" t="str">
        <f t="shared" si="65"/>
        <v>표점/만점</v>
      </c>
      <c r="AH337" s="7" t="str">
        <f t="shared" si="66"/>
        <v>변표/만점</v>
      </c>
      <c r="BO337" s="210"/>
      <c r="BP337" s="210"/>
      <c r="BQ337" s="210"/>
      <c r="BR337" s="210"/>
      <c r="BS337" s="210"/>
      <c r="BT337" s="210"/>
      <c r="BU337" s="210"/>
      <c r="BV337" s="210"/>
      <c r="BW337" s="210"/>
      <c r="BX337" s="210"/>
      <c r="BY337" s="210"/>
      <c r="BZ337" s="210"/>
      <c r="CA337" s="210"/>
      <c r="CB337" s="210"/>
      <c r="CC337" s="210"/>
      <c r="EM337" s="120"/>
      <c r="ET337" s="210"/>
      <c r="EU337" s="210"/>
      <c r="EV337" s="210"/>
      <c r="EW337" s="210"/>
      <c r="EX337" s="210"/>
      <c r="EY337" s="210"/>
      <c r="EZ337" s="210"/>
      <c r="FA337" s="210"/>
      <c r="FB337" s="210"/>
      <c r="FC337" s="210"/>
      <c r="FD337" s="210"/>
      <c r="FE337" s="210"/>
      <c r="FF337" s="210"/>
      <c r="FG337" s="210"/>
      <c r="FH337" s="210"/>
      <c r="HR337" s="120"/>
      <c r="HY337" s="210"/>
      <c r="HZ337" s="210"/>
      <c r="IA337" s="210"/>
      <c r="IB337" s="210"/>
      <c r="IC337" s="210"/>
      <c r="ID337" s="210"/>
      <c r="IE337" s="210"/>
      <c r="IF337" s="210"/>
      <c r="IG337" s="210"/>
      <c r="IH337" s="210"/>
      <c r="II337" s="210"/>
      <c r="IJ337" s="210"/>
      <c r="IK337" s="210"/>
      <c r="IL337" s="210"/>
      <c r="IM337" s="210"/>
      <c r="KW337" s="120"/>
      <c r="LD337" s="210"/>
      <c r="LE337" s="210"/>
      <c r="LF337" s="210"/>
      <c r="LG337" s="210"/>
      <c r="LH337" s="210"/>
      <c r="LI337" s="210"/>
      <c r="LJ337" s="210"/>
      <c r="LK337" s="210"/>
      <c r="LL337" s="210"/>
      <c r="LM337" s="210"/>
      <c r="LN337" s="210"/>
      <c r="LO337" s="210"/>
      <c r="LP337" s="210"/>
      <c r="LQ337" s="210"/>
      <c r="LR337" s="210"/>
      <c r="OB337" s="120"/>
      <c r="OI337" s="210"/>
      <c r="OJ337" s="210"/>
      <c r="OK337" s="210"/>
      <c r="OL337" s="210"/>
      <c r="OM337" s="210"/>
      <c r="ON337" s="210"/>
      <c r="OO337" s="210"/>
      <c r="OP337" s="210"/>
      <c r="OQ337" s="210"/>
      <c r="OR337" s="210"/>
      <c r="OS337" s="210"/>
      <c r="OT337" s="210"/>
      <c r="OU337" s="210"/>
      <c r="OV337" s="210"/>
      <c r="OW337" s="210"/>
      <c r="RG337" s="120"/>
    </row>
    <row r="338" spans="1:475" x14ac:dyDescent="0.3">
      <c r="A338" s="7">
        <v>41</v>
      </c>
      <c r="B338" s="7">
        <v>328</v>
      </c>
      <c r="C338" s="7" t="s">
        <v>346</v>
      </c>
      <c r="D338" s="7" t="s">
        <v>419</v>
      </c>
      <c r="E338" s="7" t="s">
        <v>278</v>
      </c>
      <c r="F338" s="7" t="s">
        <v>274</v>
      </c>
      <c r="G338" s="41" t="str">
        <f t="shared" si="58"/>
        <v>X</v>
      </c>
      <c r="H338" s="41">
        <f>INDEX(환산공식!CI$16:CI$301,MATCH('배치점수 계산기'!$W338,환산공식!$A$16:$A$301,0))</f>
        <v>250</v>
      </c>
      <c r="I338" s="41" t="str">
        <f>CONCATENATE(ROUND(INDEX(환산공식!CJ$16:CJ$301,MATCH('배치점수 계산기'!$W338,환산공식!$A$16:$A$301,0)),1),"%")</f>
        <v>100%</v>
      </c>
      <c r="J338" s="41">
        <f>INDEX(환산공식!CK$16:CK$301,MATCH('배치점수 계산기'!$W338,환산공식!$A$16:$A$301,0))</f>
        <v>0</v>
      </c>
      <c r="K338" s="7">
        <f>INDEX(환산공식!$EF$16:$EF$301,MATCH('배치점수 계산기'!W338,환산공식!$A$16:$A$301,0))</f>
        <v>0</v>
      </c>
      <c r="L338" s="41" t="str">
        <f t="shared" si="56"/>
        <v>1% 이하</v>
      </c>
      <c r="M338" s="7">
        <v>898.87030077807049</v>
      </c>
      <c r="N338" s="7">
        <v>895.79315114662745</v>
      </c>
      <c r="O338" s="7">
        <v>892.85652862076086</v>
      </c>
      <c r="P338" s="7">
        <v>890.66685915809057</v>
      </c>
      <c r="Q338" s="7">
        <v>886.86426622369117</v>
      </c>
      <c r="R338" s="7">
        <f t="shared" si="57"/>
        <v>6</v>
      </c>
      <c r="T338" s="7">
        <f>COUNTIF($C$11:C338,C338)</f>
        <v>126</v>
      </c>
      <c r="U338" s="7" t="str">
        <f t="shared" si="59"/>
        <v>나126</v>
      </c>
      <c r="V338" s="7" t="str">
        <f>INDEX(환산공식!$C$16:$C$301,MATCH('배치점수 계산기'!W338,환산공식!$A$16:$A$301,0))</f>
        <v>서울시립 자연</v>
      </c>
      <c r="W338" s="7">
        <f t="shared" si="60"/>
        <v>41</v>
      </c>
      <c r="X338" s="7">
        <f t="shared" si="61"/>
        <v>1</v>
      </c>
      <c r="Y338" s="7">
        <f>IFERROR(INDEX(환산공식!Q$16:Q$200,MATCH($A338,환산공식!$A$16:$A$200,0)),"")</f>
        <v>1.3422818791946309</v>
      </c>
      <c r="Z338" s="7">
        <f>IFERROR(INDEX(환산공식!R$16:R$200,MATCH($A338,환산공식!$A$16:$A$200,0)),"")</f>
        <v>2.3809523809523809</v>
      </c>
      <c r="AA338" s="7">
        <f>IFERROR(INDEX(환산공식!U$16:U$200,MATCH($A338,환산공식!$A$16:$A$200,0)),"")</f>
        <v>1.4058765640376776</v>
      </c>
      <c r="AB338" s="7">
        <f t="shared" si="62"/>
        <v>0.26169874763975232</v>
      </c>
      <c r="AC338" s="7">
        <f t="shared" si="63"/>
        <v>0.46420373093241774</v>
      </c>
      <c r="AD338" s="7">
        <f t="shared" si="64"/>
        <v>0.27409752142783</v>
      </c>
      <c r="AE338" s="7">
        <f>INDEX(환산공식!$AF$16:$AF$301,MATCH('배치점수 계산기'!W338,환산공식!$A$16:$A$301,0))</f>
        <v>12</v>
      </c>
      <c r="AF338" s="7">
        <f>INDEX(환산공식!$AP$16:$AP$301,MATCH('배치점수 계산기'!W338,환산공식!$A$16:$A$301,0))</f>
        <v>42</v>
      </c>
      <c r="AG338" s="7" t="str">
        <f t="shared" si="65"/>
        <v>표점/만점</v>
      </c>
      <c r="AH338" s="7" t="str">
        <f t="shared" si="66"/>
        <v>변표/만점</v>
      </c>
      <c r="BO338" s="210"/>
      <c r="BP338" s="210"/>
      <c r="BQ338" s="210"/>
      <c r="BR338" s="210"/>
      <c r="BS338" s="210"/>
      <c r="BT338" s="210"/>
      <c r="BU338" s="210"/>
      <c r="BV338" s="210"/>
      <c r="BW338" s="210"/>
      <c r="BX338" s="210"/>
      <c r="BY338" s="210"/>
      <c r="BZ338" s="210"/>
      <c r="CA338" s="210"/>
      <c r="CB338" s="210"/>
      <c r="CC338" s="210"/>
      <c r="EM338" s="120"/>
      <c r="ET338" s="210"/>
      <c r="EU338" s="210"/>
      <c r="EV338" s="210"/>
      <c r="EW338" s="210"/>
      <c r="EX338" s="210"/>
      <c r="EY338" s="210"/>
      <c r="EZ338" s="210"/>
      <c r="FA338" s="210"/>
      <c r="FB338" s="210"/>
      <c r="FC338" s="210"/>
      <c r="FD338" s="210"/>
      <c r="FE338" s="210"/>
      <c r="FF338" s="210"/>
      <c r="FG338" s="210"/>
      <c r="FH338" s="210"/>
      <c r="HR338" s="120"/>
      <c r="HY338" s="210"/>
      <c r="HZ338" s="210"/>
      <c r="IA338" s="210"/>
      <c r="IB338" s="210"/>
      <c r="IC338" s="210"/>
      <c r="ID338" s="210"/>
      <c r="IE338" s="210"/>
      <c r="IF338" s="210"/>
      <c r="IG338" s="210"/>
      <c r="IH338" s="210"/>
      <c r="II338" s="210"/>
      <c r="IJ338" s="210"/>
      <c r="IK338" s="210"/>
      <c r="IL338" s="210"/>
      <c r="IM338" s="210"/>
      <c r="KW338" s="120"/>
      <c r="LD338" s="210"/>
      <c r="LE338" s="210"/>
      <c r="LF338" s="210"/>
      <c r="LG338" s="210"/>
      <c r="LH338" s="210"/>
      <c r="LI338" s="210"/>
      <c r="LJ338" s="210"/>
      <c r="LK338" s="210"/>
      <c r="LL338" s="210"/>
      <c r="LM338" s="210"/>
      <c r="LN338" s="210"/>
      <c r="LO338" s="210"/>
      <c r="LP338" s="210"/>
      <c r="LQ338" s="210"/>
      <c r="LR338" s="210"/>
      <c r="OB338" s="120"/>
      <c r="OI338" s="210"/>
      <c r="OJ338" s="210"/>
      <c r="OK338" s="210"/>
      <c r="OL338" s="210"/>
      <c r="OM338" s="210"/>
      <c r="ON338" s="210"/>
      <c r="OO338" s="210"/>
      <c r="OP338" s="210"/>
      <c r="OQ338" s="210"/>
      <c r="OR338" s="210"/>
      <c r="OS338" s="210"/>
      <c r="OT338" s="210"/>
      <c r="OU338" s="210"/>
      <c r="OV338" s="210"/>
      <c r="OW338" s="210"/>
      <c r="RG338" s="120"/>
    </row>
    <row r="339" spans="1:475" x14ac:dyDescent="0.3">
      <c r="A339" s="7">
        <v>41</v>
      </c>
      <c r="B339" s="7">
        <v>329</v>
      </c>
      <c r="C339" s="7" t="s">
        <v>276</v>
      </c>
      <c r="D339" s="7" t="s">
        <v>419</v>
      </c>
      <c r="E339" s="7" t="s">
        <v>289</v>
      </c>
      <c r="F339" s="7" t="s">
        <v>274</v>
      </c>
      <c r="G339" s="41" t="str">
        <f t="shared" si="58"/>
        <v>X</v>
      </c>
      <c r="H339" s="41">
        <f>INDEX(환산공식!CI$16:CI$301,MATCH('배치점수 계산기'!$W339,환산공식!$A$16:$A$301,0))</f>
        <v>250</v>
      </c>
      <c r="I339" s="41" t="str">
        <f>CONCATENATE(ROUND(INDEX(환산공식!CJ$16:CJ$301,MATCH('배치점수 계산기'!$W339,환산공식!$A$16:$A$301,0)),1),"%")</f>
        <v>100%</v>
      </c>
      <c r="J339" s="41">
        <f>INDEX(환산공식!CK$16:CK$301,MATCH('배치점수 계산기'!$W339,환산공식!$A$16:$A$301,0))</f>
        <v>0</v>
      </c>
      <c r="K339" s="7">
        <f>INDEX(환산공식!$EF$16:$EF$301,MATCH('배치점수 계산기'!W339,환산공식!$A$16:$A$301,0))</f>
        <v>0</v>
      </c>
      <c r="L339" s="41" t="str">
        <f t="shared" si="56"/>
        <v>1% 이하</v>
      </c>
      <c r="M339" s="7">
        <v>898.87030077807049</v>
      </c>
      <c r="N339" s="7">
        <v>895.79315114662745</v>
      </c>
      <c r="O339" s="7">
        <v>892.85652862076086</v>
      </c>
      <c r="P339" s="7">
        <v>890.66685915809057</v>
      </c>
      <c r="Q339" s="7">
        <v>886.86426622369117</v>
      </c>
      <c r="R339" s="7">
        <f t="shared" si="57"/>
        <v>6</v>
      </c>
      <c r="T339" s="7">
        <f>COUNTIF($C$11:C339,C339)</f>
        <v>198</v>
      </c>
      <c r="U339" s="7" t="str">
        <f t="shared" si="59"/>
        <v>가198</v>
      </c>
      <c r="V339" s="7" t="str">
        <f>INDEX(환산공식!$C$16:$C$301,MATCH('배치점수 계산기'!W339,환산공식!$A$16:$A$301,0))</f>
        <v>서울시립 자연</v>
      </c>
      <c r="W339" s="7">
        <f t="shared" si="60"/>
        <v>41</v>
      </c>
      <c r="X339" s="7">
        <f t="shared" si="61"/>
        <v>1</v>
      </c>
      <c r="Y339" s="7">
        <f>IFERROR(INDEX(환산공식!Q$16:Q$200,MATCH($A339,환산공식!$A$16:$A$200,0)),"")</f>
        <v>1.3422818791946309</v>
      </c>
      <c r="Z339" s="7">
        <f>IFERROR(INDEX(환산공식!R$16:R$200,MATCH($A339,환산공식!$A$16:$A$200,0)),"")</f>
        <v>2.3809523809523809</v>
      </c>
      <c r="AA339" s="7">
        <f>IFERROR(INDEX(환산공식!U$16:U$200,MATCH($A339,환산공식!$A$16:$A$200,0)),"")</f>
        <v>1.4058765640376776</v>
      </c>
      <c r="AB339" s="7">
        <f t="shared" si="62"/>
        <v>0.26169874763975232</v>
      </c>
      <c r="AC339" s="7">
        <f t="shared" si="63"/>
        <v>0.46420373093241774</v>
      </c>
      <c r="AD339" s="7">
        <f t="shared" si="64"/>
        <v>0.27409752142783</v>
      </c>
      <c r="AE339" s="7">
        <f>INDEX(환산공식!$AF$16:$AF$301,MATCH('배치점수 계산기'!W339,환산공식!$A$16:$A$301,0))</f>
        <v>12</v>
      </c>
      <c r="AF339" s="7">
        <f>INDEX(환산공식!$AP$16:$AP$301,MATCH('배치점수 계산기'!W339,환산공식!$A$16:$A$301,0))</f>
        <v>42</v>
      </c>
      <c r="AG339" s="7" t="str">
        <f t="shared" si="65"/>
        <v>표점/만점</v>
      </c>
      <c r="AH339" s="7" t="str">
        <f t="shared" si="66"/>
        <v>변표/만점</v>
      </c>
      <c r="BO339" s="210"/>
      <c r="BP339" s="210"/>
      <c r="BQ339" s="210"/>
      <c r="BR339" s="210"/>
      <c r="BS339" s="210"/>
      <c r="BT339" s="210"/>
      <c r="BU339" s="210"/>
      <c r="BV339" s="210"/>
      <c r="BW339" s="210"/>
      <c r="BX339" s="210"/>
      <c r="BY339" s="210"/>
      <c r="BZ339" s="210"/>
      <c r="CA339" s="210"/>
      <c r="CB339" s="210"/>
      <c r="CC339" s="210"/>
      <c r="EM339" s="120"/>
      <c r="ET339" s="210"/>
      <c r="EU339" s="210"/>
      <c r="EV339" s="210"/>
      <c r="EW339" s="210"/>
      <c r="EX339" s="210"/>
      <c r="EY339" s="210"/>
      <c r="EZ339" s="210"/>
      <c r="FA339" s="210"/>
      <c r="FB339" s="210"/>
      <c r="FC339" s="210"/>
      <c r="FD339" s="210"/>
      <c r="FE339" s="210"/>
      <c r="FF339" s="210"/>
      <c r="FG339" s="210"/>
      <c r="FH339" s="210"/>
      <c r="HR339" s="120"/>
      <c r="HY339" s="210"/>
      <c r="HZ339" s="210"/>
      <c r="IA339" s="210"/>
      <c r="IB339" s="210"/>
      <c r="IC339" s="210"/>
      <c r="ID339" s="210"/>
      <c r="IE339" s="210"/>
      <c r="IF339" s="210"/>
      <c r="IG339" s="210"/>
      <c r="IH339" s="210"/>
      <c r="II339" s="210"/>
      <c r="IJ339" s="210"/>
      <c r="IK339" s="210"/>
      <c r="IL339" s="210"/>
      <c r="IM339" s="210"/>
      <c r="KW339" s="120"/>
      <c r="LD339" s="210"/>
      <c r="LE339" s="210"/>
      <c r="LF339" s="210"/>
      <c r="LG339" s="210"/>
      <c r="LH339" s="210"/>
      <c r="LI339" s="210"/>
      <c r="LJ339" s="210"/>
      <c r="LK339" s="210"/>
      <c r="LL339" s="210"/>
      <c r="LM339" s="210"/>
      <c r="LN339" s="210"/>
      <c r="LO339" s="210"/>
      <c r="LP339" s="210"/>
      <c r="LQ339" s="210"/>
      <c r="LR339" s="210"/>
      <c r="OB339" s="120"/>
      <c r="OI339" s="210"/>
      <c r="OJ339" s="210"/>
      <c r="OK339" s="210"/>
      <c r="OL339" s="210"/>
      <c r="OM339" s="210"/>
      <c r="ON339" s="210"/>
      <c r="OO339" s="210"/>
      <c r="OP339" s="210"/>
      <c r="OQ339" s="210"/>
      <c r="OR339" s="210"/>
      <c r="OS339" s="210"/>
      <c r="OT339" s="210"/>
      <c r="OU339" s="210"/>
      <c r="OV339" s="210"/>
      <c r="OW339" s="210"/>
      <c r="RG339" s="120"/>
    </row>
    <row r="340" spans="1:475" x14ac:dyDescent="0.3">
      <c r="A340" s="7">
        <v>41</v>
      </c>
      <c r="B340" s="7">
        <v>330</v>
      </c>
      <c r="C340" s="7" t="s">
        <v>346</v>
      </c>
      <c r="D340" s="7" t="s">
        <v>419</v>
      </c>
      <c r="E340" s="7" t="s">
        <v>292</v>
      </c>
      <c r="F340" s="7" t="s">
        <v>274</v>
      </c>
      <c r="G340" s="41" t="str">
        <f t="shared" si="58"/>
        <v>X</v>
      </c>
      <c r="H340" s="41">
        <f>INDEX(환산공식!CI$16:CI$301,MATCH('배치점수 계산기'!$W340,환산공식!$A$16:$A$301,0))</f>
        <v>250</v>
      </c>
      <c r="I340" s="41" t="str">
        <f>CONCATENATE(ROUND(INDEX(환산공식!CJ$16:CJ$301,MATCH('배치점수 계산기'!$W340,환산공식!$A$16:$A$301,0)),1),"%")</f>
        <v>100%</v>
      </c>
      <c r="J340" s="41">
        <f>INDEX(환산공식!CK$16:CK$301,MATCH('배치점수 계산기'!$W340,환산공식!$A$16:$A$301,0))</f>
        <v>0</v>
      </c>
      <c r="K340" s="7">
        <f>INDEX(환산공식!$EF$16:$EF$301,MATCH('배치점수 계산기'!W340,환산공식!$A$16:$A$301,0))</f>
        <v>0</v>
      </c>
      <c r="L340" s="41" t="str">
        <f t="shared" si="56"/>
        <v>1% 이하</v>
      </c>
      <c r="M340" s="7">
        <v>895.79315114662745</v>
      </c>
      <c r="N340" s="7">
        <v>892.72594762799076</v>
      </c>
      <c r="O340" s="7">
        <v>889.69066571165195</v>
      </c>
      <c r="P340" s="7">
        <v>887.76687158946925</v>
      </c>
      <c r="Q340" s="7">
        <v>886.86426622369117</v>
      </c>
      <c r="R340" s="7">
        <f t="shared" si="57"/>
        <v>6</v>
      </c>
      <c r="T340" s="7">
        <f>COUNTIF($C$11:C340,C340)</f>
        <v>127</v>
      </c>
      <c r="U340" s="7" t="str">
        <f t="shared" si="59"/>
        <v>나127</v>
      </c>
      <c r="V340" s="7" t="str">
        <f>INDEX(환산공식!$C$16:$C$301,MATCH('배치점수 계산기'!W340,환산공식!$A$16:$A$301,0))</f>
        <v>서울시립 자연</v>
      </c>
      <c r="W340" s="7">
        <f t="shared" si="60"/>
        <v>41</v>
      </c>
      <c r="X340" s="7">
        <f t="shared" si="61"/>
        <v>1</v>
      </c>
      <c r="Y340" s="7">
        <f>IFERROR(INDEX(환산공식!Q$16:Q$200,MATCH($A340,환산공식!$A$16:$A$200,0)),"")</f>
        <v>1.3422818791946309</v>
      </c>
      <c r="Z340" s="7">
        <f>IFERROR(INDEX(환산공식!R$16:R$200,MATCH($A340,환산공식!$A$16:$A$200,0)),"")</f>
        <v>2.3809523809523809</v>
      </c>
      <c r="AA340" s="7">
        <f>IFERROR(INDEX(환산공식!U$16:U$200,MATCH($A340,환산공식!$A$16:$A$200,0)),"")</f>
        <v>1.4058765640376776</v>
      </c>
      <c r="AB340" s="7">
        <f t="shared" si="62"/>
        <v>0.26169874763975232</v>
      </c>
      <c r="AC340" s="7">
        <f t="shared" si="63"/>
        <v>0.46420373093241774</v>
      </c>
      <c r="AD340" s="7">
        <f t="shared" si="64"/>
        <v>0.27409752142783</v>
      </c>
      <c r="AE340" s="7">
        <f>INDEX(환산공식!$AF$16:$AF$301,MATCH('배치점수 계산기'!W340,환산공식!$A$16:$A$301,0))</f>
        <v>12</v>
      </c>
      <c r="AF340" s="7">
        <f>INDEX(환산공식!$AP$16:$AP$301,MATCH('배치점수 계산기'!W340,환산공식!$A$16:$A$301,0))</f>
        <v>42</v>
      </c>
      <c r="AG340" s="7" t="str">
        <f t="shared" si="65"/>
        <v>표점/만점</v>
      </c>
      <c r="AH340" s="7" t="str">
        <f t="shared" si="66"/>
        <v>변표/만점</v>
      </c>
      <c r="BO340" s="210"/>
      <c r="BP340" s="210"/>
      <c r="BQ340" s="210"/>
      <c r="BR340" s="210"/>
      <c r="BS340" s="210"/>
      <c r="BT340" s="210"/>
      <c r="BU340" s="210"/>
      <c r="BV340" s="210"/>
      <c r="BW340" s="210"/>
      <c r="BX340" s="210"/>
      <c r="BY340" s="210"/>
      <c r="BZ340" s="210"/>
      <c r="CA340" s="210"/>
      <c r="CB340" s="210"/>
      <c r="CC340" s="210"/>
      <c r="EM340" s="120"/>
      <c r="ET340" s="210"/>
      <c r="EU340" s="210"/>
      <c r="EV340" s="210"/>
      <c r="EW340" s="210"/>
      <c r="EX340" s="210"/>
      <c r="EY340" s="210"/>
      <c r="EZ340" s="210"/>
      <c r="FA340" s="210"/>
      <c r="FB340" s="210"/>
      <c r="FC340" s="210"/>
      <c r="FD340" s="210"/>
      <c r="FE340" s="210"/>
      <c r="FF340" s="210"/>
      <c r="FG340" s="210"/>
      <c r="FH340" s="210"/>
      <c r="HR340" s="120"/>
      <c r="HY340" s="210"/>
      <c r="HZ340" s="210"/>
      <c r="IA340" s="210"/>
      <c r="IB340" s="210"/>
      <c r="IC340" s="210"/>
      <c r="ID340" s="210"/>
      <c r="IE340" s="210"/>
      <c r="IF340" s="210"/>
      <c r="IG340" s="210"/>
      <c r="IH340" s="210"/>
      <c r="II340" s="210"/>
      <c r="IJ340" s="210"/>
      <c r="IK340" s="210"/>
      <c r="IL340" s="210"/>
      <c r="IM340" s="210"/>
      <c r="KW340" s="120"/>
      <c r="LD340" s="210"/>
      <c r="LE340" s="210"/>
      <c r="LF340" s="210"/>
      <c r="LG340" s="210"/>
      <c r="LH340" s="210"/>
      <c r="LI340" s="210"/>
      <c r="LJ340" s="210"/>
      <c r="LK340" s="210"/>
      <c r="LL340" s="210"/>
      <c r="LM340" s="210"/>
      <c r="LN340" s="210"/>
      <c r="LO340" s="210"/>
      <c r="LP340" s="210"/>
      <c r="LQ340" s="210"/>
      <c r="LR340" s="210"/>
      <c r="OB340" s="120"/>
      <c r="OI340" s="210"/>
      <c r="OJ340" s="210"/>
      <c r="OK340" s="210"/>
      <c r="OL340" s="210"/>
      <c r="OM340" s="210"/>
      <c r="ON340" s="210"/>
      <c r="OO340" s="210"/>
      <c r="OP340" s="210"/>
      <c r="OQ340" s="210"/>
      <c r="OR340" s="210"/>
      <c r="OS340" s="210"/>
      <c r="OT340" s="210"/>
      <c r="OU340" s="210"/>
      <c r="OV340" s="210"/>
      <c r="OW340" s="210"/>
      <c r="RG340" s="120"/>
    </row>
    <row r="341" spans="1:475" x14ac:dyDescent="0.3">
      <c r="A341" s="7">
        <v>41</v>
      </c>
      <c r="B341" s="7">
        <v>331</v>
      </c>
      <c r="C341" s="7" t="s">
        <v>346</v>
      </c>
      <c r="D341" s="7" t="s">
        <v>419</v>
      </c>
      <c r="E341" s="7" t="s">
        <v>255</v>
      </c>
      <c r="F341" s="7" t="s">
        <v>274</v>
      </c>
      <c r="G341" s="41" t="str">
        <f t="shared" si="58"/>
        <v>X</v>
      </c>
      <c r="H341" s="41">
        <f>INDEX(환산공식!CI$16:CI$301,MATCH('배치점수 계산기'!$W341,환산공식!$A$16:$A$301,0))</f>
        <v>250</v>
      </c>
      <c r="I341" s="41" t="str">
        <f>CONCATENATE(ROUND(INDEX(환산공식!CJ$16:CJ$301,MATCH('배치점수 계산기'!$W341,환산공식!$A$16:$A$301,0)),1),"%")</f>
        <v>100%</v>
      </c>
      <c r="J341" s="41">
        <f>INDEX(환산공식!CK$16:CK$301,MATCH('배치점수 계산기'!$W341,환산공식!$A$16:$A$301,0))</f>
        <v>0</v>
      </c>
      <c r="K341" s="7">
        <f>INDEX(환산공식!$EF$16:$EF$301,MATCH('배치점수 계산기'!W341,환산공식!$A$16:$A$301,0))</f>
        <v>0</v>
      </c>
      <c r="L341" s="41" t="str">
        <f t="shared" si="56"/>
        <v>1% 이하</v>
      </c>
      <c r="M341" s="7">
        <v>898.17345847824299</v>
      </c>
      <c r="N341" s="7">
        <v>894.19850213628069</v>
      </c>
      <c r="O341" s="7">
        <v>891.6154381074482</v>
      </c>
      <c r="P341" s="7">
        <v>888.75149669991447</v>
      </c>
      <c r="Q341" s="7">
        <v>885.95174709813205</v>
      </c>
      <c r="R341" s="7">
        <f t="shared" si="57"/>
        <v>6</v>
      </c>
      <c r="T341" s="7">
        <f>COUNTIF($C$11:C341,C341)</f>
        <v>128</v>
      </c>
      <c r="U341" s="7" t="str">
        <f t="shared" si="59"/>
        <v>나128</v>
      </c>
      <c r="V341" s="7" t="str">
        <f>INDEX(환산공식!$C$16:$C$301,MATCH('배치점수 계산기'!W341,환산공식!$A$16:$A$301,0))</f>
        <v>서울시립 자연</v>
      </c>
      <c r="W341" s="7">
        <f t="shared" si="60"/>
        <v>41</v>
      </c>
      <c r="X341" s="7">
        <f t="shared" si="61"/>
        <v>1</v>
      </c>
      <c r="Y341" s="7">
        <f>IFERROR(INDEX(환산공식!Q$16:Q$200,MATCH($A341,환산공식!$A$16:$A$200,0)),"")</f>
        <v>1.3422818791946309</v>
      </c>
      <c r="Z341" s="7">
        <f>IFERROR(INDEX(환산공식!R$16:R$200,MATCH($A341,환산공식!$A$16:$A$200,0)),"")</f>
        <v>2.3809523809523809</v>
      </c>
      <c r="AA341" s="7">
        <f>IFERROR(INDEX(환산공식!U$16:U$200,MATCH($A341,환산공식!$A$16:$A$200,0)),"")</f>
        <v>1.4058765640376776</v>
      </c>
      <c r="AB341" s="7">
        <f t="shared" si="62"/>
        <v>0.26169874763975232</v>
      </c>
      <c r="AC341" s="7">
        <f t="shared" si="63"/>
        <v>0.46420373093241774</v>
      </c>
      <c r="AD341" s="7">
        <f t="shared" si="64"/>
        <v>0.27409752142783</v>
      </c>
      <c r="AE341" s="7">
        <f>INDEX(환산공식!$AF$16:$AF$301,MATCH('배치점수 계산기'!W341,환산공식!$A$16:$A$301,0))</f>
        <v>12</v>
      </c>
      <c r="AF341" s="7">
        <f>INDEX(환산공식!$AP$16:$AP$301,MATCH('배치점수 계산기'!W341,환산공식!$A$16:$A$301,0))</f>
        <v>42</v>
      </c>
      <c r="AG341" s="7" t="str">
        <f t="shared" si="65"/>
        <v>표점/만점</v>
      </c>
      <c r="AH341" s="7" t="str">
        <f t="shared" si="66"/>
        <v>변표/만점</v>
      </c>
      <c r="BO341" s="210"/>
      <c r="BP341" s="210"/>
      <c r="BQ341" s="210"/>
      <c r="BR341" s="210"/>
      <c r="BS341" s="210"/>
      <c r="BT341" s="210"/>
      <c r="BU341" s="210"/>
      <c r="BV341" s="210"/>
      <c r="BW341" s="210"/>
      <c r="BX341" s="210"/>
      <c r="BY341" s="210"/>
      <c r="BZ341" s="210"/>
      <c r="CA341" s="210"/>
      <c r="CB341" s="210"/>
      <c r="CC341" s="210"/>
      <c r="EM341" s="120"/>
      <c r="ET341" s="210"/>
      <c r="EU341" s="210"/>
      <c r="EV341" s="210"/>
      <c r="EW341" s="210"/>
      <c r="EX341" s="210"/>
      <c r="EY341" s="210"/>
      <c r="EZ341" s="210"/>
      <c r="FA341" s="210"/>
      <c r="FB341" s="210"/>
      <c r="FC341" s="210"/>
      <c r="FD341" s="210"/>
      <c r="FE341" s="210"/>
      <c r="FF341" s="210"/>
      <c r="FG341" s="210"/>
      <c r="FH341" s="210"/>
      <c r="HR341" s="120"/>
      <c r="HY341" s="210"/>
      <c r="HZ341" s="210"/>
      <c r="IA341" s="210"/>
      <c r="IB341" s="210"/>
      <c r="IC341" s="210"/>
      <c r="ID341" s="210"/>
      <c r="IE341" s="210"/>
      <c r="IF341" s="210"/>
      <c r="IG341" s="210"/>
      <c r="IH341" s="210"/>
      <c r="II341" s="210"/>
      <c r="IJ341" s="210"/>
      <c r="IK341" s="210"/>
      <c r="IL341" s="210"/>
      <c r="IM341" s="210"/>
      <c r="KW341" s="120"/>
      <c r="LD341" s="210"/>
      <c r="LE341" s="210"/>
      <c r="LF341" s="210"/>
      <c r="LG341" s="210"/>
      <c r="LH341" s="210"/>
      <c r="LI341" s="210"/>
      <c r="LJ341" s="210"/>
      <c r="LK341" s="210"/>
      <c r="LL341" s="210"/>
      <c r="LM341" s="210"/>
      <c r="LN341" s="210"/>
      <c r="LO341" s="210"/>
      <c r="LP341" s="210"/>
      <c r="LQ341" s="210"/>
      <c r="LR341" s="210"/>
      <c r="OB341" s="120"/>
      <c r="OI341" s="210"/>
      <c r="OJ341" s="210"/>
      <c r="OK341" s="210"/>
      <c r="OL341" s="210"/>
      <c r="OM341" s="210"/>
      <c r="ON341" s="210"/>
      <c r="OO341" s="210"/>
      <c r="OP341" s="210"/>
      <c r="OQ341" s="210"/>
      <c r="OR341" s="210"/>
      <c r="OS341" s="210"/>
      <c r="OT341" s="210"/>
      <c r="OU341" s="210"/>
      <c r="OV341" s="210"/>
      <c r="OW341" s="210"/>
      <c r="RG341" s="120"/>
    </row>
    <row r="342" spans="1:475" x14ac:dyDescent="0.3">
      <c r="A342" s="7">
        <v>41</v>
      </c>
      <c r="B342" s="7">
        <v>332</v>
      </c>
      <c r="C342" s="7" t="s">
        <v>346</v>
      </c>
      <c r="D342" s="7" t="s">
        <v>419</v>
      </c>
      <c r="E342" s="7" t="s">
        <v>252</v>
      </c>
      <c r="F342" s="7" t="s">
        <v>274</v>
      </c>
      <c r="G342" s="41" t="str">
        <f t="shared" si="58"/>
        <v>X</v>
      </c>
      <c r="H342" s="41">
        <f>INDEX(환산공식!CI$16:CI$301,MATCH('배치점수 계산기'!$W342,환산공식!$A$16:$A$301,0))</f>
        <v>250</v>
      </c>
      <c r="I342" s="41" t="str">
        <f>CONCATENATE(ROUND(INDEX(환산공식!CJ$16:CJ$301,MATCH('배치점수 계산기'!$W342,환산공식!$A$16:$A$301,0)),1),"%")</f>
        <v>100%</v>
      </c>
      <c r="J342" s="41">
        <f>INDEX(환산공식!CK$16:CK$301,MATCH('배치점수 계산기'!$W342,환산공식!$A$16:$A$301,0))</f>
        <v>0</v>
      </c>
      <c r="K342" s="7">
        <f>INDEX(환산공식!$EF$16:$EF$301,MATCH('배치점수 계산기'!W342,환산공식!$A$16:$A$301,0))</f>
        <v>0</v>
      </c>
      <c r="L342" s="41" t="str">
        <f t="shared" si="56"/>
        <v>1% 이하</v>
      </c>
      <c r="M342" s="7">
        <v>890.30294582347597</v>
      </c>
      <c r="N342" s="7">
        <v>888.75149669991447</v>
      </c>
      <c r="O342" s="7">
        <v>886.86426622369117</v>
      </c>
      <c r="P342" s="7">
        <v>885.19923002654423</v>
      </c>
      <c r="Q342" s="7">
        <v>883.29775981483408</v>
      </c>
      <c r="R342" s="7">
        <f t="shared" si="57"/>
        <v>6</v>
      </c>
      <c r="T342" s="7">
        <f>COUNTIF($C$11:C342,C342)</f>
        <v>129</v>
      </c>
      <c r="U342" s="7" t="str">
        <f t="shared" si="59"/>
        <v>나129</v>
      </c>
      <c r="V342" s="7" t="str">
        <f>INDEX(환산공식!$C$16:$C$301,MATCH('배치점수 계산기'!W342,환산공식!$A$16:$A$301,0))</f>
        <v>서울시립 자연</v>
      </c>
      <c r="W342" s="7">
        <f t="shared" si="60"/>
        <v>41</v>
      </c>
      <c r="X342" s="7">
        <f t="shared" si="61"/>
        <v>1</v>
      </c>
      <c r="Y342" s="7">
        <f>IFERROR(INDEX(환산공식!Q$16:Q$200,MATCH($A342,환산공식!$A$16:$A$200,0)),"")</f>
        <v>1.3422818791946309</v>
      </c>
      <c r="Z342" s="7">
        <f>IFERROR(INDEX(환산공식!R$16:R$200,MATCH($A342,환산공식!$A$16:$A$200,0)),"")</f>
        <v>2.3809523809523809</v>
      </c>
      <c r="AA342" s="7">
        <f>IFERROR(INDEX(환산공식!U$16:U$200,MATCH($A342,환산공식!$A$16:$A$200,0)),"")</f>
        <v>1.4058765640376776</v>
      </c>
      <c r="AB342" s="7">
        <f t="shared" si="62"/>
        <v>0.26169874763975232</v>
      </c>
      <c r="AC342" s="7">
        <f t="shared" si="63"/>
        <v>0.46420373093241774</v>
      </c>
      <c r="AD342" s="7">
        <f t="shared" si="64"/>
        <v>0.27409752142783</v>
      </c>
      <c r="AE342" s="7">
        <f>INDEX(환산공식!$AF$16:$AF$301,MATCH('배치점수 계산기'!W342,환산공식!$A$16:$A$301,0))</f>
        <v>12</v>
      </c>
      <c r="AF342" s="7">
        <f>INDEX(환산공식!$AP$16:$AP$301,MATCH('배치점수 계산기'!W342,환산공식!$A$16:$A$301,0))</f>
        <v>42</v>
      </c>
      <c r="AG342" s="7" t="str">
        <f t="shared" si="65"/>
        <v>표점/만점</v>
      </c>
      <c r="AH342" s="7" t="str">
        <f t="shared" si="66"/>
        <v>변표/만점</v>
      </c>
      <c r="BO342" s="210"/>
      <c r="BP342" s="210"/>
      <c r="BQ342" s="210"/>
      <c r="BR342" s="210"/>
      <c r="BS342" s="210"/>
      <c r="BT342" s="210"/>
      <c r="BU342" s="210"/>
      <c r="BV342" s="210"/>
      <c r="BW342" s="210"/>
      <c r="BX342" s="210"/>
      <c r="BY342" s="210"/>
      <c r="BZ342" s="210"/>
      <c r="CA342" s="210"/>
      <c r="CB342" s="210"/>
      <c r="CC342" s="210"/>
      <c r="EM342" s="120"/>
      <c r="ET342" s="210"/>
      <c r="EU342" s="210"/>
      <c r="EV342" s="210"/>
      <c r="EW342" s="210"/>
      <c r="EX342" s="210"/>
      <c r="EY342" s="210"/>
      <c r="EZ342" s="210"/>
      <c r="FA342" s="210"/>
      <c r="FB342" s="210"/>
      <c r="FC342" s="210"/>
      <c r="FD342" s="210"/>
      <c r="FE342" s="210"/>
      <c r="FF342" s="210"/>
      <c r="FG342" s="210"/>
      <c r="FH342" s="210"/>
      <c r="HR342" s="120"/>
      <c r="HY342" s="210"/>
      <c r="HZ342" s="210"/>
      <c r="IA342" s="210"/>
      <c r="IB342" s="210"/>
      <c r="IC342" s="210"/>
      <c r="ID342" s="210"/>
      <c r="IE342" s="210"/>
      <c r="IF342" s="210"/>
      <c r="IG342" s="210"/>
      <c r="IH342" s="210"/>
      <c r="II342" s="210"/>
      <c r="IJ342" s="210"/>
      <c r="IK342" s="210"/>
      <c r="IL342" s="210"/>
      <c r="IM342" s="210"/>
      <c r="KW342" s="120"/>
      <c r="LD342" s="210"/>
      <c r="LE342" s="210"/>
      <c r="LF342" s="210"/>
      <c r="LG342" s="210"/>
      <c r="LH342" s="210"/>
      <c r="LI342" s="210"/>
      <c r="LJ342" s="210"/>
      <c r="LK342" s="210"/>
      <c r="LL342" s="210"/>
      <c r="LM342" s="210"/>
      <c r="LN342" s="210"/>
      <c r="LO342" s="210"/>
      <c r="LP342" s="210"/>
      <c r="LQ342" s="210"/>
      <c r="LR342" s="210"/>
      <c r="OB342" s="120"/>
      <c r="OI342" s="210"/>
      <c r="OJ342" s="210"/>
      <c r="OK342" s="210"/>
      <c r="OL342" s="210"/>
      <c r="OM342" s="210"/>
      <c r="ON342" s="210"/>
      <c r="OO342" s="210"/>
      <c r="OP342" s="210"/>
      <c r="OQ342" s="210"/>
      <c r="OR342" s="210"/>
      <c r="OS342" s="210"/>
      <c r="OT342" s="210"/>
      <c r="OU342" s="210"/>
      <c r="OV342" s="210"/>
      <c r="OW342" s="210"/>
      <c r="RG342" s="120"/>
    </row>
    <row r="343" spans="1:475" x14ac:dyDescent="0.3">
      <c r="A343" s="7">
        <v>41</v>
      </c>
      <c r="B343" s="7">
        <v>333</v>
      </c>
      <c r="C343" s="7" t="s">
        <v>346</v>
      </c>
      <c r="D343" s="7" t="s">
        <v>419</v>
      </c>
      <c r="E343" s="7" t="s">
        <v>368</v>
      </c>
      <c r="F343" s="7" t="s">
        <v>274</v>
      </c>
      <c r="G343" s="41" t="str">
        <f t="shared" si="58"/>
        <v>X</v>
      </c>
      <c r="H343" s="41">
        <f>INDEX(환산공식!CI$16:CI$301,MATCH('배치점수 계산기'!$W343,환산공식!$A$16:$A$301,0))</f>
        <v>250</v>
      </c>
      <c r="I343" s="41" t="str">
        <f>CONCATENATE(ROUND(INDEX(환산공식!CJ$16:CJ$301,MATCH('배치점수 계산기'!$W343,환산공식!$A$16:$A$301,0)),1),"%")</f>
        <v>100%</v>
      </c>
      <c r="J343" s="41">
        <f>INDEX(환산공식!CK$16:CK$301,MATCH('배치점수 계산기'!$W343,환산공식!$A$16:$A$301,0))</f>
        <v>0</v>
      </c>
      <c r="K343" s="7">
        <f>INDEX(환산공식!$EF$16:$EF$301,MATCH('배치점수 계산기'!W343,환산공식!$A$16:$A$301,0))</f>
        <v>0</v>
      </c>
      <c r="L343" s="41" t="str">
        <f t="shared" si="56"/>
        <v>1% 이하</v>
      </c>
      <c r="M343" s="7">
        <v>889.4906657116519</v>
      </c>
      <c r="N343" s="7">
        <v>886.66426622369124</v>
      </c>
      <c r="O343" s="7">
        <v>884.99923002654418</v>
      </c>
      <c r="P343" s="7">
        <v>883.95163840482371</v>
      </c>
      <c r="Q343" s="7">
        <v>878.63673993052566</v>
      </c>
      <c r="R343" s="7">
        <f t="shared" si="57"/>
        <v>6</v>
      </c>
      <c r="T343" s="7">
        <f>COUNTIF($C$11:C343,C343)</f>
        <v>130</v>
      </c>
      <c r="U343" s="7" t="str">
        <f t="shared" si="59"/>
        <v>나130</v>
      </c>
      <c r="V343" s="7" t="str">
        <f>INDEX(환산공식!$C$16:$C$301,MATCH('배치점수 계산기'!W343,환산공식!$A$16:$A$301,0))</f>
        <v>서울시립 자연</v>
      </c>
      <c r="W343" s="7">
        <f t="shared" si="60"/>
        <v>41</v>
      </c>
      <c r="X343" s="7">
        <f t="shared" si="61"/>
        <v>1</v>
      </c>
      <c r="Y343" s="7">
        <f>IFERROR(INDEX(환산공식!Q$16:Q$200,MATCH($A343,환산공식!$A$16:$A$200,0)),"")</f>
        <v>1.3422818791946309</v>
      </c>
      <c r="Z343" s="7">
        <f>IFERROR(INDEX(환산공식!R$16:R$200,MATCH($A343,환산공식!$A$16:$A$200,0)),"")</f>
        <v>2.3809523809523809</v>
      </c>
      <c r="AA343" s="7">
        <f>IFERROR(INDEX(환산공식!U$16:U$200,MATCH($A343,환산공식!$A$16:$A$200,0)),"")</f>
        <v>1.4058765640376776</v>
      </c>
      <c r="AB343" s="7">
        <f t="shared" si="62"/>
        <v>0.26169874763975232</v>
      </c>
      <c r="AC343" s="7">
        <f t="shared" si="63"/>
        <v>0.46420373093241774</v>
      </c>
      <c r="AD343" s="7">
        <f t="shared" si="64"/>
        <v>0.27409752142783</v>
      </c>
      <c r="AE343" s="7">
        <f>INDEX(환산공식!$AF$16:$AF$301,MATCH('배치점수 계산기'!W343,환산공식!$A$16:$A$301,0))</f>
        <v>12</v>
      </c>
      <c r="AF343" s="7">
        <f>INDEX(환산공식!$AP$16:$AP$301,MATCH('배치점수 계산기'!W343,환산공식!$A$16:$A$301,0))</f>
        <v>42</v>
      </c>
      <c r="AG343" s="7" t="str">
        <f t="shared" si="65"/>
        <v>표점/만점</v>
      </c>
      <c r="AH343" s="7" t="str">
        <f t="shared" si="66"/>
        <v>변표/만점</v>
      </c>
      <c r="BO343" s="210"/>
      <c r="BP343" s="210"/>
      <c r="BQ343" s="210"/>
      <c r="BR343" s="210"/>
      <c r="BS343" s="210"/>
      <c r="BT343" s="210"/>
      <c r="BU343" s="210"/>
      <c r="BV343" s="210"/>
      <c r="BW343" s="210"/>
      <c r="BX343" s="210"/>
      <c r="BY343" s="210"/>
      <c r="BZ343" s="210"/>
      <c r="CA343" s="210"/>
      <c r="CB343" s="210"/>
      <c r="CC343" s="210"/>
      <c r="EM343" s="120"/>
      <c r="ET343" s="210"/>
      <c r="EU343" s="210"/>
      <c r="EV343" s="210"/>
      <c r="EW343" s="210"/>
      <c r="EX343" s="210"/>
      <c r="EY343" s="210"/>
      <c r="EZ343" s="210"/>
      <c r="FA343" s="210"/>
      <c r="FB343" s="210"/>
      <c r="FC343" s="210"/>
      <c r="FD343" s="210"/>
      <c r="FE343" s="210"/>
      <c r="FF343" s="210"/>
      <c r="FG343" s="210"/>
      <c r="FH343" s="210"/>
      <c r="HR343" s="120"/>
      <c r="HY343" s="210"/>
      <c r="HZ343" s="210"/>
      <c r="IA343" s="210"/>
      <c r="IB343" s="210"/>
      <c r="IC343" s="210"/>
      <c r="ID343" s="210"/>
      <c r="IE343" s="210"/>
      <c r="IF343" s="210"/>
      <c r="IG343" s="210"/>
      <c r="IH343" s="210"/>
      <c r="II343" s="210"/>
      <c r="IJ343" s="210"/>
      <c r="IK343" s="210"/>
      <c r="IL343" s="210"/>
      <c r="IM343" s="210"/>
      <c r="KW343" s="120"/>
      <c r="LD343" s="210"/>
      <c r="LE343" s="210"/>
      <c r="LF343" s="210"/>
      <c r="LG343" s="210"/>
      <c r="LH343" s="210"/>
      <c r="LI343" s="210"/>
      <c r="LJ343" s="210"/>
      <c r="LK343" s="210"/>
      <c r="LL343" s="210"/>
      <c r="LM343" s="210"/>
      <c r="LN343" s="210"/>
      <c r="LO343" s="210"/>
      <c r="LP343" s="210"/>
      <c r="LQ343" s="210"/>
      <c r="LR343" s="210"/>
      <c r="OB343" s="120"/>
      <c r="OI343" s="210"/>
      <c r="OJ343" s="210"/>
      <c r="OK343" s="210"/>
      <c r="OL343" s="210"/>
      <c r="OM343" s="210"/>
      <c r="ON343" s="210"/>
      <c r="OO343" s="210"/>
      <c r="OP343" s="210"/>
      <c r="OQ343" s="210"/>
      <c r="OR343" s="210"/>
      <c r="OS343" s="210"/>
      <c r="OT343" s="210"/>
      <c r="OU343" s="210"/>
      <c r="OV343" s="210"/>
      <c r="OW343" s="210"/>
      <c r="RG343" s="120"/>
    </row>
    <row r="344" spans="1:475" x14ac:dyDescent="0.3">
      <c r="A344" s="7">
        <v>41</v>
      </c>
      <c r="B344" s="7">
        <v>334</v>
      </c>
      <c r="C344" s="7" t="s">
        <v>346</v>
      </c>
      <c r="D344" s="7" t="s">
        <v>419</v>
      </c>
      <c r="E344" s="7" t="s">
        <v>427</v>
      </c>
      <c r="F344" s="7" t="s">
        <v>274</v>
      </c>
      <c r="G344" s="41" t="str">
        <f t="shared" si="58"/>
        <v>X</v>
      </c>
      <c r="H344" s="41">
        <f>INDEX(환산공식!CI$16:CI$301,MATCH('배치점수 계산기'!$W344,환산공식!$A$16:$A$301,0))</f>
        <v>250</v>
      </c>
      <c r="I344" s="41" t="str">
        <f>CONCATENATE(ROUND(INDEX(환산공식!CJ$16:CJ$301,MATCH('배치점수 계산기'!$W344,환산공식!$A$16:$A$301,0)),1),"%")</f>
        <v>100%</v>
      </c>
      <c r="J344" s="41">
        <f>INDEX(환산공식!CK$16:CK$301,MATCH('배치점수 계산기'!$W344,환산공식!$A$16:$A$301,0))</f>
        <v>0</v>
      </c>
      <c r="K344" s="7">
        <f>INDEX(환산공식!$EF$16:$EF$301,MATCH('배치점수 계산기'!W344,환산공식!$A$16:$A$301,0))</f>
        <v>0</v>
      </c>
      <c r="L344" s="41" t="str">
        <f t="shared" si="56"/>
        <v>1% 이하</v>
      </c>
      <c r="M344" s="7">
        <v>886.66426622369124</v>
      </c>
      <c r="N344" s="7">
        <v>885.26224447502648</v>
      </c>
      <c r="O344" s="7">
        <v>883.09775981483403</v>
      </c>
      <c r="P344" s="7">
        <v>879.9593712845525</v>
      </c>
      <c r="Q344" s="7">
        <v>878.14864500499516</v>
      </c>
      <c r="R344" s="7">
        <f t="shared" si="57"/>
        <v>6</v>
      </c>
      <c r="T344" s="7">
        <f>COUNTIF($C$11:C344,C344)</f>
        <v>131</v>
      </c>
      <c r="U344" s="7" t="str">
        <f t="shared" si="59"/>
        <v>나131</v>
      </c>
      <c r="V344" s="7" t="str">
        <f>INDEX(환산공식!$C$16:$C$301,MATCH('배치점수 계산기'!W344,환산공식!$A$16:$A$301,0))</f>
        <v>서울시립 자연</v>
      </c>
      <c r="W344" s="7">
        <f t="shared" si="60"/>
        <v>41</v>
      </c>
      <c r="X344" s="7">
        <f t="shared" si="61"/>
        <v>1</v>
      </c>
      <c r="Y344" s="7">
        <f>IFERROR(INDEX(환산공식!Q$16:Q$200,MATCH($A344,환산공식!$A$16:$A$200,0)),"")</f>
        <v>1.3422818791946309</v>
      </c>
      <c r="Z344" s="7">
        <f>IFERROR(INDEX(환산공식!R$16:R$200,MATCH($A344,환산공식!$A$16:$A$200,0)),"")</f>
        <v>2.3809523809523809</v>
      </c>
      <c r="AA344" s="7">
        <f>IFERROR(INDEX(환산공식!U$16:U$200,MATCH($A344,환산공식!$A$16:$A$200,0)),"")</f>
        <v>1.4058765640376776</v>
      </c>
      <c r="AB344" s="7">
        <f t="shared" si="62"/>
        <v>0.26169874763975232</v>
      </c>
      <c r="AC344" s="7">
        <f t="shared" si="63"/>
        <v>0.46420373093241774</v>
      </c>
      <c r="AD344" s="7">
        <f t="shared" si="64"/>
        <v>0.27409752142783</v>
      </c>
      <c r="AE344" s="7">
        <f>INDEX(환산공식!$AF$16:$AF$301,MATCH('배치점수 계산기'!W344,환산공식!$A$16:$A$301,0))</f>
        <v>12</v>
      </c>
      <c r="AF344" s="7">
        <f>INDEX(환산공식!$AP$16:$AP$301,MATCH('배치점수 계산기'!W344,환산공식!$A$16:$A$301,0))</f>
        <v>42</v>
      </c>
      <c r="AG344" s="7" t="str">
        <f t="shared" si="65"/>
        <v>표점/만점</v>
      </c>
      <c r="AH344" s="7" t="str">
        <f t="shared" si="66"/>
        <v>변표/만점</v>
      </c>
      <c r="BO344" s="210"/>
      <c r="BP344" s="210"/>
      <c r="BQ344" s="210"/>
      <c r="BR344" s="210"/>
      <c r="BS344" s="210"/>
      <c r="BT344" s="210"/>
      <c r="BU344" s="210"/>
      <c r="BV344" s="210"/>
      <c r="BW344" s="210"/>
      <c r="BX344" s="210"/>
      <c r="BY344" s="210"/>
      <c r="BZ344" s="210"/>
      <c r="CA344" s="210"/>
      <c r="CB344" s="210"/>
      <c r="CC344" s="210"/>
      <c r="EM344" s="120"/>
      <c r="ET344" s="210"/>
      <c r="EU344" s="210"/>
      <c r="EV344" s="210"/>
      <c r="EW344" s="210"/>
      <c r="EX344" s="210"/>
      <c r="EY344" s="210"/>
      <c r="EZ344" s="210"/>
      <c r="FA344" s="210"/>
      <c r="FB344" s="210"/>
      <c r="FC344" s="210"/>
      <c r="FD344" s="210"/>
      <c r="FE344" s="210"/>
      <c r="FF344" s="210"/>
      <c r="FG344" s="210"/>
      <c r="FH344" s="210"/>
      <c r="HR344" s="120"/>
      <c r="HY344" s="210"/>
      <c r="HZ344" s="210"/>
      <c r="IA344" s="210"/>
      <c r="IB344" s="210"/>
      <c r="IC344" s="210"/>
      <c r="ID344" s="210"/>
      <c r="IE344" s="210"/>
      <c r="IF344" s="210"/>
      <c r="IG344" s="210"/>
      <c r="IH344" s="210"/>
      <c r="II344" s="210"/>
      <c r="IJ344" s="210"/>
      <c r="IK344" s="210"/>
      <c r="IL344" s="210"/>
      <c r="IM344" s="210"/>
      <c r="KW344" s="120"/>
      <c r="LD344" s="210"/>
      <c r="LE344" s="210"/>
      <c r="LF344" s="210"/>
      <c r="LG344" s="210"/>
      <c r="LH344" s="210"/>
      <c r="LI344" s="210"/>
      <c r="LJ344" s="210"/>
      <c r="LK344" s="210"/>
      <c r="LL344" s="210"/>
      <c r="LM344" s="210"/>
      <c r="LN344" s="210"/>
      <c r="LO344" s="210"/>
      <c r="LP344" s="210"/>
      <c r="LQ344" s="210"/>
      <c r="LR344" s="210"/>
      <c r="OB344" s="120"/>
      <c r="OI344" s="210"/>
      <c r="OJ344" s="210"/>
      <c r="OK344" s="210"/>
      <c r="OL344" s="210"/>
      <c r="OM344" s="210"/>
      <c r="ON344" s="210"/>
      <c r="OO344" s="210"/>
      <c r="OP344" s="210"/>
      <c r="OQ344" s="210"/>
      <c r="OR344" s="210"/>
      <c r="OS344" s="210"/>
      <c r="OT344" s="210"/>
      <c r="OU344" s="210"/>
      <c r="OV344" s="210"/>
      <c r="OW344" s="210"/>
      <c r="RG344" s="120"/>
    </row>
    <row r="345" spans="1:475" x14ac:dyDescent="0.3">
      <c r="A345" s="7">
        <v>41</v>
      </c>
      <c r="B345" s="7">
        <v>335</v>
      </c>
      <c r="C345" s="7" t="s">
        <v>346</v>
      </c>
      <c r="D345" s="7" t="s">
        <v>419</v>
      </c>
      <c r="E345" s="7" t="s">
        <v>428</v>
      </c>
      <c r="F345" s="7" t="s">
        <v>274</v>
      </c>
      <c r="G345" s="41" t="str">
        <f t="shared" si="58"/>
        <v>X</v>
      </c>
      <c r="H345" s="41">
        <f>INDEX(환산공식!CI$16:CI$301,MATCH('배치점수 계산기'!$W345,환산공식!$A$16:$A$301,0))</f>
        <v>250</v>
      </c>
      <c r="I345" s="41" t="str">
        <f>CONCATENATE(ROUND(INDEX(환산공식!CJ$16:CJ$301,MATCH('배치점수 계산기'!$W345,환산공식!$A$16:$A$301,0)),1),"%")</f>
        <v>100%</v>
      </c>
      <c r="J345" s="41">
        <f>INDEX(환산공식!CK$16:CK$301,MATCH('배치점수 계산기'!$W345,환산공식!$A$16:$A$301,0))</f>
        <v>0</v>
      </c>
      <c r="K345" s="7">
        <f>INDEX(환산공식!$EF$16:$EF$301,MATCH('배치점수 계산기'!W345,환산공식!$A$16:$A$301,0))</f>
        <v>0</v>
      </c>
      <c r="L345" s="41" t="str">
        <f t="shared" si="56"/>
        <v>1% 이하</v>
      </c>
      <c r="M345" s="7">
        <v>890.92349108013241</v>
      </c>
      <c r="N345" s="7">
        <v>890.18063456240498</v>
      </c>
      <c r="O345" s="7">
        <v>888.75149669991447</v>
      </c>
      <c r="P345" s="7">
        <v>886.86426622369117</v>
      </c>
      <c r="Q345" s="7">
        <v>885.19923002654423</v>
      </c>
      <c r="R345" s="7">
        <f t="shared" si="57"/>
        <v>6</v>
      </c>
      <c r="T345" s="7">
        <f>COUNTIF($C$11:C345,C345)</f>
        <v>132</v>
      </c>
      <c r="U345" s="7" t="str">
        <f t="shared" si="59"/>
        <v>나132</v>
      </c>
      <c r="V345" s="7" t="str">
        <f>INDEX(환산공식!$C$16:$C$301,MATCH('배치점수 계산기'!W345,환산공식!$A$16:$A$301,0))</f>
        <v>서울시립 자연</v>
      </c>
      <c r="W345" s="7">
        <f t="shared" si="60"/>
        <v>41</v>
      </c>
      <c r="X345" s="7">
        <f t="shared" si="61"/>
        <v>1</v>
      </c>
      <c r="Y345" s="7">
        <f>IFERROR(INDEX(환산공식!Q$16:Q$200,MATCH($A345,환산공식!$A$16:$A$200,0)),"")</f>
        <v>1.3422818791946309</v>
      </c>
      <c r="Z345" s="7">
        <f>IFERROR(INDEX(환산공식!R$16:R$200,MATCH($A345,환산공식!$A$16:$A$200,0)),"")</f>
        <v>2.3809523809523809</v>
      </c>
      <c r="AA345" s="7">
        <f>IFERROR(INDEX(환산공식!U$16:U$200,MATCH($A345,환산공식!$A$16:$A$200,0)),"")</f>
        <v>1.4058765640376776</v>
      </c>
      <c r="AB345" s="7">
        <f t="shared" si="62"/>
        <v>0.26169874763975232</v>
      </c>
      <c r="AC345" s="7">
        <f t="shared" si="63"/>
        <v>0.46420373093241774</v>
      </c>
      <c r="AD345" s="7">
        <f t="shared" si="64"/>
        <v>0.27409752142783</v>
      </c>
      <c r="AE345" s="7">
        <f>INDEX(환산공식!$AF$16:$AF$301,MATCH('배치점수 계산기'!W345,환산공식!$A$16:$A$301,0))</f>
        <v>12</v>
      </c>
      <c r="AF345" s="7">
        <f>INDEX(환산공식!$AP$16:$AP$301,MATCH('배치점수 계산기'!W345,환산공식!$A$16:$A$301,0))</f>
        <v>42</v>
      </c>
      <c r="AG345" s="7" t="str">
        <f t="shared" si="65"/>
        <v>표점/만점</v>
      </c>
      <c r="AH345" s="7" t="str">
        <f t="shared" si="66"/>
        <v>변표/만점</v>
      </c>
      <c r="BO345" s="210"/>
      <c r="BP345" s="210"/>
      <c r="BQ345" s="210"/>
      <c r="BR345" s="210"/>
      <c r="BS345" s="210"/>
      <c r="BT345" s="210"/>
      <c r="BU345" s="210"/>
      <c r="BV345" s="210"/>
      <c r="BW345" s="210"/>
      <c r="BX345" s="210"/>
      <c r="BY345" s="210"/>
      <c r="BZ345" s="210"/>
      <c r="CA345" s="210"/>
      <c r="CB345" s="210"/>
      <c r="CC345" s="210"/>
      <c r="EM345" s="120"/>
      <c r="ET345" s="210"/>
      <c r="EU345" s="210"/>
      <c r="EV345" s="210"/>
      <c r="EW345" s="210"/>
      <c r="EX345" s="210"/>
      <c r="EY345" s="210"/>
      <c r="EZ345" s="210"/>
      <c r="FA345" s="210"/>
      <c r="FB345" s="210"/>
      <c r="FC345" s="210"/>
      <c r="FD345" s="210"/>
      <c r="FE345" s="210"/>
      <c r="FF345" s="210"/>
      <c r="FG345" s="210"/>
      <c r="FH345" s="210"/>
      <c r="HR345" s="120"/>
      <c r="HY345" s="210"/>
      <c r="HZ345" s="210"/>
      <c r="IA345" s="210"/>
      <c r="IB345" s="210"/>
      <c r="IC345" s="210"/>
      <c r="ID345" s="210"/>
      <c r="IE345" s="210"/>
      <c r="IF345" s="210"/>
      <c r="IG345" s="210"/>
      <c r="IH345" s="210"/>
      <c r="II345" s="210"/>
      <c r="IJ345" s="210"/>
      <c r="IK345" s="210"/>
      <c r="IL345" s="210"/>
      <c r="IM345" s="210"/>
      <c r="KW345" s="120"/>
      <c r="LD345" s="210"/>
      <c r="LE345" s="210"/>
      <c r="LF345" s="210"/>
      <c r="LG345" s="210"/>
      <c r="LH345" s="210"/>
      <c r="LI345" s="210"/>
      <c r="LJ345" s="210"/>
      <c r="LK345" s="210"/>
      <c r="LL345" s="210"/>
      <c r="LM345" s="210"/>
      <c r="LN345" s="210"/>
      <c r="LO345" s="210"/>
      <c r="LP345" s="210"/>
      <c r="LQ345" s="210"/>
      <c r="LR345" s="210"/>
      <c r="OB345" s="120"/>
      <c r="OI345" s="210"/>
      <c r="OJ345" s="210"/>
      <c r="OK345" s="210"/>
      <c r="OL345" s="210"/>
      <c r="OM345" s="210"/>
      <c r="ON345" s="210"/>
      <c r="OO345" s="210"/>
      <c r="OP345" s="210"/>
      <c r="OQ345" s="210"/>
      <c r="OR345" s="210"/>
      <c r="OS345" s="210"/>
      <c r="OT345" s="210"/>
      <c r="OU345" s="210"/>
      <c r="OV345" s="210"/>
      <c r="OW345" s="210"/>
      <c r="RG345" s="120"/>
    </row>
    <row r="346" spans="1:475" x14ac:dyDescent="0.3">
      <c r="A346" s="7">
        <v>41</v>
      </c>
      <c r="B346" s="7">
        <v>336</v>
      </c>
      <c r="C346" s="7" t="s">
        <v>346</v>
      </c>
      <c r="D346" s="7" t="s">
        <v>419</v>
      </c>
      <c r="E346" s="7" t="s">
        <v>291</v>
      </c>
      <c r="F346" s="7" t="s">
        <v>274</v>
      </c>
      <c r="G346" s="41" t="str">
        <f t="shared" si="58"/>
        <v>X</v>
      </c>
      <c r="H346" s="41">
        <f>INDEX(환산공식!CI$16:CI$301,MATCH('배치점수 계산기'!$W346,환산공식!$A$16:$A$301,0))</f>
        <v>250</v>
      </c>
      <c r="I346" s="41" t="str">
        <f>CONCATENATE(ROUND(INDEX(환산공식!CJ$16:CJ$301,MATCH('배치점수 계산기'!$W346,환산공식!$A$16:$A$301,0)),1),"%")</f>
        <v>100%</v>
      </c>
      <c r="J346" s="41">
        <f>INDEX(환산공식!CK$16:CK$301,MATCH('배치점수 계산기'!$W346,환산공식!$A$16:$A$301,0))</f>
        <v>0</v>
      </c>
      <c r="K346" s="7">
        <f>INDEX(환산공식!$EF$16:$EF$301,MATCH('배치점수 계산기'!W346,환산공식!$A$16:$A$301,0))</f>
        <v>0</v>
      </c>
      <c r="L346" s="41" t="str">
        <f t="shared" si="56"/>
        <v>1% 이하</v>
      </c>
      <c r="M346" s="7">
        <v>888.55149669991442</v>
      </c>
      <c r="N346" s="7">
        <v>887.06630072368114</v>
      </c>
      <c r="O346" s="7">
        <v>884.99923002654418</v>
      </c>
      <c r="P346" s="7">
        <v>883.09775981483403</v>
      </c>
      <c r="Q346" s="7">
        <v>878.94071688934764</v>
      </c>
      <c r="R346" s="7">
        <f t="shared" si="57"/>
        <v>6</v>
      </c>
      <c r="T346" s="7">
        <f>COUNTIF($C$11:C346,C346)</f>
        <v>133</v>
      </c>
      <c r="U346" s="7" t="str">
        <f t="shared" si="59"/>
        <v>나133</v>
      </c>
      <c r="V346" s="7" t="str">
        <f>INDEX(환산공식!$C$16:$C$301,MATCH('배치점수 계산기'!W346,환산공식!$A$16:$A$301,0))</f>
        <v>서울시립 자연</v>
      </c>
      <c r="W346" s="7">
        <f t="shared" si="60"/>
        <v>41</v>
      </c>
      <c r="X346" s="7">
        <f t="shared" si="61"/>
        <v>1</v>
      </c>
      <c r="Y346" s="7">
        <f>IFERROR(INDEX(환산공식!Q$16:Q$200,MATCH($A346,환산공식!$A$16:$A$200,0)),"")</f>
        <v>1.3422818791946309</v>
      </c>
      <c r="Z346" s="7">
        <f>IFERROR(INDEX(환산공식!R$16:R$200,MATCH($A346,환산공식!$A$16:$A$200,0)),"")</f>
        <v>2.3809523809523809</v>
      </c>
      <c r="AA346" s="7">
        <f>IFERROR(INDEX(환산공식!U$16:U$200,MATCH($A346,환산공식!$A$16:$A$200,0)),"")</f>
        <v>1.4058765640376776</v>
      </c>
      <c r="AB346" s="7">
        <f t="shared" si="62"/>
        <v>0.26169874763975232</v>
      </c>
      <c r="AC346" s="7">
        <f t="shared" si="63"/>
        <v>0.46420373093241774</v>
      </c>
      <c r="AD346" s="7">
        <f t="shared" si="64"/>
        <v>0.27409752142783</v>
      </c>
      <c r="AE346" s="7">
        <f>INDEX(환산공식!$AF$16:$AF$301,MATCH('배치점수 계산기'!W346,환산공식!$A$16:$A$301,0))</f>
        <v>12</v>
      </c>
      <c r="AF346" s="7">
        <f>INDEX(환산공식!$AP$16:$AP$301,MATCH('배치점수 계산기'!W346,환산공식!$A$16:$A$301,0))</f>
        <v>42</v>
      </c>
      <c r="AG346" s="7" t="str">
        <f t="shared" si="65"/>
        <v>표점/만점</v>
      </c>
      <c r="AH346" s="7" t="str">
        <f t="shared" si="66"/>
        <v>변표/만점</v>
      </c>
      <c r="BO346" s="210"/>
      <c r="BP346" s="210"/>
      <c r="BQ346" s="210"/>
      <c r="BR346" s="210"/>
      <c r="BS346" s="210"/>
      <c r="BT346" s="210"/>
      <c r="BU346" s="210"/>
      <c r="BV346" s="210"/>
      <c r="BW346" s="210"/>
      <c r="BX346" s="210"/>
      <c r="BY346" s="210"/>
      <c r="BZ346" s="210"/>
      <c r="CA346" s="210"/>
      <c r="CB346" s="210"/>
      <c r="CC346" s="210"/>
      <c r="EM346" s="120"/>
      <c r="ET346" s="210"/>
      <c r="EU346" s="210"/>
      <c r="EV346" s="210"/>
      <c r="EW346" s="210"/>
      <c r="EX346" s="210"/>
      <c r="EY346" s="210"/>
      <c r="EZ346" s="210"/>
      <c r="FA346" s="210"/>
      <c r="FB346" s="210"/>
      <c r="FC346" s="210"/>
      <c r="FD346" s="210"/>
      <c r="FE346" s="210"/>
      <c r="FF346" s="210"/>
      <c r="FG346" s="210"/>
      <c r="FH346" s="210"/>
      <c r="HR346" s="120"/>
      <c r="HY346" s="210"/>
      <c r="HZ346" s="210"/>
      <c r="IA346" s="210"/>
      <c r="IB346" s="210"/>
      <c r="IC346" s="210"/>
      <c r="ID346" s="210"/>
      <c r="IE346" s="210"/>
      <c r="IF346" s="210"/>
      <c r="IG346" s="210"/>
      <c r="IH346" s="210"/>
      <c r="II346" s="210"/>
      <c r="IJ346" s="210"/>
      <c r="IK346" s="210"/>
      <c r="IL346" s="210"/>
      <c r="IM346" s="210"/>
      <c r="KW346" s="120"/>
      <c r="LD346" s="210"/>
      <c r="LE346" s="210"/>
      <c r="LF346" s="210"/>
      <c r="LG346" s="210"/>
      <c r="LH346" s="210"/>
      <c r="LI346" s="210"/>
      <c r="LJ346" s="210"/>
      <c r="LK346" s="210"/>
      <c r="LL346" s="210"/>
      <c r="LM346" s="210"/>
      <c r="LN346" s="210"/>
      <c r="LO346" s="210"/>
      <c r="LP346" s="210"/>
      <c r="LQ346" s="210"/>
      <c r="LR346" s="210"/>
      <c r="OB346" s="120"/>
      <c r="OI346" s="210"/>
      <c r="OJ346" s="210"/>
      <c r="OK346" s="210"/>
      <c r="OL346" s="210"/>
      <c r="OM346" s="210"/>
      <c r="ON346" s="210"/>
      <c r="OO346" s="210"/>
      <c r="OP346" s="210"/>
      <c r="OQ346" s="210"/>
      <c r="OR346" s="210"/>
      <c r="OS346" s="210"/>
      <c r="OT346" s="210"/>
      <c r="OU346" s="210"/>
      <c r="OV346" s="210"/>
      <c r="OW346" s="210"/>
      <c r="RG346" s="120"/>
    </row>
    <row r="347" spans="1:475" x14ac:dyDescent="0.3">
      <c r="A347" s="7">
        <v>42</v>
      </c>
      <c r="B347" s="7">
        <v>337</v>
      </c>
      <c r="C347" s="7" t="s">
        <v>346</v>
      </c>
      <c r="D347" s="7" t="s">
        <v>419</v>
      </c>
      <c r="E347" s="7" t="s">
        <v>429</v>
      </c>
      <c r="F347" s="7" t="s">
        <v>274</v>
      </c>
      <c r="G347" s="41" t="str">
        <f t="shared" si="58"/>
        <v>X</v>
      </c>
      <c r="H347" s="41">
        <f>INDEX(환산공식!CI$16:CI$301,MATCH('배치점수 계산기'!$W347,환산공식!$A$16:$A$301,0))</f>
        <v>250</v>
      </c>
      <c r="I347" s="41" t="str">
        <f>CONCATENATE(ROUND(INDEX(환산공식!CJ$16:CJ$301,MATCH('배치점수 계산기'!$W347,환산공식!$A$16:$A$301,0)),1),"%")</f>
        <v>100%</v>
      </c>
      <c r="J347" s="41">
        <f>INDEX(환산공식!CK$16:CK$301,MATCH('배치점수 계산기'!$W347,환산공식!$A$16:$A$301,0))</f>
        <v>0</v>
      </c>
      <c r="K347" s="7">
        <f>INDEX(환산공식!$EF$16:$EF$301,MATCH('배치점수 계산기'!W347,환산공식!$A$16:$A$301,0))</f>
        <v>0</v>
      </c>
      <c r="L347" s="41" t="str">
        <f t="shared" si="56"/>
        <v>1% 이하</v>
      </c>
      <c r="M347" s="7">
        <v>888.55149669991442</v>
      </c>
      <c r="N347" s="7">
        <v>887.06630072368114</v>
      </c>
      <c r="O347" s="7">
        <v>884.99923002654418</v>
      </c>
      <c r="P347" s="7">
        <v>883.09775981483403</v>
      </c>
      <c r="Q347" s="7">
        <v>878.94071688934764</v>
      </c>
      <c r="R347" s="7">
        <f t="shared" si="57"/>
        <v>6</v>
      </c>
      <c r="T347" s="7">
        <f>COUNTIF($C$11:C347,C347)</f>
        <v>134</v>
      </c>
      <c r="U347" s="7" t="str">
        <f t="shared" si="59"/>
        <v>나134</v>
      </c>
      <c r="V347" s="7" t="str">
        <f>INDEX(환산공식!$C$16:$C$301,MATCH('배치점수 계산기'!W347,환산공식!$A$16:$A$301,0))</f>
        <v>서울시립 건축학도공조경</v>
      </c>
      <c r="W347" s="7">
        <f t="shared" si="60"/>
        <v>42</v>
      </c>
      <c r="X347" s="7">
        <f t="shared" si="61"/>
        <v>1</v>
      </c>
      <c r="Y347" s="7">
        <f>IFERROR(INDEX(환산공식!Q$16:Q$200,MATCH($A347,환산공식!$A$16:$A$200,0)),"")</f>
        <v>1.3422818791946309</v>
      </c>
      <c r="Z347" s="7">
        <f>IFERROR(INDEX(환산공식!R$16:R$200,MATCH($A347,환산공식!$A$16:$A$200,0)),"")</f>
        <v>2.3809523809523809</v>
      </c>
      <c r="AA347" s="7">
        <f>IFERROR(INDEX(환산공식!U$16:U$200,MATCH($A347,환산공식!$A$16:$A$200,0)),"")</f>
        <v>1.4058765640376776</v>
      </c>
      <c r="AB347" s="7">
        <f t="shared" si="62"/>
        <v>0.26169874763975232</v>
      </c>
      <c r="AC347" s="7">
        <f t="shared" si="63"/>
        <v>0.46420373093241774</v>
      </c>
      <c r="AD347" s="7">
        <f t="shared" si="64"/>
        <v>0.27409752142783</v>
      </c>
      <c r="AE347" s="7">
        <f>INDEX(환산공식!$AF$16:$AF$301,MATCH('배치점수 계산기'!W347,환산공식!$A$16:$A$301,0))</f>
        <v>12</v>
      </c>
      <c r="AF347" s="7">
        <f>INDEX(환산공식!$AP$16:$AP$301,MATCH('배치점수 계산기'!W347,환산공식!$A$16:$A$301,0))</f>
        <v>42</v>
      </c>
      <c r="AG347" s="7" t="str">
        <f t="shared" si="65"/>
        <v>표점/만점</v>
      </c>
      <c r="AH347" s="7" t="str">
        <f t="shared" si="66"/>
        <v>변표/만점</v>
      </c>
      <c r="BO347" s="210"/>
      <c r="BP347" s="210"/>
      <c r="BQ347" s="210"/>
      <c r="BR347" s="210"/>
      <c r="BS347" s="210"/>
      <c r="BT347" s="210"/>
      <c r="BU347" s="210"/>
      <c r="BV347" s="210"/>
      <c r="BW347" s="210"/>
      <c r="BX347" s="210"/>
      <c r="BY347" s="210"/>
      <c r="BZ347" s="210"/>
      <c r="CA347" s="210"/>
      <c r="CB347" s="210"/>
      <c r="CC347" s="210"/>
      <c r="EM347" s="120"/>
      <c r="ET347" s="210"/>
      <c r="EU347" s="210"/>
      <c r="EV347" s="210"/>
      <c r="EW347" s="210"/>
      <c r="EX347" s="210"/>
      <c r="EY347" s="210"/>
      <c r="EZ347" s="210"/>
      <c r="FA347" s="210"/>
      <c r="FB347" s="210"/>
      <c r="FC347" s="210"/>
      <c r="FD347" s="210"/>
      <c r="FE347" s="210"/>
      <c r="FF347" s="210"/>
      <c r="FG347" s="210"/>
      <c r="FH347" s="210"/>
      <c r="HR347" s="120"/>
      <c r="HY347" s="210"/>
      <c r="HZ347" s="210"/>
      <c r="IA347" s="210"/>
      <c r="IB347" s="210"/>
      <c r="IC347" s="210"/>
      <c r="ID347" s="210"/>
      <c r="IE347" s="210"/>
      <c r="IF347" s="210"/>
      <c r="IG347" s="210"/>
      <c r="IH347" s="210"/>
      <c r="II347" s="210"/>
      <c r="IJ347" s="210"/>
      <c r="IK347" s="210"/>
      <c r="IL347" s="210"/>
      <c r="IM347" s="210"/>
      <c r="KW347" s="120"/>
      <c r="LD347" s="210"/>
      <c r="LE347" s="210"/>
      <c r="LF347" s="210"/>
      <c r="LG347" s="210"/>
      <c r="LH347" s="210"/>
      <c r="LI347" s="210"/>
      <c r="LJ347" s="210"/>
      <c r="LK347" s="210"/>
      <c r="LL347" s="210"/>
      <c r="LM347" s="210"/>
      <c r="LN347" s="210"/>
      <c r="LO347" s="210"/>
      <c r="LP347" s="210"/>
      <c r="LQ347" s="210"/>
      <c r="LR347" s="210"/>
      <c r="OB347" s="120"/>
      <c r="OI347" s="210"/>
      <c r="OJ347" s="210"/>
      <c r="OK347" s="210"/>
      <c r="OL347" s="210"/>
      <c r="OM347" s="210"/>
      <c r="ON347" s="210"/>
      <c r="OO347" s="210"/>
      <c r="OP347" s="210"/>
      <c r="OQ347" s="210"/>
      <c r="OR347" s="210"/>
      <c r="OS347" s="210"/>
      <c r="OT347" s="210"/>
      <c r="OU347" s="210"/>
      <c r="OV347" s="210"/>
      <c r="OW347" s="210"/>
      <c r="RG347" s="120"/>
    </row>
    <row r="348" spans="1:475" x14ac:dyDescent="0.3">
      <c r="A348" s="7">
        <v>42</v>
      </c>
      <c r="B348" s="7">
        <v>338</v>
      </c>
      <c r="C348" s="7" t="s">
        <v>346</v>
      </c>
      <c r="D348" s="7" t="s">
        <v>419</v>
      </c>
      <c r="E348" s="7" t="s">
        <v>293</v>
      </c>
      <c r="F348" s="7" t="s">
        <v>274</v>
      </c>
      <c r="G348" s="41" t="str">
        <f t="shared" si="58"/>
        <v>X</v>
      </c>
      <c r="H348" s="41">
        <f>INDEX(환산공식!CI$16:CI$301,MATCH('배치점수 계산기'!$W348,환산공식!$A$16:$A$301,0))</f>
        <v>250</v>
      </c>
      <c r="I348" s="41" t="str">
        <f>CONCATENATE(ROUND(INDEX(환산공식!CJ$16:CJ$301,MATCH('배치점수 계산기'!$W348,환산공식!$A$16:$A$301,0)),1),"%")</f>
        <v>100%</v>
      </c>
      <c r="J348" s="41">
        <f>INDEX(환산공식!CK$16:CK$301,MATCH('배치점수 계산기'!$W348,환산공식!$A$16:$A$301,0))</f>
        <v>0</v>
      </c>
      <c r="K348" s="7">
        <f>INDEX(환산공식!$EF$16:$EF$301,MATCH('배치점수 계산기'!W348,환산공식!$A$16:$A$301,0))</f>
        <v>0</v>
      </c>
      <c r="L348" s="41" t="str">
        <f t="shared" si="56"/>
        <v>1% 이하</v>
      </c>
      <c r="M348" s="7">
        <v>888.55149669991442</v>
      </c>
      <c r="N348" s="7">
        <v>886.66426622369124</v>
      </c>
      <c r="O348" s="7">
        <v>884.47858463600949</v>
      </c>
      <c r="P348" s="7">
        <v>883.09775981483403</v>
      </c>
      <c r="Q348" s="7">
        <v>878.63673993052566</v>
      </c>
      <c r="R348" s="7">
        <f t="shared" si="57"/>
        <v>6</v>
      </c>
      <c r="T348" s="7">
        <f>COUNTIF($C$11:C348,C348)</f>
        <v>135</v>
      </c>
      <c r="U348" s="7" t="str">
        <f t="shared" si="59"/>
        <v>나135</v>
      </c>
      <c r="V348" s="7" t="str">
        <f>INDEX(환산공식!$C$16:$C$301,MATCH('배치점수 계산기'!W348,환산공식!$A$16:$A$301,0))</f>
        <v>서울시립 건축학도공조경</v>
      </c>
      <c r="W348" s="7">
        <f t="shared" si="60"/>
        <v>42</v>
      </c>
      <c r="X348" s="7">
        <f t="shared" si="61"/>
        <v>1</v>
      </c>
      <c r="Y348" s="7">
        <f>IFERROR(INDEX(환산공식!Q$16:Q$200,MATCH($A348,환산공식!$A$16:$A$200,0)),"")</f>
        <v>1.3422818791946309</v>
      </c>
      <c r="Z348" s="7">
        <f>IFERROR(INDEX(환산공식!R$16:R$200,MATCH($A348,환산공식!$A$16:$A$200,0)),"")</f>
        <v>2.3809523809523809</v>
      </c>
      <c r="AA348" s="7">
        <f>IFERROR(INDEX(환산공식!U$16:U$200,MATCH($A348,환산공식!$A$16:$A$200,0)),"")</f>
        <v>1.4058765640376776</v>
      </c>
      <c r="AB348" s="7">
        <f t="shared" si="62"/>
        <v>0.26169874763975232</v>
      </c>
      <c r="AC348" s="7">
        <f t="shared" si="63"/>
        <v>0.46420373093241774</v>
      </c>
      <c r="AD348" s="7">
        <f t="shared" si="64"/>
        <v>0.27409752142783</v>
      </c>
      <c r="AE348" s="7">
        <f>INDEX(환산공식!$AF$16:$AF$301,MATCH('배치점수 계산기'!W348,환산공식!$A$16:$A$301,0))</f>
        <v>12</v>
      </c>
      <c r="AF348" s="7">
        <f>INDEX(환산공식!$AP$16:$AP$301,MATCH('배치점수 계산기'!W348,환산공식!$A$16:$A$301,0))</f>
        <v>42</v>
      </c>
      <c r="AG348" s="7" t="str">
        <f t="shared" si="65"/>
        <v>표점/만점</v>
      </c>
      <c r="AH348" s="7" t="str">
        <f t="shared" si="66"/>
        <v>변표/만점</v>
      </c>
      <c r="BO348" s="210"/>
      <c r="BP348" s="210"/>
      <c r="BQ348" s="210"/>
      <c r="BR348" s="210"/>
      <c r="BS348" s="210"/>
      <c r="BT348" s="210"/>
      <c r="BU348" s="210"/>
      <c r="BV348" s="210"/>
      <c r="BW348" s="210"/>
      <c r="BX348" s="210"/>
      <c r="BY348" s="210"/>
      <c r="BZ348" s="210"/>
      <c r="CA348" s="210"/>
      <c r="CB348" s="210"/>
      <c r="CC348" s="210"/>
      <c r="EM348" s="120"/>
      <c r="ET348" s="210"/>
      <c r="EU348" s="210"/>
      <c r="EV348" s="210"/>
      <c r="EW348" s="210"/>
      <c r="EX348" s="210"/>
      <c r="EY348" s="210"/>
      <c r="EZ348" s="210"/>
      <c r="FA348" s="210"/>
      <c r="FB348" s="210"/>
      <c r="FC348" s="210"/>
      <c r="FD348" s="210"/>
      <c r="FE348" s="210"/>
      <c r="FF348" s="210"/>
      <c r="FG348" s="210"/>
      <c r="FH348" s="210"/>
      <c r="HR348" s="120"/>
      <c r="HY348" s="210"/>
      <c r="HZ348" s="210"/>
      <c r="IA348" s="210"/>
      <c r="IB348" s="210"/>
      <c r="IC348" s="210"/>
      <c r="ID348" s="210"/>
      <c r="IE348" s="210"/>
      <c r="IF348" s="210"/>
      <c r="IG348" s="210"/>
      <c r="IH348" s="210"/>
      <c r="II348" s="210"/>
      <c r="IJ348" s="210"/>
      <c r="IK348" s="210"/>
      <c r="IL348" s="210"/>
      <c r="IM348" s="210"/>
      <c r="KW348" s="120"/>
      <c r="LD348" s="210"/>
      <c r="LE348" s="210"/>
      <c r="LF348" s="210"/>
      <c r="LG348" s="210"/>
      <c r="LH348" s="210"/>
      <c r="LI348" s="210"/>
      <c r="LJ348" s="210"/>
      <c r="LK348" s="210"/>
      <c r="LL348" s="210"/>
      <c r="LM348" s="210"/>
      <c r="LN348" s="210"/>
      <c r="LO348" s="210"/>
      <c r="LP348" s="210"/>
      <c r="LQ348" s="210"/>
      <c r="LR348" s="210"/>
      <c r="OB348" s="120"/>
      <c r="OI348" s="210"/>
      <c r="OJ348" s="210"/>
      <c r="OK348" s="210"/>
      <c r="OL348" s="210"/>
      <c r="OM348" s="210"/>
      <c r="ON348" s="210"/>
      <c r="OO348" s="210"/>
      <c r="OP348" s="210"/>
      <c r="OQ348" s="210"/>
      <c r="OR348" s="210"/>
      <c r="OS348" s="210"/>
      <c r="OT348" s="210"/>
      <c r="OU348" s="210"/>
      <c r="OV348" s="210"/>
      <c r="OW348" s="210"/>
      <c r="RG348" s="120"/>
    </row>
    <row r="349" spans="1:475" x14ac:dyDescent="0.3">
      <c r="A349" s="7">
        <v>41</v>
      </c>
      <c r="B349" s="7">
        <v>339</v>
      </c>
      <c r="C349" s="7" t="s">
        <v>346</v>
      </c>
      <c r="D349" s="7" t="s">
        <v>419</v>
      </c>
      <c r="E349" s="7" t="s">
        <v>430</v>
      </c>
      <c r="F349" s="7" t="s">
        <v>274</v>
      </c>
      <c r="G349" s="41" t="str">
        <f t="shared" si="58"/>
        <v>X</v>
      </c>
      <c r="H349" s="41">
        <f>INDEX(환산공식!CI$16:CI$301,MATCH('배치점수 계산기'!$W349,환산공식!$A$16:$A$301,0))</f>
        <v>250</v>
      </c>
      <c r="I349" s="41" t="str">
        <f>CONCATENATE(ROUND(INDEX(환산공식!CJ$16:CJ$301,MATCH('배치점수 계산기'!$W349,환산공식!$A$16:$A$301,0)),1),"%")</f>
        <v>100%</v>
      </c>
      <c r="J349" s="41">
        <f>INDEX(환산공식!CK$16:CK$301,MATCH('배치점수 계산기'!$W349,환산공식!$A$16:$A$301,0))</f>
        <v>0</v>
      </c>
      <c r="K349" s="7">
        <f>INDEX(환산공식!$EF$16:$EF$301,MATCH('배치점수 계산기'!W349,환산공식!$A$16:$A$301,0))</f>
        <v>0</v>
      </c>
      <c r="L349" s="41" t="str">
        <f t="shared" si="56"/>
        <v>1% 이하</v>
      </c>
      <c r="M349" s="7">
        <v>890.92349108013241</v>
      </c>
      <c r="N349" s="7">
        <v>890.18063456240498</v>
      </c>
      <c r="O349" s="7">
        <v>888.25918414469174</v>
      </c>
      <c r="P349" s="7">
        <v>886.86426622369117</v>
      </c>
      <c r="Q349" s="7">
        <v>885.19923002654423</v>
      </c>
      <c r="R349" s="7">
        <f t="shared" si="57"/>
        <v>6</v>
      </c>
      <c r="T349" s="7">
        <f>COUNTIF($C$11:C349,C349)</f>
        <v>136</v>
      </c>
      <c r="U349" s="7" t="str">
        <f t="shared" si="59"/>
        <v>나136</v>
      </c>
      <c r="V349" s="7" t="str">
        <f>INDEX(환산공식!$C$16:$C$301,MATCH('배치점수 계산기'!W349,환산공식!$A$16:$A$301,0))</f>
        <v>서울시립 자연</v>
      </c>
      <c r="W349" s="7">
        <f t="shared" si="60"/>
        <v>41</v>
      </c>
      <c r="X349" s="7">
        <f t="shared" si="61"/>
        <v>1</v>
      </c>
      <c r="Y349" s="7">
        <f>IFERROR(INDEX(환산공식!Q$16:Q$200,MATCH($A349,환산공식!$A$16:$A$200,0)),"")</f>
        <v>1.3422818791946309</v>
      </c>
      <c r="Z349" s="7">
        <f>IFERROR(INDEX(환산공식!R$16:R$200,MATCH($A349,환산공식!$A$16:$A$200,0)),"")</f>
        <v>2.3809523809523809</v>
      </c>
      <c r="AA349" s="7">
        <f>IFERROR(INDEX(환산공식!U$16:U$200,MATCH($A349,환산공식!$A$16:$A$200,0)),"")</f>
        <v>1.4058765640376776</v>
      </c>
      <c r="AB349" s="7">
        <f t="shared" si="62"/>
        <v>0.26169874763975232</v>
      </c>
      <c r="AC349" s="7">
        <f t="shared" si="63"/>
        <v>0.46420373093241774</v>
      </c>
      <c r="AD349" s="7">
        <f t="shared" si="64"/>
        <v>0.27409752142783</v>
      </c>
      <c r="AE349" s="7">
        <f>INDEX(환산공식!$AF$16:$AF$301,MATCH('배치점수 계산기'!W349,환산공식!$A$16:$A$301,0))</f>
        <v>12</v>
      </c>
      <c r="AF349" s="7">
        <f>INDEX(환산공식!$AP$16:$AP$301,MATCH('배치점수 계산기'!W349,환산공식!$A$16:$A$301,0))</f>
        <v>42</v>
      </c>
      <c r="AG349" s="7" t="str">
        <f t="shared" si="65"/>
        <v>표점/만점</v>
      </c>
      <c r="AH349" s="7" t="str">
        <f t="shared" si="66"/>
        <v>변표/만점</v>
      </c>
      <c r="BO349" s="210"/>
      <c r="BP349" s="210"/>
      <c r="BQ349" s="210"/>
      <c r="BR349" s="210"/>
      <c r="BS349" s="210"/>
      <c r="BT349" s="210"/>
      <c r="BU349" s="210"/>
      <c r="BV349" s="210"/>
      <c r="BW349" s="210"/>
      <c r="BX349" s="210"/>
      <c r="BY349" s="210"/>
      <c r="BZ349" s="210"/>
      <c r="CA349" s="210"/>
      <c r="CB349" s="210"/>
      <c r="CC349" s="210"/>
      <c r="EM349" s="120"/>
      <c r="ET349" s="210"/>
      <c r="EU349" s="210"/>
      <c r="EV349" s="210"/>
      <c r="EW349" s="210"/>
      <c r="EX349" s="210"/>
      <c r="EY349" s="210"/>
      <c r="EZ349" s="210"/>
      <c r="FA349" s="210"/>
      <c r="FB349" s="210"/>
      <c r="FC349" s="210"/>
      <c r="FD349" s="210"/>
      <c r="FE349" s="210"/>
      <c r="FF349" s="210"/>
      <c r="FG349" s="210"/>
      <c r="FH349" s="210"/>
      <c r="HR349" s="120"/>
      <c r="HY349" s="210"/>
      <c r="HZ349" s="210"/>
      <c r="IA349" s="210"/>
      <c r="IB349" s="210"/>
      <c r="IC349" s="210"/>
      <c r="ID349" s="210"/>
      <c r="IE349" s="210"/>
      <c r="IF349" s="210"/>
      <c r="IG349" s="210"/>
      <c r="IH349" s="210"/>
      <c r="II349" s="210"/>
      <c r="IJ349" s="210"/>
      <c r="IK349" s="210"/>
      <c r="IL349" s="210"/>
      <c r="IM349" s="210"/>
      <c r="KW349" s="120"/>
      <c r="LD349" s="210"/>
      <c r="LE349" s="210"/>
      <c r="LF349" s="210"/>
      <c r="LG349" s="210"/>
      <c r="LH349" s="210"/>
      <c r="LI349" s="210"/>
      <c r="LJ349" s="210"/>
      <c r="LK349" s="210"/>
      <c r="LL349" s="210"/>
      <c r="LM349" s="210"/>
      <c r="LN349" s="210"/>
      <c r="LO349" s="210"/>
      <c r="LP349" s="210"/>
      <c r="LQ349" s="210"/>
      <c r="LR349" s="210"/>
      <c r="OB349" s="120"/>
      <c r="OI349" s="210"/>
      <c r="OJ349" s="210"/>
      <c r="OK349" s="210"/>
      <c r="OL349" s="210"/>
      <c r="OM349" s="210"/>
      <c r="ON349" s="210"/>
      <c r="OO349" s="210"/>
      <c r="OP349" s="210"/>
      <c r="OQ349" s="210"/>
      <c r="OR349" s="210"/>
      <c r="OS349" s="210"/>
      <c r="OT349" s="210"/>
      <c r="OU349" s="210"/>
      <c r="OV349" s="210"/>
      <c r="OW349" s="210"/>
      <c r="RG349" s="120"/>
    </row>
    <row r="350" spans="1:475" x14ac:dyDescent="0.3">
      <c r="A350" s="7">
        <v>42</v>
      </c>
      <c r="B350" s="7">
        <v>340</v>
      </c>
      <c r="C350" s="7" t="s">
        <v>346</v>
      </c>
      <c r="D350" s="7" t="s">
        <v>419</v>
      </c>
      <c r="E350" s="7" t="s">
        <v>431</v>
      </c>
      <c r="F350" s="7" t="s">
        <v>274</v>
      </c>
      <c r="G350" s="41" t="str">
        <f t="shared" si="58"/>
        <v>X</v>
      </c>
      <c r="H350" s="41">
        <f>INDEX(환산공식!CI$16:CI$301,MATCH('배치점수 계산기'!$W350,환산공식!$A$16:$A$301,0))</f>
        <v>250</v>
      </c>
      <c r="I350" s="41" t="str">
        <f>CONCATENATE(ROUND(INDEX(환산공식!CJ$16:CJ$301,MATCH('배치점수 계산기'!$W350,환산공식!$A$16:$A$301,0)),1),"%")</f>
        <v>100%</v>
      </c>
      <c r="J350" s="41">
        <f>INDEX(환산공식!CK$16:CK$301,MATCH('배치점수 계산기'!$W350,환산공식!$A$16:$A$301,0))</f>
        <v>0</v>
      </c>
      <c r="K350" s="7">
        <f>INDEX(환산공식!$EF$16:$EF$301,MATCH('배치점수 계산기'!W350,환산공식!$A$16:$A$301,0))</f>
        <v>0</v>
      </c>
      <c r="L350" s="41" t="str">
        <f t="shared" si="56"/>
        <v>1% 이하</v>
      </c>
      <c r="M350" s="7">
        <v>887.56687158946932</v>
      </c>
      <c r="N350" s="7">
        <v>885.75174709813211</v>
      </c>
      <c r="O350" s="7">
        <v>883.58585474036454</v>
      </c>
      <c r="P350" s="7">
        <v>881.02986340637233</v>
      </c>
      <c r="Q350" s="7">
        <v>878.14864500499516</v>
      </c>
      <c r="R350" s="7">
        <f t="shared" si="57"/>
        <v>6</v>
      </c>
      <c r="T350" s="7">
        <f>COUNTIF($C$11:C350,C350)</f>
        <v>137</v>
      </c>
      <c r="U350" s="7" t="str">
        <f t="shared" si="59"/>
        <v>나137</v>
      </c>
      <c r="V350" s="7" t="str">
        <f>INDEX(환산공식!$C$16:$C$301,MATCH('배치점수 계산기'!W350,환산공식!$A$16:$A$301,0))</f>
        <v>서울시립 건축학도공조경</v>
      </c>
      <c r="W350" s="7">
        <f t="shared" si="60"/>
        <v>42</v>
      </c>
      <c r="X350" s="7">
        <f t="shared" si="61"/>
        <v>1</v>
      </c>
      <c r="Y350" s="7">
        <f>IFERROR(INDEX(환산공식!Q$16:Q$200,MATCH($A350,환산공식!$A$16:$A$200,0)),"")</f>
        <v>1.3422818791946309</v>
      </c>
      <c r="Z350" s="7">
        <f>IFERROR(INDEX(환산공식!R$16:R$200,MATCH($A350,환산공식!$A$16:$A$200,0)),"")</f>
        <v>2.3809523809523809</v>
      </c>
      <c r="AA350" s="7">
        <f>IFERROR(INDEX(환산공식!U$16:U$200,MATCH($A350,환산공식!$A$16:$A$200,0)),"")</f>
        <v>1.4058765640376776</v>
      </c>
      <c r="AB350" s="7">
        <f t="shared" si="62"/>
        <v>0.26169874763975232</v>
      </c>
      <c r="AC350" s="7">
        <f t="shared" si="63"/>
        <v>0.46420373093241774</v>
      </c>
      <c r="AD350" s="7">
        <f t="shared" si="64"/>
        <v>0.27409752142783</v>
      </c>
      <c r="AE350" s="7">
        <f>INDEX(환산공식!$AF$16:$AF$301,MATCH('배치점수 계산기'!W350,환산공식!$A$16:$A$301,0))</f>
        <v>12</v>
      </c>
      <c r="AF350" s="7">
        <f>INDEX(환산공식!$AP$16:$AP$301,MATCH('배치점수 계산기'!W350,환산공식!$A$16:$A$301,0))</f>
        <v>42</v>
      </c>
      <c r="AG350" s="7" t="str">
        <f t="shared" si="65"/>
        <v>표점/만점</v>
      </c>
      <c r="AH350" s="7" t="str">
        <f t="shared" si="66"/>
        <v>변표/만점</v>
      </c>
      <c r="BO350" s="210"/>
      <c r="BP350" s="210"/>
      <c r="BQ350" s="210"/>
      <c r="BR350" s="210"/>
      <c r="BS350" s="210"/>
      <c r="BT350" s="210"/>
      <c r="BU350" s="210"/>
      <c r="BV350" s="210"/>
      <c r="BW350" s="210"/>
      <c r="BX350" s="210"/>
      <c r="BY350" s="210"/>
      <c r="BZ350" s="210"/>
      <c r="CA350" s="210"/>
      <c r="CB350" s="210"/>
      <c r="CC350" s="210"/>
      <c r="EM350" s="120"/>
      <c r="ET350" s="210"/>
      <c r="EU350" s="210"/>
      <c r="EV350" s="210"/>
      <c r="EW350" s="210"/>
      <c r="EX350" s="210"/>
      <c r="EY350" s="210"/>
      <c r="EZ350" s="210"/>
      <c r="FA350" s="210"/>
      <c r="FB350" s="210"/>
      <c r="FC350" s="210"/>
      <c r="FD350" s="210"/>
      <c r="FE350" s="210"/>
      <c r="FF350" s="210"/>
      <c r="FG350" s="210"/>
      <c r="FH350" s="210"/>
      <c r="HR350" s="120"/>
      <c r="HY350" s="210"/>
      <c r="HZ350" s="210"/>
      <c r="IA350" s="210"/>
      <c r="IB350" s="210"/>
      <c r="IC350" s="210"/>
      <c r="ID350" s="210"/>
      <c r="IE350" s="210"/>
      <c r="IF350" s="210"/>
      <c r="IG350" s="210"/>
      <c r="IH350" s="210"/>
      <c r="II350" s="210"/>
      <c r="IJ350" s="210"/>
      <c r="IK350" s="210"/>
      <c r="IL350" s="210"/>
      <c r="IM350" s="210"/>
      <c r="KW350" s="120"/>
      <c r="LD350" s="210"/>
      <c r="LE350" s="210"/>
      <c r="LF350" s="210"/>
      <c r="LG350" s="210"/>
      <c r="LH350" s="210"/>
      <c r="LI350" s="210"/>
      <c r="LJ350" s="210"/>
      <c r="LK350" s="210"/>
      <c r="LL350" s="210"/>
      <c r="LM350" s="210"/>
      <c r="LN350" s="210"/>
      <c r="LO350" s="210"/>
      <c r="LP350" s="210"/>
      <c r="LQ350" s="210"/>
      <c r="LR350" s="210"/>
      <c r="OB350" s="120"/>
      <c r="OI350" s="210"/>
      <c r="OJ350" s="210"/>
      <c r="OK350" s="210"/>
      <c r="OL350" s="210"/>
      <c r="OM350" s="210"/>
      <c r="ON350" s="210"/>
      <c r="OO350" s="210"/>
      <c r="OP350" s="210"/>
      <c r="OQ350" s="210"/>
      <c r="OR350" s="210"/>
      <c r="OS350" s="210"/>
      <c r="OT350" s="210"/>
      <c r="OU350" s="210"/>
      <c r="OV350" s="210"/>
      <c r="OW350" s="210"/>
      <c r="RG350" s="120"/>
    </row>
    <row r="351" spans="1:475" x14ac:dyDescent="0.3">
      <c r="A351" s="7">
        <v>41</v>
      </c>
      <c r="B351" s="7">
        <v>341</v>
      </c>
      <c r="C351" s="7" t="s">
        <v>346</v>
      </c>
      <c r="D351" s="7" t="s">
        <v>419</v>
      </c>
      <c r="E351" s="7" t="s">
        <v>432</v>
      </c>
      <c r="F351" s="7" t="s">
        <v>274</v>
      </c>
      <c r="G351" s="41" t="str">
        <f t="shared" si="58"/>
        <v>X</v>
      </c>
      <c r="H351" s="41">
        <f>INDEX(환산공식!CI$16:CI$301,MATCH('배치점수 계산기'!$W351,환산공식!$A$16:$A$301,0))</f>
        <v>250</v>
      </c>
      <c r="I351" s="41" t="str">
        <f>CONCATENATE(ROUND(INDEX(환산공식!CJ$16:CJ$301,MATCH('배치점수 계산기'!$W351,환산공식!$A$16:$A$301,0)),1),"%")</f>
        <v>100%</v>
      </c>
      <c r="J351" s="41">
        <f>INDEX(환산공식!CK$16:CK$301,MATCH('배치점수 계산기'!$W351,환산공식!$A$16:$A$301,0))</f>
        <v>0</v>
      </c>
      <c r="K351" s="7">
        <f>INDEX(환산공식!$EF$16:$EF$301,MATCH('배치점수 계산기'!W351,환산공식!$A$16:$A$301,0))</f>
        <v>0</v>
      </c>
      <c r="L351" s="41" t="str">
        <f t="shared" si="56"/>
        <v>1% 이하</v>
      </c>
      <c r="M351" s="7">
        <v>889.4906657116519</v>
      </c>
      <c r="N351" s="7">
        <v>887.44267917789466</v>
      </c>
      <c r="O351" s="7">
        <v>884.99923002654418</v>
      </c>
      <c r="P351" s="7">
        <v>883.09775981483403</v>
      </c>
      <c r="Q351" s="7">
        <v>878.94071688934764</v>
      </c>
      <c r="R351" s="7">
        <f t="shared" si="57"/>
        <v>6</v>
      </c>
      <c r="T351" s="7">
        <f>COUNTIF($C$11:C351,C351)</f>
        <v>138</v>
      </c>
      <c r="U351" s="7" t="str">
        <f t="shared" si="59"/>
        <v>나138</v>
      </c>
      <c r="V351" s="7" t="str">
        <f>INDEX(환산공식!$C$16:$C$301,MATCH('배치점수 계산기'!W351,환산공식!$A$16:$A$301,0))</f>
        <v>서울시립 자연</v>
      </c>
      <c r="W351" s="7">
        <f t="shared" si="60"/>
        <v>41</v>
      </c>
      <c r="X351" s="7">
        <f t="shared" si="61"/>
        <v>1</v>
      </c>
      <c r="Y351" s="7">
        <f>IFERROR(INDEX(환산공식!Q$16:Q$200,MATCH($A351,환산공식!$A$16:$A$200,0)),"")</f>
        <v>1.3422818791946309</v>
      </c>
      <c r="Z351" s="7">
        <f>IFERROR(INDEX(환산공식!R$16:R$200,MATCH($A351,환산공식!$A$16:$A$200,0)),"")</f>
        <v>2.3809523809523809</v>
      </c>
      <c r="AA351" s="7">
        <f>IFERROR(INDEX(환산공식!U$16:U$200,MATCH($A351,환산공식!$A$16:$A$200,0)),"")</f>
        <v>1.4058765640376776</v>
      </c>
      <c r="AB351" s="7">
        <f t="shared" si="62"/>
        <v>0.26169874763975232</v>
      </c>
      <c r="AC351" s="7">
        <f t="shared" si="63"/>
        <v>0.46420373093241774</v>
      </c>
      <c r="AD351" s="7">
        <f t="shared" si="64"/>
        <v>0.27409752142783</v>
      </c>
      <c r="AE351" s="7">
        <f>INDEX(환산공식!$AF$16:$AF$301,MATCH('배치점수 계산기'!W351,환산공식!$A$16:$A$301,0))</f>
        <v>12</v>
      </c>
      <c r="AF351" s="7">
        <f>INDEX(환산공식!$AP$16:$AP$301,MATCH('배치점수 계산기'!W351,환산공식!$A$16:$A$301,0))</f>
        <v>42</v>
      </c>
      <c r="AG351" s="7" t="str">
        <f t="shared" si="65"/>
        <v>표점/만점</v>
      </c>
      <c r="AH351" s="7" t="str">
        <f t="shared" si="66"/>
        <v>변표/만점</v>
      </c>
      <c r="BO351" s="210"/>
      <c r="BP351" s="210"/>
      <c r="BQ351" s="210"/>
      <c r="BR351" s="210"/>
      <c r="BS351" s="210"/>
      <c r="BT351" s="210"/>
      <c r="BU351" s="210"/>
      <c r="BV351" s="210"/>
      <c r="BW351" s="210"/>
      <c r="BX351" s="210"/>
      <c r="BY351" s="210"/>
      <c r="BZ351" s="210"/>
      <c r="CA351" s="210"/>
      <c r="CB351" s="210"/>
      <c r="CC351" s="210"/>
      <c r="EM351" s="120"/>
      <c r="ET351" s="210"/>
      <c r="EU351" s="210"/>
      <c r="EV351" s="210"/>
      <c r="EW351" s="210"/>
      <c r="EX351" s="210"/>
      <c r="EY351" s="210"/>
      <c r="EZ351" s="210"/>
      <c r="FA351" s="210"/>
      <c r="FB351" s="210"/>
      <c r="FC351" s="210"/>
      <c r="FD351" s="210"/>
      <c r="FE351" s="210"/>
      <c r="FF351" s="210"/>
      <c r="FG351" s="210"/>
      <c r="FH351" s="210"/>
      <c r="HR351" s="120"/>
      <c r="HY351" s="210"/>
      <c r="HZ351" s="210"/>
      <c r="IA351" s="210"/>
      <c r="IB351" s="210"/>
      <c r="IC351" s="210"/>
      <c r="ID351" s="210"/>
      <c r="IE351" s="210"/>
      <c r="IF351" s="210"/>
      <c r="IG351" s="210"/>
      <c r="IH351" s="210"/>
      <c r="II351" s="210"/>
      <c r="IJ351" s="210"/>
      <c r="IK351" s="210"/>
      <c r="IL351" s="210"/>
      <c r="IM351" s="210"/>
      <c r="KW351" s="120"/>
      <c r="LD351" s="210"/>
      <c r="LE351" s="210"/>
      <c r="LF351" s="210"/>
      <c r="LG351" s="210"/>
      <c r="LH351" s="210"/>
      <c r="LI351" s="210"/>
      <c r="LJ351" s="210"/>
      <c r="LK351" s="210"/>
      <c r="LL351" s="210"/>
      <c r="LM351" s="210"/>
      <c r="LN351" s="210"/>
      <c r="LO351" s="210"/>
      <c r="LP351" s="210"/>
      <c r="LQ351" s="210"/>
      <c r="LR351" s="210"/>
      <c r="OB351" s="120"/>
      <c r="OI351" s="210"/>
      <c r="OJ351" s="210"/>
      <c r="OK351" s="210"/>
      <c r="OL351" s="210"/>
      <c r="OM351" s="210"/>
      <c r="ON351" s="210"/>
      <c r="OO351" s="210"/>
      <c r="OP351" s="210"/>
      <c r="OQ351" s="210"/>
      <c r="OR351" s="210"/>
      <c r="OS351" s="210"/>
      <c r="OT351" s="210"/>
      <c r="OU351" s="210"/>
      <c r="OV351" s="210"/>
      <c r="OW351" s="210"/>
      <c r="RG351" s="120"/>
    </row>
    <row r="352" spans="1:475" x14ac:dyDescent="0.3">
      <c r="A352" s="7">
        <v>41</v>
      </c>
      <c r="B352" s="7">
        <v>342</v>
      </c>
      <c r="C352" s="7" t="s">
        <v>346</v>
      </c>
      <c r="D352" s="7" t="s">
        <v>419</v>
      </c>
      <c r="E352" s="7" t="s">
        <v>433</v>
      </c>
      <c r="F352" s="7" t="s">
        <v>274</v>
      </c>
      <c r="G352" s="41" t="str">
        <f t="shared" si="58"/>
        <v>X</v>
      </c>
      <c r="H352" s="41">
        <f>INDEX(환산공식!CI$16:CI$301,MATCH('배치점수 계산기'!$W352,환산공식!$A$16:$A$301,0))</f>
        <v>250</v>
      </c>
      <c r="I352" s="41" t="str">
        <f>CONCATENATE(ROUND(INDEX(환산공식!CJ$16:CJ$301,MATCH('배치점수 계산기'!$W352,환산공식!$A$16:$A$301,0)),1),"%")</f>
        <v>100%</v>
      </c>
      <c r="J352" s="41">
        <f>INDEX(환산공식!CK$16:CK$301,MATCH('배치점수 계산기'!$W352,환산공식!$A$16:$A$301,0))</f>
        <v>0</v>
      </c>
      <c r="K352" s="7">
        <f>INDEX(환산공식!$EF$16:$EF$301,MATCH('배치점수 계산기'!W352,환산공식!$A$16:$A$301,0))</f>
        <v>0</v>
      </c>
      <c r="L352" s="41" t="str">
        <f t="shared" si="56"/>
        <v>1% 이하</v>
      </c>
      <c r="M352" s="7">
        <v>889.4906657116519</v>
      </c>
      <c r="N352" s="7">
        <v>887.44267917789466</v>
      </c>
      <c r="O352" s="7">
        <v>884.99923002654418</v>
      </c>
      <c r="P352" s="7">
        <v>881.02986340637233</v>
      </c>
      <c r="Q352" s="7">
        <v>878.14864500499516</v>
      </c>
      <c r="R352" s="7">
        <f t="shared" si="57"/>
        <v>6</v>
      </c>
      <c r="T352" s="7">
        <f>COUNTIF($C$11:C352,C352)</f>
        <v>139</v>
      </c>
      <c r="U352" s="7" t="str">
        <f t="shared" si="59"/>
        <v>나139</v>
      </c>
      <c r="V352" s="7" t="str">
        <f>INDEX(환산공식!$C$16:$C$301,MATCH('배치점수 계산기'!W352,환산공식!$A$16:$A$301,0))</f>
        <v>서울시립 자연</v>
      </c>
      <c r="W352" s="7">
        <f t="shared" si="60"/>
        <v>41</v>
      </c>
      <c r="X352" s="7">
        <f t="shared" si="61"/>
        <v>1</v>
      </c>
      <c r="Y352" s="7">
        <f>IFERROR(INDEX(환산공식!Q$16:Q$200,MATCH($A352,환산공식!$A$16:$A$200,0)),"")</f>
        <v>1.3422818791946309</v>
      </c>
      <c r="Z352" s="7">
        <f>IFERROR(INDEX(환산공식!R$16:R$200,MATCH($A352,환산공식!$A$16:$A$200,0)),"")</f>
        <v>2.3809523809523809</v>
      </c>
      <c r="AA352" s="7">
        <f>IFERROR(INDEX(환산공식!U$16:U$200,MATCH($A352,환산공식!$A$16:$A$200,0)),"")</f>
        <v>1.4058765640376776</v>
      </c>
      <c r="AB352" s="7">
        <f t="shared" si="62"/>
        <v>0.26169874763975232</v>
      </c>
      <c r="AC352" s="7">
        <f t="shared" si="63"/>
        <v>0.46420373093241774</v>
      </c>
      <c r="AD352" s="7">
        <f t="shared" si="64"/>
        <v>0.27409752142783</v>
      </c>
      <c r="AE352" s="7">
        <f>INDEX(환산공식!$AF$16:$AF$301,MATCH('배치점수 계산기'!W352,환산공식!$A$16:$A$301,0))</f>
        <v>12</v>
      </c>
      <c r="AF352" s="7">
        <f>INDEX(환산공식!$AP$16:$AP$301,MATCH('배치점수 계산기'!W352,환산공식!$A$16:$A$301,0))</f>
        <v>42</v>
      </c>
      <c r="AG352" s="7" t="str">
        <f t="shared" si="65"/>
        <v>표점/만점</v>
      </c>
      <c r="AH352" s="7" t="str">
        <f t="shared" si="66"/>
        <v>변표/만점</v>
      </c>
      <c r="BO352" s="210"/>
      <c r="BP352" s="210"/>
      <c r="BQ352" s="210"/>
      <c r="BR352" s="210"/>
      <c r="BS352" s="210"/>
      <c r="BT352" s="210"/>
      <c r="BU352" s="210"/>
      <c r="BV352" s="210"/>
      <c r="BW352" s="210"/>
      <c r="BX352" s="210"/>
      <c r="BY352" s="210"/>
      <c r="BZ352" s="210"/>
      <c r="CA352" s="210"/>
      <c r="CB352" s="210"/>
      <c r="CC352" s="210"/>
      <c r="EM352" s="120"/>
      <c r="ET352" s="210"/>
      <c r="EU352" s="210"/>
      <c r="EV352" s="210"/>
      <c r="EW352" s="210"/>
      <c r="EX352" s="210"/>
      <c r="EY352" s="210"/>
      <c r="EZ352" s="210"/>
      <c r="FA352" s="210"/>
      <c r="FB352" s="210"/>
      <c r="FC352" s="210"/>
      <c r="FD352" s="210"/>
      <c r="FE352" s="210"/>
      <c r="FF352" s="210"/>
      <c r="FG352" s="210"/>
      <c r="FH352" s="210"/>
      <c r="HR352" s="120"/>
      <c r="HY352" s="210"/>
      <c r="HZ352" s="210"/>
      <c r="IA352" s="210"/>
      <c r="IB352" s="210"/>
      <c r="IC352" s="210"/>
      <c r="ID352" s="210"/>
      <c r="IE352" s="210"/>
      <c r="IF352" s="210"/>
      <c r="IG352" s="210"/>
      <c r="IH352" s="210"/>
      <c r="II352" s="210"/>
      <c r="IJ352" s="210"/>
      <c r="IK352" s="210"/>
      <c r="IL352" s="210"/>
      <c r="IM352" s="210"/>
      <c r="KW352" s="120"/>
      <c r="LD352" s="210"/>
      <c r="LE352" s="210"/>
      <c r="LF352" s="210"/>
      <c r="LG352" s="210"/>
      <c r="LH352" s="210"/>
      <c r="LI352" s="210"/>
      <c r="LJ352" s="210"/>
      <c r="LK352" s="210"/>
      <c r="LL352" s="210"/>
      <c r="LM352" s="210"/>
      <c r="LN352" s="210"/>
      <c r="LO352" s="210"/>
      <c r="LP352" s="210"/>
      <c r="LQ352" s="210"/>
      <c r="LR352" s="210"/>
      <c r="OB352" s="120"/>
      <c r="OI352" s="210"/>
      <c r="OJ352" s="210"/>
      <c r="OK352" s="210"/>
      <c r="OL352" s="210"/>
      <c r="OM352" s="210"/>
      <c r="ON352" s="210"/>
      <c r="OO352" s="210"/>
      <c r="OP352" s="210"/>
      <c r="OQ352" s="210"/>
      <c r="OR352" s="210"/>
      <c r="OS352" s="210"/>
      <c r="OT352" s="210"/>
      <c r="OU352" s="210"/>
      <c r="OV352" s="210"/>
      <c r="OW352" s="210"/>
      <c r="RG352" s="120"/>
    </row>
    <row r="353" spans="1:475" x14ac:dyDescent="0.3">
      <c r="A353" s="7">
        <v>39</v>
      </c>
      <c r="B353" s="7">
        <v>343</v>
      </c>
      <c r="C353" s="7" t="s">
        <v>276</v>
      </c>
      <c r="D353" s="7" t="s">
        <v>419</v>
      </c>
      <c r="E353" s="7" t="s">
        <v>434</v>
      </c>
      <c r="F353" s="7" t="s">
        <v>275</v>
      </c>
      <c r="G353" s="41" t="str">
        <f t="shared" si="58"/>
        <v>X</v>
      </c>
      <c r="H353" s="41">
        <f>INDEX(환산공식!CI$16:CI$301,MATCH('배치점수 계산기'!$W353,환산공식!$A$16:$A$301,0))</f>
        <v>250</v>
      </c>
      <c r="I353" s="41" t="str">
        <f>CONCATENATE(ROUND(INDEX(환산공식!CJ$16:CJ$301,MATCH('배치점수 계산기'!$W353,환산공식!$A$16:$A$301,0)),1),"%")</f>
        <v>100%</v>
      </c>
      <c r="J353" s="41">
        <f>INDEX(환산공식!CK$16:CK$301,MATCH('배치점수 계산기'!$W353,환산공식!$A$16:$A$301,0))</f>
        <v>0</v>
      </c>
      <c r="K353" s="7">
        <f>INDEX(환산공식!$EF$16:$EF$301,MATCH('배치점수 계산기'!W353,환산공식!$A$16:$A$301,0))</f>
        <v>0</v>
      </c>
      <c r="L353" s="41" t="str">
        <f t="shared" si="56"/>
        <v>1% 이하</v>
      </c>
      <c r="M353" s="7">
        <v>887.33900542132096</v>
      </c>
      <c r="N353" s="7">
        <v>886.22298314268528</v>
      </c>
      <c r="O353" s="7">
        <v>883.5815021071644</v>
      </c>
      <c r="P353" s="7">
        <v>881.27307858598306</v>
      </c>
      <c r="Q353" s="7">
        <v>878.96255267910897</v>
      </c>
      <c r="R353" s="7">
        <f t="shared" si="57"/>
        <v>6</v>
      </c>
      <c r="T353" s="7">
        <f>COUNTIF($C$11:C353,C353)</f>
        <v>199</v>
      </c>
      <c r="U353" s="7" t="str">
        <f t="shared" si="59"/>
        <v>가199</v>
      </c>
      <c r="V353" s="7" t="str">
        <f>INDEX(환산공식!$C$16:$C$301,MATCH('배치점수 계산기'!W353,환산공식!$A$16:$A$301,0))</f>
        <v>서울시립 통합</v>
      </c>
      <c r="W353" s="7">
        <f t="shared" si="60"/>
        <v>39</v>
      </c>
      <c r="X353" s="7">
        <f t="shared" si="61"/>
        <v>1</v>
      </c>
      <c r="Y353" s="7">
        <f>IFERROR(INDEX(환산공식!Q$16:Q$200,MATCH($A353,환산공식!$A$16:$A$200,0)),"")</f>
        <v>2.0134228187919465</v>
      </c>
      <c r="Z353" s="7">
        <f>IFERROR(INDEX(환산공식!R$16:R$200,MATCH($A353,환산공식!$A$16:$A$200,0)),"")</f>
        <v>2.0408163265306123</v>
      </c>
      <c r="AA353" s="7">
        <f>IFERROR(INDEX(환산공식!U$16:U$200,MATCH($A353,환산공식!$A$16:$A$200,0)),"")</f>
        <v>1.1363636363636365</v>
      </c>
      <c r="AB353" s="7">
        <f t="shared" si="62"/>
        <v>0.3878976880865993</v>
      </c>
      <c r="AC353" s="7">
        <f t="shared" si="63"/>
        <v>0.39317520765240338</v>
      </c>
      <c r="AD353" s="7">
        <f t="shared" si="64"/>
        <v>0.21892710426099735</v>
      </c>
      <c r="AE353" s="7">
        <f>INDEX(환산공식!$AF$16:$AF$301,MATCH('배치점수 계산기'!W353,환산공식!$A$16:$A$301,0))</f>
        <v>12</v>
      </c>
      <c r="AF353" s="7">
        <f>INDEX(환산공식!$AP$16:$AP$301,MATCH('배치점수 계산기'!W353,환산공식!$A$16:$A$301,0))</f>
        <v>42</v>
      </c>
      <c r="AG353" s="7" t="str">
        <f t="shared" si="65"/>
        <v>표점/만점</v>
      </c>
      <c r="AH353" s="7" t="str">
        <f t="shared" si="66"/>
        <v>변표/만점</v>
      </c>
      <c r="BO353" s="210"/>
      <c r="BP353" s="210"/>
      <c r="BQ353" s="210"/>
      <c r="BR353" s="210"/>
      <c r="BS353" s="210"/>
      <c r="BT353" s="210"/>
      <c r="BU353" s="210"/>
      <c r="BV353" s="210"/>
      <c r="BW353" s="210"/>
      <c r="BX353" s="210"/>
      <c r="BY353" s="210"/>
      <c r="BZ353" s="210"/>
      <c r="CA353" s="210"/>
      <c r="CB353" s="210"/>
      <c r="CC353" s="210"/>
      <c r="EM353" s="120"/>
      <c r="ET353" s="210"/>
      <c r="EU353" s="210"/>
      <c r="EV353" s="210"/>
      <c r="EW353" s="210"/>
      <c r="EX353" s="210"/>
      <c r="EY353" s="210"/>
      <c r="EZ353" s="210"/>
      <c r="FA353" s="210"/>
      <c r="FB353" s="210"/>
      <c r="FC353" s="210"/>
      <c r="FD353" s="210"/>
      <c r="FE353" s="210"/>
      <c r="FF353" s="210"/>
      <c r="FG353" s="210"/>
      <c r="FH353" s="210"/>
      <c r="HR353" s="120"/>
      <c r="HY353" s="210"/>
      <c r="HZ353" s="210"/>
      <c r="IA353" s="210"/>
      <c r="IB353" s="210"/>
      <c r="IC353" s="210"/>
      <c r="ID353" s="210"/>
      <c r="IE353" s="210"/>
      <c r="IF353" s="210"/>
      <c r="IG353" s="210"/>
      <c r="IH353" s="210"/>
      <c r="II353" s="210"/>
      <c r="IJ353" s="210"/>
      <c r="IK353" s="210"/>
      <c r="IL353" s="210"/>
      <c r="IM353" s="210"/>
      <c r="KW353" s="120"/>
      <c r="LD353" s="210"/>
      <c r="LE353" s="210"/>
      <c r="LF353" s="210"/>
      <c r="LG353" s="210"/>
      <c r="LH353" s="210"/>
      <c r="LI353" s="210"/>
      <c r="LJ353" s="210"/>
      <c r="LK353" s="210"/>
      <c r="LL353" s="210"/>
      <c r="LM353" s="210"/>
      <c r="LN353" s="210"/>
      <c r="LO353" s="210"/>
      <c r="LP353" s="210"/>
      <c r="LQ353" s="210"/>
      <c r="LR353" s="210"/>
      <c r="OB353" s="120"/>
      <c r="OI353" s="210"/>
      <c r="OJ353" s="210"/>
      <c r="OK353" s="210"/>
      <c r="OL353" s="210"/>
      <c r="OM353" s="210"/>
      <c r="ON353" s="210"/>
      <c r="OO353" s="210"/>
      <c r="OP353" s="210"/>
      <c r="OQ353" s="210"/>
      <c r="OR353" s="210"/>
      <c r="OS353" s="210"/>
      <c r="OT353" s="210"/>
      <c r="OU353" s="210"/>
      <c r="OV353" s="210"/>
      <c r="OW353" s="210"/>
      <c r="RG353" s="120"/>
    </row>
    <row r="354" spans="1:475" x14ac:dyDescent="0.3">
      <c r="A354" s="7">
        <v>64</v>
      </c>
      <c r="B354" s="7">
        <v>344</v>
      </c>
      <c r="C354" s="7" t="s">
        <v>346</v>
      </c>
      <c r="D354" s="7" t="s">
        <v>717</v>
      </c>
      <c r="E354" s="7" t="s">
        <v>758</v>
      </c>
      <c r="F354" s="7" t="s">
        <v>274</v>
      </c>
      <c r="G354" s="41" t="str">
        <f t="shared" si="58"/>
        <v>X</v>
      </c>
      <c r="H354" s="41">
        <f>INDEX(환산공식!CI$16:CI$301,MATCH('배치점수 계산기'!$W354,환산공식!$A$16:$A$301,0))</f>
        <v>200</v>
      </c>
      <c r="I354" s="41" t="str">
        <f>CONCATENATE(ROUND(INDEX(환산공식!CJ$16:CJ$301,MATCH('배치점수 계산기'!$W354,환산공식!$A$16:$A$301,0)),1),"%")</f>
        <v>100%</v>
      </c>
      <c r="J354" s="41">
        <f>INDEX(환산공식!CK$16:CK$301,MATCH('배치점수 계산기'!$W354,환산공식!$A$16:$A$301,0))</f>
        <v>10</v>
      </c>
      <c r="K354" s="7">
        <f>INDEX(환산공식!$EF$16:$EF$301,MATCH('배치점수 계산기'!W354,환산공식!$A$16:$A$301,0))</f>
        <v>0</v>
      </c>
      <c r="L354" s="41" t="str">
        <f t="shared" si="56"/>
        <v>1% 이하</v>
      </c>
      <c r="M354" s="7">
        <v>889.36554899406917</v>
      </c>
      <c r="N354" s="7">
        <v>887.30603754155936</v>
      </c>
      <c r="O354" s="7">
        <v>885.2816819647594</v>
      </c>
      <c r="P354" s="7">
        <v>883.97644672664637</v>
      </c>
      <c r="Q354" s="7">
        <v>882.28954800602946</v>
      </c>
      <c r="R354" s="7">
        <f t="shared" si="57"/>
        <v>6</v>
      </c>
      <c r="T354" s="7">
        <f>COUNTIF($C$11:C354,C354)</f>
        <v>140</v>
      </c>
      <c r="U354" s="7" t="str">
        <f t="shared" si="59"/>
        <v>나140</v>
      </c>
      <c r="V354" s="7" t="str">
        <f>INDEX(환산공식!$C$16:$C$301,MATCH('배치점수 계산기'!W354,환산공식!$A$16:$A$301,0))</f>
        <v>이화 자연</v>
      </c>
      <c r="W354" s="7">
        <f t="shared" si="60"/>
        <v>64</v>
      </c>
      <c r="X354" s="7">
        <f t="shared" si="61"/>
        <v>1</v>
      </c>
      <c r="Y354" s="7">
        <f>IFERROR(INDEX(환산공식!Q$16:Q$200,MATCH($A354,환산공식!$A$16:$A$200,0)),"")</f>
        <v>1.6778523489932886</v>
      </c>
      <c r="Z354" s="7">
        <f>IFERROR(INDEX(환산공식!R$16:R$200,MATCH($A354,환산공식!$A$16:$A$200,0)),"")</f>
        <v>2.0408163265306123</v>
      </c>
      <c r="AA354" s="7">
        <f>IFERROR(INDEX(환산공식!U$16:U$200,MATCH($A354,환산공식!$A$16:$A$200,0)),"")</f>
        <v>1.7573457050470971</v>
      </c>
      <c r="AB354" s="7">
        <f t="shared" si="62"/>
        <v>0.30640028173525991</v>
      </c>
      <c r="AC354" s="7">
        <f t="shared" si="63"/>
        <v>0.37268279166166307</v>
      </c>
      <c r="AD354" s="7">
        <f t="shared" si="64"/>
        <v>0.32091692660307697</v>
      </c>
      <c r="AE354" s="7">
        <f>INDEX(환산공식!$AF$16:$AF$301,MATCH('배치점수 계산기'!W354,환산공식!$A$16:$A$301,0))</f>
        <v>12</v>
      </c>
      <c r="AF354" s="7">
        <f>INDEX(환산공식!$AP$16:$AP$301,MATCH('배치점수 계산기'!W354,환산공식!$A$16:$A$301,0))</f>
        <v>42</v>
      </c>
      <c r="AG354" s="7" t="str">
        <f t="shared" si="65"/>
        <v>표점/만점</v>
      </c>
      <c r="AH354" s="7" t="str">
        <f t="shared" si="66"/>
        <v>변표/만점</v>
      </c>
      <c r="BO354" s="210"/>
      <c r="BP354" s="210"/>
      <c r="BQ354" s="210"/>
      <c r="BR354" s="210"/>
      <c r="BS354" s="210"/>
      <c r="BT354" s="210"/>
      <c r="BU354" s="210"/>
      <c r="BV354" s="210"/>
      <c r="BW354" s="210"/>
      <c r="BX354" s="210"/>
      <c r="BY354" s="210"/>
      <c r="BZ354" s="210"/>
      <c r="CA354" s="210"/>
      <c r="CB354" s="210"/>
      <c r="CC354" s="210"/>
      <c r="EM354" s="120"/>
      <c r="ET354" s="210"/>
      <c r="EU354" s="210"/>
      <c r="EV354" s="210"/>
      <c r="EW354" s="210"/>
      <c r="EX354" s="210"/>
      <c r="EY354" s="210"/>
      <c r="EZ354" s="210"/>
      <c r="FA354" s="210"/>
      <c r="FB354" s="210"/>
      <c r="FC354" s="210"/>
      <c r="FD354" s="210"/>
      <c r="FE354" s="210"/>
      <c r="FF354" s="210"/>
      <c r="FG354" s="210"/>
      <c r="FH354" s="210"/>
      <c r="HR354" s="120"/>
      <c r="HY354" s="210"/>
      <c r="HZ354" s="210"/>
      <c r="IA354" s="210"/>
      <c r="IB354" s="210"/>
      <c r="IC354" s="210"/>
      <c r="ID354" s="210"/>
      <c r="IE354" s="210"/>
      <c r="IF354" s="210"/>
      <c r="IG354" s="210"/>
      <c r="IH354" s="210"/>
      <c r="II354" s="210"/>
      <c r="IJ354" s="210"/>
      <c r="IK354" s="210"/>
      <c r="IL354" s="210"/>
      <c r="IM354" s="210"/>
      <c r="KW354" s="120"/>
      <c r="LD354" s="210"/>
      <c r="LE354" s="210"/>
      <c r="LF354" s="210"/>
      <c r="LG354" s="210"/>
      <c r="LH354" s="210"/>
      <c r="LI354" s="210"/>
      <c r="LJ354" s="210"/>
      <c r="LK354" s="210"/>
      <c r="LL354" s="210"/>
      <c r="LM354" s="210"/>
      <c r="LN354" s="210"/>
      <c r="LO354" s="210"/>
      <c r="LP354" s="210"/>
      <c r="LQ354" s="210"/>
      <c r="LR354" s="210"/>
      <c r="OB354" s="120"/>
      <c r="OI354" s="210"/>
      <c r="OJ354" s="210"/>
      <c r="OK354" s="210"/>
      <c r="OL354" s="210"/>
      <c r="OM354" s="210"/>
      <c r="ON354" s="210"/>
      <c r="OO354" s="210"/>
      <c r="OP354" s="210"/>
      <c r="OQ354" s="210"/>
      <c r="OR354" s="210"/>
      <c r="OS354" s="210"/>
      <c r="OT354" s="210"/>
      <c r="OU354" s="210"/>
      <c r="OV354" s="210"/>
      <c r="OW354" s="210"/>
      <c r="RG354" s="120"/>
    </row>
    <row r="355" spans="1:475" x14ac:dyDescent="0.3">
      <c r="A355" s="7">
        <v>65</v>
      </c>
      <c r="B355" s="7">
        <v>345</v>
      </c>
      <c r="C355" s="7" t="s">
        <v>346</v>
      </c>
      <c r="D355" s="7" t="s">
        <v>717</v>
      </c>
      <c r="E355" s="7" t="s">
        <v>759</v>
      </c>
      <c r="F355" s="7" t="s">
        <v>275</v>
      </c>
      <c r="G355" s="41" t="str">
        <f t="shared" si="58"/>
        <v>X</v>
      </c>
      <c r="H355" s="41">
        <f>INDEX(환산공식!CI$16:CI$301,MATCH('배치점수 계산기'!$W355,환산공식!$A$16:$A$301,0))</f>
        <v>200</v>
      </c>
      <c r="I355" s="41" t="str">
        <f>CONCATENATE(ROUND(INDEX(환산공식!CJ$16:CJ$301,MATCH('배치점수 계산기'!$W355,환산공식!$A$16:$A$301,0)),1),"%")</f>
        <v>100%</v>
      </c>
      <c r="J355" s="41">
        <f>INDEX(환산공식!CK$16:CK$301,MATCH('배치점수 계산기'!$W355,환산공식!$A$16:$A$301,0))</f>
        <v>10</v>
      </c>
      <c r="K355" s="7">
        <f>INDEX(환산공식!$EF$16:$EF$301,MATCH('배치점수 계산기'!W355,환산공식!$A$16:$A$301,0))</f>
        <v>0</v>
      </c>
      <c r="L355" s="41" t="str">
        <f t="shared" si="56"/>
        <v>1% 이하</v>
      </c>
      <c r="M355" s="7">
        <v>904.19079369857502</v>
      </c>
      <c r="N355" s="7">
        <v>901.2184376881396</v>
      </c>
      <c r="O355" s="7">
        <v>899.28888743507969</v>
      </c>
      <c r="P355" s="7">
        <v>896.87486955649217</v>
      </c>
      <c r="Q355" s="7">
        <v>893.34398956451923</v>
      </c>
      <c r="R355" s="7">
        <f t="shared" si="57"/>
        <v>6</v>
      </c>
      <c r="T355" s="7">
        <f>COUNTIF($C$11:C355,C355)</f>
        <v>141</v>
      </c>
      <c r="U355" s="7" t="str">
        <f t="shared" si="59"/>
        <v>나141</v>
      </c>
      <c r="V355" s="7" t="str">
        <f>INDEX(환산공식!$C$16:$C$301,MATCH('배치점수 계산기'!W355,환산공식!$A$16:$A$301,0))</f>
        <v>이화 통합</v>
      </c>
      <c r="W355" s="7">
        <f t="shared" si="60"/>
        <v>65</v>
      </c>
      <c r="X355" s="7">
        <f t="shared" si="61"/>
        <v>1</v>
      </c>
      <c r="Y355" s="7">
        <f>IFERROR(INDEX(환산공식!Q$16:Q$200,MATCH($A355,환산공식!$A$16:$A$200,0)),"")</f>
        <v>2.0134228187919465</v>
      </c>
      <c r="Z355" s="7">
        <f>IFERROR(INDEX(환산공식!R$16:R$200,MATCH($A355,환산공식!$A$16:$A$200,0)),"")</f>
        <v>1.7006802721088434</v>
      </c>
      <c r="AA355" s="7">
        <f>IFERROR(INDEX(환산공식!U$16:U$200,MATCH($A355,환산공식!$A$16:$A$200,0)),"")</f>
        <v>1.893939393939394</v>
      </c>
      <c r="AB355" s="7">
        <f t="shared" si="62"/>
        <v>0.35902417362826461</v>
      </c>
      <c r="AC355" s="7">
        <f t="shared" si="63"/>
        <v>0.3032573802188856</v>
      </c>
      <c r="AD355" s="7">
        <f t="shared" si="64"/>
        <v>0.3377184461528499</v>
      </c>
      <c r="AE355" s="7">
        <f>INDEX(환산공식!$AF$16:$AF$301,MATCH('배치점수 계산기'!W355,환산공식!$A$16:$A$301,0))</f>
        <v>12</v>
      </c>
      <c r="AF355" s="7">
        <f>INDEX(환산공식!$AP$16:$AP$301,MATCH('배치점수 계산기'!W355,환산공식!$A$16:$A$301,0))</f>
        <v>42</v>
      </c>
      <c r="AG355" s="7" t="str">
        <f t="shared" si="65"/>
        <v>표점/만점</v>
      </c>
      <c r="AH355" s="7" t="str">
        <f t="shared" si="66"/>
        <v>변표/만점</v>
      </c>
      <c r="BO355" s="210"/>
      <c r="BP355" s="210"/>
      <c r="BQ355" s="210"/>
      <c r="BR355" s="210"/>
      <c r="BS355" s="210"/>
      <c r="BT355" s="210"/>
      <c r="BU355" s="210"/>
      <c r="BV355" s="210"/>
      <c r="BW355" s="210"/>
      <c r="BX355" s="210"/>
      <c r="BY355" s="210"/>
      <c r="BZ355" s="210"/>
      <c r="CA355" s="210"/>
      <c r="CB355" s="210"/>
      <c r="CC355" s="210"/>
      <c r="EM355" s="120"/>
      <c r="ET355" s="210"/>
      <c r="EU355" s="210"/>
      <c r="EV355" s="210"/>
      <c r="EW355" s="210"/>
      <c r="EX355" s="210"/>
      <c r="EY355" s="210"/>
      <c r="EZ355" s="210"/>
      <c r="FA355" s="210"/>
      <c r="FB355" s="210"/>
      <c r="FC355" s="210"/>
      <c r="FD355" s="210"/>
      <c r="FE355" s="210"/>
      <c r="FF355" s="210"/>
      <c r="FG355" s="210"/>
      <c r="FH355" s="210"/>
      <c r="HR355" s="120"/>
      <c r="HY355" s="210"/>
      <c r="HZ355" s="210"/>
      <c r="IA355" s="210"/>
      <c r="IB355" s="210"/>
      <c r="IC355" s="210"/>
      <c r="ID355" s="210"/>
      <c r="IE355" s="210"/>
      <c r="IF355" s="210"/>
      <c r="IG355" s="210"/>
      <c r="IH355" s="210"/>
      <c r="II355" s="210"/>
      <c r="IJ355" s="210"/>
      <c r="IK355" s="210"/>
      <c r="IL355" s="210"/>
      <c r="IM355" s="210"/>
      <c r="KW355" s="120"/>
      <c r="LD355" s="210"/>
      <c r="LE355" s="210"/>
      <c r="LF355" s="210"/>
      <c r="LG355" s="210"/>
      <c r="LH355" s="210"/>
      <c r="LI355" s="210"/>
      <c r="LJ355" s="210"/>
      <c r="LK355" s="210"/>
      <c r="LL355" s="210"/>
      <c r="LM355" s="210"/>
      <c r="LN355" s="210"/>
      <c r="LO355" s="210"/>
      <c r="LP355" s="210"/>
      <c r="LQ355" s="210"/>
      <c r="LR355" s="210"/>
      <c r="OB355" s="120"/>
      <c r="OI355" s="210"/>
      <c r="OJ355" s="210"/>
      <c r="OK355" s="210"/>
      <c r="OL355" s="210"/>
      <c r="OM355" s="210"/>
      <c r="ON355" s="210"/>
      <c r="OO355" s="210"/>
      <c r="OP355" s="210"/>
      <c r="OQ355" s="210"/>
      <c r="OR355" s="210"/>
      <c r="OS355" s="210"/>
      <c r="OT355" s="210"/>
      <c r="OU355" s="210"/>
      <c r="OV355" s="210"/>
      <c r="OW355" s="210"/>
      <c r="RG355" s="120"/>
    </row>
    <row r="356" spans="1:475" x14ac:dyDescent="0.3">
      <c r="A356" s="7">
        <v>64</v>
      </c>
      <c r="B356" s="7">
        <v>346</v>
      </c>
      <c r="C356" s="7" t="s">
        <v>346</v>
      </c>
      <c r="D356" s="7" t="s">
        <v>717</v>
      </c>
      <c r="E356" s="7" t="s">
        <v>760</v>
      </c>
      <c r="F356" s="7" t="s">
        <v>274</v>
      </c>
      <c r="G356" s="41" t="str">
        <f t="shared" si="58"/>
        <v>X</v>
      </c>
      <c r="H356" s="41">
        <f>INDEX(환산공식!CI$16:CI$301,MATCH('배치점수 계산기'!$W356,환산공식!$A$16:$A$301,0))</f>
        <v>200</v>
      </c>
      <c r="I356" s="41" t="str">
        <f>CONCATENATE(ROUND(INDEX(환산공식!CJ$16:CJ$301,MATCH('배치점수 계산기'!$W356,환산공식!$A$16:$A$301,0)),1),"%")</f>
        <v>100%</v>
      </c>
      <c r="J356" s="41">
        <f>INDEX(환산공식!CK$16:CK$301,MATCH('배치점수 계산기'!$W356,환산공식!$A$16:$A$301,0))</f>
        <v>10</v>
      </c>
      <c r="K356" s="7">
        <f>INDEX(환산공식!$EF$16:$EF$301,MATCH('배치점수 계산기'!W356,환산공식!$A$16:$A$301,0))</f>
        <v>0</v>
      </c>
      <c r="L356" s="41" t="str">
        <f t="shared" si="56"/>
        <v>1% 이하</v>
      </c>
      <c r="M356" s="7">
        <v>889.36554899406917</v>
      </c>
      <c r="N356" s="7">
        <v>887.30603754155936</v>
      </c>
      <c r="O356" s="7">
        <v>885.2816819647594</v>
      </c>
      <c r="P356" s="7">
        <v>883.4157041998468</v>
      </c>
      <c r="Q356" s="7">
        <v>881.40553310187568</v>
      </c>
      <c r="R356" s="7">
        <f t="shared" si="57"/>
        <v>6</v>
      </c>
      <c r="T356" s="7">
        <f>COUNTIF($C$11:C356,C356)</f>
        <v>142</v>
      </c>
      <c r="U356" s="7" t="str">
        <f t="shared" si="59"/>
        <v>나142</v>
      </c>
      <c r="V356" s="7" t="str">
        <f>INDEX(환산공식!$C$16:$C$301,MATCH('배치점수 계산기'!W356,환산공식!$A$16:$A$301,0))</f>
        <v>이화 자연</v>
      </c>
      <c r="W356" s="7">
        <f t="shared" si="60"/>
        <v>64</v>
      </c>
      <c r="X356" s="7">
        <f t="shared" si="61"/>
        <v>1</v>
      </c>
      <c r="Y356" s="7">
        <f>IFERROR(INDEX(환산공식!Q$16:Q$200,MATCH($A356,환산공식!$A$16:$A$200,0)),"")</f>
        <v>1.6778523489932886</v>
      </c>
      <c r="Z356" s="7">
        <f>IFERROR(INDEX(환산공식!R$16:R$200,MATCH($A356,환산공식!$A$16:$A$200,0)),"")</f>
        <v>2.0408163265306123</v>
      </c>
      <c r="AA356" s="7">
        <f>IFERROR(INDEX(환산공식!U$16:U$200,MATCH($A356,환산공식!$A$16:$A$200,0)),"")</f>
        <v>1.7573457050470971</v>
      </c>
      <c r="AB356" s="7">
        <f t="shared" si="62"/>
        <v>0.30640028173525991</v>
      </c>
      <c r="AC356" s="7">
        <f t="shared" si="63"/>
        <v>0.37268279166166307</v>
      </c>
      <c r="AD356" s="7">
        <f t="shared" si="64"/>
        <v>0.32091692660307697</v>
      </c>
      <c r="AE356" s="7">
        <f>INDEX(환산공식!$AF$16:$AF$301,MATCH('배치점수 계산기'!W356,환산공식!$A$16:$A$301,0))</f>
        <v>12</v>
      </c>
      <c r="AF356" s="7">
        <f>INDEX(환산공식!$AP$16:$AP$301,MATCH('배치점수 계산기'!W356,환산공식!$A$16:$A$301,0))</f>
        <v>42</v>
      </c>
      <c r="AG356" s="7" t="str">
        <f t="shared" si="65"/>
        <v>표점/만점</v>
      </c>
      <c r="AH356" s="7" t="str">
        <f t="shared" si="66"/>
        <v>변표/만점</v>
      </c>
      <c r="BO356" s="210"/>
      <c r="BP356" s="210"/>
      <c r="BQ356" s="210"/>
      <c r="BR356" s="210"/>
      <c r="BS356" s="210"/>
      <c r="BT356" s="210"/>
      <c r="BU356" s="210"/>
      <c r="BV356" s="210"/>
      <c r="BW356" s="210"/>
      <c r="BX356" s="210"/>
      <c r="BY356" s="210"/>
      <c r="BZ356" s="210"/>
      <c r="CA356" s="210"/>
      <c r="CB356" s="210"/>
      <c r="CC356" s="210"/>
      <c r="EM356" s="120"/>
      <c r="ET356" s="210"/>
      <c r="EU356" s="210"/>
      <c r="EV356" s="210"/>
      <c r="EW356" s="210"/>
      <c r="EX356" s="210"/>
      <c r="EY356" s="210"/>
      <c r="EZ356" s="210"/>
      <c r="FA356" s="210"/>
      <c r="FB356" s="210"/>
      <c r="FC356" s="210"/>
      <c r="FD356" s="210"/>
      <c r="FE356" s="210"/>
      <c r="FF356" s="210"/>
      <c r="FG356" s="210"/>
      <c r="FH356" s="210"/>
      <c r="HR356" s="120"/>
      <c r="HY356" s="210"/>
      <c r="HZ356" s="210"/>
      <c r="IA356" s="210"/>
      <c r="IB356" s="210"/>
      <c r="IC356" s="210"/>
      <c r="ID356" s="210"/>
      <c r="IE356" s="210"/>
      <c r="IF356" s="210"/>
      <c r="IG356" s="210"/>
      <c r="IH356" s="210"/>
      <c r="II356" s="210"/>
      <c r="IJ356" s="210"/>
      <c r="IK356" s="210"/>
      <c r="IL356" s="210"/>
      <c r="IM356" s="210"/>
      <c r="KW356" s="120"/>
      <c r="LD356" s="210"/>
      <c r="LE356" s="210"/>
      <c r="LF356" s="210"/>
      <c r="LG356" s="210"/>
      <c r="LH356" s="210"/>
      <c r="LI356" s="210"/>
      <c r="LJ356" s="210"/>
      <c r="LK356" s="210"/>
      <c r="LL356" s="210"/>
      <c r="LM356" s="210"/>
      <c r="LN356" s="210"/>
      <c r="LO356" s="210"/>
      <c r="LP356" s="210"/>
      <c r="LQ356" s="210"/>
      <c r="LR356" s="210"/>
      <c r="OB356" s="120"/>
      <c r="OI356" s="210"/>
      <c r="OJ356" s="210"/>
      <c r="OK356" s="210"/>
      <c r="OL356" s="210"/>
      <c r="OM356" s="210"/>
      <c r="ON356" s="210"/>
      <c r="OO356" s="210"/>
      <c r="OP356" s="210"/>
      <c r="OQ356" s="210"/>
      <c r="OR356" s="210"/>
      <c r="OS356" s="210"/>
      <c r="OT356" s="210"/>
      <c r="OU356" s="210"/>
      <c r="OV356" s="210"/>
      <c r="OW356" s="210"/>
      <c r="RG356" s="120"/>
    </row>
    <row r="357" spans="1:475" x14ac:dyDescent="0.3">
      <c r="A357" s="7">
        <v>65</v>
      </c>
      <c r="B357" s="7">
        <v>347</v>
      </c>
      <c r="C357" s="7" t="s">
        <v>346</v>
      </c>
      <c r="D357" s="7" t="s">
        <v>717</v>
      </c>
      <c r="E357" s="7" t="s">
        <v>761</v>
      </c>
      <c r="F357" s="7" t="s">
        <v>275</v>
      </c>
      <c r="G357" s="41" t="str">
        <f t="shared" si="58"/>
        <v>X</v>
      </c>
      <c r="H357" s="41">
        <f>INDEX(환산공식!CI$16:CI$301,MATCH('배치점수 계산기'!$W357,환산공식!$A$16:$A$301,0))</f>
        <v>200</v>
      </c>
      <c r="I357" s="41" t="str">
        <f>CONCATENATE(ROUND(INDEX(환산공식!CJ$16:CJ$301,MATCH('배치점수 계산기'!$W357,환산공식!$A$16:$A$301,0)),1),"%")</f>
        <v>100%</v>
      </c>
      <c r="J357" s="41">
        <f>INDEX(환산공식!CK$16:CK$301,MATCH('배치점수 계산기'!$W357,환산공식!$A$16:$A$301,0))</f>
        <v>10</v>
      </c>
      <c r="K357" s="7">
        <f>INDEX(환산공식!$EF$16:$EF$301,MATCH('배치점수 계산기'!W357,환산공식!$A$16:$A$301,0))</f>
        <v>0</v>
      </c>
      <c r="L357" s="41" t="str">
        <f t="shared" si="56"/>
        <v>1% 이하</v>
      </c>
      <c r="M357" s="7">
        <v>904.19079369857502</v>
      </c>
      <c r="N357" s="7">
        <v>903.10789098599491</v>
      </c>
      <c r="O357" s="7">
        <v>896.46384859710918</v>
      </c>
      <c r="P357" s="7">
        <v>894.24134055789671</v>
      </c>
      <c r="Q357" s="7">
        <v>891.67220549869546</v>
      </c>
      <c r="R357" s="7">
        <f t="shared" si="57"/>
        <v>6</v>
      </c>
      <c r="T357" s="7">
        <f>COUNTIF($C$11:C357,C357)</f>
        <v>143</v>
      </c>
      <c r="U357" s="7" t="str">
        <f t="shared" si="59"/>
        <v>나143</v>
      </c>
      <c r="V357" s="7" t="str">
        <f>INDEX(환산공식!$C$16:$C$301,MATCH('배치점수 계산기'!W357,환산공식!$A$16:$A$301,0))</f>
        <v>이화 통합</v>
      </c>
      <c r="W357" s="7">
        <f t="shared" si="60"/>
        <v>65</v>
      </c>
      <c r="X357" s="7">
        <f t="shared" si="61"/>
        <v>1</v>
      </c>
      <c r="Y357" s="7">
        <f>IFERROR(INDEX(환산공식!Q$16:Q$200,MATCH($A357,환산공식!$A$16:$A$200,0)),"")</f>
        <v>2.0134228187919465</v>
      </c>
      <c r="Z357" s="7">
        <f>IFERROR(INDEX(환산공식!R$16:R$200,MATCH($A357,환산공식!$A$16:$A$200,0)),"")</f>
        <v>1.7006802721088434</v>
      </c>
      <c r="AA357" s="7">
        <f>IFERROR(INDEX(환산공식!U$16:U$200,MATCH($A357,환산공식!$A$16:$A$200,0)),"")</f>
        <v>1.893939393939394</v>
      </c>
      <c r="AB357" s="7">
        <f t="shared" si="62"/>
        <v>0.35902417362826461</v>
      </c>
      <c r="AC357" s="7">
        <f t="shared" si="63"/>
        <v>0.3032573802188856</v>
      </c>
      <c r="AD357" s="7">
        <f t="shared" si="64"/>
        <v>0.3377184461528499</v>
      </c>
      <c r="AE357" s="7">
        <f>INDEX(환산공식!$AF$16:$AF$301,MATCH('배치점수 계산기'!W357,환산공식!$A$16:$A$301,0))</f>
        <v>12</v>
      </c>
      <c r="AF357" s="7">
        <f>INDEX(환산공식!$AP$16:$AP$301,MATCH('배치점수 계산기'!W357,환산공식!$A$16:$A$301,0))</f>
        <v>42</v>
      </c>
      <c r="AG357" s="7" t="str">
        <f t="shared" si="65"/>
        <v>표점/만점</v>
      </c>
      <c r="AH357" s="7" t="str">
        <f t="shared" si="66"/>
        <v>변표/만점</v>
      </c>
      <c r="BO357" s="210"/>
      <c r="BP357" s="210"/>
      <c r="BQ357" s="210"/>
      <c r="BR357" s="210"/>
      <c r="BS357" s="210"/>
      <c r="BT357" s="210"/>
      <c r="BU357" s="210"/>
      <c r="BV357" s="210"/>
      <c r="BW357" s="210"/>
      <c r="BX357" s="210"/>
      <c r="BY357" s="210"/>
      <c r="BZ357" s="210"/>
      <c r="CA357" s="210"/>
      <c r="CB357" s="210"/>
      <c r="CC357" s="210"/>
      <c r="EM357" s="120"/>
      <c r="ET357" s="210"/>
      <c r="EU357" s="210"/>
      <c r="EV357" s="210"/>
      <c r="EW357" s="210"/>
      <c r="EX357" s="210"/>
      <c r="EY357" s="210"/>
      <c r="EZ357" s="210"/>
      <c r="FA357" s="210"/>
      <c r="FB357" s="210"/>
      <c r="FC357" s="210"/>
      <c r="FD357" s="210"/>
      <c r="FE357" s="210"/>
      <c r="FF357" s="210"/>
      <c r="FG357" s="210"/>
      <c r="FH357" s="210"/>
      <c r="HR357" s="120"/>
      <c r="HY357" s="210"/>
      <c r="HZ357" s="210"/>
      <c r="IA357" s="210"/>
      <c r="IB357" s="210"/>
      <c r="IC357" s="210"/>
      <c r="ID357" s="210"/>
      <c r="IE357" s="210"/>
      <c r="IF357" s="210"/>
      <c r="IG357" s="210"/>
      <c r="IH357" s="210"/>
      <c r="II357" s="210"/>
      <c r="IJ357" s="210"/>
      <c r="IK357" s="210"/>
      <c r="IL357" s="210"/>
      <c r="IM357" s="210"/>
      <c r="KW357" s="120"/>
      <c r="LD357" s="210"/>
      <c r="LE357" s="210"/>
      <c r="LF357" s="210"/>
      <c r="LG357" s="210"/>
      <c r="LH357" s="210"/>
      <c r="LI357" s="210"/>
      <c r="LJ357" s="210"/>
      <c r="LK357" s="210"/>
      <c r="LL357" s="210"/>
      <c r="LM357" s="210"/>
      <c r="LN357" s="210"/>
      <c r="LO357" s="210"/>
      <c r="LP357" s="210"/>
      <c r="LQ357" s="210"/>
      <c r="LR357" s="210"/>
      <c r="OB357" s="120"/>
      <c r="OI357" s="210"/>
      <c r="OJ357" s="210"/>
      <c r="OK357" s="210"/>
      <c r="OL357" s="210"/>
      <c r="OM357" s="210"/>
      <c r="ON357" s="210"/>
      <c r="OO357" s="210"/>
      <c r="OP357" s="210"/>
      <c r="OQ357" s="210"/>
      <c r="OR357" s="210"/>
      <c r="OS357" s="210"/>
      <c r="OT357" s="210"/>
      <c r="OU357" s="210"/>
      <c r="OV357" s="210"/>
      <c r="OW357" s="210"/>
      <c r="RG357" s="120"/>
    </row>
    <row r="358" spans="1:475" x14ac:dyDescent="0.3">
      <c r="A358" s="7">
        <v>65</v>
      </c>
      <c r="B358" s="7">
        <v>348</v>
      </c>
      <c r="C358" s="7" t="s">
        <v>346</v>
      </c>
      <c r="D358" s="7" t="s">
        <v>717</v>
      </c>
      <c r="E358" s="7" t="s">
        <v>762</v>
      </c>
      <c r="F358" s="7" t="s">
        <v>275</v>
      </c>
      <c r="G358" s="41" t="str">
        <f t="shared" si="58"/>
        <v>X</v>
      </c>
      <c r="H358" s="41">
        <f>INDEX(환산공식!CI$16:CI$301,MATCH('배치점수 계산기'!$W358,환산공식!$A$16:$A$301,0))</f>
        <v>200</v>
      </c>
      <c r="I358" s="41" t="str">
        <f>CONCATENATE(ROUND(INDEX(환산공식!CJ$16:CJ$301,MATCH('배치점수 계산기'!$W358,환산공식!$A$16:$A$301,0)),1),"%")</f>
        <v>100%</v>
      </c>
      <c r="J358" s="41">
        <f>INDEX(환산공식!CK$16:CK$301,MATCH('배치점수 계산기'!$W358,환산공식!$A$16:$A$301,0))</f>
        <v>10</v>
      </c>
      <c r="K358" s="7">
        <f>INDEX(환산공식!$EF$16:$EF$301,MATCH('배치점수 계산기'!W358,환산공식!$A$16:$A$301,0))</f>
        <v>0</v>
      </c>
      <c r="L358" s="41" t="str">
        <f t="shared" si="56"/>
        <v>1% 이하</v>
      </c>
      <c r="M358" s="7">
        <v>905.04282287389049</v>
      </c>
      <c r="N358" s="7">
        <v>900.68642885811755</v>
      </c>
      <c r="O358" s="7">
        <v>896.87486955649217</v>
      </c>
      <c r="P358" s="7">
        <v>894.79263788547712</v>
      </c>
      <c r="Q358" s="7">
        <v>893.05651976350623</v>
      </c>
      <c r="R358" s="7">
        <f t="shared" si="57"/>
        <v>6</v>
      </c>
      <c r="T358" s="7">
        <f>COUNTIF($C$11:C358,C358)</f>
        <v>144</v>
      </c>
      <c r="U358" s="7" t="str">
        <f t="shared" si="59"/>
        <v>나144</v>
      </c>
      <c r="V358" s="7" t="str">
        <f>INDEX(환산공식!$C$16:$C$301,MATCH('배치점수 계산기'!W358,환산공식!$A$16:$A$301,0))</f>
        <v>이화 통합</v>
      </c>
      <c r="W358" s="7">
        <f t="shared" si="60"/>
        <v>65</v>
      </c>
      <c r="X358" s="7">
        <f t="shared" si="61"/>
        <v>1</v>
      </c>
      <c r="Y358" s="7">
        <f>IFERROR(INDEX(환산공식!Q$16:Q$200,MATCH($A358,환산공식!$A$16:$A$200,0)),"")</f>
        <v>2.0134228187919465</v>
      </c>
      <c r="Z358" s="7">
        <f>IFERROR(INDEX(환산공식!R$16:R$200,MATCH($A358,환산공식!$A$16:$A$200,0)),"")</f>
        <v>1.7006802721088434</v>
      </c>
      <c r="AA358" s="7">
        <f>IFERROR(INDEX(환산공식!U$16:U$200,MATCH($A358,환산공식!$A$16:$A$200,0)),"")</f>
        <v>1.893939393939394</v>
      </c>
      <c r="AB358" s="7">
        <f t="shared" si="62"/>
        <v>0.35902417362826461</v>
      </c>
      <c r="AC358" s="7">
        <f t="shared" si="63"/>
        <v>0.3032573802188856</v>
      </c>
      <c r="AD358" s="7">
        <f t="shared" si="64"/>
        <v>0.3377184461528499</v>
      </c>
      <c r="AE358" s="7">
        <f>INDEX(환산공식!$AF$16:$AF$301,MATCH('배치점수 계산기'!W358,환산공식!$A$16:$A$301,0))</f>
        <v>12</v>
      </c>
      <c r="AF358" s="7">
        <f>INDEX(환산공식!$AP$16:$AP$301,MATCH('배치점수 계산기'!W358,환산공식!$A$16:$A$301,0))</f>
        <v>42</v>
      </c>
      <c r="AG358" s="7" t="str">
        <f t="shared" si="65"/>
        <v>표점/만점</v>
      </c>
      <c r="AH358" s="7" t="str">
        <f t="shared" si="66"/>
        <v>변표/만점</v>
      </c>
      <c r="BO358" s="210"/>
      <c r="BP358" s="210"/>
      <c r="BQ358" s="210"/>
      <c r="BR358" s="210"/>
      <c r="BS358" s="210"/>
      <c r="BT358" s="210"/>
      <c r="BU358" s="210"/>
      <c r="BV358" s="210"/>
      <c r="BW358" s="210"/>
      <c r="BX358" s="210"/>
      <c r="BY358" s="210"/>
      <c r="BZ358" s="210"/>
      <c r="CA358" s="210"/>
      <c r="CB358" s="210"/>
      <c r="CC358" s="210"/>
      <c r="EM358" s="120"/>
      <c r="ET358" s="210"/>
      <c r="EU358" s="210"/>
      <c r="EV358" s="210"/>
      <c r="EW358" s="210"/>
      <c r="EX358" s="210"/>
      <c r="EY358" s="210"/>
      <c r="EZ358" s="210"/>
      <c r="FA358" s="210"/>
      <c r="FB358" s="210"/>
      <c r="FC358" s="210"/>
      <c r="FD358" s="210"/>
      <c r="FE358" s="210"/>
      <c r="FF358" s="210"/>
      <c r="FG358" s="210"/>
      <c r="FH358" s="210"/>
      <c r="HR358" s="120"/>
      <c r="HY358" s="210"/>
      <c r="HZ358" s="210"/>
      <c r="IA358" s="210"/>
      <c r="IB358" s="210"/>
      <c r="IC358" s="210"/>
      <c r="ID358" s="210"/>
      <c r="IE358" s="210"/>
      <c r="IF358" s="210"/>
      <c r="IG358" s="210"/>
      <c r="IH358" s="210"/>
      <c r="II358" s="210"/>
      <c r="IJ358" s="210"/>
      <c r="IK358" s="210"/>
      <c r="IL358" s="210"/>
      <c r="IM358" s="210"/>
      <c r="KW358" s="120"/>
      <c r="LD358" s="210"/>
      <c r="LE358" s="210"/>
      <c r="LF358" s="210"/>
      <c r="LG358" s="210"/>
      <c r="LH358" s="210"/>
      <c r="LI358" s="210"/>
      <c r="LJ358" s="210"/>
      <c r="LK358" s="210"/>
      <c r="LL358" s="210"/>
      <c r="LM358" s="210"/>
      <c r="LN358" s="210"/>
      <c r="LO358" s="210"/>
      <c r="LP358" s="210"/>
      <c r="LQ358" s="210"/>
      <c r="LR358" s="210"/>
      <c r="OB358" s="120"/>
      <c r="OI358" s="210"/>
      <c r="OJ358" s="210"/>
      <c r="OK358" s="210"/>
      <c r="OL358" s="210"/>
      <c r="OM358" s="210"/>
      <c r="ON358" s="210"/>
      <c r="OO358" s="210"/>
      <c r="OP358" s="210"/>
      <c r="OQ358" s="210"/>
      <c r="OR358" s="210"/>
      <c r="OS358" s="210"/>
      <c r="OT358" s="210"/>
      <c r="OU358" s="210"/>
      <c r="OV358" s="210"/>
      <c r="OW358" s="210"/>
      <c r="RG358" s="120"/>
    </row>
    <row r="359" spans="1:475" x14ac:dyDescent="0.3">
      <c r="A359" s="7">
        <v>65</v>
      </c>
      <c r="B359" s="7">
        <v>349</v>
      </c>
      <c r="C359" s="7" t="s">
        <v>346</v>
      </c>
      <c r="D359" s="7" t="s">
        <v>717</v>
      </c>
      <c r="E359" s="7" t="s">
        <v>763</v>
      </c>
      <c r="F359" s="7" t="s">
        <v>275</v>
      </c>
      <c r="G359" s="41" t="str">
        <f t="shared" si="58"/>
        <v>X</v>
      </c>
      <c r="H359" s="41">
        <f>INDEX(환산공식!CI$16:CI$301,MATCH('배치점수 계산기'!$W359,환산공식!$A$16:$A$301,0))</f>
        <v>200</v>
      </c>
      <c r="I359" s="41" t="str">
        <f>CONCATENATE(ROUND(INDEX(환산공식!CJ$16:CJ$301,MATCH('배치점수 계산기'!$W359,환산공식!$A$16:$A$301,0)),1),"%")</f>
        <v>100%</v>
      </c>
      <c r="J359" s="41">
        <f>INDEX(환산공식!CK$16:CK$301,MATCH('배치점수 계산기'!$W359,환산공식!$A$16:$A$301,0))</f>
        <v>10</v>
      </c>
      <c r="K359" s="7">
        <f>INDEX(환산공식!$EF$16:$EF$301,MATCH('배치점수 계산기'!W359,환산공식!$A$16:$A$301,0))</f>
        <v>0</v>
      </c>
      <c r="L359" s="41" t="str">
        <f t="shared" si="56"/>
        <v>1% 이하</v>
      </c>
      <c r="M359" s="7">
        <v>906.490989363837</v>
      </c>
      <c r="N359" s="7">
        <v>904.19079369857502</v>
      </c>
      <c r="O359" s="7">
        <v>901.90370882586228</v>
      </c>
      <c r="P359" s="7">
        <v>900.19996508526197</v>
      </c>
      <c r="Q359" s="7">
        <v>893.34398956451923</v>
      </c>
      <c r="R359" s="7">
        <f t="shared" si="57"/>
        <v>6</v>
      </c>
      <c r="T359" s="7">
        <f>COUNTIF($C$11:C359,C359)</f>
        <v>145</v>
      </c>
      <c r="U359" s="7" t="str">
        <f t="shared" si="59"/>
        <v>나145</v>
      </c>
      <c r="V359" s="7" t="str">
        <f>INDEX(환산공식!$C$16:$C$301,MATCH('배치점수 계산기'!W359,환산공식!$A$16:$A$301,0))</f>
        <v>이화 통합</v>
      </c>
      <c r="W359" s="7">
        <f t="shared" si="60"/>
        <v>65</v>
      </c>
      <c r="X359" s="7">
        <f t="shared" si="61"/>
        <v>1</v>
      </c>
      <c r="Y359" s="7">
        <f>IFERROR(INDEX(환산공식!Q$16:Q$200,MATCH($A359,환산공식!$A$16:$A$200,0)),"")</f>
        <v>2.0134228187919465</v>
      </c>
      <c r="Z359" s="7">
        <f>IFERROR(INDEX(환산공식!R$16:R$200,MATCH($A359,환산공식!$A$16:$A$200,0)),"")</f>
        <v>1.7006802721088434</v>
      </c>
      <c r="AA359" s="7">
        <f>IFERROR(INDEX(환산공식!U$16:U$200,MATCH($A359,환산공식!$A$16:$A$200,0)),"")</f>
        <v>1.893939393939394</v>
      </c>
      <c r="AB359" s="7">
        <f t="shared" si="62"/>
        <v>0.35902417362826461</v>
      </c>
      <c r="AC359" s="7">
        <f t="shared" si="63"/>
        <v>0.3032573802188856</v>
      </c>
      <c r="AD359" s="7">
        <f t="shared" si="64"/>
        <v>0.3377184461528499</v>
      </c>
      <c r="AE359" s="7">
        <f>INDEX(환산공식!$AF$16:$AF$301,MATCH('배치점수 계산기'!W359,환산공식!$A$16:$A$301,0))</f>
        <v>12</v>
      </c>
      <c r="AF359" s="7">
        <f>INDEX(환산공식!$AP$16:$AP$301,MATCH('배치점수 계산기'!W359,환산공식!$A$16:$A$301,0))</f>
        <v>42</v>
      </c>
      <c r="AG359" s="7" t="str">
        <f t="shared" si="65"/>
        <v>표점/만점</v>
      </c>
      <c r="AH359" s="7" t="str">
        <f t="shared" si="66"/>
        <v>변표/만점</v>
      </c>
      <c r="BO359" s="210"/>
      <c r="BP359" s="210"/>
      <c r="BQ359" s="210"/>
      <c r="BR359" s="210"/>
      <c r="BS359" s="210"/>
      <c r="BT359" s="210"/>
      <c r="BU359" s="210"/>
      <c r="BV359" s="210"/>
      <c r="BW359" s="210"/>
      <c r="BX359" s="210"/>
      <c r="BY359" s="210"/>
      <c r="BZ359" s="210"/>
      <c r="CA359" s="210"/>
      <c r="CB359" s="210"/>
      <c r="CC359" s="210"/>
      <c r="EM359" s="120"/>
      <c r="ET359" s="210"/>
      <c r="EU359" s="210"/>
      <c r="EV359" s="210"/>
      <c r="EW359" s="210"/>
      <c r="EX359" s="210"/>
      <c r="EY359" s="210"/>
      <c r="EZ359" s="210"/>
      <c r="FA359" s="210"/>
      <c r="FB359" s="210"/>
      <c r="FC359" s="210"/>
      <c r="FD359" s="210"/>
      <c r="FE359" s="210"/>
      <c r="FF359" s="210"/>
      <c r="FG359" s="210"/>
      <c r="FH359" s="210"/>
      <c r="HR359" s="120"/>
      <c r="HY359" s="210"/>
      <c r="HZ359" s="210"/>
      <c r="IA359" s="210"/>
      <c r="IB359" s="210"/>
      <c r="IC359" s="210"/>
      <c r="ID359" s="210"/>
      <c r="IE359" s="210"/>
      <c r="IF359" s="210"/>
      <c r="IG359" s="210"/>
      <c r="IH359" s="210"/>
      <c r="II359" s="210"/>
      <c r="IJ359" s="210"/>
      <c r="IK359" s="210"/>
      <c r="IL359" s="210"/>
      <c r="IM359" s="210"/>
      <c r="KW359" s="120"/>
      <c r="LD359" s="210"/>
      <c r="LE359" s="210"/>
      <c r="LF359" s="210"/>
      <c r="LG359" s="210"/>
      <c r="LH359" s="210"/>
      <c r="LI359" s="210"/>
      <c r="LJ359" s="210"/>
      <c r="LK359" s="210"/>
      <c r="LL359" s="210"/>
      <c r="LM359" s="210"/>
      <c r="LN359" s="210"/>
      <c r="LO359" s="210"/>
      <c r="LP359" s="210"/>
      <c r="LQ359" s="210"/>
      <c r="LR359" s="210"/>
      <c r="OB359" s="120"/>
      <c r="OI359" s="210"/>
      <c r="OJ359" s="210"/>
      <c r="OK359" s="210"/>
      <c r="OL359" s="210"/>
      <c r="OM359" s="210"/>
      <c r="ON359" s="210"/>
      <c r="OO359" s="210"/>
      <c r="OP359" s="210"/>
      <c r="OQ359" s="210"/>
      <c r="OR359" s="210"/>
      <c r="OS359" s="210"/>
      <c r="OT359" s="210"/>
      <c r="OU359" s="210"/>
      <c r="OV359" s="210"/>
      <c r="OW359" s="210"/>
      <c r="RG359" s="120"/>
    </row>
    <row r="360" spans="1:475" x14ac:dyDescent="0.3">
      <c r="A360" s="7">
        <v>36</v>
      </c>
      <c r="B360" s="7">
        <v>350</v>
      </c>
      <c r="C360" s="7" t="s">
        <v>346</v>
      </c>
      <c r="D360" s="7" t="s">
        <v>764</v>
      </c>
      <c r="E360" s="7" t="s">
        <v>435</v>
      </c>
      <c r="F360" s="7" t="s">
        <v>275</v>
      </c>
      <c r="G360" s="41" t="str">
        <f t="shared" si="58"/>
        <v>X</v>
      </c>
      <c r="H360" s="41">
        <f>INDEX(환산공식!CI$16:CI$301,MATCH('배치점수 계산기'!$W360,환산공식!$A$16:$A$301,0))</f>
        <v>140</v>
      </c>
      <c r="I360" s="41" t="str">
        <f>CONCATENATE(ROUND(INDEX(환산공식!CJ$16:CJ$301,MATCH('배치점수 계산기'!$W360,환산공식!$A$16:$A$301,0)),1),"%")</f>
        <v>100%</v>
      </c>
      <c r="J360" s="41">
        <f>INDEX(환산공식!CK$16:CK$301,MATCH('배치점수 계산기'!$W360,환산공식!$A$16:$A$301,0))</f>
        <v>10</v>
      </c>
      <c r="K360" s="7">
        <f>INDEX(환산공식!$EF$16:$EF$301,MATCH('배치점수 계산기'!W360,환산공식!$A$16:$A$301,0))</f>
        <v>0</v>
      </c>
      <c r="L360" s="41" t="str">
        <f t="shared" si="56"/>
        <v>1% 이하</v>
      </c>
      <c r="M360" s="7">
        <v>630.31174470913561</v>
      </c>
      <c r="N360" s="7">
        <v>629.16266914742914</v>
      </c>
      <c r="O360" s="7">
        <v>628.00067453819634</v>
      </c>
      <c r="P360" s="7">
        <v>620.95169908079629</v>
      </c>
      <c r="Q360" s="7">
        <v>615.77657234597632</v>
      </c>
      <c r="R360" s="7">
        <f t="shared" si="57"/>
        <v>6</v>
      </c>
      <c r="T360" s="7">
        <f>COUNTIF($C$11:C360,C360)</f>
        <v>146</v>
      </c>
      <c r="U360" s="7" t="str">
        <f t="shared" si="59"/>
        <v>나146</v>
      </c>
      <c r="V360" s="7" t="str">
        <f>INDEX(환산공식!$C$16:$C$301,MATCH('배치점수 계산기'!W360,환산공식!$A$16:$A$301,0))</f>
        <v>한국외대 서울</v>
      </c>
      <c r="W360" s="7">
        <f t="shared" si="60"/>
        <v>36</v>
      </c>
      <c r="X360" s="7">
        <f t="shared" si="61"/>
        <v>1</v>
      </c>
      <c r="Y360" s="7">
        <f>IFERROR(INDEX(환산공식!Q$16:Q$200,MATCH($A360,환산공식!$A$16:$A$200,0)),"")</f>
        <v>1.4093959731543624</v>
      </c>
      <c r="Z360" s="7">
        <f>IFERROR(INDEX(환산공식!R$16:R$200,MATCH($A360,환산공식!$A$16:$A$200,0)),"")</f>
        <v>1.4285714285714286</v>
      </c>
      <c r="AA360" s="7">
        <f>IFERROR(INDEX(환산공식!U$16:U$200,MATCH($A360,환산공식!$A$16:$A$200,0)),"")</f>
        <v>1.0606060606060606</v>
      </c>
      <c r="AB360" s="7">
        <f t="shared" si="62"/>
        <v>0.36151581771434954</v>
      </c>
      <c r="AC360" s="7">
        <f t="shared" si="63"/>
        <v>0.36643440026828633</v>
      </c>
      <c r="AD360" s="7">
        <f t="shared" si="64"/>
        <v>0.27204978201736407</v>
      </c>
      <c r="AE360" s="7">
        <f>INDEX(환산공식!$AF$16:$AF$301,MATCH('배치점수 계산기'!W360,환산공식!$A$16:$A$301,0))</f>
        <v>12</v>
      </c>
      <c r="AF360" s="7">
        <f>INDEX(환산공식!$AP$16:$AP$301,MATCH('배치점수 계산기'!W360,환산공식!$A$16:$A$301,0))</f>
        <v>42</v>
      </c>
      <c r="AG360" s="7" t="str">
        <f t="shared" si="65"/>
        <v>표점/만점</v>
      </c>
      <c r="AH360" s="7" t="str">
        <f t="shared" si="66"/>
        <v>변표/만점</v>
      </c>
      <c r="BO360" s="210"/>
      <c r="BP360" s="210"/>
      <c r="BQ360" s="210"/>
      <c r="BR360" s="210"/>
      <c r="BS360" s="210"/>
      <c r="BT360" s="210"/>
      <c r="BU360" s="210"/>
      <c r="BV360" s="210"/>
      <c r="BW360" s="210"/>
      <c r="BX360" s="210"/>
      <c r="BY360" s="210"/>
      <c r="BZ360" s="210"/>
      <c r="CA360" s="210"/>
      <c r="CB360" s="210"/>
      <c r="CC360" s="210"/>
      <c r="EM360" s="120"/>
      <c r="ET360" s="210"/>
      <c r="EU360" s="210"/>
      <c r="EV360" s="210"/>
      <c r="EW360" s="210"/>
      <c r="EX360" s="210"/>
      <c r="EY360" s="210"/>
      <c r="EZ360" s="210"/>
      <c r="FA360" s="210"/>
      <c r="FB360" s="210"/>
      <c r="FC360" s="210"/>
      <c r="FD360" s="210"/>
      <c r="FE360" s="210"/>
      <c r="FF360" s="210"/>
      <c r="FG360" s="210"/>
      <c r="FH360" s="210"/>
      <c r="HR360" s="120"/>
      <c r="HY360" s="210"/>
      <c r="HZ360" s="210"/>
      <c r="IA360" s="210"/>
      <c r="IB360" s="210"/>
      <c r="IC360" s="210"/>
      <c r="ID360" s="210"/>
      <c r="IE360" s="210"/>
      <c r="IF360" s="210"/>
      <c r="IG360" s="210"/>
      <c r="IH360" s="210"/>
      <c r="II360" s="210"/>
      <c r="IJ360" s="210"/>
      <c r="IK360" s="210"/>
      <c r="IL360" s="210"/>
      <c r="IM360" s="210"/>
      <c r="KW360" s="120"/>
      <c r="LD360" s="210"/>
      <c r="LE360" s="210"/>
      <c r="LF360" s="210"/>
      <c r="LG360" s="210"/>
      <c r="LH360" s="210"/>
      <c r="LI360" s="210"/>
      <c r="LJ360" s="210"/>
      <c r="LK360" s="210"/>
      <c r="LL360" s="210"/>
      <c r="LM360" s="210"/>
      <c r="LN360" s="210"/>
      <c r="LO360" s="210"/>
      <c r="LP360" s="210"/>
      <c r="LQ360" s="210"/>
      <c r="LR360" s="210"/>
      <c r="OB360" s="120"/>
      <c r="OI360" s="210"/>
      <c r="OJ360" s="210"/>
      <c r="OK360" s="210"/>
      <c r="OL360" s="210"/>
      <c r="OM360" s="210"/>
      <c r="ON360" s="210"/>
      <c r="OO360" s="210"/>
      <c r="OP360" s="210"/>
      <c r="OQ360" s="210"/>
      <c r="OR360" s="210"/>
      <c r="OS360" s="210"/>
      <c r="OT360" s="210"/>
      <c r="OU360" s="210"/>
      <c r="OV360" s="210"/>
      <c r="OW360" s="210"/>
      <c r="RG360" s="120"/>
    </row>
    <row r="361" spans="1:475" x14ac:dyDescent="0.3">
      <c r="A361" s="7">
        <v>36</v>
      </c>
      <c r="B361" s="7">
        <v>351</v>
      </c>
      <c r="C361" s="7" t="s">
        <v>276</v>
      </c>
      <c r="D361" s="7" t="s">
        <v>764</v>
      </c>
      <c r="E361" s="7" t="s">
        <v>436</v>
      </c>
      <c r="F361" s="7" t="s">
        <v>275</v>
      </c>
      <c r="G361" s="41" t="str">
        <f t="shared" si="58"/>
        <v>X</v>
      </c>
      <c r="H361" s="41">
        <f>INDEX(환산공식!CI$16:CI$301,MATCH('배치점수 계산기'!$W361,환산공식!$A$16:$A$301,0))</f>
        <v>140</v>
      </c>
      <c r="I361" s="41" t="str">
        <f>CONCATENATE(ROUND(INDEX(환산공식!CJ$16:CJ$301,MATCH('배치점수 계산기'!$W361,환산공식!$A$16:$A$301,0)),1),"%")</f>
        <v>100%</v>
      </c>
      <c r="J361" s="41">
        <f>INDEX(환산공식!CK$16:CK$301,MATCH('배치점수 계산기'!$W361,환산공식!$A$16:$A$301,0))</f>
        <v>10</v>
      </c>
      <c r="K361" s="7">
        <f>INDEX(환산공식!$EF$16:$EF$301,MATCH('배치점수 계산기'!W361,환산공식!$A$16:$A$301,0))</f>
        <v>0</v>
      </c>
      <c r="L361" s="41" t="str">
        <f t="shared" si="56"/>
        <v>1% 이하</v>
      </c>
      <c r="M361" s="7">
        <v>630.31174470913561</v>
      </c>
      <c r="N361" s="7">
        <v>629.16266914742914</v>
      </c>
      <c r="O361" s="7">
        <v>628.00067453819634</v>
      </c>
      <c r="P361" s="7">
        <v>620.95169908079629</v>
      </c>
      <c r="Q361" s="7">
        <v>615.77657234597632</v>
      </c>
      <c r="R361" s="7">
        <f t="shared" si="57"/>
        <v>6</v>
      </c>
      <c r="T361" s="7">
        <f>COUNTIF($C$11:C361,C361)</f>
        <v>200</v>
      </c>
      <c r="U361" s="7" t="str">
        <f t="shared" si="59"/>
        <v>가200</v>
      </c>
      <c r="V361" s="7" t="str">
        <f>INDEX(환산공식!$C$16:$C$301,MATCH('배치점수 계산기'!W361,환산공식!$A$16:$A$301,0))</f>
        <v>한국외대 서울</v>
      </c>
      <c r="W361" s="7">
        <f t="shared" si="60"/>
        <v>36</v>
      </c>
      <c r="X361" s="7">
        <f t="shared" si="61"/>
        <v>1</v>
      </c>
      <c r="Y361" s="7">
        <f>IFERROR(INDEX(환산공식!Q$16:Q$200,MATCH($A361,환산공식!$A$16:$A$200,0)),"")</f>
        <v>1.4093959731543624</v>
      </c>
      <c r="Z361" s="7">
        <f>IFERROR(INDEX(환산공식!R$16:R$200,MATCH($A361,환산공식!$A$16:$A$200,0)),"")</f>
        <v>1.4285714285714286</v>
      </c>
      <c r="AA361" s="7">
        <f>IFERROR(INDEX(환산공식!U$16:U$200,MATCH($A361,환산공식!$A$16:$A$200,0)),"")</f>
        <v>1.0606060606060606</v>
      </c>
      <c r="AB361" s="7">
        <f t="shared" si="62"/>
        <v>0.36151581771434954</v>
      </c>
      <c r="AC361" s="7">
        <f t="shared" si="63"/>
        <v>0.36643440026828633</v>
      </c>
      <c r="AD361" s="7">
        <f t="shared" si="64"/>
        <v>0.27204978201736407</v>
      </c>
      <c r="AE361" s="7">
        <f>INDEX(환산공식!$AF$16:$AF$301,MATCH('배치점수 계산기'!W361,환산공식!$A$16:$A$301,0))</f>
        <v>12</v>
      </c>
      <c r="AF361" s="7">
        <f>INDEX(환산공식!$AP$16:$AP$301,MATCH('배치점수 계산기'!W361,환산공식!$A$16:$A$301,0))</f>
        <v>42</v>
      </c>
      <c r="AG361" s="7" t="str">
        <f t="shared" si="65"/>
        <v>표점/만점</v>
      </c>
      <c r="AH361" s="7" t="str">
        <f t="shared" si="66"/>
        <v>변표/만점</v>
      </c>
      <c r="BO361" s="210"/>
      <c r="BP361" s="210"/>
      <c r="BQ361" s="210"/>
      <c r="BR361" s="210"/>
      <c r="BS361" s="210"/>
      <c r="BT361" s="210"/>
      <c r="BU361" s="210"/>
      <c r="BV361" s="210"/>
      <c r="BW361" s="210"/>
      <c r="BX361" s="210"/>
      <c r="BY361" s="210"/>
      <c r="BZ361" s="210"/>
      <c r="CA361" s="210"/>
      <c r="CB361" s="210"/>
      <c r="CC361" s="210"/>
      <c r="EM361" s="120"/>
      <c r="ET361" s="210"/>
      <c r="EU361" s="210"/>
      <c r="EV361" s="210"/>
      <c r="EW361" s="210"/>
      <c r="EX361" s="210"/>
      <c r="EY361" s="210"/>
      <c r="EZ361" s="210"/>
      <c r="FA361" s="210"/>
      <c r="FB361" s="210"/>
      <c r="FC361" s="210"/>
      <c r="FD361" s="210"/>
      <c r="FE361" s="210"/>
      <c r="FF361" s="210"/>
      <c r="FG361" s="210"/>
      <c r="FH361" s="210"/>
      <c r="HR361" s="120"/>
      <c r="HY361" s="210"/>
      <c r="HZ361" s="210"/>
      <c r="IA361" s="210"/>
      <c r="IB361" s="210"/>
      <c r="IC361" s="210"/>
      <c r="ID361" s="210"/>
      <c r="IE361" s="210"/>
      <c r="IF361" s="210"/>
      <c r="IG361" s="210"/>
      <c r="IH361" s="210"/>
      <c r="II361" s="210"/>
      <c r="IJ361" s="210"/>
      <c r="IK361" s="210"/>
      <c r="IL361" s="210"/>
      <c r="IM361" s="210"/>
      <c r="KW361" s="120"/>
      <c r="LD361" s="210"/>
      <c r="LE361" s="210"/>
      <c r="LF361" s="210"/>
      <c r="LG361" s="210"/>
      <c r="LH361" s="210"/>
      <c r="LI361" s="210"/>
      <c r="LJ361" s="210"/>
      <c r="LK361" s="210"/>
      <c r="LL361" s="210"/>
      <c r="LM361" s="210"/>
      <c r="LN361" s="210"/>
      <c r="LO361" s="210"/>
      <c r="LP361" s="210"/>
      <c r="LQ361" s="210"/>
      <c r="LR361" s="210"/>
      <c r="OB361" s="120"/>
      <c r="OI361" s="210"/>
      <c r="OJ361" s="210"/>
      <c r="OK361" s="210"/>
      <c r="OL361" s="210"/>
      <c r="OM361" s="210"/>
      <c r="ON361" s="210"/>
      <c r="OO361" s="210"/>
      <c r="OP361" s="210"/>
      <c r="OQ361" s="210"/>
      <c r="OR361" s="210"/>
      <c r="OS361" s="210"/>
      <c r="OT361" s="210"/>
      <c r="OU361" s="210"/>
      <c r="OV361" s="210"/>
      <c r="OW361" s="210"/>
      <c r="RG361" s="120"/>
    </row>
    <row r="362" spans="1:475" x14ac:dyDescent="0.3">
      <c r="A362" s="7">
        <v>36</v>
      </c>
      <c r="B362" s="7">
        <v>352</v>
      </c>
      <c r="C362" s="7" t="s">
        <v>346</v>
      </c>
      <c r="D362" s="7" t="s">
        <v>764</v>
      </c>
      <c r="E362" s="7" t="s">
        <v>765</v>
      </c>
      <c r="F362" s="7" t="s">
        <v>275</v>
      </c>
      <c r="G362" s="41" t="str">
        <f t="shared" si="58"/>
        <v>X</v>
      </c>
      <c r="H362" s="41">
        <f>INDEX(환산공식!CI$16:CI$301,MATCH('배치점수 계산기'!$W362,환산공식!$A$16:$A$301,0))</f>
        <v>140</v>
      </c>
      <c r="I362" s="41" t="str">
        <f>CONCATENATE(ROUND(INDEX(환산공식!CJ$16:CJ$301,MATCH('배치점수 계산기'!$W362,환산공식!$A$16:$A$301,0)),1),"%")</f>
        <v>100%</v>
      </c>
      <c r="J362" s="41">
        <f>INDEX(환산공식!CK$16:CK$301,MATCH('배치점수 계산기'!$W362,환산공식!$A$16:$A$301,0))</f>
        <v>10</v>
      </c>
      <c r="K362" s="7">
        <f>INDEX(환산공식!$EF$16:$EF$301,MATCH('배치점수 계산기'!W362,환산공식!$A$16:$A$301,0))</f>
        <v>0</v>
      </c>
      <c r="L362" s="41" t="str">
        <f t="shared" si="56"/>
        <v>1% 이하</v>
      </c>
      <c r="M362" s="7">
        <v>632.2848113081684</v>
      </c>
      <c r="N362" s="7">
        <v>631.5073831025486</v>
      </c>
      <c r="O362" s="7">
        <v>629.98681505571221</v>
      </c>
      <c r="P362" s="7">
        <v>628.2797220679065</v>
      </c>
      <c r="Q362" s="7">
        <v>626.32670880995397</v>
      </c>
      <c r="R362" s="7">
        <f t="shared" si="57"/>
        <v>6</v>
      </c>
      <c r="T362" s="7">
        <f>COUNTIF($C$11:C362,C362)</f>
        <v>147</v>
      </c>
      <c r="U362" s="7" t="str">
        <f t="shared" si="59"/>
        <v>나147</v>
      </c>
      <c r="V362" s="7" t="str">
        <f>INDEX(환산공식!$C$16:$C$301,MATCH('배치점수 계산기'!W362,환산공식!$A$16:$A$301,0))</f>
        <v>한국외대 서울</v>
      </c>
      <c r="W362" s="7">
        <f t="shared" si="60"/>
        <v>36</v>
      </c>
      <c r="X362" s="7">
        <f t="shared" si="61"/>
        <v>1</v>
      </c>
      <c r="Y362" s="7">
        <f>IFERROR(INDEX(환산공식!Q$16:Q$200,MATCH($A362,환산공식!$A$16:$A$200,0)),"")</f>
        <v>1.4093959731543624</v>
      </c>
      <c r="Z362" s="7">
        <f>IFERROR(INDEX(환산공식!R$16:R$200,MATCH($A362,환산공식!$A$16:$A$200,0)),"")</f>
        <v>1.4285714285714286</v>
      </c>
      <c r="AA362" s="7">
        <f>IFERROR(INDEX(환산공식!U$16:U$200,MATCH($A362,환산공식!$A$16:$A$200,0)),"")</f>
        <v>1.0606060606060606</v>
      </c>
      <c r="AB362" s="7">
        <f t="shared" si="62"/>
        <v>0.36151581771434954</v>
      </c>
      <c r="AC362" s="7">
        <f t="shared" si="63"/>
        <v>0.36643440026828633</v>
      </c>
      <c r="AD362" s="7">
        <f t="shared" si="64"/>
        <v>0.27204978201736407</v>
      </c>
      <c r="AE362" s="7">
        <f>INDEX(환산공식!$AF$16:$AF$301,MATCH('배치점수 계산기'!W362,환산공식!$A$16:$A$301,0))</f>
        <v>12</v>
      </c>
      <c r="AF362" s="7">
        <f>INDEX(환산공식!$AP$16:$AP$301,MATCH('배치점수 계산기'!W362,환산공식!$A$16:$A$301,0))</f>
        <v>42</v>
      </c>
      <c r="AG362" s="7" t="str">
        <f t="shared" si="65"/>
        <v>표점/만점</v>
      </c>
      <c r="AH362" s="7" t="str">
        <f t="shared" si="66"/>
        <v>변표/만점</v>
      </c>
      <c r="BO362" s="210"/>
      <c r="BP362" s="210"/>
      <c r="BQ362" s="210"/>
      <c r="BR362" s="210"/>
      <c r="BS362" s="210"/>
      <c r="BT362" s="210"/>
      <c r="BU362" s="210"/>
      <c r="BV362" s="210"/>
      <c r="BW362" s="210"/>
      <c r="BX362" s="210"/>
      <c r="BY362" s="210"/>
      <c r="BZ362" s="210"/>
      <c r="CA362" s="210"/>
      <c r="CB362" s="210"/>
      <c r="CC362" s="210"/>
      <c r="EM362" s="120"/>
      <c r="ET362" s="210"/>
      <c r="EU362" s="210"/>
      <c r="EV362" s="210"/>
      <c r="EW362" s="210"/>
      <c r="EX362" s="210"/>
      <c r="EY362" s="210"/>
      <c r="EZ362" s="210"/>
      <c r="FA362" s="210"/>
      <c r="FB362" s="210"/>
      <c r="FC362" s="210"/>
      <c r="FD362" s="210"/>
      <c r="FE362" s="210"/>
      <c r="FF362" s="210"/>
      <c r="FG362" s="210"/>
      <c r="FH362" s="210"/>
      <c r="HR362" s="120"/>
      <c r="HY362" s="210"/>
      <c r="HZ362" s="210"/>
      <c r="IA362" s="210"/>
      <c r="IB362" s="210"/>
      <c r="IC362" s="210"/>
      <c r="ID362" s="210"/>
      <c r="IE362" s="210"/>
      <c r="IF362" s="210"/>
      <c r="IG362" s="210"/>
      <c r="IH362" s="210"/>
      <c r="II362" s="210"/>
      <c r="IJ362" s="210"/>
      <c r="IK362" s="210"/>
      <c r="IL362" s="210"/>
      <c r="IM362" s="210"/>
      <c r="KW362" s="120"/>
      <c r="LD362" s="210"/>
      <c r="LE362" s="210"/>
      <c r="LF362" s="210"/>
      <c r="LG362" s="210"/>
      <c r="LH362" s="210"/>
      <c r="LI362" s="210"/>
      <c r="LJ362" s="210"/>
      <c r="LK362" s="210"/>
      <c r="LL362" s="210"/>
      <c r="LM362" s="210"/>
      <c r="LN362" s="210"/>
      <c r="LO362" s="210"/>
      <c r="LP362" s="210"/>
      <c r="LQ362" s="210"/>
      <c r="LR362" s="210"/>
      <c r="OB362" s="120"/>
      <c r="OI362" s="210"/>
      <c r="OJ362" s="210"/>
      <c r="OK362" s="210"/>
      <c r="OL362" s="210"/>
      <c r="OM362" s="210"/>
      <c r="ON362" s="210"/>
      <c r="OO362" s="210"/>
      <c r="OP362" s="210"/>
      <c r="OQ362" s="210"/>
      <c r="OR362" s="210"/>
      <c r="OS362" s="210"/>
      <c r="OT362" s="210"/>
      <c r="OU362" s="210"/>
      <c r="OV362" s="210"/>
      <c r="OW362" s="210"/>
      <c r="RG362" s="120"/>
    </row>
    <row r="363" spans="1:475" x14ac:dyDescent="0.3">
      <c r="A363" s="7">
        <v>36</v>
      </c>
      <c r="B363" s="7">
        <v>353</v>
      </c>
      <c r="C363" s="7" t="s">
        <v>276</v>
      </c>
      <c r="D363" s="7" t="s">
        <v>764</v>
      </c>
      <c r="E363" s="7" t="s">
        <v>766</v>
      </c>
      <c r="F363" s="7" t="s">
        <v>275</v>
      </c>
      <c r="G363" s="41" t="str">
        <f t="shared" si="58"/>
        <v>X</v>
      </c>
      <c r="H363" s="41">
        <f>INDEX(환산공식!CI$16:CI$301,MATCH('배치점수 계산기'!$W363,환산공식!$A$16:$A$301,0))</f>
        <v>140</v>
      </c>
      <c r="I363" s="41" t="str">
        <f>CONCATENATE(ROUND(INDEX(환산공식!CJ$16:CJ$301,MATCH('배치점수 계산기'!$W363,환산공식!$A$16:$A$301,0)),1),"%")</f>
        <v>100%</v>
      </c>
      <c r="J363" s="41">
        <f>INDEX(환산공식!CK$16:CK$301,MATCH('배치점수 계산기'!$W363,환산공식!$A$16:$A$301,0))</f>
        <v>10</v>
      </c>
      <c r="K363" s="7">
        <f>INDEX(환산공식!$EF$16:$EF$301,MATCH('배치점수 계산기'!W363,환산공식!$A$16:$A$301,0))</f>
        <v>0</v>
      </c>
      <c r="L363" s="41" t="str">
        <f t="shared" si="56"/>
        <v>1% 이하</v>
      </c>
      <c r="M363" s="7">
        <v>632.2848113081684</v>
      </c>
      <c r="N363" s="7">
        <v>631.5073831025486</v>
      </c>
      <c r="O363" s="7">
        <v>629.98681505571221</v>
      </c>
      <c r="P363" s="7">
        <v>628.2797220679065</v>
      </c>
      <c r="Q363" s="7">
        <v>626.32670880995397</v>
      </c>
      <c r="R363" s="7">
        <f t="shared" si="57"/>
        <v>6</v>
      </c>
      <c r="T363" s="7">
        <f>COUNTIF($C$11:C363,C363)</f>
        <v>201</v>
      </c>
      <c r="U363" s="7" t="str">
        <f t="shared" si="59"/>
        <v>가201</v>
      </c>
      <c r="V363" s="7" t="str">
        <f>INDEX(환산공식!$C$16:$C$301,MATCH('배치점수 계산기'!W363,환산공식!$A$16:$A$301,0))</f>
        <v>한국외대 서울</v>
      </c>
      <c r="W363" s="7">
        <f t="shared" si="60"/>
        <v>36</v>
      </c>
      <c r="X363" s="7">
        <f t="shared" si="61"/>
        <v>1</v>
      </c>
      <c r="Y363" s="7">
        <f>IFERROR(INDEX(환산공식!Q$16:Q$200,MATCH($A363,환산공식!$A$16:$A$200,0)),"")</f>
        <v>1.4093959731543624</v>
      </c>
      <c r="Z363" s="7">
        <f>IFERROR(INDEX(환산공식!R$16:R$200,MATCH($A363,환산공식!$A$16:$A$200,0)),"")</f>
        <v>1.4285714285714286</v>
      </c>
      <c r="AA363" s="7">
        <f>IFERROR(INDEX(환산공식!U$16:U$200,MATCH($A363,환산공식!$A$16:$A$200,0)),"")</f>
        <v>1.0606060606060606</v>
      </c>
      <c r="AB363" s="7">
        <f t="shared" si="62"/>
        <v>0.36151581771434954</v>
      </c>
      <c r="AC363" s="7">
        <f t="shared" si="63"/>
        <v>0.36643440026828633</v>
      </c>
      <c r="AD363" s="7">
        <f t="shared" si="64"/>
        <v>0.27204978201736407</v>
      </c>
      <c r="AE363" s="7">
        <f>INDEX(환산공식!$AF$16:$AF$301,MATCH('배치점수 계산기'!W363,환산공식!$A$16:$A$301,0))</f>
        <v>12</v>
      </c>
      <c r="AF363" s="7">
        <f>INDEX(환산공식!$AP$16:$AP$301,MATCH('배치점수 계산기'!W363,환산공식!$A$16:$A$301,0))</f>
        <v>42</v>
      </c>
      <c r="AG363" s="7" t="str">
        <f t="shared" si="65"/>
        <v>표점/만점</v>
      </c>
      <c r="AH363" s="7" t="str">
        <f t="shared" si="66"/>
        <v>변표/만점</v>
      </c>
      <c r="BO363" s="210"/>
      <c r="BP363" s="210"/>
      <c r="BQ363" s="210"/>
      <c r="BR363" s="210"/>
      <c r="BS363" s="210"/>
      <c r="BT363" s="210"/>
      <c r="BU363" s="210"/>
      <c r="BV363" s="210"/>
      <c r="BW363" s="210"/>
      <c r="BX363" s="210"/>
      <c r="BY363" s="210"/>
      <c r="BZ363" s="210"/>
      <c r="CA363" s="210"/>
      <c r="CB363" s="210"/>
      <c r="CC363" s="210"/>
      <c r="EM363" s="120"/>
      <c r="ET363" s="210"/>
      <c r="EU363" s="210"/>
      <c r="EV363" s="210"/>
      <c r="EW363" s="210"/>
      <c r="EX363" s="210"/>
      <c r="EY363" s="210"/>
      <c r="EZ363" s="210"/>
      <c r="FA363" s="210"/>
      <c r="FB363" s="210"/>
      <c r="FC363" s="210"/>
      <c r="FD363" s="210"/>
      <c r="FE363" s="210"/>
      <c r="FF363" s="210"/>
      <c r="FG363" s="210"/>
      <c r="FH363" s="210"/>
      <c r="HR363" s="120"/>
      <c r="HY363" s="210"/>
      <c r="HZ363" s="210"/>
      <c r="IA363" s="210"/>
      <c r="IB363" s="210"/>
      <c r="IC363" s="210"/>
      <c r="ID363" s="210"/>
      <c r="IE363" s="210"/>
      <c r="IF363" s="210"/>
      <c r="IG363" s="210"/>
      <c r="IH363" s="210"/>
      <c r="II363" s="210"/>
      <c r="IJ363" s="210"/>
      <c r="IK363" s="210"/>
      <c r="IL363" s="210"/>
      <c r="IM363" s="210"/>
      <c r="KW363" s="120"/>
      <c r="LD363" s="210"/>
      <c r="LE363" s="210"/>
      <c r="LF363" s="210"/>
      <c r="LG363" s="210"/>
      <c r="LH363" s="210"/>
      <c r="LI363" s="210"/>
      <c r="LJ363" s="210"/>
      <c r="LK363" s="210"/>
      <c r="LL363" s="210"/>
      <c r="LM363" s="210"/>
      <c r="LN363" s="210"/>
      <c r="LO363" s="210"/>
      <c r="LP363" s="210"/>
      <c r="LQ363" s="210"/>
      <c r="LR363" s="210"/>
      <c r="OB363" s="120"/>
      <c r="OI363" s="210"/>
      <c r="OJ363" s="210"/>
      <c r="OK363" s="210"/>
      <c r="OL363" s="210"/>
      <c r="OM363" s="210"/>
      <c r="ON363" s="210"/>
      <c r="OO363" s="210"/>
      <c r="OP363" s="210"/>
      <c r="OQ363" s="210"/>
      <c r="OR363" s="210"/>
      <c r="OS363" s="210"/>
      <c r="OT363" s="210"/>
      <c r="OU363" s="210"/>
      <c r="OV363" s="210"/>
      <c r="OW363" s="210"/>
      <c r="RG363" s="120"/>
    </row>
    <row r="364" spans="1:475" x14ac:dyDescent="0.3">
      <c r="A364" s="7">
        <v>36</v>
      </c>
      <c r="B364" s="7">
        <v>354</v>
      </c>
      <c r="C364" s="7" t="s">
        <v>378</v>
      </c>
      <c r="D364" s="7" t="s">
        <v>764</v>
      </c>
      <c r="E364" s="7" t="s">
        <v>262</v>
      </c>
      <c r="F364" s="7" t="s">
        <v>275</v>
      </c>
      <c r="G364" s="41" t="str">
        <f t="shared" si="58"/>
        <v>X</v>
      </c>
      <c r="H364" s="41">
        <f>INDEX(환산공식!CI$16:CI$301,MATCH('배치점수 계산기'!$W364,환산공식!$A$16:$A$301,0))</f>
        <v>140</v>
      </c>
      <c r="I364" s="41" t="str">
        <f>CONCATENATE(ROUND(INDEX(환산공식!CJ$16:CJ$301,MATCH('배치점수 계산기'!$W364,환산공식!$A$16:$A$301,0)),1),"%")</f>
        <v>100%</v>
      </c>
      <c r="J364" s="41">
        <f>INDEX(환산공식!CK$16:CK$301,MATCH('배치점수 계산기'!$W364,환산공식!$A$16:$A$301,0))</f>
        <v>10</v>
      </c>
      <c r="K364" s="7">
        <f>INDEX(환산공식!$EF$16:$EF$301,MATCH('배치점수 계산기'!W364,환산공식!$A$16:$A$301,0))</f>
        <v>0</v>
      </c>
      <c r="L364" s="41" t="str">
        <f t="shared" si="56"/>
        <v>1% 이하</v>
      </c>
      <c r="M364" s="7">
        <v>630.31174470913561</v>
      </c>
      <c r="N364" s="7">
        <v>629.16266914742914</v>
      </c>
      <c r="O364" s="7">
        <v>628.00067453819634</v>
      </c>
      <c r="P364" s="7">
        <v>620.95169908079629</v>
      </c>
      <c r="Q364" s="7">
        <v>617.88616619431309</v>
      </c>
      <c r="R364" s="7">
        <f t="shared" si="57"/>
        <v>6</v>
      </c>
      <c r="T364" s="7">
        <f>COUNTIF($C$11:C364,C364)</f>
        <v>6</v>
      </c>
      <c r="U364" s="7" t="str">
        <f t="shared" si="59"/>
        <v>다6</v>
      </c>
      <c r="V364" s="7" t="str">
        <f>INDEX(환산공식!$C$16:$C$301,MATCH('배치점수 계산기'!W364,환산공식!$A$16:$A$301,0))</f>
        <v>한국외대 서울</v>
      </c>
      <c r="W364" s="7">
        <f t="shared" si="60"/>
        <v>36</v>
      </c>
      <c r="X364" s="7">
        <f t="shared" si="61"/>
        <v>1</v>
      </c>
      <c r="Y364" s="7">
        <f>IFERROR(INDEX(환산공식!Q$16:Q$200,MATCH($A364,환산공식!$A$16:$A$200,0)),"")</f>
        <v>1.4093959731543624</v>
      </c>
      <c r="Z364" s="7">
        <f>IFERROR(INDEX(환산공식!R$16:R$200,MATCH($A364,환산공식!$A$16:$A$200,0)),"")</f>
        <v>1.4285714285714286</v>
      </c>
      <c r="AA364" s="7">
        <f>IFERROR(INDEX(환산공식!U$16:U$200,MATCH($A364,환산공식!$A$16:$A$200,0)),"")</f>
        <v>1.0606060606060606</v>
      </c>
      <c r="AB364" s="7">
        <f t="shared" si="62"/>
        <v>0.36151581771434954</v>
      </c>
      <c r="AC364" s="7">
        <f t="shared" si="63"/>
        <v>0.36643440026828633</v>
      </c>
      <c r="AD364" s="7">
        <f t="shared" si="64"/>
        <v>0.27204978201736407</v>
      </c>
      <c r="AE364" s="7">
        <f>INDEX(환산공식!$AF$16:$AF$301,MATCH('배치점수 계산기'!W364,환산공식!$A$16:$A$301,0))</f>
        <v>12</v>
      </c>
      <c r="AF364" s="7">
        <f>INDEX(환산공식!$AP$16:$AP$301,MATCH('배치점수 계산기'!W364,환산공식!$A$16:$A$301,0))</f>
        <v>42</v>
      </c>
      <c r="AG364" s="7" t="str">
        <f t="shared" si="65"/>
        <v>표점/만점</v>
      </c>
      <c r="AH364" s="7" t="str">
        <f t="shared" si="66"/>
        <v>변표/만점</v>
      </c>
      <c r="BO364" s="210"/>
      <c r="BP364" s="210"/>
      <c r="BQ364" s="210"/>
      <c r="BR364" s="210"/>
      <c r="BS364" s="210"/>
      <c r="BT364" s="210"/>
      <c r="BU364" s="210"/>
      <c r="BV364" s="210"/>
      <c r="BW364" s="210"/>
      <c r="BX364" s="210"/>
      <c r="BY364" s="210"/>
      <c r="BZ364" s="210"/>
      <c r="CA364" s="210"/>
      <c r="CB364" s="210"/>
      <c r="CC364" s="210"/>
      <c r="EM364" s="120"/>
      <c r="ET364" s="210"/>
      <c r="EU364" s="210"/>
      <c r="EV364" s="210"/>
      <c r="EW364" s="210"/>
      <c r="EX364" s="210"/>
      <c r="EY364" s="210"/>
      <c r="EZ364" s="210"/>
      <c r="FA364" s="210"/>
      <c r="FB364" s="210"/>
      <c r="FC364" s="210"/>
      <c r="FD364" s="210"/>
      <c r="FE364" s="210"/>
      <c r="FF364" s="210"/>
      <c r="FG364" s="210"/>
      <c r="FH364" s="210"/>
      <c r="HR364" s="120"/>
      <c r="HY364" s="210"/>
      <c r="HZ364" s="210"/>
      <c r="IA364" s="210"/>
      <c r="IB364" s="210"/>
      <c r="IC364" s="210"/>
      <c r="ID364" s="210"/>
      <c r="IE364" s="210"/>
      <c r="IF364" s="210"/>
      <c r="IG364" s="210"/>
      <c r="IH364" s="210"/>
      <c r="II364" s="210"/>
      <c r="IJ364" s="210"/>
      <c r="IK364" s="210"/>
      <c r="IL364" s="210"/>
      <c r="IM364" s="210"/>
      <c r="KW364" s="120"/>
      <c r="LD364" s="210"/>
      <c r="LE364" s="210"/>
      <c r="LF364" s="210"/>
      <c r="LG364" s="210"/>
      <c r="LH364" s="210"/>
      <c r="LI364" s="210"/>
      <c r="LJ364" s="210"/>
      <c r="LK364" s="210"/>
      <c r="LL364" s="210"/>
      <c r="LM364" s="210"/>
      <c r="LN364" s="210"/>
      <c r="LO364" s="210"/>
      <c r="LP364" s="210"/>
      <c r="LQ364" s="210"/>
      <c r="LR364" s="210"/>
      <c r="OB364" s="120"/>
      <c r="OI364" s="210"/>
      <c r="OJ364" s="210"/>
      <c r="OK364" s="210"/>
      <c r="OL364" s="210"/>
      <c r="OM364" s="210"/>
      <c r="ON364" s="210"/>
      <c r="OO364" s="210"/>
      <c r="OP364" s="210"/>
      <c r="OQ364" s="210"/>
      <c r="OR364" s="210"/>
      <c r="OS364" s="210"/>
      <c r="OT364" s="210"/>
      <c r="OU364" s="210"/>
      <c r="OV364" s="210"/>
      <c r="OW364" s="210"/>
      <c r="RG364" s="120"/>
    </row>
    <row r="365" spans="1:475" x14ac:dyDescent="0.3">
      <c r="A365" s="7">
        <v>36</v>
      </c>
      <c r="B365" s="7">
        <v>355</v>
      </c>
      <c r="C365" s="7" t="s">
        <v>346</v>
      </c>
      <c r="D365" s="7" t="s">
        <v>764</v>
      </c>
      <c r="E365" s="7" t="s">
        <v>261</v>
      </c>
      <c r="F365" s="7" t="s">
        <v>275</v>
      </c>
      <c r="G365" s="41" t="str">
        <f t="shared" si="58"/>
        <v>X</v>
      </c>
      <c r="H365" s="41">
        <f>INDEX(환산공식!CI$16:CI$301,MATCH('배치점수 계산기'!$W365,환산공식!$A$16:$A$301,0))</f>
        <v>140</v>
      </c>
      <c r="I365" s="41" t="str">
        <f>CONCATENATE(ROUND(INDEX(환산공식!CJ$16:CJ$301,MATCH('배치점수 계산기'!$W365,환산공식!$A$16:$A$301,0)),1),"%")</f>
        <v>100%</v>
      </c>
      <c r="J365" s="41">
        <f>INDEX(환산공식!CK$16:CK$301,MATCH('배치점수 계산기'!$W365,환산공식!$A$16:$A$301,0))</f>
        <v>10</v>
      </c>
      <c r="K365" s="7">
        <f>INDEX(환산공식!$EF$16:$EF$301,MATCH('배치점수 계산기'!W365,환산공식!$A$16:$A$301,0))</f>
        <v>0</v>
      </c>
      <c r="L365" s="41" t="str">
        <f t="shared" si="56"/>
        <v>1% 이하</v>
      </c>
      <c r="M365" s="7">
        <v>630.31174470913561</v>
      </c>
      <c r="N365" s="7">
        <v>629.16266914742914</v>
      </c>
      <c r="O365" s="7">
        <v>628.00067453819634</v>
      </c>
      <c r="P365" s="7">
        <v>620.20862189459422</v>
      </c>
      <c r="Q365" s="7">
        <v>617.88616619431309</v>
      </c>
      <c r="R365" s="7">
        <f t="shared" si="57"/>
        <v>6</v>
      </c>
      <c r="T365" s="7">
        <f>COUNTIF($C$11:C365,C365)</f>
        <v>148</v>
      </c>
      <c r="U365" s="7" t="str">
        <f t="shared" si="59"/>
        <v>나148</v>
      </c>
      <c r="V365" s="7" t="str">
        <f>INDEX(환산공식!$C$16:$C$301,MATCH('배치점수 계산기'!W365,환산공식!$A$16:$A$301,0))</f>
        <v>한국외대 서울</v>
      </c>
      <c r="W365" s="7">
        <f t="shared" si="60"/>
        <v>36</v>
      </c>
      <c r="X365" s="7">
        <f t="shared" si="61"/>
        <v>1</v>
      </c>
      <c r="Y365" s="7">
        <f>IFERROR(INDEX(환산공식!Q$16:Q$200,MATCH($A365,환산공식!$A$16:$A$200,0)),"")</f>
        <v>1.4093959731543624</v>
      </c>
      <c r="Z365" s="7">
        <f>IFERROR(INDEX(환산공식!R$16:R$200,MATCH($A365,환산공식!$A$16:$A$200,0)),"")</f>
        <v>1.4285714285714286</v>
      </c>
      <c r="AA365" s="7">
        <f>IFERROR(INDEX(환산공식!U$16:U$200,MATCH($A365,환산공식!$A$16:$A$200,0)),"")</f>
        <v>1.0606060606060606</v>
      </c>
      <c r="AB365" s="7">
        <f t="shared" si="62"/>
        <v>0.36151581771434954</v>
      </c>
      <c r="AC365" s="7">
        <f t="shared" si="63"/>
        <v>0.36643440026828633</v>
      </c>
      <c r="AD365" s="7">
        <f t="shared" si="64"/>
        <v>0.27204978201736407</v>
      </c>
      <c r="AE365" s="7">
        <f>INDEX(환산공식!$AF$16:$AF$301,MATCH('배치점수 계산기'!W365,환산공식!$A$16:$A$301,0))</f>
        <v>12</v>
      </c>
      <c r="AF365" s="7">
        <f>INDEX(환산공식!$AP$16:$AP$301,MATCH('배치점수 계산기'!W365,환산공식!$A$16:$A$301,0))</f>
        <v>42</v>
      </c>
      <c r="AG365" s="7" t="str">
        <f t="shared" si="65"/>
        <v>표점/만점</v>
      </c>
      <c r="AH365" s="7" t="str">
        <f t="shared" si="66"/>
        <v>변표/만점</v>
      </c>
      <c r="BO365" s="210"/>
      <c r="BP365" s="210"/>
      <c r="BQ365" s="210"/>
      <c r="BR365" s="210"/>
      <c r="BS365" s="210"/>
      <c r="BT365" s="210"/>
      <c r="BU365" s="210"/>
      <c r="BV365" s="210"/>
      <c r="BW365" s="210"/>
      <c r="BX365" s="210"/>
      <c r="BY365" s="210"/>
      <c r="BZ365" s="210"/>
      <c r="CA365" s="210"/>
      <c r="CB365" s="210"/>
      <c r="CC365" s="210"/>
      <c r="EM365" s="120"/>
      <c r="ET365" s="210"/>
      <c r="EU365" s="210"/>
      <c r="EV365" s="210"/>
      <c r="EW365" s="210"/>
      <c r="EX365" s="210"/>
      <c r="EY365" s="210"/>
      <c r="EZ365" s="210"/>
      <c r="FA365" s="210"/>
      <c r="FB365" s="210"/>
      <c r="FC365" s="210"/>
      <c r="FD365" s="210"/>
      <c r="FE365" s="210"/>
      <c r="FF365" s="210"/>
      <c r="FG365" s="210"/>
      <c r="FH365" s="210"/>
      <c r="HR365" s="120"/>
      <c r="HY365" s="210"/>
      <c r="HZ365" s="210"/>
      <c r="IA365" s="210"/>
      <c r="IB365" s="210"/>
      <c r="IC365" s="210"/>
      <c r="ID365" s="210"/>
      <c r="IE365" s="210"/>
      <c r="IF365" s="210"/>
      <c r="IG365" s="210"/>
      <c r="IH365" s="210"/>
      <c r="II365" s="210"/>
      <c r="IJ365" s="210"/>
      <c r="IK365" s="210"/>
      <c r="IL365" s="210"/>
      <c r="IM365" s="210"/>
      <c r="KW365" s="120"/>
      <c r="LD365" s="210"/>
      <c r="LE365" s="210"/>
      <c r="LF365" s="210"/>
      <c r="LG365" s="210"/>
      <c r="LH365" s="210"/>
      <c r="LI365" s="210"/>
      <c r="LJ365" s="210"/>
      <c r="LK365" s="210"/>
      <c r="LL365" s="210"/>
      <c r="LM365" s="210"/>
      <c r="LN365" s="210"/>
      <c r="LO365" s="210"/>
      <c r="LP365" s="210"/>
      <c r="LQ365" s="210"/>
      <c r="LR365" s="210"/>
      <c r="OB365" s="120"/>
      <c r="OI365" s="210"/>
      <c r="OJ365" s="210"/>
      <c r="OK365" s="210"/>
      <c r="OL365" s="210"/>
      <c r="OM365" s="210"/>
      <c r="ON365" s="210"/>
      <c r="OO365" s="210"/>
      <c r="OP365" s="210"/>
      <c r="OQ365" s="210"/>
      <c r="OR365" s="210"/>
      <c r="OS365" s="210"/>
      <c r="OT365" s="210"/>
      <c r="OU365" s="210"/>
      <c r="OV365" s="210"/>
      <c r="OW365" s="210"/>
      <c r="RG365" s="120"/>
    </row>
    <row r="366" spans="1:475" x14ac:dyDescent="0.3">
      <c r="A366" s="7">
        <v>36</v>
      </c>
      <c r="B366" s="7">
        <v>356</v>
      </c>
      <c r="C366" s="7" t="s">
        <v>276</v>
      </c>
      <c r="D366" s="7" t="s">
        <v>764</v>
      </c>
      <c r="E366" s="7" t="s">
        <v>437</v>
      </c>
      <c r="F366" s="7" t="s">
        <v>275</v>
      </c>
      <c r="G366" s="41" t="str">
        <f t="shared" si="58"/>
        <v>X</v>
      </c>
      <c r="H366" s="41">
        <f>INDEX(환산공식!CI$16:CI$301,MATCH('배치점수 계산기'!$W366,환산공식!$A$16:$A$301,0))</f>
        <v>140</v>
      </c>
      <c r="I366" s="41" t="str">
        <f>CONCATENATE(ROUND(INDEX(환산공식!CJ$16:CJ$301,MATCH('배치점수 계산기'!$W366,환산공식!$A$16:$A$301,0)),1),"%")</f>
        <v>100%</v>
      </c>
      <c r="J366" s="41">
        <f>INDEX(환산공식!CK$16:CK$301,MATCH('배치점수 계산기'!$W366,환산공식!$A$16:$A$301,0))</f>
        <v>10</v>
      </c>
      <c r="K366" s="7">
        <f>INDEX(환산공식!$EF$16:$EF$301,MATCH('배치점수 계산기'!W366,환산공식!$A$16:$A$301,0))</f>
        <v>0</v>
      </c>
      <c r="L366" s="41" t="str">
        <f t="shared" si="56"/>
        <v>1% 이하</v>
      </c>
      <c r="M366" s="7">
        <v>629.30175448587329</v>
      </c>
      <c r="N366" s="7">
        <v>627.34951363002051</v>
      </c>
      <c r="O366" s="7">
        <v>625.21168531321837</v>
      </c>
      <c r="P366" s="7">
        <v>620.20862189459422</v>
      </c>
      <c r="Q366" s="7">
        <v>617.88616619431309</v>
      </c>
      <c r="R366" s="7">
        <f t="shared" si="57"/>
        <v>6</v>
      </c>
      <c r="T366" s="7">
        <f>COUNTIF($C$11:C366,C366)</f>
        <v>202</v>
      </c>
      <c r="U366" s="7" t="str">
        <f t="shared" si="59"/>
        <v>가202</v>
      </c>
      <c r="V366" s="7" t="str">
        <f>INDEX(환산공식!$C$16:$C$301,MATCH('배치점수 계산기'!W366,환산공식!$A$16:$A$301,0))</f>
        <v>한국외대 서울</v>
      </c>
      <c r="W366" s="7">
        <f t="shared" si="60"/>
        <v>36</v>
      </c>
      <c r="X366" s="7">
        <f t="shared" si="61"/>
        <v>1</v>
      </c>
      <c r="Y366" s="7">
        <f>IFERROR(INDEX(환산공식!Q$16:Q$200,MATCH($A366,환산공식!$A$16:$A$200,0)),"")</f>
        <v>1.4093959731543624</v>
      </c>
      <c r="Z366" s="7">
        <f>IFERROR(INDEX(환산공식!R$16:R$200,MATCH($A366,환산공식!$A$16:$A$200,0)),"")</f>
        <v>1.4285714285714286</v>
      </c>
      <c r="AA366" s="7">
        <f>IFERROR(INDEX(환산공식!U$16:U$200,MATCH($A366,환산공식!$A$16:$A$200,0)),"")</f>
        <v>1.0606060606060606</v>
      </c>
      <c r="AB366" s="7">
        <f t="shared" si="62"/>
        <v>0.36151581771434954</v>
      </c>
      <c r="AC366" s="7">
        <f t="shared" si="63"/>
        <v>0.36643440026828633</v>
      </c>
      <c r="AD366" s="7">
        <f t="shared" si="64"/>
        <v>0.27204978201736407</v>
      </c>
      <c r="AE366" s="7">
        <f>INDEX(환산공식!$AF$16:$AF$301,MATCH('배치점수 계산기'!W366,환산공식!$A$16:$A$301,0))</f>
        <v>12</v>
      </c>
      <c r="AF366" s="7">
        <f>INDEX(환산공식!$AP$16:$AP$301,MATCH('배치점수 계산기'!W366,환산공식!$A$16:$A$301,0))</f>
        <v>42</v>
      </c>
      <c r="AG366" s="7" t="str">
        <f t="shared" si="65"/>
        <v>표점/만점</v>
      </c>
      <c r="AH366" s="7" t="str">
        <f t="shared" si="66"/>
        <v>변표/만점</v>
      </c>
      <c r="BO366" s="210"/>
      <c r="BP366" s="210"/>
      <c r="BQ366" s="210"/>
      <c r="BR366" s="210"/>
      <c r="BS366" s="210"/>
      <c r="BT366" s="210"/>
      <c r="BU366" s="210"/>
      <c r="BV366" s="210"/>
      <c r="BW366" s="210"/>
      <c r="BX366" s="210"/>
      <c r="BY366" s="210"/>
      <c r="BZ366" s="210"/>
      <c r="CA366" s="210"/>
      <c r="CB366" s="210"/>
      <c r="CC366" s="210"/>
      <c r="EM366" s="120"/>
      <c r="ET366" s="210"/>
      <c r="EU366" s="210"/>
      <c r="EV366" s="210"/>
      <c r="EW366" s="210"/>
      <c r="EX366" s="210"/>
      <c r="EY366" s="210"/>
      <c r="EZ366" s="210"/>
      <c r="FA366" s="210"/>
      <c r="FB366" s="210"/>
      <c r="FC366" s="210"/>
      <c r="FD366" s="210"/>
      <c r="FE366" s="210"/>
      <c r="FF366" s="210"/>
      <c r="FG366" s="210"/>
      <c r="FH366" s="210"/>
      <c r="HR366" s="120"/>
      <c r="HY366" s="210"/>
      <c r="HZ366" s="210"/>
      <c r="IA366" s="210"/>
      <c r="IB366" s="210"/>
      <c r="IC366" s="210"/>
      <c r="ID366" s="210"/>
      <c r="IE366" s="210"/>
      <c r="IF366" s="210"/>
      <c r="IG366" s="210"/>
      <c r="IH366" s="210"/>
      <c r="II366" s="210"/>
      <c r="IJ366" s="210"/>
      <c r="IK366" s="210"/>
      <c r="IL366" s="210"/>
      <c r="IM366" s="210"/>
      <c r="KW366" s="120"/>
      <c r="LD366" s="210"/>
      <c r="LE366" s="210"/>
      <c r="LF366" s="210"/>
      <c r="LG366" s="210"/>
      <c r="LH366" s="210"/>
      <c r="LI366" s="210"/>
      <c r="LJ366" s="210"/>
      <c r="LK366" s="210"/>
      <c r="LL366" s="210"/>
      <c r="LM366" s="210"/>
      <c r="LN366" s="210"/>
      <c r="LO366" s="210"/>
      <c r="LP366" s="210"/>
      <c r="LQ366" s="210"/>
      <c r="LR366" s="210"/>
      <c r="OB366" s="120"/>
      <c r="OI366" s="210"/>
      <c r="OJ366" s="210"/>
      <c r="OK366" s="210"/>
      <c r="OL366" s="210"/>
      <c r="OM366" s="210"/>
      <c r="ON366" s="210"/>
      <c r="OO366" s="210"/>
      <c r="OP366" s="210"/>
      <c r="OQ366" s="210"/>
      <c r="OR366" s="210"/>
      <c r="OS366" s="210"/>
      <c r="OT366" s="210"/>
      <c r="OU366" s="210"/>
      <c r="OV366" s="210"/>
      <c r="OW366" s="210"/>
      <c r="RG366" s="120"/>
    </row>
    <row r="367" spans="1:475" x14ac:dyDescent="0.3">
      <c r="A367" s="7">
        <v>36</v>
      </c>
      <c r="B367" s="7">
        <v>357</v>
      </c>
      <c r="C367" s="7" t="s">
        <v>346</v>
      </c>
      <c r="D367" s="7" t="s">
        <v>764</v>
      </c>
      <c r="E367" s="7" t="s">
        <v>438</v>
      </c>
      <c r="F367" s="7" t="s">
        <v>275</v>
      </c>
      <c r="G367" s="41" t="str">
        <f t="shared" si="58"/>
        <v>X</v>
      </c>
      <c r="H367" s="41">
        <f>INDEX(환산공식!CI$16:CI$301,MATCH('배치점수 계산기'!$W367,환산공식!$A$16:$A$301,0))</f>
        <v>140</v>
      </c>
      <c r="I367" s="41" t="str">
        <f>CONCATENATE(ROUND(INDEX(환산공식!CJ$16:CJ$301,MATCH('배치점수 계산기'!$W367,환산공식!$A$16:$A$301,0)),1),"%")</f>
        <v>100%</v>
      </c>
      <c r="J367" s="41">
        <f>INDEX(환산공식!CK$16:CK$301,MATCH('배치점수 계산기'!$W367,환산공식!$A$16:$A$301,0))</f>
        <v>10</v>
      </c>
      <c r="K367" s="7">
        <f>INDEX(환산공식!$EF$16:$EF$301,MATCH('배치점수 계산기'!W367,환산공식!$A$16:$A$301,0))</f>
        <v>0</v>
      </c>
      <c r="L367" s="41" t="str">
        <f t="shared" si="56"/>
        <v>1% 이하</v>
      </c>
      <c r="M367" s="7">
        <v>629.30175448587329</v>
      </c>
      <c r="N367" s="7">
        <v>626.88485450531812</v>
      </c>
      <c r="O367" s="7">
        <v>624.32825059378706</v>
      </c>
      <c r="P367" s="7">
        <v>620.20862189459422</v>
      </c>
      <c r="Q367" s="7">
        <v>617.88616619431309</v>
      </c>
      <c r="R367" s="7">
        <f t="shared" si="57"/>
        <v>6</v>
      </c>
      <c r="T367" s="7">
        <f>COUNTIF($C$11:C367,C367)</f>
        <v>149</v>
      </c>
      <c r="U367" s="7" t="str">
        <f t="shared" si="59"/>
        <v>나149</v>
      </c>
      <c r="V367" s="7" t="str">
        <f>INDEX(환산공식!$C$16:$C$301,MATCH('배치점수 계산기'!W367,환산공식!$A$16:$A$301,0))</f>
        <v>한국외대 서울</v>
      </c>
      <c r="W367" s="7">
        <f t="shared" si="60"/>
        <v>36</v>
      </c>
      <c r="X367" s="7">
        <f t="shared" si="61"/>
        <v>1</v>
      </c>
      <c r="Y367" s="7">
        <f>IFERROR(INDEX(환산공식!Q$16:Q$200,MATCH($A367,환산공식!$A$16:$A$200,0)),"")</f>
        <v>1.4093959731543624</v>
      </c>
      <c r="Z367" s="7">
        <f>IFERROR(INDEX(환산공식!R$16:R$200,MATCH($A367,환산공식!$A$16:$A$200,0)),"")</f>
        <v>1.4285714285714286</v>
      </c>
      <c r="AA367" s="7">
        <f>IFERROR(INDEX(환산공식!U$16:U$200,MATCH($A367,환산공식!$A$16:$A$200,0)),"")</f>
        <v>1.0606060606060606</v>
      </c>
      <c r="AB367" s="7">
        <f t="shared" si="62"/>
        <v>0.36151581771434954</v>
      </c>
      <c r="AC367" s="7">
        <f t="shared" si="63"/>
        <v>0.36643440026828633</v>
      </c>
      <c r="AD367" s="7">
        <f t="shared" si="64"/>
        <v>0.27204978201736407</v>
      </c>
      <c r="AE367" s="7">
        <f>INDEX(환산공식!$AF$16:$AF$301,MATCH('배치점수 계산기'!W367,환산공식!$A$16:$A$301,0))</f>
        <v>12</v>
      </c>
      <c r="AF367" s="7">
        <f>INDEX(환산공식!$AP$16:$AP$301,MATCH('배치점수 계산기'!W367,환산공식!$A$16:$A$301,0))</f>
        <v>42</v>
      </c>
      <c r="AG367" s="7" t="str">
        <f t="shared" si="65"/>
        <v>표점/만점</v>
      </c>
      <c r="AH367" s="7" t="str">
        <f t="shared" si="66"/>
        <v>변표/만점</v>
      </c>
      <c r="BO367" s="210"/>
      <c r="BP367" s="210"/>
      <c r="BQ367" s="210"/>
      <c r="BR367" s="210"/>
      <c r="BS367" s="210"/>
      <c r="BT367" s="210"/>
      <c r="BU367" s="210"/>
      <c r="BV367" s="210"/>
      <c r="BW367" s="210"/>
      <c r="BX367" s="210"/>
      <c r="BY367" s="210"/>
      <c r="BZ367" s="210"/>
      <c r="CA367" s="210"/>
      <c r="CB367" s="210"/>
      <c r="CC367" s="210"/>
      <c r="EM367" s="120"/>
      <c r="ET367" s="210"/>
      <c r="EU367" s="210"/>
      <c r="EV367" s="210"/>
      <c r="EW367" s="210"/>
      <c r="EX367" s="210"/>
      <c r="EY367" s="210"/>
      <c r="EZ367" s="210"/>
      <c r="FA367" s="210"/>
      <c r="FB367" s="210"/>
      <c r="FC367" s="210"/>
      <c r="FD367" s="210"/>
      <c r="FE367" s="210"/>
      <c r="FF367" s="210"/>
      <c r="FG367" s="210"/>
      <c r="FH367" s="210"/>
      <c r="HR367" s="120"/>
      <c r="HY367" s="210"/>
      <c r="HZ367" s="210"/>
      <c r="IA367" s="210"/>
      <c r="IB367" s="210"/>
      <c r="IC367" s="210"/>
      <c r="ID367" s="210"/>
      <c r="IE367" s="210"/>
      <c r="IF367" s="210"/>
      <c r="IG367" s="210"/>
      <c r="IH367" s="210"/>
      <c r="II367" s="210"/>
      <c r="IJ367" s="210"/>
      <c r="IK367" s="210"/>
      <c r="IL367" s="210"/>
      <c r="IM367" s="210"/>
      <c r="KW367" s="120"/>
      <c r="LD367" s="210"/>
      <c r="LE367" s="210"/>
      <c r="LF367" s="210"/>
      <c r="LG367" s="210"/>
      <c r="LH367" s="210"/>
      <c r="LI367" s="210"/>
      <c r="LJ367" s="210"/>
      <c r="LK367" s="210"/>
      <c r="LL367" s="210"/>
      <c r="LM367" s="210"/>
      <c r="LN367" s="210"/>
      <c r="LO367" s="210"/>
      <c r="LP367" s="210"/>
      <c r="LQ367" s="210"/>
      <c r="LR367" s="210"/>
      <c r="OB367" s="120"/>
      <c r="OI367" s="210"/>
      <c r="OJ367" s="210"/>
      <c r="OK367" s="210"/>
      <c r="OL367" s="210"/>
      <c r="OM367" s="210"/>
      <c r="ON367" s="210"/>
      <c r="OO367" s="210"/>
      <c r="OP367" s="210"/>
      <c r="OQ367" s="210"/>
      <c r="OR367" s="210"/>
      <c r="OS367" s="210"/>
      <c r="OT367" s="210"/>
      <c r="OU367" s="210"/>
      <c r="OV367" s="210"/>
      <c r="OW367" s="210"/>
      <c r="RG367" s="120"/>
    </row>
    <row r="368" spans="1:475" x14ac:dyDescent="0.3">
      <c r="A368" s="7">
        <v>36</v>
      </c>
      <c r="B368" s="7">
        <v>358</v>
      </c>
      <c r="C368" s="7" t="s">
        <v>346</v>
      </c>
      <c r="D368" s="7" t="s">
        <v>764</v>
      </c>
      <c r="E368" s="7" t="s">
        <v>439</v>
      </c>
      <c r="F368" s="7" t="s">
        <v>275</v>
      </c>
      <c r="G368" s="41" t="str">
        <f t="shared" si="58"/>
        <v>X</v>
      </c>
      <c r="H368" s="41">
        <f>INDEX(환산공식!CI$16:CI$301,MATCH('배치점수 계산기'!$W368,환산공식!$A$16:$A$301,0))</f>
        <v>140</v>
      </c>
      <c r="I368" s="41" t="str">
        <f>CONCATENATE(ROUND(INDEX(환산공식!CJ$16:CJ$301,MATCH('배치점수 계산기'!$W368,환산공식!$A$16:$A$301,0)),1),"%")</f>
        <v>100%</v>
      </c>
      <c r="J368" s="41">
        <f>INDEX(환산공식!CK$16:CK$301,MATCH('배치점수 계산기'!$W368,환산공식!$A$16:$A$301,0))</f>
        <v>10</v>
      </c>
      <c r="K368" s="7">
        <f>INDEX(환산공식!$EF$16:$EF$301,MATCH('배치점수 계산기'!W368,환산공식!$A$16:$A$301,0))</f>
        <v>0</v>
      </c>
      <c r="L368" s="41" t="str">
        <f t="shared" si="56"/>
        <v>1% 이하</v>
      </c>
      <c r="M368" s="7">
        <v>621.95804900148698</v>
      </c>
      <c r="N368" s="7">
        <v>620.00862189459428</v>
      </c>
      <c r="O368" s="7">
        <v>617.68616619431305</v>
      </c>
      <c r="P368" s="7">
        <v>615.57657234597639</v>
      </c>
      <c r="Q368" s="7">
        <v>612.30825095568844</v>
      </c>
      <c r="R368" s="7">
        <f t="shared" si="57"/>
        <v>6</v>
      </c>
      <c r="T368" s="7">
        <f>COUNTIF($C$11:C368,C368)</f>
        <v>150</v>
      </c>
      <c r="U368" s="7" t="str">
        <f t="shared" si="59"/>
        <v>나150</v>
      </c>
      <c r="V368" s="7" t="str">
        <f>INDEX(환산공식!$C$16:$C$301,MATCH('배치점수 계산기'!W368,환산공식!$A$16:$A$301,0))</f>
        <v>한국외대 서울</v>
      </c>
      <c r="W368" s="7">
        <f t="shared" si="60"/>
        <v>36</v>
      </c>
      <c r="X368" s="7">
        <f t="shared" si="61"/>
        <v>1</v>
      </c>
      <c r="Y368" s="7">
        <f>IFERROR(INDEX(환산공식!Q$16:Q$200,MATCH($A368,환산공식!$A$16:$A$200,0)),"")</f>
        <v>1.4093959731543624</v>
      </c>
      <c r="Z368" s="7">
        <f>IFERROR(INDEX(환산공식!R$16:R$200,MATCH($A368,환산공식!$A$16:$A$200,0)),"")</f>
        <v>1.4285714285714286</v>
      </c>
      <c r="AA368" s="7">
        <f>IFERROR(INDEX(환산공식!U$16:U$200,MATCH($A368,환산공식!$A$16:$A$200,0)),"")</f>
        <v>1.0606060606060606</v>
      </c>
      <c r="AB368" s="7">
        <f t="shared" si="62"/>
        <v>0.36151581771434954</v>
      </c>
      <c r="AC368" s="7">
        <f t="shared" si="63"/>
        <v>0.36643440026828633</v>
      </c>
      <c r="AD368" s="7">
        <f t="shared" si="64"/>
        <v>0.27204978201736407</v>
      </c>
      <c r="AE368" s="7">
        <f>INDEX(환산공식!$AF$16:$AF$301,MATCH('배치점수 계산기'!W368,환산공식!$A$16:$A$301,0))</f>
        <v>12</v>
      </c>
      <c r="AF368" s="7">
        <f>INDEX(환산공식!$AP$16:$AP$301,MATCH('배치점수 계산기'!W368,환산공식!$A$16:$A$301,0))</f>
        <v>42</v>
      </c>
      <c r="AG368" s="7" t="str">
        <f t="shared" si="65"/>
        <v>표점/만점</v>
      </c>
      <c r="AH368" s="7" t="str">
        <f t="shared" si="66"/>
        <v>변표/만점</v>
      </c>
      <c r="BO368" s="210"/>
      <c r="BP368" s="210"/>
      <c r="BQ368" s="210"/>
      <c r="BR368" s="210"/>
      <c r="BS368" s="210"/>
      <c r="BT368" s="210"/>
      <c r="BU368" s="210"/>
      <c r="BV368" s="210"/>
      <c r="BW368" s="210"/>
      <c r="BX368" s="210"/>
      <c r="BY368" s="210"/>
      <c r="BZ368" s="210"/>
      <c r="CA368" s="210"/>
      <c r="CB368" s="210"/>
      <c r="CC368" s="210"/>
      <c r="EM368" s="120"/>
      <c r="ET368" s="210"/>
      <c r="EU368" s="210"/>
      <c r="EV368" s="210"/>
      <c r="EW368" s="210"/>
      <c r="EX368" s="210"/>
      <c r="EY368" s="210"/>
      <c r="EZ368" s="210"/>
      <c r="FA368" s="210"/>
      <c r="FB368" s="210"/>
      <c r="FC368" s="210"/>
      <c r="FD368" s="210"/>
      <c r="FE368" s="210"/>
      <c r="FF368" s="210"/>
      <c r="FG368" s="210"/>
      <c r="FH368" s="210"/>
      <c r="HR368" s="120"/>
      <c r="HY368" s="210"/>
      <c r="HZ368" s="210"/>
      <c r="IA368" s="210"/>
      <c r="IB368" s="210"/>
      <c r="IC368" s="210"/>
      <c r="ID368" s="210"/>
      <c r="IE368" s="210"/>
      <c r="IF368" s="210"/>
      <c r="IG368" s="210"/>
      <c r="IH368" s="210"/>
      <c r="II368" s="210"/>
      <c r="IJ368" s="210"/>
      <c r="IK368" s="210"/>
      <c r="IL368" s="210"/>
      <c r="IM368" s="210"/>
      <c r="KW368" s="120"/>
      <c r="LD368" s="210"/>
      <c r="LE368" s="210"/>
      <c r="LF368" s="210"/>
      <c r="LG368" s="210"/>
      <c r="LH368" s="210"/>
      <c r="LI368" s="210"/>
      <c r="LJ368" s="210"/>
      <c r="LK368" s="210"/>
      <c r="LL368" s="210"/>
      <c r="LM368" s="210"/>
      <c r="LN368" s="210"/>
      <c r="LO368" s="210"/>
      <c r="LP368" s="210"/>
      <c r="LQ368" s="210"/>
      <c r="LR368" s="210"/>
      <c r="OB368" s="120"/>
      <c r="OI368" s="210"/>
      <c r="OJ368" s="210"/>
      <c r="OK368" s="210"/>
      <c r="OL368" s="210"/>
      <c r="OM368" s="210"/>
      <c r="ON368" s="210"/>
      <c r="OO368" s="210"/>
      <c r="OP368" s="210"/>
      <c r="OQ368" s="210"/>
      <c r="OR368" s="210"/>
      <c r="OS368" s="210"/>
      <c r="OT368" s="210"/>
      <c r="OU368" s="210"/>
      <c r="OV368" s="210"/>
      <c r="OW368" s="210"/>
      <c r="RG368" s="120"/>
    </row>
    <row r="369" spans="1:475" x14ac:dyDescent="0.3">
      <c r="A369" s="7">
        <v>36</v>
      </c>
      <c r="B369" s="7">
        <v>359</v>
      </c>
      <c r="C369" s="7" t="s">
        <v>276</v>
      </c>
      <c r="D369" s="7" t="s">
        <v>764</v>
      </c>
      <c r="E369" s="7" t="s">
        <v>440</v>
      </c>
      <c r="F369" s="7" t="s">
        <v>275</v>
      </c>
      <c r="G369" s="41" t="str">
        <f t="shared" si="58"/>
        <v>X</v>
      </c>
      <c r="H369" s="41">
        <f>INDEX(환산공식!CI$16:CI$301,MATCH('배치점수 계산기'!$W369,환산공식!$A$16:$A$301,0))</f>
        <v>140</v>
      </c>
      <c r="I369" s="41" t="str">
        <f>CONCATENATE(ROUND(INDEX(환산공식!CJ$16:CJ$301,MATCH('배치점수 계산기'!$W369,환산공식!$A$16:$A$301,0)),1),"%")</f>
        <v>100%</v>
      </c>
      <c r="J369" s="41">
        <f>INDEX(환산공식!CK$16:CK$301,MATCH('배치점수 계산기'!$W369,환산공식!$A$16:$A$301,0))</f>
        <v>10</v>
      </c>
      <c r="K369" s="7">
        <f>INDEX(환산공식!$EF$16:$EF$301,MATCH('배치점수 계산기'!W369,환산공식!$A$16:$A$301,0))</f>
        <v>0</v>
      </c>
      <c r="L369" s="41" t="str">
        <f t="shared" si="56"/>
        <v>1% 이하</v>
      </c>
      <c r="M369" s="7">
        <v>628.17209110977319</v>
      </c>
      <c r="N369" s="7">
        <v>623.57015619764854</v>
      </c>
      <c r="O369" s="7">
        <v>620.75169908079636</v>
      </c>
      <c r="P369" s="7">
        <v>616.36654484770077</v>
      </c>
      <c r="Q369" s="7">
        <v>613.32185029098946</v>
      </c>
      <c r="R369" s="7">
        <f t="shared" si="57"/>
        <v>6</v>
      </c>
      <c r="T369" s="7">
        <f>COUNTIF($C$11:C369,C369)</f>
        <v>203</v>
      </c>
      <c r="U369" s="7" t="str">
        <f t="shared" si="59"/>
        <v>가203</v>
      </c>
      <c r="V369" s="7" t="str">
        <f>INDEX(환산공식!$C$16:$C$301,MATCH('배치점수 계산기'!W369,환산공식!$A$16:$A$301,0))</f>
        <v>한국외대 서울</v>
      </c>
      <c r="W369" s="7">
        <f t="shared" si="60"/>
        <v>36</v>
      </c>
      <c r="X369" s="7">
        <f t="shared" si="61"/>
        <v>1</v>
      </c>
      <c r="Y369" s="7">
        <f>IFERROR(INDEX(환산공식!Q$16:Q$200,MATCH($A369,환산공식!$A$16:$A$200,0)),"")</f>
        <v>1.4093959731543624</v>
      </c>
      <c r="Z369" s="7">
        <f>IFERROR(INDEX(환산공식!R$16:R$200,MATCH($A369,환산공식!$A$16:$A$200,0)),"")</f>
        <v>1.4285714285714286</v>
      </c>
      <c r="AA369" s="7">
        <f>IFERROR(INDEX(환산공식!U$16:U$200,MATCH($A369,환산공식!$A$16:$A$200,0)),"")</f>
        <v>1.0606060606060606</v>
      </c>
      <c r="AB369" s="7">
        <f t="shared" si="62"/>
        <v>0.36151581771434954</v>
      </c>
      <c r="AC369" s="7">
        <f t="shared" si="63"/>
        <v>0.36643440026828633</v>
      </c>
      <c r="AD369" s="7">
        <f t="shared" si="64"/>
        <v>0.27204978201736407</v>
      </c>
      <c r="AE369" s="7">
        <f>INDEX(환산공식!$AF$16:$AF$301,MATCH('배치점수 계산기'!W369,환산공식!$A$16:$A$301,0))</f>
        <v>12</v>
      </c>
      <c r="AF369" s="7">
        <f>INDEX(환산공식!$AP$16:$AP$301,MATCH('배치점수 계산기'!W369,환산공식!$A$16:$A$301,0))</f>
        <v>42</v>
      </c>
      <c r="AG369" s="7" t="str">
        <f t="shared" si="65"/>
        <v>표점/만점</v>
      </c>
      <c r="AH369" s="7" t="str">
        <f t="shared" si="66"/>
        <v>변표/만점</v>
      </c>
      <c r="BO369" s="210"/>
      <c r="BP369" s="210"/>
      <c r="BQ369" s="210"/>
      <c r="BR369" s="210"/>
      <c r="BS369" s="210"/>
      <c r="BT369" s="210"/>
      <c r="BU369" s="210"/>
      <c r="BV369" s="210"/>
      <c r="BW369" s="210"/>
      <c r="BX369" s="210"/>
      <c r="BY369" s="210"/>
      <c r="BZ369" s="210"/>
      <c r="CA369" s="210"/>
      <c r="CB369" s="210"/>
      <c r="CC369" s="210"/>
      <c r="EM369" s="120"/>
      <c r="ET369" s="210"/>
      <c r="EU369" s="210"/>
      <c r="EV369" s="210"/>
      <c r="EW369" s="210"/>
      <c r="EX369" s="210"/>
      <c r="EY369" s="210"/>
      <c r="EZ369" s="210"/>
      <c r="FA369" s="210"/>
      <c r="FB369" s="210"/>
      <c r="FC369" s="210"/>
      <c r="FD369" s="210"/>
      <c r="FE369" s="210"/>
      <c r="FF369" s="210"/>
      <c r="FG369" s="210"/>
      <c r="FH369" s="210"/>
      <c r="HR369" s="120"/>
      <c r="HY369" s="210"/>
      <c r="HZ369" s="210"/>
      <c r="IA369" s="210"/>
      <c r="IB369" s="210"/>
      <c r="IC369" s="210"/>
      <c r="ID369" s="210"/>
      <c r="IE369" s="210"/>
      <c r="IF369" s="210"/>
      <c r="IG369" s="210"/>
      <c r="IH369" s="210"/>
      <c r="II369" s="210"/>
      <c r="IJ369" s="210"/>
      <c r="IK369" s="210"/>
      <c r="IL369" s="210"/>
      <c r="IM369" s="210"/>
      <c r="KW369" s="120"/>
      <c r="LD369" s="210"/>
      <c r="LE369" s="210"/>
      <c r="LF369" s="210"/>
      <c r="LG369" s="210"/>
      <c r="LH369" s="210"/>
      <c r="LI369" s="210"/>
      <c r="LJ369" s="210"/>
      <c r="LK369" s="210"/>
      <c r="LL369" s="210"/>
      <c r="LM369" s="210"/>
      <c r="LN369" s="210"/>
      <c r="LO369" s="210"/>
      <c r="LP369" s="210"/>
      <c r="LQ369" s="210"/>
      <c r="LR369" s="210"/>
      <c r="OB369" s="120"/>
      <c r="OI369" s="210"/>
      <c r="OJ369" s="210"/>
      <c r="OK369" s="210"/>
      <c r="OL369" s="210"/>
      <c r="OM369" s="210"/>
      <c r="ON369" s="210"/>
      <c r="OO369" s="210"/>
      <c r="OP369" s="210"/>
      <c r="OQ369" s="210"/>
      <c r="OR369" s="210"/>
      <c r="OS369" s="210"/>
      <c r="OT369" s="210"/>
      <c r="OU369" s="210"/>
      <c r="OV369" s="210"/>
      <c r="OW369" s="210"/>
      <c r="RG369" s="120"/>
    </row>
    <row r="370" spans="1:475" x14ac:dyDescent="0.3">
      <c r="A370" s="7">
        <v>36</v>
      </c>
      <c r="B370" s="7">
        <v>360</v>
      </c>
      <c r="C370" s="7" t="s">
        <v>346</v>
      </c>
      <c r="D370" s="7" t="s">
        <v>764</v>
      </c>
      <c r="E370" s="7" t="s">
        <v>441</v>
      </c>
      <c r="F370" s="7" t="s">
        <v>275</v>
      </c>
      <c r="G370" s="41" t="str">
        <f t="shared" si="58"/>
        <v>X</v>
      </c>
      <c r="H370" s="41">
        <f>INDEX(환산공식!CI$16:CI$301,MATCH('배치점수 계산기'!$W370,환산공식!$A$16:$A$301,0))</f>
        <v>140</v>
      </c>
      <c r="I370" s="41" t="str">
        <f>CONCATENATE(ROUND(INDEX(환산공식!CJ$16:CJ$301,MATCH('배치점수 계산기'!$W370,환산공식!$A$16:$A$301,0)),1),"%")</f>
        <v>100%</v>
      </c>
      <c r="J370" s="41">
        <f>INDEX(환산공식!CK$16:CK$301,MATCH('배치점수 계산기'!$W370,환산공식!$A$16:$A$301,0))</f>
        <v>10</v>
      </c>
      <c r="K370" s="7">
        <f>INDEX(환산공식!$EF$16:$EF$301,MATCH('배치점수 계산기'!W370,환산공식!$A$16:$A$301,0))</f>
        <v>0</v>
      </c>
      <c r="L370" s="41" t="str">
        <f t="shared" si="56"/>
        <v>1% 이하</v>
      </c>
      <c r="M370" s="7">
        <v>628.17209110977319</v>
      </c>
      <c r="N370" s="7">
        <v>623.57015619764854</v>
      </c>
      <c r="O370" s="7">
        <v>620.75169908079636</v>
      </c>
      <c r="P370" s="7">
        <v>616.36654484770077</v>
      </c>
      <c r="Q370" s="7">
        <v>613.32185029098946</v>
      </c>
      <c r="R370" s="7">
        <f t="shared" si="57"/>
        <v>6</v>
      </c>
      <c r="T370" s="7">
        <f>COUNTIF($C$11:C370,C370)</f>
        <v>151</v>
      </c>
      <c r="U370" s="7" t="str">
        <f t="shared" si="59"/>
        <v>나151</v>
      </c>
      <c r="V370" s="7" t="str">
        <f>INDEX(환산공식!$C$16:$C$301,MATCH('배치점수 계산기'!W370,환산공식!$A$16:$A$301,0))</f>
        <v>한국외대 서울</v>
      </c>
      <c r="W370" s="7">
        <f t="shared" si="60"/>
        <v>36</v>
      </c>
      <c r="X370" s="7">
        <f t="shared" si="61"/>
        <v>1</v>
      </c>
      <c r="Y370" s="7">
        <f>IFERROR(INDEX(환산공식!Q$16:Q$200,MATCH($A370,환산공식!$A$16:$A$200,0)),"")</f>
        <v>1.4093959731543624</v>
      </c>
      <c r="Z370" s="7">
        <f>IFERROR(INDEX(환산공식!R$16:R$200,MATCH($A370,환산공식!$A$16:$A$200,0)),"")</f>
        <v>1.4285714285714286</v>
      </c>
      <c r="AA370" s="7">
        <f>IFERROR(INDEX(환산공식!U$16:U$200,MATCH($A370,환산공식!$A$16:$A$200,0)),"")</f>
        <v>1.0606060606060606</v>
      </c>
      <c r="AB370" s="7">
        <f t="shared" si="62"/>
        <v>0.36151581771434954</v>
      </c>
      <c r="AC370" s="7">
        <f t="shared" si="63"/>
        <v>0.36643440026828633</v>
      </c>
      <c r="AD370" s="7">
        <f t="shared" si="64"/>
        <v>0.27204978201736407</v>
      </c>
      <c r="AE370" s="7">
        <f>INDEX(환산공식!$AF$16:$AF$301,MATCH('배치점수 계산기'!W370,환산공식!$A$16:$A$301,0))</f>
        <v>12</v>
      </c>
      <c r="AF370" s="7">
        <f>INDEX(환산공식!$AP$16:$AP$301,MATCH('배치점수 계산기'!W370,환산공식!$A$16:$A$301,0))</f>
        <v>42</v>
      </c>
      <c r="AG370" s="7" t="str">
        <f t="shared" si="65"/>
        <v>표점/만점</v>
      </c>
      <c r="AH370" s="7" t="str">
        <f t="shared" si="66"/>
        <v>변표/만점</v>
      </c>
      <c r="BO370" s="210"/>
      <c r="BP370" s="210"/>
      <c r="BQ370" s="210"/>
      <c r="BR370" s="210"/>
      <c r="BS370" s="210"/>
      <c r="BT370" s="210"/>
      <c r="BU370" s="210"/>
      <c r="BV370" s="210"/>
      <c r="BW370" s="210"/>
      <c r="BX370" s="210"/>
      <c r="BY370" s="210"/>
      <c r="BZ370" s="210"/>
      <c r="CA370" s="210"/>
      <c r="CB370" s="210"/>
      <c r="CC370" s="210"/>
      <c r="EM370" s="120"/>
      <c r="ET370" s="210"/>
      <c r="EU370" s="210"/>
      <c r="EV370" s="210"/>
      <c r="EW370" s="210"/>
      <c r="EX370" s="210"/>
      <c r="EY370" s="210"/>
      <c r="EZ370" s="210"/>
      <c r="FA370" s="210"/>
      <c r="FB370" s="210"/>
      <c r="FC370" s="210"/>
      <c r="FD370" s="210"/>
      <c r="FE370" s="210"/>
      <c r="FF370" s="210"/>
      <c r="FG370" s="210"/>
      <c r="FH370" s="210"/>
      <c r="HR370" s="120"/>
      <c r="HY370" s="210"/>
      <c r="HZ370" s="210"/>
      <c r="IA370" s="210"/>
      <c r="IB370" s="210"/>
      <c r="IC370" s="210"/>
      <c r="ID370" s="210"/>
      <c r="IE370" s="210"/>
      <c r="IF370" s="210"/>
      <c r="IG370" s="210"/>
      <c r="IH370" s="210"/>
      <c r="II370" s="210"/>
      <c r="IJ370" s="210"/>
      <c r="IK370" s="210"/>
      <c r="IL370" s="210"/>
      <c r="IM370" s="210"/>
      <c r="KW370" s="120"/>
      <c r="LD370" s="210"/>
      <c r="LE370" s="210"/>
      <c r="LF370" s="210"/>
      <c r="LG370" s="210"/>
      <c r="LH370" s="210"/>
      <c r="LI370" s="210"/>
      <c r="LJ370" s="210"/>
      <c r="LK370" s="210"/>
      <c r="LL370" s="210"/>
      <c r="LM370" s="210"/>
      <c r="LN370" s="210"/>
      <c r="LO370" s="210"/>
      <c r="LP370" s="210"/>
      <c r="LQ370" s="210"/>
      <c r="LR370" s="210"/>
      <c r="OB370" s="120"/>
      <c r="OI370" s="210"/>
      <c r="OJ370" s="210"/>
      <c r="OK370" s="210"/>
      <c r="OL370" s="210"/>
      <c r="OM370" s="210"/>
      <c r="ON370" s="210"/>
      <c r="OO370" s="210"/>
      <c r="OP370" s="210"/>
      <c r="OQ370" s="210"/>
      <c r="OR370" s="210"/>
      <c r="OS370" s="210"/>
      <c r="OT370" s="210"/>
      <c r="OU370" s="210"/>
      <c r="OV370" s="210"/>
      <c r="OW370" s="210"/>
      <c r="RG370" s="120"/>
    </row>
    <row r="371" spans="1:475" x14ac:dyDescent="0.3">
      <c r="A371" s="7">
        <v>36</v>
      </c>
      <c r="B371" s="7">
        <v>361</v>
      </c>
      <c r="C371" s="7" t="s">
        <v>346</v>
      </c>
      <c r="D371" s="7" t="s">
        <v>764</v>
      </c>
      <c r="E371" s="7" t="s">
        <v>413</v>
      </c>
      <c r="F371" s="7" t="s">
        <v>275</v>
      </c>
      <c r="G371" s="41" t="str">
        <f t="shared" si="58"/>
        <v>X</v>
      </c>
      <c r="H371" s="41">
        <f>INDEX(환산공식!CI$16:CI$301,MATCH('배치점수 계산기'!$W371,환산공식!$A$16:$A$301,0))</f>
        <v>140</v>
      </c>
      <c r="I371" s="41" t="str">
        <f>CONCATENATE(ROUND(INDEX(환산공식!CJ$16:CJ$301,MATCH('배치점수 계산기'!$W371,환산공식!$A$16:$A$301,0)),1),"%")</f>
        <v>100%</v>
      </c>
      <c r="J371" s="41">
        <f>INDEX(환산공식!CK$16:CK$301,MATCH('배치점수 계산기'!$W371,환산공식!$A$16:$A$301,0))</f>
        <v>10</v>
      </c>
      <c r="K371" s="7">
        <f>INDEX(환산공식!$EF$16:$EF$301,MATCH('배치점수 계산기'!W371,환산공식!$A$16:$A$301,0))</f>
        <v>0</v>
      </c>
      <c r="L371" s="41" t="str">
        <f t="shared" si="56"/>
        <v>1% 이하</v>
      </c>
      <c r="M371" s="7">
        <v>628.17209110977319</v>
      </c>
      <c r="N371" s="7">
        <v>626.12670880995393</v>
      </c>
      <c r="O371" s="7">
        <v>621.95804900148698</v>
      </c>
      <c r="P371" s="7">
        <v>616.36654484770077</v>
      </c>
      <c r="Q371" s="7">
        <v>613.32185029098946</v>
      </c>
      <c r="R371" s="7">
        <f t="shared" si="57"/>
        <v>6</v>
      </c>
      <c r="T371" s="7">
        <f>COUNTIF($C$11:C371,C371)</f>
        <v>152</v>
      </c>
      <c r="U371" s="7" t="str">
        <f t="shared" si="59"/>
        <v>나152</v>
      </c>
      <c r="V371" s="7" t="str">
        <f>INDEX(환산공식!$C$16:$C$301,MATCH('배치점수 계산기'!W371,환산공식!$A$16:$A$301,0))</f>
        <v>한국외대 서울</v>
      </c>
      <c r="W371" s="7">
        <f t="shared" si="60"/>
        <v>36</v>
      </c>
      <c r="X371" s="7">
        <f t="shared" si="61"/>
        <v>1</v>
      </c>
      <c r="Y371" s="7">
        <f>IFERROR(INDEX(환산공식!Q$16:Q$200,MATCH($A371,환산공식!$A$16:$A$200,0)),"")</f>
        <v>1.4093959731543624</v>
      </c>
      <c r="Z371" s="7">
        <f>IFERROR(INDEX(환산공식!R$16:R$200,MATCH($A371,환산공식!$A$16:$A$200,0)),"")</f>
        <v>1.4285714285714286</v>
      </c>
      <c r="AA371" s="7">
        <f>IFERROR(INDEX(환산공식!U$16:U$200,MATCH($A371,환산공식!$A$16:$A$200,0)),"")</f>
        <v>1.0606060606060606</v>
      </c>
      <c r="AB371" s="7">
        <f t="shared" si="62"/>
        <v>0.36151581771434954</v>
      </c>
      <c r="AC371" s="7">
        <f t="shared" si="63"/>
        <v>0.36643440026828633</v>
      </c>
      <c r="AD371" s="7">
        <f t="shared" si="64"/>
        <v>0.27204978201736407</v>
      </c>
      <c r="AE371" s="7">
        <f>INDEX(환산공식!$AF$16:$AF$301,MATCH('배치점수 계산기'!W371,환산공식!$A$16:$A$301,0))</f>
        <v>12</v>
      </c>
      <c r="AF371" s="7">
        <f>INDEX(환산공식!$AP$16:$AP$301,MATCH('배치점수 계산기'!W371,환산공식!$A$16:$A$301,0))</f>
        <v>42</v>
      </c>
      <c r="AG371" s="7" t="str">
        <f t="shared" si="65"/>
        <v>표점/만점</v>
      </c>
      <c r="AH371" s="7" t="str">
        <f t="shared" si="66"/>
        <v>변표/만점</v>
      </c>
      <c r="BO371" s="210"/>
      <c r="BP371" s="210"/>
      <c r="BQ371" s="210"/>
      <c r="BR371" s="210"/>
      <c r="BS371" s="210"/>
      <c r="BT371" s="210"/>
      <c r="BU371" s="210"/>
      <c r="BV371" s="210"/>
      <c r="BW371" s="210"/>
      <c r="BX371" s="210"/>
      <c r="BY371" s="210"/>
      <c r="BZ371" s="210"/>
      <c r="CA371" s="210"/>
      <c r="CB371" s="210"/>
      <c r="CC371" s="210"/>
      <c r="EM371" s="120"/>
      <c r="ET371" s="210"/>
      <c r="EU371" s="210"/>
      <c r="EV371" s="210"/>
      <c r="EW371" s="210"/>
      <c r="EX371" s="210"/>
      <c r="EY371" s="210"/>
      <c r="EZ371" s="210"/>
      <c r="FA371" s="210"/>
      <c r="FB371" s="210"/>
      <c r="FC371" s="210"/>
      <c r="FD371" s="210"/>
      <c r="FE371" s="210"/>
      <c r="FF371" s="210"/>
      <c r="FG371" s="210"/>
      <c r="FH371" s="210"/>
      <c r="HR371" s="120"/>
      <c r="HY371" s="210"/>
      <c r="HZ371" s="210"/>
      <c r="IA371" s="210"/>
      <c r="IB371" s="210"/>
      <c r="IC371" s="210"/>
      <c r="ID371" s="210"/>
      <c r="IE371" s="210"/>
      <c r="IF371" s="210"/>
      <c r="IG371" s="210"/>
      <c r="IH371" s="210"/>
      <c r="II371" s="210"/>
      <c r="IJ371" s="210"/>
      <c r="IK371" s="210"/>
      <c r="IL371" s="210"/>
      <c r="IM371" s="210"/>
      <c r="KW371" s="120"/>
      <c r="LD371" s="210"/>
      <c r="LE371" s="210"/>
      <c r="LF371" s="210"/>
      <c r="LG371" s="210"/>
      <c r="LH371" s="210"/>
      <c r="LI371" s="210"/>
      <c r="LJ371" s="210"/>
      <c r="LK371" s="210"/>
      <c r="LL371" s="210"/>
      <c r="LM371" s="210"/>
      <c r="LN371" s="210"/>
      <c r="LO371" s="210"/>
      <c r="LP371" s="210"/>
      <c r="LQ371" s="210"/>
      <c r="LR371" s="210"/>
      <c r="OB371" s="120"/>
      <c r="OI371" s="210"/>
      <c r="OJ371" s="210"/>
      <c r="OK371" s="210"/>
      <c r="OL371" s="210"/>
      <c r="OM371" s="210"/>
      <c r="ON371" s="210"/>
      <c r="OO371" s="210"/>
      <c r="OP371" s="210"/>
      <c r="OQ371" s="210"/>
      <c r="OR371" s="210"/>
      <c r="OS371" s="210"/>
      <c r="OT371" s="210"/>
      <c r="OU371" s="210"/>
      <c r="OV371" s="210"/>
      <c r="OW371" s="210"/>
      <c r="RG371" s="120"/>
    </row>
    <row r="372" spans="1:475" x14ac:dyDescent="0.3">
      <c r="A372" s="7">
        <v>36</v>
      </c>
      <c r="B372" s="7">
        <v>362</v>
      </c>
      <c r="C372" s="7" t="s">
        <v>276</v>
      </c>
      <c r="D372" s="7" t="s">
        <v>764</v>
      </c>
      <c r="E372" s="7" t="s">
        <v>442</v>
      </c>
      <c r="F372" s="7" t="s">
        <v>275</v>
      </c>
      <c r="G372" s="41" t="str">
        <f t="shared" si="58"/>
        <v>X</v>
      </c>
      <c r="H372" s="41">
        <f>INDEX(환산공식!CI$16:CI$301,MATCH('배치점수 계산기'!$W372,환산공식!$A$16:$A$301,0))</f>
        <v>140</v>
      </c>
      <c r="I372" s="41" t="str">
        <f>CONCATENATE(ROUND(INDEX(환산공식!CJ$16:CJ$301,MATCH('배치점수 계산기'!$W372,환산공식!$A$16:$A$301,0)),1),"%")</f>
        <v>100%</v>
      </c>
      <c r="J372" s="41">
        <f>INDEX(환산공식!CK$16:CK$301,MATCH('배치점수 계산기'!$W372,환산공식!$A$16:$A$301,0))</f>
        <v>10</v>
      </c>
      <c r="K372" s="7">
        <f>INDEX(환산공식!$EF$16:$EF$301,MATCH('배치점수 계산기'!W372,환산공식!$A$16:$A$301,0))</f>
        <v>0</v>
      </c>
      <c r="L372" s="41" t="str">
        <f t="shared" si="56"/>
        <v>1% 이하</v>
      </c>
      <c r="M372" s="7">
        <v>621.95804900148698</v>
      </c>
      <c r="N372" s="7">
        <v>620.00862189459428</v>
      </c>
      <c r="O372" s="7">
        <v>617.68616619431305</v>
      </c>
      <c r="P372" s="7">
        <v>615.57657234597639</v>
      </c>
      <c r="Q372" s="7">
        <v>612.30825095568844</v>
      </c>
      <c r="R372" s="7">
        <f t="shared" si="57"/>
        <v>6</v>
      </c>
      <c r="T372" s="7">
        <f>COUNTIF($C$11:C372,C372)</f>
        <v>204</v>
      </c>
      <c r="U372" s="7" t="str">
        <f t="shared" si="59"/>
        <v>가204</v>
      </c>
      <c r="V372" s="7" t="str">
        <f>INDEX(환산공식!$C$16:$C$301,MATCH('배치점수 계산기'!W372,환산공식!$A$16:$A$301,0))</f>
        <v>한국외대 서울</v>
      </c>
      <c r="W372" s="7">
        <f t="shared" si="60"/>
        <v>36</v>
      </c>
      <c r="X372" s="7">
        <f t="shared" si="61"/>
        <v>1</v>
      </c>
      <c r="Y372" s="7">
        <f>IFERROR(INDEX(환산공식!Q$16:Q$200,MATCH($A372,환산공식!$A$16:$A$200,0)),"")</f>
        <v>1.4093959731543624</v>
      </c>
      <c r="Z372" s="7">
        <f>IFERROR(INDEX(환산공식!R$16:R$200,MATCH($A372,환산공식!$A$16:$A$200,0)),"")</f>
        <v>1.4285714285714286</v>
      </c>
      <c r="AA372" s="7">
        <f>IFERROR(INDEX(환산공식!U$16:U$200,MATCH($A372,환산공식!$A$16:$A$200,0)),"")</f>
        <v>1.0606060606060606</v>
      </c>
      <c r="AB372" s="7">
        <f t="shared" si="62"/>
        <v>0.36151581771434954</v>
      </c>
      <c r="AC372" s="7">
        <f t="shared" si="63"/>
        <v>0.36643440026828633</v>
      </c>
      <c r="AD372" s="7">
        <f t="shared" si="64"/>
        <v>0.27204978201736407</v>
      </c>
      <c r="AE372" s="7">
        <f>INDEX(환산공식!$AF$16:$AF$301,MATCH('배치점수 계산기'!W372,환산공식!$A$16:$A$301,0))</f>
        <v>12</v>
      </c>
      <c r="AF372" s="7">
        <f>INDEX(환산공식!$AP$16:$AP$301,MATCH('배치점수 계산기'!W372,환산공식!$A$16:$A$301,0))</f>
        <v>42</v>
      </c>
      <c r="AG372" s="7" t="str">
        <f t="shared" si="65"/>
        <v>표점/만점</v>
      </c>
      <c r="AH372" s="7" t="str">
        <f t="shared" si="66"/>
        <v>변표/만점</v>
      </c>
      <c r="BO372" s="210"/>
      <c r="BP372" s="210"/>
      <c r="BQ372" s="210"/>
      <c r="BR372" s="210"/>
      <c r="BS372" s="210"/>
      <c r="BT372" s="210"/>
      <c r="BU372" s="210"/>
      <c r="BV372" s="210"/>
      <c r="BW372" s="210"/>
      <c r="BX372" s="210"/>
      <c r="BY372" s="210"/>
      <c r="BZ372" s="210"/>
      <c r="CA372" s="210"/>
      <c r="CB372" s="210"/>
      <c r="CC372" s="210"/>
      <c r="EM372" s="120"/>
      <c r="ET372" s="210"/>
      <c r="EU372" s="210"/>
      <c r="EV372" s="210"/>
      <c r="EW372" s="210"/>
      <c r="EX372" s="210"/>
      <c r="EY372" s="210"/>
      <c r="EZ372" s="210"/>
      <c r="FA372" s="210"/>
      <c r="FB372" s="210"/>
      <c r="FC372" s="210"/>
      <c r="FD372" s="210"/>
      <c r="FE372" s="210"/>
      <c r="FF372" s="210"/>
      <c r="FG372" s="210"/>
      <c r="FH372" s="210"/>
      <c r="HR372" s="120"/>
      <c r="HY372" s="210"/>
      <c r="HZ372" s="210"/>
      <c r="IA372" s="210"/>
      <c r="IB372" s="210"/>
      <c r="IC372" s="210"/>
      <c r="ID372" s="210"/>
      <c r="IE372" s="210"/>
      <c r="IF372" s="210"/>
      <c r="IG372" s="210"/>
      <c r="IH372" s="210"/>
      <c r="II372" s="210"/>
      <c r="IJ372" s="210"/>
      <c r="IK372" s="210"/>
      <c r="IL372" s="210"/>
      <c r="IM372" s="210"/>
      <c r="KW372" s="120"/>
      <c r="LD372" s="210"/>
      <c r="LE372" s="210"/>
      <c r="LF372" s="210"/>
      <c r="LG372" s="210"/>
      <c r="LH372" s="210"/>
      <c r="LI372" s="210"/>
      <c r="LJ372" s="210"/>
      <c r="LK372" s="210"/>
      <c r="LL372" s="210"/>
      <c r="LM372" s="210"/>
      <c r="LN372" s="210"/>
      <c r="LO372" s="210"/>
      <c r="LP372" s="210"/>
      <c r="LQ372" s="210"/>
      <c r="LR372" s="210"/>
      <c r="OB372" s="120"/>
      <c r="OI372" s="210"/>
      <c r="OJ372" s="210"/>
      <c r="OK372" s="210"/>
      <c r="OL372" s="210"/>
      <c r="OM372" s="210"/>
      <c r="ON372" s="210"/>
      <c r="OO372" s="210"/>
      <c r="OP372" s="210"/>
      <c r="OQ372" s="210"/>
      <c r="OR372" s="210"/>
      <c r="OS372" s="210"/>
      <c r="OT372" s="210"/>
      <c r="OU372" s="210"/>
      <c r="OV372" s="210"/>
      <c r="OW372" s="210"/>
      <c r="RG372" s="120"/>
    </row>
    <row r="373" spans="1:475" x14ac:dyDescent="0.3">
      <c r="A373" s="7">
        <v>36</v>
      </c>
      <c r="B373" s="7">
        <v>363</v>
      </c>
      <c r="C373" s="7" t="s">
        <v>276</v>
      </c>
      <c r="D373" s="7" t="s">
        <v>764</v>
      </c>
      <c r="E373" s="7" t="s">
        <v>443</v>
      </c>
      <c r="F373" s="7" t="s">
        <v>275</v>
      </c>
      <c r="G373" s="41" t="str">
        <f t="shared" si="58"/>
        <v>X</v>
      </c>
      <c r="H373" s="41">
        <f>INDEX(환산공식!CI$16:CI$301,MATCH('배치점수 계산기'!$W373,환산공식!$A$16:$A$301,0))</f>
        <v>140</v>
      </c>
      <c r="I373" s="41" t="str">
        <f>CONCATENATE(ROUND(INDEX(환산공식!CJ$16:CJ$301,MATCH('배치점수 계산기'!$W373,환산공식!$A$16:$A$301,0)),1),"%")</f>
        <v>100%</v>
      </c>
      <c r="J373" s="41">
        <f>INDEX(환산공식!CK$16:CK$301,MATCH('배치점수 계산기'!$W373,환산공식!$A$16:$A$301,0))</f>
        <v>10</v>
      </c>
      <c r="K373" s="7">
        <f>INDEX(환산공식!$EF$16:$EF$301,MATCH('배치점수 계산기'!W373,환산공식!$A$16:$A$301,0))</f>
        <v>0</v>
      </c>
      <c r="L373" s="41" t="str">
        <f t="shared" si="56"/>
        <v>1% 이하</v>
      </c>
      <c r="M373" s="7">
        <v>621.95804900148698</v>
      </c>
      <c r="N373" s="7">
        <v>620.00862189459428</v>
      </c>
      <c r="O373" s="7">
        <v>617.68616619431305</v>
      </c>
      <c r="P373" s="7">
        <v>615.57657234597639</v>
      </c>
      <c r="Q373" s="7">
        <v>612.30825095568844</v>
      </c>
      <c r="R373" s="7">
        <f t="shared" si="57"/>
        <v>6</v>
      </c>
      <c r="T373" s="7">
        <f>COUNTIF($C$11:C373,C373)</f>
        <v>205</v>
      </c>
      <c r="U373" s="7" t="str">
        <f t="shared" si="59"/>
        <v>가205</v>
      </c>
      <c r="V373" s="7" t="str">
        <f>INDEX(환산공식!$C$16:$C$301,MATCH('배치점수 계산기'!W373,환산공식!$A$16:$A$301,0))</f>
        <v>한국외대 서울</v>
      </c>
      <c r="W373" s="7">
        <f t="shared" si="60"/>
        <v>36</v>
      </c>
      <c r="X373" s="7">
        <f t="shared" si="61"/>
        <v>1</v>
      </c>
      <c r="Y373" s="7">
        <f>IFERROR(INDEX(환산공식!Q$16:Q$200,MATCH($A373,환산공식!$A$16:$A$200,0)),"")</f>
        <v>1.4093959731543624</v>
      </c>
      <c r="Z373" s="7">
        <f>IFERROR(INDEX(환산공식!R$16:R$200,MATCH($A373,환산공식!$A$16:$A$200,0)),"")</f>
        <v>1.4285714285714286</v>
      </c>
      <c r="AA373" s="7">
        <f>IFERROR(INDEX(환산공식!U$16:U$200,MATCH($A373,환산공식!$A$16:$A$200,0)),"")</f>
        <v>1.0606060606060606</v>
      </c>
      <c r="AB373" s="7">
        <f t="shared" si="62"/>
        <v>0.36151581771434954</v>
      </c>
      <c r="AC373" s="7">
        <f t="shared" si="63"/>
        <v>0.36643440026828633</v>
      </c>
      <c r="AD373" s="7">
        <f t="shared" si="64"/>
        <v>0.27204978201736407</v>
      </c>
      <c r="AE373" s="7">
        <f>INDEX(환산공식!$AF$16:$AF$301,MATCH('배치점수 계산기'!W373,환산공식!$A$16:$A$301,0))</f>
        <v>12</v>
      </c>
      <c r="AF373" s="7">
        <f>INDEX(환산공식!$AP$16:$AP$301,MATCH('배치점수 계산기'!W373,환산공식!$A$16:$A$301,0))</f>
        <v>42</v>
      </c>
      <c r="AG373" s="7" t="str">
        <f t="shared" si="65"/>
        <v>표점/만점</v>
      </c>
      <c r="AH373" s="7" t="str">
        <f t="shared" si="66"/>
        <v>변표/만점</v>
      </c>
      <c r="BO373" s="210"/>
      <c r="BP373" s="210"/>
      <c r="BQ373" s="210"/>
      <c r="BR373" s="210"/>
      <c r="BS373" s="210"/>
      <c r="BT373" s="210"/>
      <c r="BU373" s="210"/>
      <c r="BV373" s="210"/>
      <c r="BW373" s="210"/>
      <c r="BX373" s="210"/>
      <c r="BY373" s="210"/>
      <c r="BZ373" s="210"/>
      <c r="CA373" s="210"/>
      <c r="CB373" s="210"/>
      <c r="CC373" s="210"/>
      <c r="EM373" s="120"/>
      <c r="ET373" s="210"/>
      <c r="EU373" s="210"/>
      <c r="EV373" s="210"/>
      <c r="EW373" s="210"/>
      <c r="EX373" s="210"/>
      <c r="EY373" s="210"/>
      <c r="EZ373" s="210"/>
      <c r="FA373" s="210"/>
      <c r="FB373" s="210"/>
      <c r="FC373" s="210"/>
      <c r="FD373" s="210"/>
      <c r="FE373" s="210"/>
      <c r="FF373" s="210"/>
      <c r="FG373" s="210"/>
      <c r="FH373" s="210"/>
      <c r="HR373" s="120"/>
      <c r="HY373" s="210"/>
      <c r="HZ373" s="210"/>
      <c r="IA373" s="210"/>
      <c r="IB373" s="210"/>
      <c r="IC373" s="210"/>
      <c r="ID373" s="210"/>
      <c r="IE373" s="210"/>
      <c r="IF373" s="210"/>
      <c r="IG373" s="210"/>
      <c r="IH373" s="210"/>
      <c r="II373" s="210"/>
      <c r="IJ373" s="210"/>
      <c r="IK373" s="210"/>
      <c r="IL373" s="210"/>
      <c r="IM373" s="210"/>
      <c r="KW373" s="120"/>
      <c r="LD373" s="210"/>
      <c r="LE373" s="210"/>
      <c r="LF373" s="210"/>
      <c r="LG373" s="210"/>
      <c r="LH373" s="210"/>
      <c r="LI373" s="210"/>
      <c r="LJ373" s="210"/>
      <c r="LK373" s="210"/>
      <c r="LL373" s="210"/>
      <c r="LM373" s="210"/>
      <c r="LN373" s="210"/>
      <c r="LO373" s="210"/>
      <c r="LP373" s="210"/>
      <c r="LQ373" s="210"/>
      <c r="LR373" s="210"/>
      <c r="OB373" s="120"/>
      <c r="OI373" s="210"/>
      <c r="OJ373" s="210"/>
      <c r="OK373" s="210"/>
      <c r="OL373" s="210"/>
      <c r="OM373" s="210"/>
      <c r="ON373" s="210"/>
      <c r="OO373" s="210"/>
      <c r="OP373" s="210"/>
      <c r="OQ373" s="210"/>
      <c r="OR373" s="210"/>
      <c r="OS373" s="210"/>
      <c r="OT373" s="210"/>
      <c r="OU373" s="210"/>
      <c r="OV373" s="210"/>
      <c r="OW373" s="210"/>
      <c r="RG373" s="120"/>
    </row>
    <row r="374" spans="1:475" x14ac:dyDescent="0.3">
      <c r="A374" s="7">
        <v>36</v>
      </c>
      <c r="B374" s="7">
        <v>364</v>
      </c>
      <c r="C374" s="7" t="s">
        <v>346</v>
      </c>
      <c r="D374" s="7" t="s">
        <v>764</v>
      </c>
      <c r="E374" s="7" t="s">
        <v>767</v>
      </c>
      <c r="F374" s="7" t="s">
        <v>275</v>
      </c>
      <c r="G374" s="41" t="str">
        <f t="shared" si="58"/>
        <v>X</v>
      </c>
      <c r="H374" s="41">
        <f>INDEX(환산공식!CI$16:CI$301,MATCH('배치점수 계산기'!$W374,환산공식!$A$16:$A$301,0))</f>
        <v>140</v>
      </c>
      <c r="I374" s="41" t="str">
        <f>CONCATENATE(ROUND(INDEX(환산공식!CJ$16:CJ$301,MATCH('배치점수 계산기'!$W374,환산공식!$A$16:$A$301,0)),1),"%")</f>
        <v>100%</v>
      </c>
      <c r="J374" s="41">
        <f>INDEX(환산공식!CK$16:CK$301,MATCH('배치점수 계산기'!$W374,환산공식!$A$16:$A$301,0))</f>
        <v>10</v>
      </c>
      <c r="K374" s="7">
        <f>INDEX(환산공식!$EF$16:$EF$301,MATCH('배치점수 계산기'!W374,환산공식!$A$16:$A$301,0))</f>
        <v>0</v>
      </c>
      <c r="L374" s="41" t="str">
        <f t="shared" si="56"/>
        <v>1% 이하</v>
      </c>
      <c r="M374" s="7">
        <v>629.61533409795493</v>
      </c>
      <c r="N374" s="7">
        <v>628.37209110977324</v>
      </c>
      <c r="O374" s="7">
        <v>621.64690748545058</v>
      </c>
      <c r="P374" s="7">
        <v>617.88616619431309</v>
      </c>
      <c r="Q374" s="7">
        <v>615.77657234597632</v>
      </c>
      <c r="R374" s="7">
        <f t="shared" si="57"/>
        <v>6</v>
      </c>
      <c r="T374" s="7">
        <f>COUNTIF($C$11:C374,C374)</f>
        <v>153</v>
      </c>
      <c r="U374" s="7" t="str">
        <f t="shared" si="59"/>
        <v>나153</v>
      </c>
      <c r="V374" s="7" t="str">
        <f>INDEX(환산공식!$C$16:$C$301,MATCH('배치점수 계산기'!W374,환산공식!$A$16:$A$301,0))</f>
        <v>한국외대 서울</v>
      </c>
      <c r="W374" s="7">
        <f t="shared" si="60"/>
        <v>36</v>
      </c>
      <c r="X374" s="7">
        <f t="shared" si="61"/>
        <v>1</v>
      </c>
      <c r="Y374" s="7">
        <f>IFERROR(INDEX(환산공식!Q$16:Q$200,MATCH($A374,환산공식!$A$16:$A$200,0)),"")</f>
        <v>1.4093959731543624</v>
      </c>
      <c r="Z374" s="7">
        <f>IFERROR(INDEX(환산공식!R$16:R$200,MATCH($A374,환산공식!$A$16:$A$200,0)),"")</f>
        <v>1.4285714285714286</v>
      </c>
      <c r="AA374" s="7">
        <f>IFERROR(INDEX(환산공식!U$16:U$200,MATCH($A374,환산공식!$A$16:$A$200,0)),"")</f>
        <v>1.0606060606060606</v>
      </c>
      <c r="AB374" s="7">
        <f t="shared" si="62"/>
        <v>0.36151581771434954</v>
      </c>
      <c r="AC374" s="7">
        <f t="shared" si="63"/>
        <v>0.36643440026828633</v>
      </c>
      <c r="AD374" s="7">
        <f t="shared" si="64"/>
        <v>0.27204978201736407</v>
      </c>
      <c r="AE374" s="7">
        <f>INDEX(환산공식!$AF$16:$AF$301,MATCH('배치점수 계산기'!W374,환산공식!$A$16:$A$301,0))</f>
        <v>12</v>
      </c>
      <c r="AF374" s="7">
        <f>INDEX(환산공식!$AP$16:$AP$301,MATCH('배치점수 계산기'!W374,환산공식!$A$16:$A$301,0))</f>
        <v>42</v>
      </c>
      <c r="AG374" s="7" t="str">
        <f t="shared" si="65"/>
        <v>표점/만점</v>
      </c>
      <c r="AH374" s="7" t="str">
        <f t="shared" si="66"/>
        <v>변표/만점</v>
      </c>
      <c r="BO374" s="210"/>
      <c r="BP374" s="210"/>
      <c r="BQ374" s="210"/>
      <c r="BR374" s="210"/>
      <c r="BS374" s="210"/>
      <c r="BT374" s="210"/>
      <c r="BU374" s="210"/>
      <c r="BV374" s="210"/>
      <c r="BW374" s="210"/>
      <c r="BX374" s="210"/>
      <c r="BY374" s="210"/>
      <c r="BZ374" s="210"/>
      <c r="CA374" s="210"/>
      <c r="CB374" s="210"/>
      <c r="CC374" s="210"/>
      <c r="EM374" s="120"/>
      <c r="ET374" s="210"/>
      <c r="EU374" s="210"/>
      <c r="EV374" s="210"/>
      <c r="EW374" s="210"/>
      <c r="EX374" s="210"/>
      <c r="EY374" s="210"/>
      <c r="EZ374" s="210"/>
      <c r="FA374" s="210"/>
      <c r="FB374" s="210"/>
      <c r="FC374" s="210"/>
      <c r="FD374" s="210"/>
      <c r="FE374" s="210"/>
      <c r="FF374" s="210"/>
      <c r="FG374" s="210"/>
      <c r="FH374" s="210"/>
      <c r="HR374" s="120"/>
      <c r="HY374" s="210"/>
      <c r="HZ374" s="210"/>
      <c r="IA374" s="210"/>
      <c r="IB374" s="210"/>
      <c r="IC374" s="210"/>
      <c r="ID374" s="210"/>
      <c r="IE374" s="210"/>
      <c r="IF374" s="210"/>
      <c r="IG374" s="210"/>
      <c r="IH374" s="210"/>
      <c r="II374" s="210"/>
      <c r="IJ374" s="210"/>
      <c r="IK374" s="210"/>
      <c r="IL374" s="210"/>
      <c r="IM374" s="210"/>
      <c r="KW374" s="120"/>
      <c r="LD374" s="210"/>
      <c r="LE374" s="210"/>
      <c r="LF374" s="210"/>
      <c r="LG374" s="210"/>
      <c r="LH374" s="210"/>
      <c r="LI374" s="210"/>
      <c r="LJ374" s="210"/>
      <c r="LK374" s="210"/>
      <c r="LL374" s="210"/>
      <c r="LM374" s="210"/>
      <c r="LN374" s="210"/>
      <c r="LO374" s="210"/>
      <c r="LP374" s="210"/>
      <c r="LQ374" s="210"/>
      <c r="LR374" s="210"/>
      <c r="OB374" s="120"/>
      <c r="OI374" s="210"/>
      <c r="OJ374" s="210"/>
      <c r="OK374" s="210"/>
      <c r="OL374" s="210"/>
      <c r="OM374" s="210"/>
      <c r="ON374" s="210"/>
      <c r="OO374" s="210"/>
      <c r="OP374" s="210"/>
      <c r="OQ374" s="210"/>
      <c r="OR374" s="210"/>
      <c r="OS374" s="210"/>
      <c r="OT374" s="210"/>
      <c r="OU374" s="210"/>
      <c r="OV374" s="210"/>
      <c r="OW374" s="210"/>
      <c r="RG374" s="120"/>
    </row>
    <row r="375" spans="1:475" x14ac:dyDescent="0.3">
      <c r="A375" s="7">
        <v>36</v>
      </c>
      <c r="B375" s="7">
        <v>365</v>
      </c>
      <c r="C375" s="7" t="s">
        <v>276</v>
      </c>
      <c r="D375" s="7" t="s">
        <v>764</v>
      </c>
      <c r="E375" s="7" t="s">
        <v>444</v>
      </c>
      <c r="F375" s="7" t="s">
        <v>275</v>
      </c>
      <c r="G375" s="41" t="str">
        <f t="shared" si="58"/>
        <v>X</v>
      </c>
      <c r="H375" s="41">
        <f>INDEX(환산공식!CI$16:CI$301,MATCH('배치점수 계산기'!$W375,환산공식!$A$16:$A$301,0))</f>
        <v>140</v>
      </c>
      <c r="I375" s="41" t="str">
        <f>CONCATENATE(ROUND(INDEX(환산공식!CJ$16:CJ$301,MATCH('배치점수 계산기'!$W375,환산공식!$A$16:$A$301,0)),1),"%")</f>
        <v>100%</v>
      </c>
      <c r="J375" s="41">
        <f>INDEX(환산공식!CK$16:CK$301,MATCH('배치점수 계산기'!$W375,환산공식!$A$16:$A$301,0))</f>
        <v>10</v>
      </c>
      <c r="K375" s="7">
        <f>INDEX(환산공식!$EF$16:$EF$301,MATCH('배치점수 계산기'!W375,환산공식!$A$16:$A$301,0))</f>
        <v>0</v>
      </c>
      <c r="L375" s="41" t="str">
        <f t="shared" si="56"/>
        <v>1% 이하</v>
      </c>
      <c r="M375" s="7">
        <v>628.17209110977319</v>
      </c>
      <c r="N375" s="7">
        <v>623.57015619764854</v>
      </c>
      <c r="O375" s="7">
        <v>617.68616619431305</v>
      </c>
      <c r="P375" s="7">
        <v>615.57657234597639</v>
      </c>
      <c r="Q375" s="7">
        <v>613.32185029098946</v>
      </c>
      <c r="R375" s="7">
        <f t="shared" si="57"/>
        <v>6</v>
      </c>
      <c r="T375" s="7">
        <f>COUNTIF($C$11:C375,C375)</f>
        <v>206</v>
      </c>
      <c r="U375" s="7" t="str">
        <f t="shared" si="59"/>
        <v>가206</v>
      </c>
      <c r="V375" s="7" t="str">
        <f>INDEX(환산공식!$C$16:$C$301,MATCH('배치점수 계산기'!W375,환산공식!$A$16:$A$301,0))</f>
        <v>한국외대 서울</v>
      </c>
      <c r="W375" s="7">
        <f t="shared" si="60"/>
        <v>36</v>
      </c>
      <c r="X375" s="7">
        <f t="shared" si="61"/>
        <v>1</v>
      </c>
      <c r="Y375" s="7">
        <f>IFERROR(INDEX(환산공식!Q$16:Q$200,MATCH($A375,환산공식!$A$16:$A$200,0)),"")</f>
        <v>1.4093959731543624</v>
      </c>
      <c r="Z375" s="7">
        <f>IFERROR(INDEX(환산공식!R$16:R$200,MATCH($A375,환산공식!$A$16:$A$200,0)),"")</f>
        <v>1.4285714285714286</v>
      </c>
      <c r="AA375" s="7">
        <f>IFERROR(INDEX(환산공식!U$16:U$200,MATCH($A375,환산공식!$A$16:$A$200,0)),"")</f>
        <v>1.0606060606060606</v>
      </c>
      <c r="AB375" s="7">
        <f t="shared" si="62"/>
        <v>0.36151581771434954</v>
      </c>
      <c r="AC375" s="7">
        <f t="shared" si="63"/>
        <v>0.36643440026828633</v>
      </c>
      <c r="AD375" s="7">
        <f t="shared" si="64"/>
        <v>0.27204978201736407</v>
      </c>
      <c r="AE375" s="7">
        <f>INDEX(환산공식!$AF$16:$AF$301,MATCH('배치점수 계산기'!W375,환산공식!$A$16:$A$301,0))</f>
        <v>12</v>
      </c>
      <c r="AF375" s="7">
        <f>INDEX(환산공식!$AP$16:$AP$301,MATCH('배치점수 계산기'!W375,환산공식!$A$16:$A$301,0))</f>
        <v>42</v>
      </c>
      <c r="AG375" s="7" t="str">
        <f t="shared" si="65"/>
        <v>표점/만점</v>
      </c>
      <c r="AH375" s="7" t="str">
        <f t="shared" si="66"/>
        <v>변표/만점</v>
      </c>
      <c r="BO375" s="210"/>
      <c r="BP375" s="210"/>
      <c r="BQ375" s="210"/>
      <c r="BR375" s="210"/>
      <c r="BS375" s="210"/>
      <c r="BT375" s="210"/>
      <c r="BU375" s="210"/>
      <c r="BV375" s="210"/>
      <c r="BW375" s="210"/>
      <c r="BX375" s="210"/>
      <c r="BY375" s="210"/>
      <c r="BZ375" s="210"/>
      <c r="CA375" s="210"/>
      <c r="CB375" s="210"/>
      <c r="CC375" s="210"/>
      <c r="EM375" s="120"/>
      <c r="ET375" s="210"/>
      <c r="EU375" s="210"/>
      <c r="EV375" s="210"/>
      <c r="EW375" s="210"/>
      <c r="EX375" s="210"/>
      <c r="EY375" s="210"/>
      <c r="EZ375" s="210"/>
      <c r="FA375" s="210"/>
      <c r="FB375" s="210"/>
      <c r="FC375" s="210"/>
      <c r="FD375" s="210"/>
      <c r="FE375" s="210"/>
      <c r="FF375" s="210"/>
      <c r="FG375" s="210"/>
      <c r="FH375" s="210"/>
      <c r="HR375" s="120"/>
      <c r="HY375" s="210"/>
      <c r="HZ375" s="210"/>
      <c r="IA375" s="210"/>
      <c r="IB375" s="210"/>
      <c r="IC375" s="210"/>
      <c r="ID375" s="210"/>
      <c r="IE375" s="210"/>
      <c r="IF375" s="210"/>
      <c r="IG375" s="210"/>
      <c r="IH375" s="210"/>
      <c r="II375" s="210"/>
      <c r="IJ375" s="210"/>
      <c r="IK375" s="210"/>
      <c r="IL375" s="210"/>
      <c r="IM375" s="210"/>
      <c r="KW375" s="120"/>
      <c r="LD375" s="210"/>
      <c r="LE375" s="210"/>
      <c r="LF375" s="210"/>
      <c r="LG375" s="210"/>
      <c r="LH375" s="210"/>
      <c r="LI375" s="210"/>
      <c r="LJ375" s="210"/>
      <c r="LK375" s="210"/>
      <c r="LL375" s="210"/>
      <c r="LM375" s="210"/>
      <c r="LN375" s="210"/>
      <c r="LO375" s="210"/>
      <c r="LP375" s="210"/>
      <c r="LQ375" s="210"/>
      <c r="LR375" s="210"/>
      <c r="OB375" s="120"/>
      <c r="OI375" s="210"/>
      <c r="OJ375" s="210"/>
      <c r="OK375" s="210"/>
      <c r="OL375" s="210"/>
      <c r="OM375" s="210"/>
      <c r="ON375" s="210"/>
      <c r="OO375" s="210"/>
      <c r="OP375" s="210"/>
      <c r="OQ375" s="210"/>
      <c r="OR375" s="210"/>
      <c r="OS375" s="210"/>
      <c r="OT375" s="210"/>
      <c r="OU375" s="210"/>
      <c r="OV375" s="210"/>
      <c r="OW375" s="210"/>
      <c r="RG375" s="120"/>
    </row>
    <row r="376" spans="1:475" x14ac:dyDescent="0.3">
      <c r="A376" s="7">
        <v>36</v>
      </c>
      <c r="B376" s="7">
        <v>366</v>
      </c>
      <c r="C376" s="7" t="s">
        <v>276</v>
      </c>
      <c r="D376" s="7" t="s">
        <v>764</v>
      </c>
      <c r="E376" s="7" t="s">
        <v>445</v>
      </c>
      <c r="F376" s="7" t="s">
        <v>275</v>
      </c>
      <c r="G376" s="41" t="str">
        <f t="shared" si="58"/>
        <v>X</v>
      </c>
      <c r="H376" s="41">
        <f>INDEX(환산공식!CI$16:CI$301,MATCH('배치점수 계산기'!$W376,환산공식!$A$16:$A$301,0))</f>
        <v>140</v>
      </c>
      <c r="I376" s="41" t="str">
        <f>CONCATENATE(ROUND(INDEX(환산공식!CJ$16:CJ$301,MATCH('배치점수 계산기'!$W376,환산공식!$A$16:$A$301,0)),1),"%")</f>
        <v>100%</v>
      </c>
      <c r="J376" s="41">
        <f>INDEX(환산공식!CK$16:CK$301,MATCH('배치점수 계산기'!$W376,환산공식!$A$16:$A$301,0))</f>
        <v>10</v>
      </c>
      <c r="K376" s="7">
        <f>INDEX(환산공식!$EF$16:$EF$301,MATCH('배치점수 계산기'!W376,환산공식!$A$16:$A$301,0))</f>
        <v>0</v>
      </c>
      <c r="L376" s="41" t="str">
        <f t="shared" si="56"/>
        <v>1% 이하</v>
      </c>
      <c r="M376" s="7">
        <v>621.95804900148698</v>
      </c>
      <c r="N376" s="7">
        <v>620.00862189459428</v>
      </c>
      <c r="O376" s="7">
        <v>617.68616619431305</v>
      </c>
      <c r="P376" s="7">
        <v>615.57657234597639</v>
      </c>
      <c r="Q376" s="7">
        <v>612.30825095568844</v>
      </c>
      <c r="R376" s="7">
        <f t="shared" si="57"/>
        <v>6</v>
      </c>
      <c r="T376" s="7">
        <f>COUNTIF($C$11:C376,C376)</f>
        <v>207</v>
      </c>
      <c r="U376" s="7" t="str">
        <f t="shared" si="59"/>
        <v>가207</v>
      </c>
      <c r="V376" s="7" t="str">
        <f>INDEX(환산공식!$C$16:$C$301,MATCH('배치점수 계산기'!W376,환산공식!$A$16:$A$301,0))</f>
        <v>한국외대 서울</v>
      </c>
      <c r="W376" s="7">
        <f t="shared" si="60"/>
        <v>36</v>
      </c>
      <c r="X376" s="7">
        <f t="shared" si="61"/>
        <v>1</v>
      </c>
      <c r="Y376" s="7">
        <f>IFERROR(INDEX(환산공식!Q$16:Q$200,MATCH($A376,환산공식!$A$16:$A$200,0)),"")</f>
        <v>1.4093959731543624</v>
      </c>
      <c r="Z376" s="7">
        <f>IFERROR(INDEX(환산공식!R$16:R$200,MATCH($A376,환산공식!$A$16:$A$200,0)),"")</f>
        <v>1.4285714285714286</v>
      </c>
      <c r="AA376" s="7">
        <f>IFERROR(INDEX(환산공식!U$16:U$200,MATCH($A376,환산공식!$A$16:$A$200,0)),"")</f>
        <v>1.0606060606060606</v>
      </c>
      <c r="AB376" s="7">
        <f t="shared" si="62"/>
        <v>0.36151581771434954</v>
      </c>
      <c r="AC376" s="7">
        <f t="shared" si="63"/>
        <v>0.36643440026828633</v>
      </c>
      <c r="AD376" s="7">
        <f t="shared" si="64"/>
        <v>0.27204978201736407</v>
      </c>
      <c r="AE376" s="7">
        <f>INDEX(환산공식!$AF$16:$AF$301,MATCH('배치점수 계산기'!W376,환산공식!$A$16:$A$301,0))</f>
        <v>12</v>
      </c>
      <c r="AF376" s="7">
        <f>INDEX(환산공식!$AP$16:$AP$301,MATCH('배치점수 계산기'!W376,환산공식!$A$16:$A$301,0))</f>
        <v>42</v>
      </c>
      <c r="AG376" s="7" t="str">
        <f t="shared" si="65"/>
        <v>표점/만점</v>
      </c>
      <c r="AH376" s="7" t="str">
        <f t="shared" si="66"/>
        <v>변표/만점</v>
      </c>
      <c r="BO376" s="210"/>
      <c r="BP376" s="210"/>
      <c r="BQ376" s="210"/>
      <c r="BR376" s="210"/>
      <c r="BS376" s="210"/>
      <c r="BT376" s="210"/>
      <c r="BU376" s="210"/>
      <c r="BV376" s="210"/>
      <c r="BW376" s="210"/>
      <c r="BX376" s="210"/>
      <c r="BY376" s="210"/>
      <c r="BZ376" s="210"/>
      <c r="CA376" s="210"/>
      <c r="CB376" s="210"/>
      <c r="CC376" s="210"/>
      <c r="EM376" s="120"/>
      <c r="ET376" s="210"/>
      <c r="EU376" s="210"/>
      <c r="EV376" s="210"/>
      <c r="EW376" s="210"/>
      <c r="EX376" s="210"/>
      <c r="EY376" s="210"/>
      <c r="EZ376" s="210"/>
      <c r="FA376" s="210"/>
      <c r="FB376" s="210"/>
      <c r="FC376" s="210"/>
      <c r="FD376" s="210"/>
      <c r="FE376" s="210"/>
      <c r="FF376" s="210"/>
      <c r="FG376" s="210"/>
      <c r="FH376" s="210"/>
      <c r="HR376" s="120"/>
      <c r="HY376" s="210"/>
      <c r="HZ376" s="210"/>
      <c r="IA376" s="210"/>
      <c r="IB376" s="210"/>
      <c r="IC376" s="210"/>
      <c r="ID376" s="210"/>
      <c r="IE376" s="210"/>
      <c r="IF376" s="210"/>
      <c r="IG376" s="210"/>
      <c r="IH376" s="210"/>
      <c r="II376" s="210"/>
      <c r="IJ376" s="210"/>
      <c r="IK376" s="210"/>
      <c r="IL376" s="210"/>
      <c r="IM376" s="210"/>
      <c r="KW376" s="120"/>
      <c r="LD376" s="210"/>
      <c r="LE376" s="210"/>
      <c r="LF376" s="210"/>
      <c r="LG376" s="210"/>
      <c r="LH376" s="210"/>
      <c r="LI376" s="210"/>
      <c r="LJ376" s="210"/>
      <c r="LK376" s="210"/>
      <c r="LL376" s="210"/>
      <c r="LM376" s="210"/>
      <c r="LN376" s="210"/>
      <c r="LO376" s="210"/>
      <c r="LP376" s="210"/>
      <c r="LQ376" s="210"/>
      <c r="LR376" s="210"/>
      <c r="OB376" s="120"/>
      <c r="OI376" s="210"/>
      <c r="OJ376" s="210"/>
      <c r="OK376" s="210"/>
      <c r="OL376" s="210"/>
      <c r="OM376" s="210"/>
      <c r="ON376" s="210"/>
      <c r="OO376" s="210"/>
      <c r="OP376" s="210"/>
      <c r="OQ376" s="210"/>
      <c r="OR376" s="210"/>
      <c r="OS376" s="210"/>
      <c r="OT376" s="210"/>
      <c r="OU376" s="210"/>
      <c r="OV376" s="210"/>
      <c r="OW376" s="210"/>
      <c r="RG376" s="120"/>
    </row>
    <row r="377" spans="1:475" x14ac:dyDescent="0.3">
      <c r="A377" s="7">
        <v>36</v>
      </c>
      <c r="B377" s="7">
        <v>367</v>
      </c>
      <c r="C377" s="7" t="s">
        <v>346</v>
      </c>
      <c r="D377" s="7" t="s">
        <v>764</v>
      </c>
      <c r="E377" s="7" t="s">
        <v>446</v>
      </c>
      <c r="F377" s="7" t="s">
        <v>275</v>
      </c>
      <c r="G377" s="41" t="str">
        <f t="shared" si="58"/>
        <v>X</v>
      </c>
      <c r="H377" s="41">
        <f>INDEX(환산공식!CI$16:CI$301,MATCH('배치점수 계산기'!$W377,환산공식!$A$16:$A$301,0))</f>
        <v>140</v>
      </c>
      <c r="I377" s="41" t="str">
        <f>CONCATENATE(ROUND(INDEX(환산공식!CJ$16:CJ$301,MATCH('배치점수 계산기'!$W377,환산공식!$A$16:$A$301,0)),1),"%")</f>
        <v>100%</v>
      </c>
      <c r="J377" s="41">
        <f>INDEX(환산공식!CK$16:CK$301,MATCH('배치점수 계산기'!$W377,환산공식!$A$16:$A$301,0))</f>
        <v>10</v>
      </c>
      <c r="K377" s="7">
        <f>INDEX(환산공식!$EF$16:$EF$301,MATCH('배치점수 계산기'!W377,환산공식!$A$16:$A$301,0))</f>
        <v>0</v>
      </c>
      <c r="L377" s="41" t="str">
        <f t="shared" si="56"/>
        <v>1% 이하</v>
      </c>
      <c r="M377" s="7">
        <v>621.95804900148698</v>
      </c>
      <c r="N377" s="7">
        <v>620.00862189459428</v>
      </c>
      <c r="O377" s="7">
        <v>617.68616619431305</v>
      </c>
      <c r="P377" s="7">
        <v>615.57657234597639</v>
      </c>
      <c r="Q377" s="7">
        <v>612.30825095568844</v>
      </c>
      <c r="R377" s="7">
        <f t="shared" si="57"/>
        <v>6</v>
      </c>
      <c r="T377" s="7">
        <f>COUNTIF($C$11:C377,C377)</f>
        <v>154</v>
      </c>
      <c r="U377" s="7" t="str">
        <f t="shared" si="59"/>
        <v>나154</v>
      </c>
      <c r="V377" s="7" t="str">
        <f>INDEX(환산공식!$C$16:$C$301,MATCH('배치점수 계산기'!W377,환산공식!$A$16:$A$301,0))</f>
        <v>한국외대 서울</v>
      </c>
      <c r="W377" s="7">
        <f t="shared" si="60"/>
        <v>36</v>
      </c>
      <c r="X377" s="7">
        <f t="shared" si="61"/>
        <v>1</v>
      </c>
      <c r="Y377" s="7">
        <f>IFERROR(INDEX(환산공식!Q$16:Q$200,MATCH($A377,환산공식!$A$16:$A$200,0)),"")</f>
        <v>1.4093959731543624</v>
      </c>
      <c r="Z377" s="7">
        <f>IFERROR(INDEX(환산공식!R$16:R$200,MATCH($A377,환산공식!$A$16:$A$200,0)),"")</f>
        <v>1.4285714285714286</v>
      </c>
      <c r="AA377" s="7">
        <f>IFERROR(INDEX(환산공식!U$16:U$200,MATCH($A377,환산공식!$A$16:$A$200,0)),"")</f>
        <v>1.0606060606060606</v>
      </c>
      <c r="AB377" s="7">
        <f t="shared" si="62"/>
        <v>0.36151581771434954</v>
      </c>
      <c r="AC377" s="7">
        <f t="shared" si="63"/>
        <v>0.36643440026828633</v>
      </c>
      <c r="AD377" s="7">
        <f t="shared" si="64"/>
        <v>0.27204978201736407</v>
      </c>
      <c r="AE377" s="7">
        <f>INDEX(환산공식!$AF$16:$AF$301,MATCH('배치점수 계산기'!W377,환산공식!$A$16:$A$301,0))</f>
        <v>12</v>
      </c>
      <c r="AF377" s="7">
        <f>INDEX(환산공식!$AP$16:$AP$301,MATCH('배치점수 계산기'!W377,환산공식!$A$16:$A$301,0))</f>
        <v>42</v>
      </c>
      <c r="AG377" s="7" t="str">
        <f t="shared" si="65"/>
        <v>표점/만점</v>
      </c>
      <c r="AH377" s="7" t="str">
        <f t="shared" si="66"/>
        <v>변표/만점</v>
      </c>
      <c r="BO377" s="210"/>
      <c r="BP377" s="210"/>
      <c r="BQ377" s="210"/>
      <c r="BR377" s="210"/>
      <c r="BS377" s="210"/>
      <c r="BT377" s="210"/>
      <c r="BU377" s="210"/>
      <c r="BV377" s="210"/>
      <c r="BW377" s="210"/>
      <c r="BX377" s="210"/>
      <c r="BY377" s="210"/>
      <c r="BZ377" s="210"/>
      <c r="CA377" s="210"/>
      <c r="CB377" s="210"/>
      <c r="CC377" s="210"/>
      <c r="EM377" s="120"/>
      <c r="ET377" s="210"/>
      <c r="EU377" s="210"/>
      <c r="EV377" s="210"/>
      <c r="EW377" s="210"/>
      <c r="EX377" s="210"/>
      <c r="EY377" s="210"/>
      <c r="EZ377" s="210"/>
      <c r="FA377" s="210"/>
      <c r="FB377" s="210"/>
      <c r="FC377" s="210"/>
      <c r="FD377" s="210"/>
      <c r="FE377" s="210"/>
      <c r="FF377" s="210"/>
      <c r="FG377" s="210"/>
      <c r="FH377" s="210"/>
      <c r="HR377" s="120"/>
      <c r="HY377" s="210"/>
      <c r="HZ377" s="210"/>
      <c r="IA377" s="210"/>
      <c r="IB377" s="210"/>
      <c r="IC377" s="210"/>
      <c r="ID377" s="210"/>
      <c r="IE377" s="210"/>
      <c r="IF377" s="210"/>
      <c r="IG377" s="210"/>
      <c r="IH377" s="210"/>
      <c r="II377" s="210"/>
      <c r="IJ377" s="210"/>
      <c r="IK377" s="210"/>
      <c r="IL377" s="210"/>
      <c r="IM377" s="210"/>
      <c r="KW377" s="120"/>
      <c r="LD377" s="210"/>
      <c r="LE377" s="210"/>
      <c r="LF377" s="210"/>
      <c r="LG377" s="210"/>
      <c r="LH377" s="210"/>
      <c r="LI377" s="210"/>
      <c r="LJ377" s="210"/>
      <c r="LK377" s="210"/>
      <c r="LL377" s="210"/>
      <c r="LM377" s="210"/>
      <c r="LN377" s="210"/>
      <c r="LO377" s="210"/>
      <c r="LP377" s="210"/>
      <c r="LQ377" s="210"/>
      <c r="LR377" s="210"/>
      <c r="OB377" s="120"/>
      <c r="OI377" s="210"/>
      <c r="OJ377" s="210"/>
      <c r="OK377" s="210"/>
      <c r="OL377" s="210"/>
      <c r="OM377" s="210"/>
      <c r="ON377" s="210"/>
      <c r="OO377" s="210"/>
      <c r="OP377" s="210"/>
      <c r="OQ377" s="210"/>
      <c r="OR377" s="210"/>
      <c r="OS377" s="210"/>
      <c r="OT377" s="210"/>
      <c r="OU377" s="210"/>
      <c r="OV377" s="210"/>
      <c r="OW377" s="210"/>
      <c r="RG377" s="120"/>
    </row>
    <row r="378" spans="1:475" x14ac:dyDescent="0.3">
      <c r="A378" s="7">
        <v>36</v>
      </c>
      <c r="B378" s="7">
        <v>368</v>
      </c>
      <c r="C378" s="7" t="s">
        <v>346</v>
      </c>
      <c r="D378" s="7" t="s">
        <v>764</v>
      </c>
      <c r="E378" s="7" t="s">
        <v>412</v>
      </c>
      <c r="F378" s="7" t="s">
        <v>275</v>
      </c>
      <c r="G378" s="41" t="str">
        <f t="shared" si="58"/>
        <v>X</v>
      </c>
      <c r="H378" s="41">
        <f>INDEX(환산공식!CI$16:CI$301,MATCH('배치점수 계산기'!$W378,환산공식!$A$16:$A$301,0))</f>
        <v>140</v>
      </c>
      <c r="I378" s="41" t="str">
        <f>CONCATENATE(ROUND(INDEX(환산공식!CJ$16:CJ$301,MATCH('배치점수 계산기'!$W378,환산공식!$A$16:$A$301,0)),1),"%")</f>
        <v>100%</v>
      </c>
      <c r="J378" s="41">
        <f>INDEX(환산공식!CK$16:CK$301,MATCH('배치점수 계산기'!$W378,환산공식!$A$16:$A$301,0))</f>
        <v>10</v>
      </c>
      <c r="K378" s="7">
        <f>INDEX(환산공식!$EF$16:$EF$301,MATCH('배치점수 계산기'!W378,환산공식!$A$16:$A$301,0))</f>
        <v>0</v>
      </c>
      <c r="L378" s="41" t="str">
        <f t="shared" si="56"/>
        <v>1% 이하</v>
      </c>
      <c r="M378" s="7">
        <v>621.95804900148698</v>
      </c>
      <c r="N378" s="7">
        <v>620.00862189459428</v>
      </c>
      <c r="O378" s="7">
        <v>617.68616619431305</v>
      </c>
      <c r="P378" s="7">
        <v>615.57657234597639</v>
      </c>
      <c r="Q378" s="7">
        <v>612.30825095568844</v>
      </c>
      <c r="R378" s="7">
        <f t="shared" si="57"/>
        <v>6</v>
      </c>
      <c r="T378" s="7">
        <f>COUNTIF($C$11:C378,C378)</f>
        <v>155</v>
      </c>
      <c r="U378" s="7" t="str">
        <f t="shared" si="59"/>
        <v>나155</v>
      </c>
      <c r="V378" s="7" t="str">
        <f>INDEX(환산공식!$C$16:$C$301,MATCH('배치점수 계산기'!W378,환산공식!$A$16:$A$301,0))</f>
        <v>한국외대 서울</v>
      </c>
      <c r="W378" s="7">
        <f t="shared" si="60"/>
        <v>36</v>
      </c>
      <c r="X378" s="7">
        <f t="shared" si="61"/>
        <v>1</v>
      </c>
      <c r="Y378" s="7">
        <f>IFERROR(INDEX(환산공식!Q$16:Q$200,MATCH($A378,환산공식!$A$16:$A$200,0)),"")</f>
        <v>1.4093959731543624</v>
      </c>
      <c r="Z378" s="7">
        <f>IFERROR(INDEX(환산공식!R$16:R$200,MATCH($A378,환산공식!$A$16:$A$200,0)),"")</f>
        <v>1.4285714285714286</v>
      </c>
      <c r="AA378" s="7">
        <f>IFERROR(INDEX(환산공식!U$16:U$200,MATCH($A378,환산공식!$A$16:$A$200,0)),"")</f>
        <v>1.0606060606060606</v>
      </c>
      <c r="AB378" s="7">
        <f t="shared" si="62"/>
        <v>0.36151581771434954</v>
      </c>
      <c r="AC378" s="7">
        <f t="shared" si="63"/>
        <v>0.36643440026828633</v>
      </c>
      <c r="AD378" s="7">
        <f t="shared" si="64"/>
        <v>0.27204978201736407</v>
      </c>
      <c r="AE378" s="7">
        <f>INDEX(환산공식!$AF$16:$AF$301,MATCH('배치점수 계산기'!W378,환산공식!$A$16:$A$301,0))</f>
        <v>12</v>
      </c>
      <c r="AF378" s="7">
        <f>INDEX(환산공식!$AP$16:$AP$301,MATCH('배치점수 계산기'!W378,환산공식!$A$16:$A$301,0))</f>
        <v>42</v>
      </c>
      <c r="AG378" s="7" t="str">
        <f t="shared" si="65"/>
        <v>표점/만점</v>
      </c>
      <c r="AH378" s="7" t="str">
        <f t="shared" si="66"/>
        <v>변표/만점</v>
      </c>
      <c r="BO378" s="210"/>
      <c r="BP378" s="210"/>
      <c r="BQ378" s="210"/>
      <c r="BR378" s="210"/>
      <c r="BS378" s="210"/>
      <c r="BT378" s="210"/>
      <c r="BU378" s="210"/>
      <c r="BV378" s="210"/>
      <c r="BW378" s="210"/>
      <c r="BX378" s="210"/>
      <c r="BY378" s="210"/>
      <c r="BZ378" s="210"/>
      <c r="CA378" s="210"/>
      <c r="CB378" s="210"/>
      <c r="CC378" s="210"/>
      <c r="EM378" s="120"/>
      <c r="ET378" s="210"/>
      <c r="EU378" s="210"/>
      <c r="EV378" s="210"/>
      <c r="EW378" s="210"/>
      <c r="EX378" s="210"/>
      <c r="EY378" s="210"/>
      <c r="EZ378" s="210"/>
      <c r="FA378" s="210"/>
      <c r="FB378" s="210"/>
      <c r="FC378" s="210"/>
      <c r="FD378" s="210"/>
      <c r="FE378" s="210"/>
      <c r="FF378" s="210"/>
      <c r="FG378" s="210"/>
      <c r="FH378" s="210"/>
      <c r="HR378" s="120"/>
      <c r="HY378" s="210"/>
      <c r="HZ378" s="210"/>
      <c r="IA378" s="210"/>
      <c r="IB378" s="210"/>
      <c r="IC378" s="210"/>
      <c r="ID378" s="210"/>
      <c r="IE378" s="210"/>
      <c r="IF378" s="210"/>
      <c r="IG378" s="210"/>
      <c r="IH378" s="210"/>
      <c r="II378" s="210"/>
      <c r="IJ378" s="210"/>
      <c r="IK378" s="210"/>
      <c r="IL378" s="210"/>
      <c r="IM378" s="210"/>
      <c r="KW378" s="120"/>
      <c r="LD378" s="210"/>
      <c r="LE378" s="210"/>
      <c r="LF378" s="210"/>
      <c r="LG378" s="210"/>
      <c r="LH378" s="210"/>
      <c r="LI378" s="210"/>
      <c r="LJ378" s="210"/>
      <c r="LK378" s="210"/>
      <c r="LL378" s="210"/>
      <c r="LM378" s="210"/>
      <c r="LN378" s="210"/>
      <c r="LO378" s="210"/>
      <c r="LP378" s="210"/>
      <c r="LQ378" s="210"/>
      <c r="LR378" s="210"/>
      <c r="OB378" s="120"/>
      <c r="OI378" s="210"/>
      <c r="OJ378" s="210"/>
      <c r="OK378" s="210"/>
      <c r="OL378" s="210"/>
      <c r="OM378" s="210"/>
      <c r="ON378" s="210"/>
      <c r="OO378" s="210"/>
      <c r="OP378" s="210"/>
      <c r="OQ378" s="210"/>
      <c r="OR378" s="210"/>
      <c r="OS378" s="210"/>
      <c r="OT378" s="210"/>
      <c r="OU378" s="210"/>
      <c r="OV378" s="210"/>
      <c r="OW378" s="210"/>
      <c r="RG378" s="120"/>
    </row>
    <row r="379" spans="1:475" x14ac:dyDescent="0.3">
      <c r="A379" s="7">
        <v>36</v>
      </c>
      <c r="B379" s="7">
        <v>369</v>
      </c>
      <c r="C379" s="7" t="s">
        <v>276</v>
      </c>
      <c r="D379" s="7" t="s">
        <v>764</v>
      </c>
      <c r="E379" s="7" t="s">
        <v>447</v>
      </c>
      <c r="F379" s="7" t="s">
        <v>275</v>
      </c>
      <c r="G379" s="41" t="str">
        <f t="shared" si="58"/>
        <v>X</v>
      </c>
      <c r="H379" s="41">
        <f>INDEX(환산공식!CI$16:CI$301,MATCH('배치점수 계산기'!$W379,환산공식!$A$16:$A$301,0))</f>
        <v>140</v>
      </c>
      <c r="I379" s="41" t="str">
        <f>CONCATENATE(ROUND(INDEX(환산공식!CJ$16:CJ$301,MATCH('배치점수 계산기'!$W379,환산공식!$A$16:$A$301,0)),1),"%")</f>
        <v>100%</v>
      </c>
      <c r="J379" s="41">
        <f>INDEX(환산공식!CK$16:CK$301,MATCH('배치점수 계산기'!$W379,환산공식!$A$16:$A$301,0))</f>
        <v>10</v>
      </c>
      <c r="K379" s="7">
        <f>INDEX(환산공식!$EF$16:$EF$301,MATCH('배치점수 계산기'!W379,환산공식!$A$16:$A$301,0))</f>
        <v>0</v>
      </c>
      <c r="L379" s="41" t="str">
        <f t="shared" si="56"/>
        <v>1% 이하</v>
      </c>
      <c r="M379" s="7">
        <v>621.95804900148698</v>
      </c>
      <c r="N379" s="7">
        <v>620.00862189459428</v>
      </c>
      <c r="O379" s="7">
        <v>617.68616619431305</v>
      </c>
      <c r="P379" s="7">
        <v>615.57657234597639</v>
      </c>
      <c r="Q379" s="7">
        <v>612.30825095568844</v>
      </c>
      <c r="R379" s="7">
        <f t="shared" si="57"/>
        <v>6</v>
      </c>
      <c r="T379" s="7">
        <f>COUNTIF($C$11:C379,C379)</f>
        <v>208</v>
      </c>
      <c r="U379" s="7" t="str">
        <f t="shared" si="59"/>
        <v>가208</v>
      </c>
      <c r="V379" s="7" t="str">
        <f>INDEX(환산공식!$C$16:$C$301,MATCH('배치점수 계산기'!W379,환산공식!$A$16:$A$301,0))</f>
        <v>한국외대 서울</v>
      </c>
      <c r="W379" s="7">
        <f t="shared" si="60"/>
        <v>36</v>
      </c>
      <c r="X379" s="7">
        <f t="shared" si="61"/>
        <v>1</v>
      </c>
      <c r="Y379" s="7">
        <f>IFERROR(INDEX(환산공식!Q$16:Q$200,MATCH($A379,환산공식!$A$16:$A$200,0)),"")</f>
        <v>1.4093959731543624</v>
      </c>
      <c r="Z379" s="7">
        <f>IFERROR(INDEX(환산공식!R$16:R$200,MATCH($A379,환산공식!$A$16:$A$200,0)),"")</f>
        <v>1.4285714285714286</v>
      </c>
      <c r="AA379" s="7">
        <f>IFERROR(INDEX(환산공식!U$16:U$200,MATCH($A379,환산공식!$A$16:$A$200,0)),"")</f>
        <v>1.0606060606060606</v>
      </c>
      <c r="AB379" s="7">
        <f t="shared" si="62"/>
        <v>0.36151581771434954</v>
      </c>
      <c r="AC379" s="7">
        <f t="shared" si="63"/>
        <v>0.36643440026828633</v>
      </c>
      <c r="AD379" s="7">
        <f t="shared" si="64"/>
        <v>0.27204978201736407</v>
      </c>
      <c r="AE379" s="7">
        <f>INDEX(환산공식!$AF$16:$AF$301,MATCH('배치점수 계산기'!W379,환산공식!$A$16:$A$301,0))</f>
        <v>12</v>
      </c>
      <c r="AF379" s="7">
        <f>INDEX(환산공식!$AP$16:$AP$301,MATCH('배치점수 계산기'!W379,환산공식!$A$16:$A$301,0))</f>
        <v>42</v>
      </c>
      <c r="AG379" s="7" t="str">
        <f t="shared" si="65"/>
        <v>표점/만점</v>
      </c>
      <c r="AH379" s="7" t="str">
        <f t="shared" si="66"/>
        <v>변표/만점</v>
      </c>
      <c r="BO379" s="210"/>
      <c r="BP379" s="210"/>
      <c r="BQ379" s="210"/>
      <c r="BR379" s="210"/>
      <c r="BS379" s="210"/>
      <c r="BT379" s="210"/>
      <c r="BU379" s="210"/>
      <c r="BV379" s="210"/>
      <c r="BW379" s="210"/>
      <c r="BX379" s="210"/>
      <c r="BY379" s="210"/>
      <c r="BZ379" s="210"/>
      <c r="CA379" s="210"/>
      <c r="CB379" s="210"/>
      <c r="CC379" s="210"/>
      <c r="EM379" s="120"/>
      <c r="ET379" s="210"/>
      <c r="EU379" s="210"/>
      <c r="EV379" s="210"/>
      <c r="EW379" s="210"/>
      <c r="EX379" s="210"/>
      <c r="EY379" s="210"/>
      <c r="EZ379" s="210"/>
      <c r="FA379" s="210"/>
      <c r="FB379" s="210"/>
      <c r="FC379" s="210"/>
      <c r="FD379" s="210"/>
      <c r="FE379" s="210"/>
      <c r="FF379" s="210"/>
      <c r="FG379" s="210"/>
      <c r="FH379" s="210"/>
      <c r="HR379" s="120"/>
      <c r="HY379" s="210"/>
      <c r="HZ379" s="210"/>
      <c r="IA379" s="210"/>
      <c r="IB379" s="210"/>
      <c r="IC379" s="210"/>
      <c r="ID379" s="210"/>
      <c r="IE379" s="210"/>
      <c r="IF379" s="210"/>
      <c r="IG379" s="210"/>
      <c r="IH379" s="210"/>
      <c r="II379" s="210"/>
      <c r="IJ379" s="210"/>
      <c r="IK379" s="210"/>
      <c r="IL379" s="210"/>
      <c r="IM379" s="210"/>
      <c r="KW379" s="120"/>
      <c r="LD379" s="210"/>
      <c r="LE379" s="210"/>
      <c r="LF379" s="210"/>
      <c r="LG379" s="210"/>
      <c r="LH379" s="210"/>
      <c r="LI379" s="210"/>
      <c r="LJ379" s="210"/>
      <c r="LK379" s="210"/>
      <c r="LL379" s="210"/>
      <c r="LM379" s="210"/>
      <c r="LN379" s="210"/>
      <c r="LO379" s="210"/>
      <c r="LP379" s="210"/>
      <c r="LQ379" s="210"/>
      <c r="LR379" s="210"/>
      <c r="OB379" s="120"/>
      <c r="OI379" s="210"/>
      <c r="OJ379" s="210"/>
      <c r="OK379" s="210"/>
      <c r="OL379" s="210"/>
      <c r="OM379" s="210"/>
      <c r="ON379" s="210"/>
      <c r="OO379" s="210"/>
      <c r="OP379" s="210"/>
      <c r="OQ379" s="210"/>
      <c r="OR379" s="210"/>
      <c r="OS379" s="210"/>
      <c r="OT379" s="210"/>
      <c r="OU379" s="210"/>
      <c r="OV379" s="210"/>
      <c r="OW379" s="210"/>
      <c r="RG379" s="120"/>
    </row>
    <row r="380" spans="1:475" x14ac:dyDescent="0.3">
      <c r="A380" s="7">
        <v>36</v>
      </c>
      <c r="B380" s="7">
        <v>370</v>
      </c>
      <c r="C380" s="7" t="s">
        <v>346</v>
      </c>
      <c r="D380" s="7" t="s">
        <v>764</v>
      </c>
      <c r="E380" s="7" t="s">
        <v>448</v>
      </c>
      <c r="F380" s="7" t="s">
        <v>275</v>
      </c>
      <c r="G380" s="41" t="str">
        <f t="shared" si="58"/>
        <v>X</v>
      </c>
      <c r="H380" s="41">
        <f>INDEX(환산공식!CI$16:CI$301,MATCH('배치점수 계산기'!$W380,환산공식!$A$16:$A$301,0))</f>
        <v>140</v>
      </c>
      <c r="I380" s="41" t="str">
        <f>CONCATENATE(ROUND(INDEX(환산공식!CJ$16:CJ$301,MATCH('배치점수 계산기'!$W380,환산공식!$A$16:$A$301,0)),1),"%")</f>
        <v>100%</v>
      </c>
      <c r="J380" s="41">
        <f>INDEX(환산공식!CK$16:CK$301,MATCH('배치점수 계산기'!$W380,환산공식!$A$16:$A$301,0))</f>
        <v>10</v>
      </c>
      <c r="K380" s="7">
        <f>INDEX(환산공식!$EF$16:$EF$301,MATCH('배치점수 계산기'!W380,환산공식!$A$16:$A$301,0))</f>
        <v>0</v>
      </c>
      <c r="L380" s="41" t="str">
        <f t="shared" si="56"/>
        <v>1% 이하</v>
      </c>
      <c r="M380" s="7">
        <v>621.95804900148698</v>
      </c>
      <c r="N380" s="7">
        <v>620.00862189459428</v>
      </c>
      <c r="O380" s="7">
        <v>617.68616619431305</v>
      </c>
      <c r="P380" s="7">
        <v>615.57657234597639</v>
      </c>
      <c r="Q380" s="7">
        <v>612.30825095568844</v>
      </c>
      <c r="R380" s="7">
        <f t="shared" si="57"/>
        <v>6</v>
      </c>
      <c r="T380" s="7">
        <f>COUNTIF($C$11:C380,C380)</f>
        <v>156</v>
      </c>
      <c r="U380" s="7" t="str">
        <f t="shared" si="59"/>
        <v>나156</v>
      </c>
      <c r="V380" s="7" t="str">
        <f>INDEX(환산공식!$C$16:$C$301,MATCH('배치점수 계산기'!W380,환산공식!$A$16:$A$301,0))</f>
        <v>한국외대 서울</v>
      </c>
      <c r="W380" s="7">
        <f t="shared" si="60"/>
        <v>36</v>
      </c>
      <c r="X380" s="7">
        <f t="shared" si="61"/>
        <v>1</v>
      </c>
      <c r="Y380" s="7">
        <f>IFERROR(INDEX(환산공식!Q$16:Q$200,MATCH($A380,환산공식!$A$16:$A$200,0)),"")</f>
        <v>1.4093959731543624</v>
      </c>
      <c r="Z380" s="7">
        <f>IFERROR(INDEX(환산공식!R$16:R$200,MATCH($A380,환산공식!$A$16:$A$200,0)),"")</f>
        <v>1.4285714285714286</v>
      </c>
      <c r="AA380" s="7">
        <f>IFERROR(INDEX(환산공식!U$16:U$200,MATCH($A380,환산공식!$A$16:$A$200,0)),"")</f>
        <v>1.0606060606060606</v>
      </c>
      <c r="AB380" s="7">
        <f t="shared" si="62"/>
        <v>0.36151581771434954</v>
      </c>
      <c r="AC380" s="7">
        <f t="shared" si="63"/>
        <v>0.36643440026828633</v>
      </c>
      <c r="AD380" s="7">
        <f t="shared" si="64"/>
        <v>0.27204978201736407</v>
      </c>
      <c r="AE380" s="7">
        <f>INDEX(환산공식!$AF$16:$AF$301,MATCH('배치점수 계산기'!W380,환산공식!$A$16:$A$301,0))</f>
        <v>12</v>
      </c>
      <c r="AF380" s="7">
        <f>INDEX(환산공식!$AP$16:$AP$301,MATCH('배치점수 계산기'!W380,환산공식!$A$16:$A$301,0))</f>
        <v>42</v>
      </c>
      <c r="AG380" s="7" t="str">
        <f t="shared" si="65"/>
        <v>표점/만점</v>
      </c>
      <c r="AH380" s="7" t="str">
        <f t="shared" si="66"/>
        <v>변표/만점</v>
      </c>
      <c r="BO380" s="210"/>
      <c r="BP380" s="210"/>
      <c r="BQ380" s="210"/>
      <c r="BR380" s="210"/>
      <c r="BS380" s="210"/>
      <c r="BT380" s="210"/>
      <c r="BU380" s="210"/>
      <c r="BV380" s="210"/>
      <c r="BW380" s="210"/>
      <c r="BX380" s="210"/>
      <c r="BY380" s="210"/>
      <c r="BZ380" s="210"/>
      <c r="CA380" s="210"/>
      <c r="CB380" s="210"/>
      <c r="CC380" s="210"/>
      <c r="EM380" s="120"/>
      <c r="ET380" s="210"/>
      <c r="EU380" s="210"/>
      <c r="EV380" s="210"/>
      <c r="EW380" s="210"/>
      <c r="EX380" s="210"/>
      <c r="EY380" s="210"/>
      <c r="EZ380" s="210"/>
      <c r="FA380" s="210"/>
      <c r="FB380" s="210"/>
      <c r="FC380" s="210"/>
      <c r="FD380" s="210"/>
      <c r="FE380" s="210"/>
      <c r="FF380" s="210"/>
      <c r="FG380" s="210"/>
      <c r="FH380" s="210"/>
      <c r="HR380" s="120"/>
      <c r="HY380" s="210"/>
      <c r="HZ380" s="210"/>
      <c r="IA380" s="210"/>
      <c r="IB380" s="210"/>
      <c r="IC380" s="210"/>
      <c r="ID380" s="210"/>
      <c r="IE380" s="210"/>
      <c r="IF380" s="210"/>
      <c r="IG380" s="210"/>
      <c r="IH380" s="210"/>
      <c r="II380" s="210"/>
      <c r="IJ380" s="210"/>
      <c r="IK380" s="210"/>
      <c r="IL380" s="210"/>
      <c r="IM380" s="210"/>
      <c r="KW380" s="120"/>
      <c r="LD380" s="210"/>
      <c r="LE380" s="210"/>
      <c r="LF380" s="210"/>
      <c r="LG380" s="210"/>
      <c r="LH380" s="210"/>
      <c r="LI380" s="210"/>
      <c r="LJ380" s="210"/>
      <c r="LK380" s="210"/>
      <c r="LL380" s="210"/>
      <c r="LM380" s="210"/>
      <c r="LN380" s="210"/>
      <c r="LO380" s="210"/>
      <c r="LP380" s="210"/>
      <c r="LQ380" s="210"/>
      <c r="LR380" s="210"/>
      <c r="OB380" s="120"/>
      <c r="OI380" s="210"/>
      <c r="OJ380" s="210"/>
      <c r="OK380" s="210"/>
      <c r="OL380" s="210"/>
      <c r="OM380" s="210"/>
      <c r="ON380" s="210"/>
      <c r="OO380" s="210"/>
      <c r="OP380" s="210"/>
      <c r="OQ380" s="210"/>
      <c r="OR380" s="210"/>
      <c r="OS380" s="210"/>
      <c r="OT380" s="210"/>
      <c r="OU380" s="210"/>
      <c r="OV380" s="210"/>
      <c r="OW380" s="210"/>
      <c r="RG380" s="120"/>
    </row>
    <row r="381" spans="1:475" x14ac:dyDescent="0.3">
      <c r="A381" s="7">
        <v>36</v>
      </c>
      <c r="B381" s="7">
        <v>371</v>
      </c>
      <c r="C381" s="7" t="s">
        <v>276</v>
      </c>
      <c r="D381" s="7" t="s">
        <v>764</v>
      </c>
      <c r="E381" s="7" t="s">
        <v>377</v>
      </c>
      <c r="F381" s="7" t="s">
        <v>275</v>
      </c>
      <c r="G381" s="41" t="str">
        <f t="shared" si="58"/>
        <v>X</v>
      </c>
      <c r="H381" s="41">
        <f>INDEX(환산공식!CI$16:CI$301,MATCH('배치점수 계산기'!$W381,환산공식!$A$16:$A$301,0))</f>
        <v>140</v>
      </c>
      <c r="I381" s="41" t="str">
        <f>CONCATENATE(ROUND(INDEX(환산공식!CJ$16:CJ$301,MATCH('배치점수 계산기'!$W381,환산공식!$A$16:$A$301,0)),1),"%")</f>
        <v>100%</v>
      </c>
      <c r="J381" s="41">
        <f>INDEX(환산공식!CK$16:CK$301,MATCH('배치점수 계산기'!$W381,환산공식!$A$16:$A$301,0))</f>
        <v>10</v>
      </c>
      <c r="K381" s="7">
        <f>INDEX(환산공식!$EF$16:$EF$301,MATCH('배치점수 계산기'!W381,환산공식!$A$16:$A$301,0))</f>
        <v>0</v>
      </c>
      <c r="L381" s="41" t="str">
        <f t="shared" si="56"/>
        <v>1% 이하</v>
      </c>
      <c r="M381" s="7">
        <v>621.95804900148698</v>
      </c>
      <c r="N381" s="7">
        <v>620.00862189459428</v>
      </c>
      <c r="O381" s="7">
        <v>617.68616619431305</v>
      </c>
      <c r="P381" s="7">
        <v>615.57657234597639</v>
      </c>
      <c r="Q381" s="7">
        <v>612.30825095568844</v>
      </c>
      <c r="R381" s="7">
        <f t="shared" si="57"/>
        <v>6</v>
      </c>
      <c r="T381" s="7">
        <f>COUNTIF($C$11:C381,C381)</f>
        <v>209</v>
      </c>
      <c r="U381" s="7" t="str">
        <f t="shared" si="59"/>
        <v>가209</v>
      </c>
      <c r="V381" s="7" t="str">
        <f>INDEX(환산공식!$C$16:$C$301,MATCH('배치점수 계산기'!W381,환산공식!$A$16:$A$301,0))</f>
        <v>한국외대 서울</v>
      </c>
      <c r="W381" s="7">
        <f t="shared" si="60"/>
        <v>36</v>
      </c>
      <c r="X381" s="7">
        <f t="shared" si="61"/>
        <v>1</v>
      </c>
      <c r="Y381" s="7">
        <f>IFERROR(INDEX(환산공식!Q$16:Q$200,MATCH($A381,환산공식!$A$16:$A$200,0)),"")</f>
        <v>1.4093959731543624</v>
      </c>
      <c r="Z381" s="7">
        <f>IFERROR(INDEX(환산공식!R$16:R$200,MATCH($A381,환산공식!$A$16:$A$200,0)),"")</f>
        <v>1.4285714285714286</v>
      </c>
      <c r="AA381" s="7">
        <f>IFERROR(INDEX(환산공식!U$16:U$200,MATCH($A381,환산공식!$A$16:$A$200,0)),"")</f>
        <v>1.0606060606060606</v>
      </c>
      <c r="AB381" s="7">
        <f t="shared" si="62"/>
        <v>0.36151581771434954</v>
      </c>
      <c r="AC381" s="7">
        <f t="shared" si="63"/>
        <v>0.36643440026828633</v>
      </c>
      <c r="AD381" s="7">
        <f t="shared" si="64"/>
        <v>0.27204978201736407</v>
      </c>
      <c r="AE381" s="7">
        <f>INDEX(환산공식!$AF$16:$AF$301,MATCH('배치점수 계산기'!W381,환산공식!$A$16:$A$301,0))</f>
        <v>12</v>
      </c>
      <c r="AF381" s="7">
        <f>INDEX(환산공식!$AP$16:$AP$301,MATCH('배치점수 계산기'!W381,환산공식!$A$16:$A$301,0))</f>
        <v>42</v>
      </c>
      <c r="AG381" s="7" t="str">
        <f t="shared" si="65"/>
        <v>표점/만점</v>
      </c>
      <c r="AH381" s="7" t="str">
        <f t="shared" si="66"/>
        <v>변표/만점</v>
      </c>
      <c r="BO381" s="210"/>
      <c r="BP381" s="210"/>
      <c r="BQ381" s="210"/>
      <c r="BR381" s="210"/>
      <c r="BS381" s="210"/>
      <c r="BT381" s="210"/>
      <c r="BU381" s="210"/>
      <c r="BV381" s="210"/>
      <c r="BW381" s="210"/>
      <c r="BX381" s="210"/>
      <c r="BY381" s="210"/>
      <c r="BZ381" s="210"/>
      <c r="CA381" s="210"/>
      <c r="CB381" s="210"/>
      <c r="CC381" s="210"/>
      <c r="EM381" s="120"/>
      <c r="ET381" s="210"/>
      <c r="EU381" s="210"/>
      <c r="EV381" s="210"/>
      <c r="EW381" s="210"/>
      <c r="EX381" s="210"/>
      <c r="EY381" s="210"/>
      <c r="EZ381" s="210"/>
      <c r="FA381" s="210"/>
      <c r="FB381" s="210"/>
      <c r="FC381" s="210"/>
      <c r="FD381" s="210"/>
      <c r="FE381" s="210"/>
      <c r="FF381" s="210"/>
      <c r="FG381" s="210"/>
      <c r="FH381" s="210"/>
      <c r="HR381" s="120"/>
      <c r="HY381" s="210"/>
      <c r="HZ381" s="210"/>
      <c r="IA381" s="210"/>
      <c r="IB381" s="210"/>
      <c r="IC381" s="210"/>
      <c r="ID381" s="210"/>
      <c r="IE381" s="210"/>
      <c r="IF381" s="210"/>
      <c r="IG381" s="210"/>
      <c r="IH381" s="210"/>
      <c r="II381" s="210"/>
      <c r="IJ381" s="210"/>
      <c r="IK381" s="210"/>
      <c r="IL381" s="210"/>
      <c r="IM381" s="210"/>
      <c r="KW381" s="120"/>
      <c r="LD381" s="210"/>
      <c r="LE381" s="210"/>
      <c r="LF381" s="210"/>
      <c r="LG381" s="210"/>
      <c r="LH381" s="210"/>
      <c r="LI381" s="210"/>
      <c r="LJ381" s="210"/>
      <c r="LK381" s="210"/>
      <c r="LL381" s="210"/>
      <c r="LM381" s="210"/>
      <c r="LN381" s="210"/>
      <c r="LO381" s="210"/>
      <c r="LP381" s="210"/>
      <c r="LQ381" s="210"/>
      <c r="LR381" s="210"/>
      <c r="OB381" s="120"/>
      <c r="OI381" s="210"/>
      <c r="OJ381" s="210"/>
      <c r="OK381" s="210"/>
      <c r="OL381" s="210"/>
      <c r="OM381" s="210"/>
      <c r="ON381" s="210"/>
      <c r="OO381" s="210"/>
      <c r="OP381" s="210"/>
      <c r="OQ381" s="210"/>
      <c r="OR381" s="210"/>
      <c r="OS381" s="210"/>
      <c r="OT381" s="210"/>
      <c r="OU381" s="210"/>
      <c r="OV381" s="210"/>
      <c r="OW381" s="210"/>
      <c r="RG381" s="120"/>
    </row>
    <row r="382" spans="1:475" x14ac:dyDescent="0.3">
      <c r="A382" s="7">
        <v>36</v>
      </c>
      <c r="B382" s="7">
        <v>372</v>
      </c>
      <c r="C382" s="7" t="s">
        <v>346</v>
      </c>
      <c r="D382" s="7" t="s">
        <v>764</v>
      </c>
      <c r="E382" s="7" t="s">
        <v>449</v>
      </c>
      <c r="F382" s="7" t="s">
        <v>275</v>
      </c>
      <c r="G382" s="41" t="str">
        <f t="shared" si="58"/>
        <v>X</v>
      </c>
      <c r="H382" s="41">
        <f>INDEX(환산공식!CI$16:CI$301,MATCH('배치점수 계산기'!$W382,환산공식!$A$16:$A$301,0))</f>
        <v>140</v>
      </c>
      <c r="I382" s="41" t="str">
        <f>CONCATENATE(ROUND(INDEX(환산공식!CJ$16:CJ$301,MATCH('배치점수 계산기'!$W382,환산공식!$A$16:$A$301,0)),1),"%")</f>
        <v>100%</v>
      </c>
      <c r="J382" s="41">
        <f>INDEX(환산공식!CK$16:CK$301,MATCH('배치점수 계산기'!$W382,환산공식!$A$16:$A$301,0))</f>
        <v>10</v>
      </c>
      <c r="K382" s="7">
        <f>INDEX(환산공식!$EF$16:$EF$301,MATCH('배치점수 계산기'!W382,환산공식!$A$16:$A$301,0))</f>
        <v>0</v>
      </c>
      <c r="L382" s="41" t="str">
        <f t="shared" si="56"/>
        <v>1% 이하</v>
      </c>
      <c r="M382" s="7">
        <v>628.17209110977319</v>
      </c>
      <c r="N382" s="7">
        <v>623.57015619764854</v>
      </c>
      <c r="O382" s="7">
        <v>620.75169908079636</v>
      </c>
      <c r="P382" s="7">
        <v>617.68616619431305</v>
      </c>
      <c r="Q382" s="7">
        <v>615.57657234597639</v>
      </c>
      <c r="R382" s="7">
        <f t="shared" si="57"/>
        <v>6</v>
      </c>
      <c r="T382" s="7">
        <f>COUNTIF($C$11:C382,C382)</f>
        <v>157</v>
      </c>
      <c r="U382" s="7" t="str">
        <f t="shared" si="59"/>
        <v>나157</v>
      </c>
      <c r="V382" s="7" t="str">
        <f>INDEX(환산공식!$C$16:$C$301,MATCH('배치점수 계산기'!W382,환산공식!$A$16:$A$301,0))</f>
        <v>한국외대 서울</v>
      </c>
      <c r="W382" s="7">
        <f t="shared" si="60"/>
        <v>36</v>
      </c>
      <c r="X382" s="7">
        <f t="shared" si="61"/>
        <v>1</v>
      </c>
      <c r="Y382" s="7">
        <f>IFERROR(INDEX(환산공식!Q$16:Q$200,MATCH($A382,환산공식!$A$16:$A$200,0)),"")</f>
        <v>1.4093959731543624</v>
      </c>
      <c r="Z382" s="7">
        <f>IFERROR(INDEX(환산공식!R$16:R$200,MATCH($A382,환산공식!$A$16:$A$200,0)),"")</f>
        <v>1.4285714285714286</v>
      </c>
      <c r="AA382" s="7">
        <f>IFERROR(INDEX(환산공식!U$16:U$200,MATCH($A382,환산공식!$A$16:$A$200,0)),"")</f>
        <v>1.0606060606060606</v>
      </c>
      <c r="AB382" s="7">
        <f t="shared" si="62"/>
        <v>0.36151581771434954</v>
      </c>
      <c r="AC382" s="7">
        <f t="shared" si="63"/>
        <v>0.36643440026828633</v>
      </c>
      <c r="AD382" s="7">
        <f t="shared" si="64"/>
        <v>0.27204978201736407</v>
      </c>
      <c r="AE382" s="7">
        <f>INDEX(환산공식!$AF$16:$AF$301,MATCH('배치점수 계산기'!W382,환산공식!$A$16:$A$301,0))</f>
        <v>12</v>
      </c>
      <c r="AF382" s="7">
        <f>INDEX(환산공식!$AP$16:$AP$301,MATCH('배치점수 계산기'!W382,환산공식!$A$16:$A$301,0))</f>
        <v>42</v>
      </c>
      <c r="AG382" s="7" t="str">
        <f t="shared" si="65"/>
        <v>표점/만점</v>
      </c>
      <c r="AH382" s="7" t="str">
        <f t="shared" si="66"/>
        <v>변표/만점</v>
      </c>
      <c r="BO382" s="210"/>
      <c r="BP382" s="210"/>
      <c r="BQ382" s="210"/>
      <c r="BR382" s="210"/>
      <c r="BS382" s="210"/>
      <c r="BT382" s="210"/>
      <c r="BU382" s="210"/>
      <c r="BV382" s="210"/>
      <c r="BW382" s="210"/>
      <c r="BX382" s="210"/>
      <c r="BY382" s="210"/>
      <c r="BZ382" s="210"/>
      <c r="CA382" s="210"/>
      <c r="CB382" s="210"/>
      <c r="CC382" s="210"/>
      <c r="EM382" s="120"/>
      <c r="ET382" s="210"/>
      <c r="EU382" s="210"/>
      <c r="EV382" s="210"/>
      <c r="EW382" s="210"/>
      <c r="EX382" s="210"/>
      <c r="EY382" s="210"/>
      <c r="EZ382" s="210"/>
      <c r="FA382" s="210"/>
      <c r="FB382" s="210"/>
      <c r="FC382" s="210"/>
      <c r="FD382" s="210"/>
      <c r="FE382" s="210"/>
      <c r="FF382" s="210"/>
      <c r="FG382" s="210"/>
      <c r="FH382" s="210"/>
      <c r="HR382" s="120"/>
      <c r="HY382" s="210"/>
      <c r="HZ382" s="210"/>
      <c r="IA382" s="210"/>
      <c r="IB382" s="210"/>
      <c r="IC382" s="210"/>
      <c r="ID382" s="210"/>
      <c r="IE382" s="210"/>
      <c r="IF382" s="210"/>
      <c r="IG382" s="210"/>
      <c r="IH382" s="210"/>
      <c r="II382" s="210"/>
      <c r="IJ382" s="210"/>
      <c r="IK382" s="210"/>
      <c r="IL382" s="210"/>
      <c r="IM382" s="210"/>
      <c r="KW382" s="120"/>
      <c r="LD382" s="210"/>
      <c r="LE382" s="210"/>
      <c r="LF382" s="210"/>
      <c r="LG382" s="210"/>
      <c r="LH382" s="210"/>
      <c r="LI382" s="210"/>
      <c r="LJ382" s="210"/>
      <c r="LK382" s="210"/>
      <c r="LL382" s="210"/>
      <c r="LM382" s="210"/>
      <c r="LN382" s="210"/>
      <c r="LO382" s="210"/>
      <c r="LP382" s="210"/>
      <c r="LQ382" s="210"/>
      <c r="LR382" s="210"/>
      <c r="OB382" s="120"/>
      <c r="OI382" s="210"/>
      <c r="OJ382" s="210"/>
      <c r="OK382" s="210"/>
      <c r="OL382" s="210"/>
      <c r="OM382" s="210"/>
      <c r="ON382" s="210"/>
      <c r="OO382" s="210"/>
      <c r="OP382" s="210"/>
      <c r="OQ382" s="210"/>
      <c r="OR382" s="210"/>
      <c r="OS382" s="210"/>
      <c r="OT382" s="210"/>
      <c r="OU382" s="210"/>
      <c r="OV382" s="210"/>
      <c r="OW382" s="210"/>
      <c r="RG382" s="120"/>
    </row>
    <row r="383" spans="1:475" x14ac:dyDescent="0.3">
      <c r="A383" s="7">
        <v>36</v>
      </c>
      <c r="B383" s="7">
        <v>373</v>
      </c>
      <c r="C383" s="7" t="s">
        <v>346</v>
      </c>
      <c r="D383" s="7" t="s">
        <v>764</v>
      </c>
      <c r="E383" s="7" t="s">
        <v>450</v>
      </c>
      <c r="F383" s="7" t="s">
        <v>275</v>
      </c>
      <c r="G383" s="41" t="str">
        <f t="shared" si="58"/>
        <v>X</v>
      </c>
      <c r="H383" s="41">
        <f>INDEX(환산공식!CI$16:CI$301,MATCH('배치점수 계산기'!$W383,환산공식!$A$16:$A$301,0))</f>
        <v>140</v>
      </c>
      <c r="I383" s="41" t="str">
        <f>CONCATENATE(ROUND(INDEX(환산공식!CJ$16:CJ$301,MATCH('배치점수 계산기'!$W383,환산공식!$A$16:$A$301,0)),1),"%")</f>
        <v>100%</v>
      </c>
      <c r="J383" s="41">
        <f>INDEX(환산공식!CK$16:CK$301,MATCH('배치점수 계산기'!$W383,환산공식!$A$16:$A$301,0))</f>
        <v>10</v>
      </c>
      <c r="K383" s="7">
        <f>INDEX(환산공식!$EF$16:$EF$301,MATCH('배치점수 계산기'!W383,환산공식!$A$16:$A$301,0))</f>
        <v>0</v>
      </c>
      <c r="L383" s="41" t="str">
        <f t="shared" si="56"/>
        <v>1% 이하</v>
      </c>
      <c r="M383" s="7">
        <v>621.95804900148698</v>
      </c>
      <c r="N383" s="7">
        <v>620.00862189459428</v>
      </c>
      <c r="O383" s="7">
        <v>617.68616619431305</v>
      </c>
      <c r="P383" s="7">
        <v>615.57657234597639</v>
      </c>
      <c r="Q383" s="7">
        <v>612.30825095568844</v>
      </c>
      <c r="R383" s="7">
        <f t="shared" si="57"/>
        <v>6</v>
      </c>
      <c r="T383" s="7">
        <f>COUNTIF($C$11:C383,C383)</f>
        <v>158</v>
      </c>
      <c r="U383" s="7" t="str">
        <f t="shared" si="59"/>
        <v>나158</v>
      </c>
      <c r="V383" s="7" t="str">
        <f>INDEX(환산공식!$C$16:$C$301,MATCH('배치점수 계산기'!W383,환산공식!$A$16:$A$301,0))</f>
        <v>한국외대 서울</v>
      </c>
      <c r="W383" s="7">
        <f t="shared" si="60"/>
        <v>36</v>
      </c>
      <c r="X383" s="7">
        <f t="shared" si="61"/>
        <v>1</v>
      </c>
      <c r="Y383" s="7">
        <f>IFERROR(INDEX(환산공식!Q$16:Q$200,MATCH($A383,환산공식!$A$16:$A$200,0)),"")</f>
        <v>1.4093959731543624</v>
      </c>
      <c r="Z383" s="7">
        <f>IFERROR(INDEX(환산공식!R$16:R$200,MATCH($A383,환산공식!$A$16:$A$200,0)),"")</f>
        <v>1.4285714285714286</v>
      </c>
      <c r="AA383" s="7">
        <f>IFERROR(INDEX(환산공식!U$16:U$200,MATCH($A383,환산공식!$A$16:$A$200,0)),"")</f>
        <v>1.0606060606060606</v>
      </c>
      <c r="AB383" s="7">
        <f t="shared" si="62"/>
        <v>0.36151581771434954</v>
      </c>
      <c r="AC383" s="7">
        <f t="shared" si="63"/>
        <v>0.36643440026828633</v>
      </c>
      <c r="AD383" s="7">
        <f t="shared" si="64"/>
        <v>0.27204978201736407</v>
      </c>
      <c r="AE383" s="7">
        <f>INDEX(환산공식!$AF$16:$AF$301,MATCH('배치점수 계산기'!W383,환산공식!$A$16:$A$301,0))</f>
        <v>12</v>
      </c>
      <c r="AF383" s="7">
        <f>INDEX(환산공식!$AP$16:$AP$301,MATCH('배치점수 계산기'!W383,환산공식!$A$16:$A$301,0))</f>
        <v>42</v>
      </c>
      <c r="AG383" s="7" t="str">
        <f t="shared" si="65"/>
        <v>표점/만점</v>
      </c>
      <c r="AH383" s="7" t="str">
        <f t="shared" si="66"/>
        <v>변표/만점</v>
      </c>
      <c r="BO383" s="210"/>
      <c r="BP383" s="210"/>
      <c r="BQ383" s="210"/>
      <c r="BR383" s="210"/>
      <c r="BS383" s="210"/>
      <c r="BT383" s="210"/>
      <c r="BU383" s="210"/>
      <c r="BV383" s="210"/>
      <c r="BW383" s="210"/>
      <c r="BX383" s="210"/>
      <c r="BY383" s="210"/>
      <c r="BZ383" s="210"/>
      <c r="CA383" s="210"/>
      <c r="CB383" s="210"/>
      <c r="CC383" s="210"/>
      <c r="EM383" s="120"/>
      <c r="ET383" s="210"/>
      <c r="EU383" s="210"/>
      <c r="EV383" s="210"/>
      <c r="EW383" s="210"/>
      <c r="EX383" s="210"/>
      <c r="EY383" s="210"/>
      <c r="EZ383" s="210"/>
      <c r="FA383" s="210"/>
      <c r="FB383" s="210"/>
      <c r="FC383" s="210"/>
      <c r="FD383" s="210"/>
      <c r="FE383" s="210"/>
      <c r="FF383" s="210"/>
      <c r="FG383" s="210"/>
      <c r="FH383" s="210"/>
      <c r="HR383" s="120"/>
      <c r="HY383" s="210"/>
      <c r="HZ383" s="210"/>
      <c r="IA383" s="210"/>
      <c r="IB383" s="210"/>
      <c r="IC383" s="210"/>
      <c r="ID383" s="210"/>
      <c r="IE383" s="210"/>
      <c r="IF383" s="210"/>
      <c r="IG383" s="210"/>
      <c r="IH383" s="210"/>
      <c r="II383" s="210"/>
      <c r="IJ383" s="210"/>
      <c r="IK383" s="210"/>
      <c r="IL383" s="210"/>
      <c r="IM383" s="210"/>
      <c r="KW383" s="120"/>
      <c r="LD383" s="210"/>
      <c r="LE383" s="210"/>
      <c r="LF383" s="210"/>
      <c r="LG383" s="210"/>
      <c r="LH383" s="210"/>
      <c r="LI383" s="210"/>
      <c r="LJ383" s="210"/>
      <c r="LK383" s="210"/>
      <c r="LL383" s="210"/>
      <c r="LM383" s="210"/>
      <c r="LN383" s="210"/>
      <c r="LO383" s="210"/>
      <c r="LP383" s="210"/>
      <c r="LQ383" s="210"/>
      <c r="LR383" s="210"/>
      <c r="OB383" s="120"/>
      <c r="OI383" s="210"/>
      <c r="OJ383" s="210"/>
      <c r="OK383" s="210"/>
      <c r="OL383" s="210"/>
      <c r="OM383" s="210"/>
      <c r="ON383" s="210"/>
      <c r="OO383" s="210"/>
      <c r="OP383" s="210"/>
      <c r="OQ383" s="210"/>
      <c r="OR383" s="210"/>
      <c r="OS383" s="210"/>
      <c r="OT383" s="210"/>
      <c r="OU383" s="210"/>
      <c r="OV383" s="210"/>
      <c r="OW383" s="210"/>
      <c r="RG383" s="120"/>
    </row>
    <row r="384" spans="1:475" x14ac:dyDescent="0.3">
      <c r="A384" s="7">
        <v>36</v>
      </c>
      <c r="B384" s="7">
        <v>374</v>
      </c>
      <c r="C384" s="7" t="s">
        <v>276</v>
      </c>
      <c r="D384" s="7" t="s">
        <v>764</v>
      </c>
      <c r="E384" s="7" t="s">
        <v>451</v>
      </c>
      <c r="F384" s="7" t="s">
        <v>275</v>
      </c>
      <c r="G384" s="41" t="str">
        <f t="shared" si="58"/>
        <v>X</v>
      </c>
      <c r="H384" s="41">
        <f>INDEX(환산공식!CI$16:CI$301,MATCH('배치점수 계산기'!$W384,환산공식!$A$16:$A$301,0))</f>
        <v>140</v>
      </c>
      <c r="I384" s="41" t="str">
        <f>CONCATENATE(ROUND(INDEX(환산공식!CJ$16:CJ$301,MATCH('배치점수 계산기'!$W384,환산공식!$A$16:$A$301,0)),1),"%")</f>
        <v>100%</v>
      </c>
      <c r="J384" s="41">
        <f>INDEX(환산공식!CK$16:CK$301,MATCH('배치점수 계산기'!$W384,환산공식!$A$16:$A$301,0))</f>
        <v>10</v>
      </c>
      <c r="K384" s="7">
        <f>INDEX(환산공식!$EF$16:$EF$301,MATCH('배치점수 계산기'!W384,환산공식!$A$16:$A$301,0))</f>
        <v>0</v>
      </c>
      <c r="L384" s="41" t="str">
        <f t="shared" si="56"/>
        <v>1% 이하</v>
      </c>
      <c r="M384" s="7">
        <v>621.95804900148698</v>
      </c>
      <c r="N384" s="7">
        <v>620.00862189459428</v>
      </c>
      <c r="O384" s="7">
        <v>617.68616619431305</v>
      </c>
      <c r="P384" s="7">
        <v>615.57657234597639</v>
      </c>
      <c r="Q384" s="7">
        <v>612.30825095568844</v>
      </c>
      <c r="R384" s="7">
        <f t="shared" si="57"/>
        <v>6</v>
      </c>
      <c r="T384" s="7">
        <f>COUNTIF($C$11:C384,C384)</f>
        <v>210</v>
      </c>
      <c r="U384" s="7" t="str">
        <f t="shared" si="59"/>
        <v>가210</v>
      </c>
      <c r="V384" s="7" t="str">
        <f>INDEX(환산공식!$C$16:$C$301,MATCH('배치점수 계산기'!W384,환산공식!$A$16:$A$301,0))</f>
        <v>한국외대 서울</v>
      </c>
      <c r="W384" s="7">
        <f t="shared" si="60"/>
        <v>36</v>
      </c>
      <c r="X384" s="7">
        <f t="shared" si="61"/>
        <v>1</v>
      </c>
      <c r="Y384" s="7">
        <f>IFERROR(INDEX(환산공식!Q$16:Q$200,MATCH($A384,환산공식!$A$16:$A$200,0)),"")</f>
        <v>1.4093959731543624</v>
      </c>
      <c r="Z384" s="7">
        <f>IFERROR(INDEX(환산공식!R$16:R$200,MATCH($A384,환산공식!$A$16:$A$200,0)),"")</f>
        <v>1.4285714285714286</v>
      </c>
      <c r="AA384" s="7">
        <f>IFERROR(INDEX(환산공식!U$16:U$200,MATCH($A384,환산공식!$A$16:$A$200,0)),"")</f>
        <v>1.0606060606060606</v>
      </c>
      <c r="AB384" s="7">
        <f t="shared" si="62"/>
        <v>0.36151581771434954</v>
      </c>
      <c r="AC384" s="7">
        <f t="shared" si="63"/>
        <v>0.36643440026828633</v>
      </c>
      <c r="AD384" s="7">
        <f t="shared" si="64"/>
        <v>0.27204978201736407</v>
      </c>
      <c r="AE384" s="7">
        <f>INDEX(환산공식!$AF$16:$AF$301,MATCH('배치점수 계산기'!W384,환산공식!$A$16:$A$301,0))</f>
        <v>12</v>
      </c>
      <c r="AF384" s="7">
        <f>INDEX(환산공식!$AP$16:$AP$301,MATCH('배치점수 계산기'!W384,환산공식!$A$16:$A$301,0))</f>
        <v>42</v>
      </c>
      <c r="AG384" s="7" t="str">
        <f t="shared" si="65"/>
        <v>표점/만점</v>
      </c>
      <c r="AH384" s="7" t="str">
        <f t="shared" si="66"/>
        <v>변표/만점</v>
      </c>
      <c r="BO384" s="210"/>
      <c r="BP384" s="210"/>
      <c r="BQ384" s="210"/>
      <c r="BR384" s="210"/>
      <c r="BS384" s="210"/>
      <c r="BT384" s="210"/>
      <c r="BU384" s="210"/>
      <c r="BV384" s="210"/>
      <c r="BW384" s="210"/>
      <c r="BX384" s="210"/>
      <c r="BY384" s="210"/>
      <c r="BZ384" s="210"/>
      <c r="CA384" s="210"/>
      <c r="CB384" s="210"/>
      <c r="CC384" s="210"/>
      <c r="EM384" s="120"/>
      <c r="ET384" s="210"/>
      <c r="EU384" s="210"/>
      <c r="EV384" s="210"/>
      <c r="EW384" s="210"/>
      <c r="EX384" s="210"/>
      <c r="EY384" s="210"/>
      <c r="EZ384" s="210"/>
      <c r="FA384" s="210"/>
      <c r="FB384" s="210"/>
      <c r="FC384" s="210"/>
      <c r="FD384" s="210"/>
      <c r="FE384" s="210"/>
      <c r="FF384" s="210"/>
      <c r="FG384" s="210"/>
      <c r="FH384" s="210"/>
      <c r="HR384" s="120"/>
      <c r="HY384" s="210"/>
      <c r="HZ384" s="210"/>
      <c r="IA384" s="210"/>
      <c r="IB384" s="210"/>
      <c r="IC384" s="210"/>
      <c r="ID384" s="210"/>
      <c r="IE384" s="210"/>
      <c r="IF384" s="210"/>
      <c r="IG384" s="210"/>
      <c r="IH384" s="210"/>
      <c r="II384" s="210"/>
      <c r="IJ384" s="210"/>
      <c r="IK384" s="210"/>
      <c r="IL384" s="210"/>
      <c r="IM384" s="210"/>
      <c r="KW384" s="120"/>
      <c r="LD384" s="210"/>
      <c r="LE384" s="210"/>
      <c r="LF384" s="210"/>
      <c r="LG384" s="210"/>
      <c r="LH384" s="210"/>
      <c r="LI384" s="210"/>
      <c r="LJ384" s="210"/>
      <c r="LK384" s="210"/>
      <c r="LL384" s="210"/>
      <c r="LM384" s="210"/>
      <c r="LN384" s="210"/>
      <c r="LO384" s="210"/>
      <c r="LP384" s="210"/>
      <c r="LQ384" s="210"/>
      <c r="LR384" s="210"/>
      <c r="OB384" s="120"/>
      <c r="OI384" s="210"/>
      <c r="OJ384" s="210"/>
      <c r="OK384" s="210"/>
      <c r="OL384" s="210"/>
      <c r="OM384" s="210"/>
      <c r="ON384" s="210"/>
      <c r="OO384" s="210"/>
      <c r="OP384" s="210"/>
      <c r="OQ384" s="210"/>
      <c r="OR384" s="210"/>
      <c r="OS384" s="210"/>
      <c r="OT384" s="210"/>
      <c r="OU384" s="210"/>
      <c r="OV384" s="210"/>
      <c r="OW384" s="210"/>
      <c r="RG384" s="120"/>
    </row>
    <row r="385" spans="1:475" x14ac:dyDescent="0.3">
      <c r="A385" s="7">
        <v>36</v>
      </c>
      <c r="B385" s="7">
        <v>375</v>
      </c>
      <c r="C385" s="7" t="s">
        <v>276</v>
      </c>
      <c r="D385" s="7" t="s">
        <v>764</v>
      </c>
      <c r="E385" s="7" t="s">
        <v>768</v>
      </c>
      <c r="F385" s="7" t="s">
        <v>275</v>
      </c>
      <c r="G385" s="41" t="str">
        <f t="shared" si="58"/>
        <v>X</v>
      </c>
      <c r="H385" s="41">
        <f>INDEX(환산공식!CI$16:CI$301,MATCH('배치점수 계산기'!$W385,환산공식!$A$16:$A$301,0))</f>
        <v>140</v>
      </c>
      <c r="I385" s="41" t="str">
        <f>CONCATENATE(ROUND(INDEX(환산공식!CJ$16:CJ$301,MATCH('배치점수 계산기'!$W385,환산공식!$A$16:$A$301,0)),1),"%")</f>
        <v>100%</v>
      </c>
      <c r="J385" s="41">
        <f>INDEX(환산공식!CK$16:CK$301,MATCH('배치점수 계산기'!$W385,환산공식!$A$16:$A$301,0))</f>
        <v>10</v>
      </c>
      <c r="K385" s="7">
        <f>INDEX(환산공식!$EF$16:$EF$301,MATCH('배치점수 계산기'!W385,환산공식!$A$16:$A$301,0))</f>
        <v>0</v>
      </c>
      <c r="L385" s="41" t="str">
        <f t="shared" si="56"/>
        <v>1% 이하</v>
      </c>
      <c r="M385" s="7">
        <v>626.12670880995393</v>
      </c>
      <c r="N385" s="7">
        <v>621.44690748545054</v>
      </c>
      <c r="O385" s="7">
        <v>619.31146814484566</v>
      </c>
      <c r="P385" s="7">
        <v>617.68616619431305</v>
      </c>
      <c r="Q385" s="7">
        <v>615.57657234597639</v>
      </c>
      <c r="R385" s="7">
        <f t="shared" si="57"/>
        <v>6</v>
      </c>
      <c r="T385" s="7">
        <f>COUNTIF($C$11:C385,C385)</f>
        <v>211</v>
      </c>
      <c r="U385" s="7" t="str">
        <f t="shared" si="59"/>
        <v>가211</v>
      </c>
      <c r="V385" s="7" t="str">
        <f>INDEX(환산공식!$C$16:$C$301,MATCH('배치점수 계산기'!W385,환산공식!$A$16:$A$301,0))</f>
        <v>한국외대 서울</v>
      </c>
      <c r="W385" s="7">
        <f t="shared" si="60"/>
        <v>36</v>
      </c>
      <c r="X385" s="7">
        <f t="shared" si="61"/>
        <v>1</v>
      </c>
      <c r="Y385" s="7">
        <f>IFERROR(INDEX(환산공식!Q$16:Q$200,MATCH($A385,환산공식!$A$16:$A$200,0)),"")</f>
        <v>1.4093959731543624</v>
      </c>
      <c r="Z385" s="7">
        <f>IFERROR(INDEX(환산공식!R$16:R$200,MATCH($A385,환산공식!$A$16:$A$200,0)),"")</f>
        <v>1.4285714285714286</v>
      </c>
      <c r="AA385" s="7">
        <f>IFERROR(INDEX(환산공식!U$16:U$200,MATCH($A385,환산공식!$A$16:$A$200,0)),"")</f>
        <v>1.0606060606060606</v>
      </c>
      <c r="AB385" s="7">
        <f t="shared" si="62"/>
        <v>0.36151581771434954</v>
      </c>
      <c r="AC385" s="7">
        <f t="shared" si="63"/>
        <v>0.36643440026828633</v>
      </c>
      <c r="AD385" s="7">
        <f t="shared" si="64"/>
        <v>0.27204978201736407</v>
      </c>
      <c r="AE385" s="7">
        <f>INDEX(환산공식!$AF$16:$AF$301,MATCH('배치점수 계산기'!W385,환산공식!$A$16:$A$301,0))</f>
        <v>12</v>
      </c>
      <c r="AF385" s="7">
        <f>INDEX(환산공식!$AP$16:$AP$301,MATCH('배치점수 계산기'!W385,환산공식!$A$16:$A$301,0))</f>
        <v>42</v>
      </c>
      <c r="AG385" s="7" t="str">
        <f t="shared" si="65"/>
        <v>표점/만점</v>
      </c>
      <c r="AH385" s="7" t="str">
        <f t="shared" si="66"/>
        <v>변표/만점</v>
      </c>
      <c r="BO385" s="210"/>
      <c r="BP385" s="210"/>
      <c r="BQ385" s="210"/>
      <c r="BR385" s="210"/>
      <c r="BS385" s="210"/>
      <c r="BT385" s="210"/>
      <c r="BU385" s="210"/>
      <c r="BV385" s="210"/>
      <c r="BW385" s="210"/>
      <c r="BX385" s="210"/>
      <c r="BY385" s="210"/>
      <c r="BZ385" s="210"/>
      <c r="CA385" s="210"/>
      <c r="CB385" s="210"/>
      <c r="CC385" s="210"/>
      <c r="EM385" s="120"/>
      <c r="ET385" s="210"/>
      <c r="EU385" s="210"/>
      <c r="EV385" s="210"/>
      <c r="EW385" s="210"/>
      <c r="EX385" s="210"/>
      <c r="EY385" s="210"/>
      <c r="EZ385" s="210"/>
      <c r="FA385" s="210"/>
      <c r="FB385" s="210"/>
      <c r="FC385" s="210"/>
      <c r="FD385" s="210"/>
      <c r="FE385" s="210"/>
      <c r="FF385" s="210"/>
      <c r="FG385" s="210"/>
      <c r="FH385" s="210"/>
      <c r="HR385" s="120"/>
      <c r="HY385" s="210"/>
      <c r="HZ385" s="210"/>
      <c r="IA385" s="210"/>
      <c r="IB385" s="210"/>
      <c r="IC385" s="210"/>
      <c r="ID385" s="210"/>
      <c r="IE385" s="210"/>
      <c r="IF385" s="210"/>
      <c r="IG385" s="210"/>
      <c r="IH385" s="210"/>
      <c r="II385" s="210"/>
      <c r="IJ385" s="210"/>
      <c r="IK385" s="210"/>
      <c r="IL385" s="210"/>
      <c r="IM385" s="210"/>
      <c r="KW385" s="120"/>
      <c r="LD385" s="210"/>
      <c r="LE385" s="210"/>
      <c r="LF385" s="210"/>
      <c r="LG385" s="210"/>
      <c r="LH385" s="210"/>
      <c r="LI385" s="210"/>
      <c r="LJ385" s="210"/>
      <c r="LK385" s="210"/>
      <c r="LL385" s="210"/>
      <c r="LM385" s="210"/>
      <c r="LN385" s="210"/>
      <c r="LO385" s="210"/>
      <c r="LP385" s="210"/>
      <c r="LQ385" s="210"/>
      <c r="LR385" s="210"/>
      <c r="OB385" s="120"/>
      <c r="OI385" s="210"/>
      <c r="OJ385" s="210"/>
      <c r="OK385" s="210"/>
      <c r="OL385" s="210"/>
      <c r="OM385" s="210"/>
      <c r="ON385" s="210"/>
      <c r="OO385" s="210"/>
      <c r="OP385" s="210"/>
      <c r="OQ385" s="210"/>
      <c r="OR385" s="210"/>
      <c r="OS385" s="210"/>
      <c r="OT385" s="210"/>
      <c r="OU385" s="210"/>
      <c r="OV385" s="210"/>
      <c r="OW385" s="210"/>
      <c r="RG385" s="120"/>
    </row>
    <row r="386" spans="1:475" x14ac:dyDescent="0.3">
      <c r="A386" s="7">
        <v>36</v>
      </c>
      <c r="B386" s="7">
        <v>376</v>
      </c>
      <c r="C386" s="7" t="s">
        <v>346</v>
      </c>
      <c r="D386" s="7" t="s">
        <v>764</v>
      </c>
      <c r="E386" s="7" t="s">
        <v>452</v>
      </c>
      <c r="F386" s="7" t="s">
        <v>275</v>
      </c>
      <c r="G386" s="41" t="str">
        <f t="shared" si="58"/>
        <v>X</v>
      </c>
      <c r="H386" s="41">
        <f>INDEX(환산공식!CI$16:CI$301,MATCH('배치점수 계산기'!$W386,환산공식!$A$16:$A$301,0))</f>
        <v>140</v>
      </c>
      <c r="I386" s="41" t="str">
        <f>CONCATENATE(ROUND(INDEX(환산공식!CJ$16:CJ$301,MATCH('배치점수 계산기'!$W386,환산공식!$A$16:$A$301,0)),1),"%")</f>
        <v>100%</v>
      </c>
      <c r="J386" s="41">
        <f>INDEX(환산공식!CK$16:CK$301,MATCH('배치점수 계산기'!$W386,환산공식!$A$16:$A$301,0))</f>
        <v>10</v>
      </c>
      <c r="K386" s="7">
        <f>INDEX(환산공식!$EF$16:$EF$301,MATCH('배치점수 계산기'!W386,환산공식!$A$16:$A$301,0))</f>
        <v>0</v>
      </c>
      <c r="L386" s="41" t="str">
        <f t="shared" si="56"/>
        <v>1% 이하</v>
      </c>
      <c r="M386" s="7">
        <v>629.61533409795493</v>
      </c>
      <c r="N386" s="7">
        <v>628.37209110977324</v>
      </c>
      <c r="O386" s="7">
        <v>621.64690748545058</v>
      </c>
      <c r="P386" s="7">
        <v>617.88616619431309</v>
      </c>
      <c r="Q386" s="7">
        <v>615.77657234597632</v>
      </c>
      <c r="R386" s="7">
        <f t="shared" si="57"/>
        <v>6</v>
      </c>
      <c r="T386" s="7">
        <f>COUNTIF($C$11:C386,C386)</f>
        <v>159</v>
      </c>
      <c r="U386" s="7" t="str">
        <f t="shared" si="59"/>
        <v>나159</v>
      </c>
      <c r="V386" s="7" t="str">
        <f>INDEX(환산공식!$C$16:$C$301,MATCH('배치점수 계산기'!W386,환산공식!$A$16:$A$301,0))</f>
        <v>한국외대 서울</v>
      </c>
      <c r="W386" s="7">
        <f t="shared" si="60"/>
        <v>36</v>
      </c>
      <c r="X386" s="7">
        <f t="shared" si="61"/>
        <v>1</v>
      </c>
      <c r="Y386" s="7">
        <f>IFERROR(INDEX(환산공식!Q$16:Q$200,MATCH($A386,환산공식!$A$16:$A$200,0)),"")</f>
        <v>1.4093959731543624</v>
      </c>
      <c r="Z386" s="7">
        <f>IFERROR(INDEX(환산공식!R$16:R$200,MATCH($A386,환산공식!$A$16:$A$200,0)),"")</f>
        <v>1.4285714285714286</v>
      </c>
      <c r="AA386" s="7">
        <f>IFERROR(INDEX(환산공식!U$16:U$200,MATCH($A386,환산공식!$A$16:$A$200,0)),"")</f>
        <v>1.0606060606060606</v>
      </c>
      <c r="AB386" s="7">
        <f t="shared" si="62"/>
        <v>0.36151581771434954</v>
      </c>
      <c r="AC386" s="7">
        <f t="shared" si="63"/>
        <v>0.36643440026828633</v>
      </c>
      <c r="AD386" s="7">
        <f t="shared" si="64"/>
        <v>0.27204978201736407</v>
      </c>
      <c r="AE386" s="7">
        <f>INDEX(환산공식!$AF$16:$AF$301,MATCH('배치점수 계산기'!W386,환산공식!$A$16:$A$301,0))</f>
        <v>12</v>
      </c>
      <c r="AF386" s="7">
        <f>INDEX(환산공식!$AP$16:$AP$301,MATCH('배치점수 계산기'!W386,환산공식!$A$16:$A$301,0))</f>
        <v>42</v>
      </c>
      <c r="AG386" s="7" t="str">
        <f t="shared" si="65"/>
        <v>표점/만점</v>
      </c>
      <c r="AH386" s="7" t="str">
        <f t="shared" si="66"/>
        <v>변표/만점</v>
      </c>
      <c r="BO386" s="210"/>
      <c r="BP386" s="210"/>
      <c r="BQ386" s="210"/>
      <c r="BR386" s="210"/>
      <c r="BS386" s="210"/>
      <c r="BT386" s="210"/>
      <c r="BU386" s="210"/>
      <c r="BV386" s="210"/>
      <c r="BW386" s="210"/>
      <c r="BX386" s="210"/>
      <c r="BY386" s="210"/>
      <c r="BZ386" s="210"/>
      <c r="CA386" s="210"/>
      <c r="CB386" s="210"/>
      <c r="CC386" s="210"/>
      <c r="EM386" s="120"/>
      <c r="ET386" s="210"/>
      <c r="EU386" s="210"/>
      <c r="EV386" s="210"/>
      <c r="EW386" s="210"/>
      <c r="EX386" s="210"/>
      <c r="EY386" s="210"/>
      <c r="EZ386" s="210"/>
      <c r="FA386" s="210"/>
      <c r="FB386" s="210"/>
      <c r="FC386" s="210"/>
      <c r="FD386" s="210"/>
      <c r="FE386" s="210"/>
      <c r="FF386" s="210"/>
      <c r="FG386" s="210"/>
      <c r="FH386" s="210"/>
      <c r="HR386" s="120"/>
      <c r="HY386" s="210"/>
      <c r="HZ386" s="210"/>
      <c r="IA386" s="210"/>
      <c r="IB386" s="210"/>
      <c r="IC386" s="210"/>
      <c r="ID386" s="210"/>
      <c r="IE386" s="210"/>
      <c r="IF386" s="210"/>
      <c r="IG386" s="210"/>
      <c r="IH386" s="210"/>
      <c r="II386" s="210"/>
      <c r="IJ386" s="210"/>
      <c r="IK386" s="210"/>
      <c r="IL386" s="210"/>
      <c r="IM386" s="210"/>
      <c r="KW386" s="120"/>
      <c r="LD386" s="210"/>
      <c r="LE386" s="210"/>
      <c r="LF386" s="210"/>
      <c r="LG386" s="210"/>
      <c r="LH386" s="210"/>
      <c r="LI386" s="210"/>
      <c r="LJ386" s="210"/>
      <c r="LK386" s="210"/>
      <c r="LL386" s="210"/>
      <c r="LM386" s="210"/>
      <c r="LN386" s="210"/>
      <c r="LO386" s="210"/>
      <c r="LP386" s="210"/>
      <c r="LQ386" s="210"/>
      <c r="LR386" s="210"/>
      <c r="OB386" s="120"/>
      <c r="OI386" s="210"/>
      <c r="OJ386" s="210"/>
      <c r="OK386" s="210"/>
      <c r="OL386" s="210"/>
      <c r="OM386" s="210"/>
      <c r="ON386" s="210"/>
      <c r="OO386" s="210"/>
      <c r="OP386" s="210"/>
      <c r="OQ386" s="210"/>
      <c r="OR386" s="210"/>
      <c r="OS386" s="210"/>
      <c r="OT386" s="210"/>
      <c r="OU386" s="210"/>
      <c r="OV386" s="210"/>
      <c r="OW386" s="210"/>
      <c r="RG386" s="120"/>
    </row>
    <row r="387" spans="1:475" x14ac:dyDescent="0.3">
      <c r="A387" s="7">
        <v>36</v>
      </c>
      <c r="B387" s="7">
        <v>377</v>
      </c>
      <c r="C387" s="7" t="s">
        <v>276</v>
      </c>
      <c r="D387" s="7" t="s">
        <v>764</v>
      </c>
      <c r="E387" s="7" t="s">
        <v>769</v>
      </c>
      <c r="F387" s="7" t="s">
        <v>275</v>
      </c>
      <c r="G387" s="41" t="str">
        <f t="shared" si="58"/>
        <v>X</v>
      </c>
      <c r="H387" s="41">
        <f>INDEX(환산공식!CI$16:CI$301,MATCH('배치점수 계산기'!$W387,환산공식!$A$16:$A$301,0))</f>
        <v>140</v>
      </c>
      <c r="I387" s="41" t="str">
        <f>CONCATENATE(ROUND(INDEX(환산공식!CJ$16:CJ$301,MATCH('배치점수 계산기'!$W387,환산공식!$A$16:$A$301,0)),1),"%")</f>
        <v>100%</v>
      </c>
      <c r="J387" s="41">
        <f>INDEX(환산공식!CK$16:CK$301,MATCH('배치점수 계산기'!$W387,환산공식!$A$16:$A$301,0))</f>
        <v>10</v>
      </c>
      <c r="K387" s="7">
        <f>INDEX(환산공식!$EF$16:$EF$301,MATCH('배치점수 계산기'!W387,환산공식!$A$16:$A$301,0))</f>
        <v>0</v>
      </c>
      <c r="L387" s="41" t="str">
        <f t="shared" si="56"/>
        <v>1% 이하</v>
      </c>
      <c r="M387" s="7">
        <v>626.12670880995393</v>
      </c>
      <c r="N387" s="7">
        <v>621.44690748545054</v>
      </c>
      <c r="O387" s="7">
        <v>619.31146814484566</v>
      </c>
      <c r="P387" s="7">
        <v>617.68616619431305</v>
      </c>
      <c r="Q387" s="7">
        <v>613.32185029098946</v>
      </c>
      <c r="R387" s="7">
        <f t="shared" si="57"/>
        <v>6</v>
      </c>
      <c r="T387" s="7">
        <f>COUNTIF($C$11:C387,C387)</f>
        <v>212</v>
      </c>
      <c r="U387" s="7" t="str">
        <f t="shared" si="59"/>
        <v>가212</v>
      </c>
      <c r="V387" s="7" t="str">
        <f>INDEX(환산공식!$C$16:$C$301,MATCH('배치점수 계산기'!W387,환산공식!$A$16:$A$301,0))</f>
        <v>한국외대 서울</v>
      </c>
      <c r="W387" s="7">
        <f t="shared" si="60"/>
        <v>36</v>
      </c>
      <c r="X387" s="7">
        <f t="shared" si="61"/>
        <v>1</v>
      </c>
      <c r="Y387" s="7">
        <f>IFERROR(INDEX(환산공식!Q$16:Q$200,MATCH($A387,환산공식!$A$16:$A$200,0)),"")</f>
        <v>1.4093959731543624</v>
      </c>
      <c r="Z387" s="7">
        <f>IFERROR(INDEX(환산공식!R$16:R$200,MATCH($A387,환산공식!$A$16:$A$200,0)),"")</f>
        <v>1.4285714285714286</v>
      </c>
      <c r="AA387" s="7">
        <f>IFERROR(INDEX(환산공식!U$16:U$200,MATCH($A387,환산공식!$A$16:$A$200,0)),"")</f>
        <v>1.0606060606060606</v>
      </c>
      <c r="AB387" s="7">
        <f t="shared" si="62"/>
        <v>0.36151581771434954</v>
      </c>
      <c r="AC387" s="7">
        <f t="shared" si="63"/>
        <v>0.36643440026828633</v>
      </c>
      <c r="AD387" s="7">
        <f t="shared" si="64"/>
        <v>0.27204978201736407</v>
      </c>
      <c r="AE387" s="7">
        <f>INDEX(환산공식!$AF$16:$AF$301,MATCH('배치점수 계산기'!W387,환산공식!$A$16:$A$301,0))</f>
        <v>12</v>
      </c>
      <c r="AF387" s="7">
        <f>INDEX(환산공식!$AP$16:$AP$301,MATCH('배치점수 계산기'!W387,환산공식!$A$16:$A$301,0))</f>
        <v>42</v>
      </c>
      <c r="AG387" s="7" t="str">
        <f t="shared" si="65"/>
        <v>표점/만점</v>
      </c>
      <c r="AH387" s="7" t="str">
        <f t="shared" si="66"/>
        <v>변표/만점</v>
      </c>
      <c r="BO387" s="210"/>
      <c r="BP387" s="210"/>
      <c r="BQ387" s="210"/>
      <c r="BR387" s="210"/>
      <c r="BS387" s="210"/>
      <c r="BT387" s="210"/>
      <c r="BU387" s="210"/>
      <c r="BV387" s="210"/>
      <c r="BW387" s="210"/>
      <c r="BX387" s="210"/>
      <c r="BY387" s="210"/>
      <c r="BZ387" s="210"/>
      <c r="CA387" s="210"/>
      <c r="CB387" s="210"/>
      <c r="CC387" s="210"/>
      <c r="EM387" s="120"/>
      <c r="ET387" s="210"/>
      <c r="EU387" s="210"/>
      <c r="EV387" s="210"/>
      <c r="EW387" s="210"/>
      <c r="EX387" s="210"/>
      <c r="EY387" s="210"/>
      <c r="EZ387" s="210"/>
      <c r="FA387" s="210"/>
      <c r="FB387" s="210"/>
      <c r="FC387" s="210"/>
      <c r="FD387" s="210"/>
      <c r="FE387" s="210"/>
      <c r="FF387" s="210"/>
      <c r="FG387" s="210"/>
      <c r="FH387" s="210"/>
      <c r="HR387" s="120"/>
      <c r="HY387" s="210"/>
      <c r="HZ387" s="210"/>
      <c r="IA387" s="210"/>
      <c r="IB387" s="210"/>
      <c r="IC387" s="210"/>
      <c r="ID387" s="210"/>
      <c r="IE387" s="210"/>
      <c r="IF387" s="210"/>
      <c r="IG387" s="210"/>
      <c r="IH387" s="210"/>
      <c r="II387" s="210"/>
      <c r="IJ387" s="210"/>
      <c r="IK387" s="210"/>
      <c r="IL387" s="210"/>
      <c r="IM387" s="210"/>
      <c r="KW387" s="120"/>
      <c r="LD387" s="210"/>
      <c r="LE387" s="210"/>
      <c r="LF387" s="210"/>
      <c r="LG387" s="210"/>
      <c r="LH387" s="210"/>
      <c r="LI387" s="210"/>
      <c r="LJ387" s="210"/>
      <c r="LK387" s="210"/>
      <c r="LL387" s="210"/>
      <c r="LM387" s="210"/>
      <c r="LN387" s="210"/>
      <c r="LO387" s="210"/>
      <c r="LP387" s="210"/>
      <c r="LQ387" s="210"/>
      <c r="LR387" s="210"/>
      <c r="OB387" s="120"/>
      <c r="OI387" s="210"/>
      <c r="OJ387" s="210"/>
      <c r="OK387" s="210"/>
      <c r="OL387" s="210"/>
      <c r="OM387" s="210"/>
      <c r="ON387" s="210"/>
      <c r="OO387" s="210"/>
      <c r="OP387" s="210"/>
      <c r="OQ387" s="210"/>
      <c r="OR387" s="210"/>
      <c r="OS387" s="210"/>
      <c r="OT387" s="210"/>
      <c r="OU387" s="210"/>
      <c r="OV387" s="210"/>
      <c r="OW387" s="210"/>
      <c r="RG387" s="120"/>
    </row>
    <row r="388" spans="1:475" x14ac:dyDescent="0.3">
      <c r="A388" s="7">
        <v>36</v>
      </c>
      <c r="B388" s="7">
        <v>378</v>
      </c>
      <c r="C388" s="7" t="s">
        <v>276</v>
      </c>
      <c r="D388" s="7" t="s">
        <v>764</v>
      </c>
      <c r="E388" s="7" t="s">
        <v>453</v>
      </c>
      <c r="F388" s="7" t="s">
        <v>275</v>
      </c>
      <c r="G388" s="41" t="str">
        <f t="shared" si="58"/>
        <v>X</v>
      </c>
      <c r="H388" s="41">
        <f>INDEX(환산공식!CI$16:CI$301,MATCH('배치점수 계산기'!$W388,환산공식!$A$16:$A$301,0))</f>
        <v>140</v>
      </c>
      <c r="I388" s="41" t="str">
        <f>CONCATENATE(ROUND(INDEX(환산공식!CJ$16:CJ$301,MATCH('배치점수 계산기'!$W388,환산공식!$A$16:$A$301,0)),1),"%")</f>
        <v>100%</v>
      </c>
      <c r="J388" s="41">
        <f>INDEX(환산공식!CK$16:CK$301,MATCH('배치점수 계산기'!$W388,환산공식!$A$16:$A$301,0))</f>
        <v>10</v>
      </c>
      <c r="K388" s="7">
        <f>INDEX(환산공식!$EF$16:$EF$301,MATCH('배치점수 계산기'!W388,환산공식!$A$16:$A$301,0))</f>
        <v>0</v>
      </c>
      <c r="L388" s="41" t="str">
        <f t="shared" si="56"/>
        <v>1% 이하</v>
      </c>
      <c r="M388" s="7">
        <v>626.12670880995393</v>
      </c>
      <c r="N388" s="7">
        <v>621.44690748545054</v>
      </c>
      <c r="O388" s="7">
        <v>619.31146814484566</v>
      </c>
      <c r="P388" s="7">
        <v>617.68616619431305</v>
      </c>
      <c r="Q388" s="7">
        <v>613.32185029098946</v>
      </c>
      <c r="R388" s="7">
        <f t="shared" si="57"/>
        <v>6</v>
      </c>
      <c r="T388" s="7">
        <f>COUNTIF($C$11:C388,C388)</f>
        <v>213</v>
      </c>
      <c r="U388" s="7" t="str">
        <f t="shared" si="59"/>
        <v>가213</v>
      </c>
      <c r="V388" s="7" t="str">
        <f>INDEX(환산공식!$C$16:$C$301,MATCH('배치점수 계산기'!W388,환산공식!$A$16:$A$301,0))</f>
        <v>한국외대 서울</v>
      </c>
      <c r="W388" s="7">
        <f t="shared" si="60"/>
        <v>36</v>
      </c>
      <c r="X388" s="7">
        <f t="shared" si="61"/>
        <v>1</v>
      </c>
      <c r="Y388" s="7">
        <f>IFERROR(INDEX(환산공식!Q$16:Q$200,MATCH($A388,환산공식!$A$16:$A$200,0)),"")</f>
        <v>1.4093959731543624</v>
      </c>
      <c r="Z388" s="7">
        <f>IFERROR(INDEX(환산공식!R$16:R$200,MATCH($A388,환산공식!$A$16:$A$200,0)),"")</f>
        <v>1.4285714285714286</v>
      </c>
      <c r="AA388" s="7">
        <f>IFERROR(INDEX(환산공식!U$16:U$200,MATCH($A388,환산공식!$A$16:$A$200,0)),"")</f>
        <v>1.0606060606060606</v>
      </c>
      <c r="AB388" s="7">
        <f t="shared" si="62"/>
        <v>0.36151581771434954</v>
      </c>
      <c r="AC388" s="7">
        <f t="shared" si="63"/>
        <v>0.36643440026828633</v>
      </c>
      <c r="AD388" s="7">
        <f t="shared" si="64"/>
        <v>0.27204978201736407</v>
      </c>
      <c r="AE388" s="7">
        <f>INDEX(환산공식!$AF$16:$AF$301,MATCH('배치점수 계산기'!W388,환산공식!$A$16:$A$301,0))</f>
        <v>12</v>
      </c>
      <c r="AF388" s="7">
        <f>INDEX(환산공식!$AP$16:$AP$301,MATCH('배치점수 계산기'!W388,환산공식!$A$16:$A$301,0))</f>
        <v>42</v>
      </c>
      <c r="AG388" s="7" t="str">
        <f t="shared" si="65"/>
        <v>표점/만점</v>
      </c>
      <c r="AH388" s="7" t="str">
        <f t="shared" si="66"/>
        <v>변표/만점</v>
      </c>
      <c r="BO388" s="210"/>
      <c r="BP388" s="210"/>
      <c r="BQ388" s="210"/>
      <c r="BR388" s="210"/>
      <c r="BS388" s="210"/>
      <c r="BT388" s="210"/>
      <c r="BU388" s="210"/>
      <c r="BV388" s="210"/>
      <c r="BW388" s="210"/>
      <c r="BX388" s="210"/>
      <c r="BY388" s="210"/>
      <c r="BZ388" s="210"/>
      <c r="CA388" s="210"/>
      <c r="CB388" s="210"/>
      <c r="CC388" s="210"/>
      <c r="EM388" s="120"/>
      <c r="ET388" s="210"/>
      <c r="EU388" s="210"/>
      <c r="EV388" s="210"/>
      <c r="EW388" s="210"/>
      <c r="EX388" s="210"/>
      <c r="EY388" s="210"/>
      <c r="EZ388" s="210"/>
      <c r="FA388" s="210"/>
      <c r="FB388" s="210"/>
      <c r="FC388" s="210"/>
      <c r="FD388" s="210"/>
      <c r="FE388" s="210"/>
      <c r="FF388" s="210"/>
      <c r="FG388" s="210"/>
      <c r="FH388" s="210"/>
      <c r="HR388" s="120"/>
      <c r="HY388" s="210"/>
      <c r="HZ388" s="210"/>
      <c r="IA388" s="210"/>
      <c r="IB388" s="210"/>
      <c r="IC388" s="210"/>
      <c r="ID388" s="210"/>
      <c r="IE388" s="210"/>
      <c r="IF388" s="210"/>
      <c r="IG388" s="210"/>
      <c r="IH388" s="210"/>
      <c r="II388" s="210"/>
      <c r="IJ388" s="210"/>
      <c r="IK388" s="210"/>
      <c r="IL388" s="210"/>
      <c r="IM388" s="210"/>
      <c r="KW388" s="120"/>
      <c r="LD388" s="210"/>
      <c r="LE388" s="210"/>
      <c r="LF388" s="210"/>
      <c r="LG388" s="210"/>
      <c r="LH388" s="210"/>
      <c r="LI388" s="210"/>
      <c r="LJ388" s="210"/>
      <c r="LK388" s="210"/>
      <c r="LL388" s="210"/>
      <c r="LM388" s="210"/>
      <c r="LN388" s="210"/>
      <c r="LO388" s="210"/>
      <c r="LP388" s="210"/>
      <c r="LQ388" s="210"/>
      <c r="LR388" s="210"/>
      <c r="OB388" s="120"/>
      <c r="OI388" s="210"/>
      <c r="OJ388" s="210"/>
      <c r="OK388" s="210"/>
      <c r="OL388" s="210"/>
      <c r="OM388" s="210"/>
      <c r="ON388" s="210"/>
      <c r="OO388" s="210"/>
      <c r="OP388" s="210"/>
      <c r="OQ388" s="210"/>
      <c r="OR388" s="210"/>
      <c r="OS388" s="210"/>
      <c r="OT388" s="210"/>
      <c r="OU388" s="210"/>
      <c r="OV388" s="210"/>
      <c r="OW388" s="210"/>
      <c r="RG388" s="120"/>
    </row>
    <row r="389" spans="1:475" x14ac:dyDescent="0.3">
      <c r="A389" s="7">
        <v>36</v>
      </c>
      <c r="B389" s="7">
        <v>379</v>
      </c>
      <c r="C389" s="7" t="s">
        <v>346</v>
      </c>
      <c r="D389" s="7" t="s">
        <v>764</v>
      </c>
      <c r="E389" s="7" t="s">
        <v>454</v>
      </c>
      <c r="F389" s="7" t="s">
        <v>275</v>
      </c>
      <c r="G389" s="41" t="str">
        <f t="shared" si="58"/>
        <v>X</v>
      </c>
      <c r="H389" s="41">
        <f>INDEX(환산공식!CI$16:CI$301,MATCH('배치점수 계산기'!$W389,환산공식!$A$16:$A$301,0))</f>
        <v>140</v>
      </c>
      <c r="I389" s="41" t="str">
        <f>CONCATENATE(ROUND(INDEX(환산공식!CJ$16:CJ$301,MATCH('배치점수 계산기'!$W389,환산공식!$A$16:$A$301,0)),1),"%")</f>
        <v>100%</v>
      </c>
      <c r="J389" s="41">
        <f>INDEX(환산공식!CK$16:CK$301,MATCH('배치점수 계산기'!$W389,환산공식!$A$16:$A$301,0))</f>
        <v>10</v>
      </c>
      <c r="K389" s="7">
        <f>INDEX(환산공식!$EF$16:$EF$301,MATCH('배치점수 계산기'!W389,환산공식!$A$16:$A$301,0))</f>
        <v>0</v>
      </c>
      <c r="L389" s="41" t="str">
        <f t="shared" si="56"/>
        <v>1% 이하</v>
      </c>
      <c r="M389" s="7">
        <v>626.12670880995393</v>
      </c>
      <c r="N389" s="7">
        <v>621.44690748545054</v>
      </c>
      <c r="O389" s="7">
        <v>619.31146814484566</v>
      </c>
      <c r="P389" s="7">
        <v>617.68616619431305</v>
      </c>
      <c r="Q389" s="7">
        <v>613.32185029098946</v>
      </c>
      <c r="R389" s="7">
        <f t="shared" si="57"/>
        <v>6</v>
      </c>
      <c r="T389" s="7">
        <f>COUNTIF($C$11:C389,C389)</f>
        <v>160</v>
      </c>
      <c r="U389" s="7" t="str">
        <f t="shared" si="59"/>
        <v>나160</v>
      </c>
      <c r="V389" s="7" t="str">
        <f>INDEX(환산공식!$C$16:$C$301,MATCH('배치점수 계산기'!W389,환산공식!$A$16:$A$301,0))</f>
        <v>한국외대 서울</v>
      </c>
      <c r="W389" s="7">
        <f t="shared" si="60"/>
        <v>36</v>
      </c>
      <c r="X389" s="7">
        <f t="shared" si="61"/>
        <v>1</v>
      </c>
      <c r="Y389" s="7">
        <f>IFERROR(INDEX(환산공식!Q$16:Q$200,MATCH($A389,환산공식!$A$16:$A$200,0)),"")</f>
        <v>1.4093959731543624</v>
      </c>
      <c r="Z389" s="7">
        <f>IFERROR(INDEX(환산공식!R$16:R$200,MATCH($A389,환산공식!$A$16:$A$200,0)),"")</f>
        <v>1.4285714285714286</v>
      </c>
      <c r="AA389" s="7">
        <f>IFERROR(INDEX(환산공식!U$16:U$200,MATCH($A389,환산공식!$A$16:$A$200,0)),"")</f>
        <v>1.0606060606060606</v>
      </c>
      <c r="AB389" s="7">
        <f t="shared" si="62"/>
        <v>0.36151581771434954</v>
      </c>
      <c r="AC389" s="7">
        <f t="shared" si="63"/>
        <v>0.36643440026828633</v>
      </c>
      <c r="AD389" s="7">
        <f t="shared" si="64"/>
        <v>0.27204978201736407</v>
      </c>
      <c r="AE389" s="7">
        <f>INDEX(환산공식!$AF$16:$AF$301,MATCH('배치점수 계산기'!W389,환산공식!$A$16:$A$301,0))</f>
        <v>12</v>
      </c>
      <c r="AF389" s="7">
        <f>INDEX(환산공식!$AP$16:$AP$301,MATCH('배치점수 계산기'!W389,환산공식!$A$16:$A$301,0))</f>
        <v>42</v>
      </c>
      <c r="AG389" s="7" t="str">
        <f t="shared" si="65"/>
        <v>표점/만점</v>
      </c>
      <c r="AH389" s="7" t="str">
        <f t="shared" si="66"/>
        <v>변표/만점</v>
      </c>
      <c r="BO389" s="210"/>
      <c r="BP389" s="210"/>
      <c r="BQ389" s="210"/>
      <c r="BR389" s="210"/>
      <c r="BS389" s="210"/>
      <c r="BT389" s="210"/>
      <c r="BU389" s="210"/>
      <c r="BV389" s="210"/>
      <c r="BW389" s="210"/>
      <c r="BX389" s="210"/>
      <c r="BY389" s="210"/>
      <c r="BZ389" s="210"/>
      <c r="CA389" s="210"/>
      <c r="CB389" s="210"/>
      <c r="CC389" s="210"/>
      <c r="EM389" s="120"/>
      <c r="ET389" s="210"/>
      <c r="EU389" s="210"/>
      <c r="EV389" s="210"/>
      <c r="EW389" s="210"/>
      <c r="EX389" s="210"/>
      <c r="EY389" s="210"/>
      <c r="EZ389" s="210"/>
      <c r="FA389" s="210"/>
      <c r="FB389" s="210"/>
      <c r="FC389" s="210"/>
      <c r="FD389" s="210"/>
      <c r="FE389" s="210"/>
      <c r="FF389" s="210"/>
      <c r="FG389" s="210"/>
      <c r="FH389" s="210"/>
      <c r="HR389" s="120"/>
      <c r="HY389" s="210"/>
      <c r="HZ389" s="210"/>
      <c r="IA389" s="210"/>
      <c r="IB389" s="210"/>
      <c r="IC389" s="210"/>
      <c r="ID389" s="210"/>
      <c r="IE389" s="210"/>
      <c r="IF389" s="210"/>
      <c r="IG389" s="210"/>
      <c r="IH389" s="210"/>
      <c r="II389" s="210"/>
      <c r="IJ389" s="210"/>
      <c r="IK389" s="210"/>
      <c r="IL389" s="210"/>
      <c r="IM389" s="210"/>
      <c r="KW389" s="120"/>
      <c r="LD389" s="210"/>
      <c r="LE389" s="210"/>
      <c r="LF389" s="210"/>
      <c r="LG389" s="210"/>
      <c r="LH389" s="210"/>
      <c r="LI389" s="210"/>
      <c r="LJ389" s="210"/>
      <c r="LK389" s="210"/>
      <c r="LL389" s="210"/>
      <c r="LM389" s="210"/>
      <c r="LN389" s="210"/>
      <c r="LO389" s="210"/>
      <c r="LP389" s="210"/>
      <c r="LQ389" s="210"/>
      <c r="LR389" s="210"/>
      <c r="OB389" s="120"/>
      <c r="OI389" s="210"/>
      <c r="OJ389" s="210"/>
      <c r="OK389" s="210"/>
      <c r="OL389" s="210"/>
      <c r="OM389" s="210"/>
      <c r="ON389" s="210"/>
      <c r="OO389" s="210"/>
      <c r="OP389" s="210"/>
      <c r="OQ389" s="210"/>
      <c r="OR389" s="210"/>
      <c r="OS389" s="210"/>
      <c r="OT389" s="210"/>
      <c r="OU389" s="210"/>
      <c r="OV389" s="210"/>
      <c r="OW389" s="210"/>
      <c r="RG389" s="120"/>
    </row>
    <row r="390" spans="1:475" x14ac:dyDescent="0.3">
      <c r="A390" s="7">
        <v>36</v>
      </c>
      <c r="B390" s="7">
        <v>380</v>
      </c>
      <c r="C390" s="7" t="s">
        <v>276</v>
      </c>
      <c r="D390" s="7" t="s">
        <v>764</v>
      </c>
      <c r="E390" s="7" t="s">
        <v>455</v>
      </c>
      <c r="F390" s="7" t="s">
        <v>275</v>
      </c>
      <c r="G390" s="41" t="str">
        <f t="shared" si="58"/>
        <v>X</v>
      </c>
      <c r="H390" s="41">
        <f>INDEX(환산공식!CI$16:CI$301,MATCH('배치점수 계산기'!$W390,환산공식!$A$16:$A$301,0))</f>
        <v>140</v>
      </c>
      <c r="I390" s="41" t="str">
        <f>CONCATENATE(ROUND(INDEX(환산공식!CJ$16:CJ$301,MATCH('배치점수 계산기'!$W390,환산공식!$A$16:$A$301,0)),1),"%")</f>
        <v>100%</v>
      </c>
      <c r="J390" s="41">
        <f>INDEX(환산공식!CK$16:CK$301,MATCH('배치점수 계산기'!$W390,환산공식!$A$16:$A$301,0))</f>
        <v>10</v>
      </c>
      <c r="K390" s="7">
        <f>INDEX(환산공식!$EF$16:$EF$301,MATCH('배치점수 계산기'!W390,환산공식!$A$16:$A$301,0))</f>
        <v>0</v>
      </c>
      <c r="L390" s="41" t="str">
        <f t="shared" si="56"/>
        <v>1% 이하</v>
      </c>
      <c r="M390" s="7">
        <v>628.17209110977319</v>
      </c>
      <c r="N390" s="7">
        <v>623.57015619764854</v>
      </c>
      <c r="O390" s="7">
        <v>620.00862189459428</v>
      </c>
      <c r="P390" s="7">
        <v>617.68616619431305</v>
      </c>
      <c r="Q390" s="7">
        <v>613.32185029098946</v>
      </c>
      <c r="R390" s="7">
        <f t="shared" si="57"/>
        <v>6</v>
      </c>
      <c r="T390" s="7">
        <f>COUNTIF($C$11:C390,C390)</f>
        <v>214</v>
      </c>
      <c r="U390" s="7" t="str">
        <f t="shared" si="59"/>
        <v>가214</v>
      </c>
      <c r="V390" s="7" t="str">
        <f>INDEX(환산공식!$C$16:$C$301,MATCH('배치점수 계산기'!W390,환산공식!$A$16:$A$301,0))</f>
        <v>한국외대 서울</v>
      </c>
      <c r="W390" s="7">
        <f t="shared" si="60"/>
        <v>36</v>
      </c>
      <c r="X390" s="7">
        <f t="shared" si="61"/>
        <v>1</v>
      </c>
      <c r="Y390" s="7">
        <f>IFERROR(INDEX(환산공식!Q$16:Q$200,MATCH($A390,환산공식!$A$16:$A$200,0)),"")</f>
        <v>1.4093959731543624</v>
      </c>
      <c r="Z390" s="7">
        <f>IFERROR(INDEX(환산공식!R$16:R$200,MATCH($A390,환산공식!$A$16:$A$200,0)),"")</f>
        <v>1.4285714285714286</v>
      </c>
      <c r="AA390" s="7">
        <f>IFERROR(INDEX(환산공식!U$16:U$200,MATCH($A390,환산공식!$A$16:$A$200,0)),"")</f>
        <v>1.0606060606060606</v>
      </c>
      <c r="AB390" s="7">
        <f t="shared" si="62"/>
        <v>0.36151581771434954</v>
      </c>
      <c r="AC390" s="7">
        <f t="shared" si="63"/>
        <v>0.36643440026828633</v>
      </c>
      <c r="AD390" s="7">
        <f t="shared" si="64"/>
        <v>0.27204978201736407</v>
      </c>
      <c r="AE390" s="7">
        <f>INDEX(환산공식!$AF$16:$AF$301,MATCH('배치점수 계산기'!W390,환산공식!$A$16:$A$301,0))</f>
        <v>12</v>
      </c>
      <c r="AF390" s="7">
        <f>INDEX(환산공식!$AP$16:$AP$301,MATCH('배치점수 계산기'!W390,환산공식!$A$16:$A$301,0))</f>
        <v>42</v>
      </c>
      <c r="AG390" s="7" t="str">
        <f t="shared" si="65"/>
        <v>표점/만점</v>
      </c>
      <c r="AH390" s="7" t="str">
        <f t="shared" si="66"/>
        <v>변표/만점</v>
      </c>
      <c r="BO390" s="210"/>
      <c r="BP390" s="210"/>
      <c r="BQ390" s="210"/>
      <c r="BR390" s="210"/>
      <c r="BS390" s="210"/>
      <c r="BT390" s="210"/>
      <c r="BU390" s="210"/>
      <c r="BV390" s="210"/>
      <c r="BW390" s="210"/>
      <c r="BX390" s="210"/>
      <c r="BY390" s="210"/>
      <c r="BZ390" s="210"/>
      <c r="CA390" s="210"/>
      <c r="CB390" s="210"/>
      <c r="CC390" s="210"/>
      <c r="EM390" s="120"/>
      <c r="ET390" s="210"/>
      <c r="EU390" s="210"/>
      <c r="EV390" s="210"/>
      <c r="EW390" s="210"/>
      <c r="EX390" s="210"/>
      <c r="EY390" s="210"/>
      <c r="EZ390" s="210"/>
      <c r="FA390" s="210"/>
      <c r="FB390" s="210"/>
      <c r="FC390" s="210"/>
      <c r="FD390" s="210"/>
      <c r="FE390" s="210"/>
      <c r="FF390" s="210"/>
      <c r="FG390" s="210"/>
      <c r="FH390" s="210"/>
      <c r="HR390" s="120"/>
      <c r="HY390" s="210"/>
      <c r="HZ390" s="210"/>
      <c r="IA390" s="210"/>
      <c r="IB390" s="210"/>
      <c r="IC390" s="210"/>
      <c r="ID390" s="210"/>
      <c r="IE390" s="210"/>
      <c r="IF390" s="210"/>
      <c r="IG390" s="210"/>
      <c r="IH390" s="210"/>
      <c r="II390" s="210"/>
      <c r="IJ390" s="210"/>
      <c r="IK390" s="210"/>
      <c r="IL390" s="210"/>
      <c r="IM390" s="210"/>
      <c r="KW390" s="120"/>
      <c r="LD390" s="210"/>
      <c r="LE390" s="210"/>
      <c r="LF390" s="210"/>
      <c r="LG390" s="210"/>
      <c r="LH390" s="210"/>
      <c r="LI390" s="210"/>
      <c r="LJ390" s="210"/>
      <c r="LK390" s="210"/>
      <c r="LL390" s="210"/>
      <c r="LM390" s="210"/>
      <c r="LN390" s="210"/>
      <c r="LO390" s="210"/>
      <c r="LP390" s="210"/>
      <c r="LQ390" s="210"/>
      <c r="LR390" s="210"/>
      <c r="OB390" s="120"/>
      <c r="OI390" s="210"/>
      <c r="OJ390" s="210"/>
      <c r="OK390" s="210"/>
      <c r="OL390" s="210"/>
      <c r="OM390" s="210"/>
      <c r="ON390" s="210"/>
      <c r="OO390" s="210"/>
      <c r="OP390" s="210"/>
      <c r="OQ390" s="210"/>
      <c r="OR390" s="210"/>
      <c r="OS390" s="210"/>
      <c r="OT390" s="210"/>
      <c r="OU390" s="210"/>
      <c r="OV390" s="210"/>
      <c r="OW390" s="210"/>
      <c r="RG390" s="120"/>
    </row>
    <row r="391" spans="1:475" x14ac:dyDescent="0.3">
      <c r="A391" s="7">
        <v>36</v>
      </c>
      <c r="B391" s="7">
        <v>381</v>
      </c>
      <c r="C391" s="7" t="s">
        <v>276</v>
      </c>
      <c r="D391" s="7" t="s">
        <v>764</v>
      </c>
      <c r="E391" s="7" t="s">
        <v>456</v>
      </c>
      <c r="F391" s="7" t="s">
        <v>275</v>
      </c>
      <c r="G391" s="41" t="str">
        <f t="shared" si="58"/>
        <v>X</v>
      </c>
      <c r="H391" s="41">
        <f>INDEX(환산공식!CI$16:CI$301,MATCH('배치점수 계산기'!$W391,환산공식!$A$16:$A$301,0))</f>
        <v>140</v>
      </c>
      <c r="I391" s="41" t="str">
        <f>CONCATENATE(ROUND(INDEX(환산공식!CJ$16:CJ$301,MATCH('배치점수 계산기'!$W391,환산공식!$A$16:$A$301,0)),1),"%")</f>
        <v>100%</v>
      </c>
      <c r="J391" s="41">
        <f>INDEX(환산공식!CK$16:CK$301,MATCH('배치점수 계산기'!$W391,환산공식!$A$16:$A$301,0))</f>
        <v>10</v>
      </c>
      <c r="K391" s="7">
        <f>INDEX(환산공식!$EF$16:$EF$301,MATCH('배치점수 계산기'!W391,환산공식!$A$16:$A$301,0))</f>
        <v>0</v>
      </c>
      <c r="L391" s="41" t="str">
        <f t="shared" si="56"/>
        <v>1% 이하</v>
      </c>
      <c r="M391" s="7">
        <v>621.95804900148698</v>
      </c>
      <c r="N391" s="7">
        <v>620.00862189459428</v>
      </c>
      <c r="O391" s="7">
        <v>617.68616619431305</v>
      </c>
      <c r="P391" s="7">
        <v>615.57657234597639</v>
      </c>
      <c r="Q391" s="7">
        <v>612.30825095568844</v>
      </c>
      <c r="R391" s="7">
        <f t="shared" si="57"/>
        <v>6</v>
      </c>
      <c r="T391" s="7">
        <f>COUNTIF($C$11:C391,C391)</f>
        <v>215</v>
      </c>
      <c r="U391" s="7" t="str">
        <f t="shared" si="59"/>
        <v>가215</v>
      </c>
      <c r="V391" s="7" t="str">
        <f>INDEX(환산공식!$C$16:$C$301,MATCH('배치점수 계산기'!W391,환산공식!$A$16:$A$301,0))</f>
        <v>한국외대 서울</v>
      </c>
      <c r="W391" s="7">
        <f t="shared" si="60"/>
        <v>36</v>
      </c>
      <c r="X391" s="7">
        <f t="shared" si="61"/>
        <v>1</v>
      </c>
      <c r="Y391" s="7">
        <f>IFERROR(INDEX(환산공식!Q$16:Q$200,MATCH($A391,환산공식!$A$16:$A$200,0)),"")</f>
        <v>1.4093959731543624</v>
      </c>
      <c r="Z391" s="7">
        <f>IFERROR(INDEX(환산공식!R$16:R$200,MATCH($A391,환산공식!$A$16:$A$200,0)),"")</f>
        <v>1.4285714285714286</v>
      </c>
      <c r="AA391" s="7">
        <f>IFERROR(INDEX(환산공식!U$16:U$200,MATCH($A391,환산공식!$A$16:$A$200,0)),"")</f>
        <v>1.0606060606060606</v>
      </c>
      <c r="AB391" s="7">
        <f t="shared" si="62"/>
        <v>0.36151581771434954</v>
      </c>
      <c r="AC391" s="7">
        <f t="shared" si="63"/>
        <v>0.36643440026828633</v>
      </c>
      <c r="AD391" s="7">
        <f t="shared" si="64"/>
        <v>0.27204978201736407</v>
      </c>
      <c r="AE391" s="7">
        <f>INDEX(환산공식!$AF$16:$AF$301,MATCH('배치점수 계산기'!W391,환산공식!$A$16:$A$301,0))</f>
        <v>12</v>
      </c>
      <c r="AF391" s="7">
        <f>INDEX(환산공식!$AP$16:$AP$301,MATCH('배치점수 계산기'!W391,환산공식!$A$16:$A$301,0))</f>
        <v>42</v>
      </c>
      <c r="AG391" s="7" t="str">
        <f t="shared" si="65"/>
        <v>표점/만점</v>
      </c>
      <c r="AH391" s="7" t="str">
        <f t="shared" si="66"/>
        <v>변표/만점</v>
      </c>
      <c r="BO391" s="210"/>
      <c r="BP391" s="210"/>
      <c r="BQ391" s="210"/>
      <c r="BR391" s="210"/>
      <c r="BS391" s="210"/>
      <c r="BT391" s="210"/>
      <c r="BU391" s="210"/>
      <c r="BV391" s="210"/>
      <c r="BW391" s="210"/>
      <c r="BX391" s="210"/>
      <c r="BY391" s="210"/>
      <c r="BZ391" s="210"/>
      <c r="CA391" s="210"/>
      <c r="CB391" s="210"/>
      <c r="CC391" s="210"/>
      <c r="EM391" s="120"/>
      <c r="ET391" s="210"/>
      <c r="EU391" s="210"/>
      <c r="EV391" s="210"/>
      <c r="EW391" s="210"/>
      <c r="EX391" s="210"/>
      <c r="EY391" s="210"/>
      <c r="EZ391" s="210"/>
      <c r="FA391" s="210"/>
      <c r="FB391" s="210"/>
      <c r="FC391" s="210"/>
      <c r="FD391" s="210"/>
      <c r="FE391" s="210"/>
      <c r="FF391" s="210"/>
      <c r="FG391" s="210"/>
      <c r="FH391" s="210"/>
      <c r="HR391" s="120"/>
      <c r="HY391" s="210"/>
      <c r="HZ391" s="210"/>
      <c r="IA391" s="210"/>
      <c r="IB391" s="210"/>
      <c r="IC391" s="210"/>
      <c r="ID391" s="210"/>
      <c r="IE391" s="210"/>
      <c r="IF391" s="210"/>
      <c r="IG391" s="210"/>
      <c r="IH391" s="210"/>
      <c r="II391" s="210"/>
      <c r="IJ391" s="210"/>
      <c r="IK391" s="210"/>
      <c r="IL391" s="210"/>
      <c r="IM391" s="210"/>
      <c r="KW391" s="120"/>
      <c r="LD391" s="210"/>
      <c r="LE391" s="210"/>
      <c r="LF391" s="210"/>
      <c r="LG391" s="210"/>
      <c r="LH391" s="210"/>
      <c r="LI391" s="210"/>
      <c r="LJ391" s="210"/>
      <c r="LK391" s="210"/>
      <c r="LL391" s="210"/>
      <c r="LM391" s="210"/>
      <c r="LN391" s="210"/>
      <c r="LO391" s="210"/>
      <c r="LP391" s="210"/>
      <c r="LQ391" s="210"/>
      <c r="LR391" s="210"/>
      <c r="OB391" s="120"/>
      <c r="OI391" s="210"/>
      <c r="OJ391" s="210"/>
      <c r="OK391" s="210"/>
      <c r="OL391" s="210"/>
      <c r="OM391" s="210"/>
      <c r="ON391" s="210"/>
      <c r="OO391" s="210"/>
      <c r="OP391" s="210"/>
      <c r="OQ391" s="210"/>
      <c r="OR391" s="210"/>
      <c r="OS391" s="210"/>
      <c r="OT391" s="210"/>
      <c r="OU391" s="210"/>
      <c r="OV391" s="210"/>
      <c r="OW391" s="210"/>
      <c r="RG391" s="120"/>
    </row>
    <row r="392" spans="1:475" x14ac:dyDescent="0.3">
      <c r="A392" s="7">
        <v>36</v>
      </c>
      <c r="B392" s="7">
        <v>382</v>
      </c>
      <c r="C392" s="7" t="s">
        <v>276</v>
      </c>
      <c r="D392" s="7" t="s">
        <v>764</v>
      </c>
      <c r="E392" s="7" t="s">
        <v>457</v>
      </c>
      <c r="F392" s="7" t="s">
        <v>275</v>
      </c>
      <c r="G392" s="41" t="str">
        <f t="shared" si="58"/>
        <v>X</v>
      </c>
      <c r="H392" s="41">
        <f>INDEX(환산공식!CI$16:CI$301,MATCH('배치점수 계산기'!$W392,환산공식!$A$16:$A$301,0))</f>
        <v>140</v>
      </c>
      <c r="I392" s="41" t="str">
        <f>CONCATENATE(ROUND(INDEX(환산공식!CJ$16:CJ$301,MATCH('배치점수 계산기'!$W392,환산공식!$A$16:$A$301,0)),1),"%")</f>
        <v>100%</v>
      </c>
      <c r="J392" s="41">
        <f>INDEX(환산공식!CK$16:CK$301,MATCH('배치점수 계산기'!$W392,환산공식!$A$16:$A$301,0))</f>
        <v>10</v>
      </c>
      <c r="K392" s="7">
        <f>INDEX(환산공식!$EF$16:$EF$301,MATCH('배치점수 계산기'!W392,환산공식!$A$16:$A$301,0))</f>
        <v>0</v>
      </c>
      <c r="L392" s="41" t="str">
        <f t="shared" si="56"/>
        <v>1% 이하</v>
      </c>
      <c r="M392" s="7">
        <v>621.95804900148698</v>
      </c>
      <c r="N392" s="7">
        <v>620.00862189459428</v>
      </c>
      <c r="O392" s="7">
        <v>617.68616619431305</v>
      </c>
      <c r="P392" s="7">
        <v>615.57657234597639</v>
      </c>
      <c r="Q392" s="7">
        <v>612.30825095568844</v>
      </c>
      <c r="R392" s="7">
        <f t="shared" si="57"/>
        <v>6</v>
      </c>
      <c r="T392" s="7">
        <f>COUNTIF($C$11:C392,C392)</f>
        <v>216</v>
      </c>
      <c r="U392" s="7" t="str">
        <f t="shared" si="59"/>
        <v>가216</v>
      </c>
      <c r="V392" s="7" t="str">
        <f>INDEX(환산공식!$C$16:$C$301,MATCH('배치점수 계산기'!W392,환산공식!$A$16:$A$301,0))</f>
        <v>한국외대 서울</v>
      </c>
      <c r="W392" s="7">
        <f t="shared" si="60"/>
        <v>36</v>
      </c>
      <c r="X392" s="7">
        <f t="shared" si="61"/>
        <v>1</v>
      </c>
      <c r="Y392" s="7">
        <f>IFERROR(INDEX(환산공식!Q$16:Q$200,MATCH($A392,환산공식!$A$16:$A$200,0)),"")</f>
        <v>1.4093959731543624</v>
      </c>
      <c r="Z392" s="7">
        <f>IFERROR(INDEX(환산공식!R$16:R$200,MATCH($A392,환산공식!$A$16:$A$200,0)),"")</f>
        <v>1.4285714285714286</v>
      </c>
      <c r="AA392" s="7">
        <f>IFERROR(INDEX(환산공식!U$16:U$200,MATCH($A392,환산공식!$A$16:$A$200,0)),"")</f>
        <v>1.0606060606060606</v>
      </c>
      <c r="AB392" s="7">
        <f t="shared" si="62"/>
        <v>0.36151581771434954</v>
      </c>
      <c r="AC392" s="7">
        <f t="shared" si="63"/>
        <v>0.36643440026828633</v>
      </c>
      <c r="AD392" s="7">
        <f t="shared" si="64"/>
        <v>0.27204978201736407</v>
      </c>
      <c r="AE392" s="7">
        <f>INDEX(환산공식!$AF$16:$AF$301,MATCH('배치점수 계산기'!W392,환산공식!$A$16:$A$301,0))</f>
        <v>12</v>
      </c>
      <c r="AF392" s="7">
        <f>INDEX(환산공식!$AP$16:$AP$301,MATCH('배치점수 계산기'!W392,환산공식!$A$16:$A$301,0))</f>
        <v>42</v>
      </c>
      <c r="AG392" s="7" t="str">
        <f t="shared" si="65"/>
        <v>표점/만점</v>
      </c>
      <c r="AH392" s="7" t="str">
        <f t="shared" si="66"/>
        <v>변표/만점</v>
      </c>
      <c r="BO392" s="210"/>
      <c r="BP392" s="210"/>
      <c r="BQ392" s="210"/>
      <c r="BR392" s="210"/>
      <c r="BS392" s="210"/>
      <c r="BT392" s="210"/>
      <c r="BU392" s="210"/>
      <c r="BV392" s="210"/>
      <c r="BW392" s="210"/>
      <c r="BX392" s="210"/>
      <c r="BY392" s="210"/>
      <c r="BZ392" s="210"/>
      <c r="CA392" s="210"/>
      <c r="CB392" s="210"/>
      <c r="CC392" s="210"/>
      <c r="EM392" s="120"/>
      <c r="ET392" s="210"/>
      <c r="EU392" s="210"/>
      <c r="EV392" s="210"/>
      <c r="EW392" s="210"/>
      <c r="EX392" s="210"/>
      <c r="EY392" s="210"/>
      <c r="EZ392" s="210"/>
      <c r="FA392" s="210"/>
      <c r="FB392" s="210"/>
      <c r="FC392" s="210"/>
      <c r="FD392" s="210"/>
      <c r="FE392" s="210"/>
      <c r="FF392" s="210"/>
      <c r="FG392" s="210"/>
      <c r="FH392" s="210"/>
      <c r="HR392" s="120"/>
      <c r="HY392" s="210"/>
      <c r="HZ392" s="210"/>
      <c r="IA392" s="210"/>
      <c r="IB392" s="210"/>
      <c r="IC392" s="210"/>
      <c r="ID392" s="210"/>
      <c r="IE392" s="210"/>
      <c r="IF392" s="210"/>
      <c r="IG392" s="210"/>
      <c r="IH392" s="210"/>
      <c r="II392" s="210"/>
      <c r="IJ392" s="210"/>
      <c r="IK392" s="210"/>
      <c r="IL392" s="210"/>
      <c r="IM392" s="210"/>
      <c r="KW392" s="120"/>
      <c r="LD392" s="210"/>
      <c r="LE392" s="210"/>
      <c r="LF392" s="210"/>
      <c r="LG392" s="210"/>
      <c r="LH392" s="210"/>
      <c r="LI392" s="210"/>
      <c r="LJ392" s="210"/>
      <c r="LK392" s="210"/>
      <c r="LL392" s="210"/>
      <c r="LM392" s="210"/>
      <c r="LN392" s="210"/>
      <c r="LO392" s="210"/>
      <c r="LP392" s="210"/>
      <c r="LQ392" s="210"/>
      <c r="LR392" s="210"/>
      <c r="OB392" s="120"/>
      <c r="OI392" s="210"/>
      <c r="OJ392" s="210"/>
      <c r="OK392" s="210"/>
      <c r="OL392" s="210"/>
      <c r="OM392" s="210"/>
      <c r="ON392" s="210"/>
      <c r="OO392" s="210"/>
      <c r="OP392" s="210"/>
      <c r="OQ392" s="210"/>
      <c r="OR392" s="210"/>
      <c r="OS392" s="210"/>
      <c r="OT392" s="210"/>
      <c r="OU392" s="210"/>
      <c r="OV392" s="210"/>
      <c r="OW392" s="210"/>
      <c r="RG392" s="120"/>
    </row>
    <row r="393" spans="1:475" x14ac:dyDescent="0.3">
      <c r="A393" s="7">
        <v>36</v>
      </c>
      <c r="B393" s="7">
        <v>383</v>
      </c>
      <c r="C393" s="7" t="s">
        <v>346</v>
      </c>
      <c r="D393" s="7" t="s">
        <v>764</v>
      </c>
      <c r="E393" s="7" t="s">
        <v>458</v>
      </c>
      <c r="F393" s="7" t="s">
        <v>275</v>
      </c>
      <c r="G393" s="41" t="str">
        <f t="shared" si="58"/>
        <v>X</v>
      </c>
      <c r="H393" s="41">
        <f>INDEX(환산공식!CI$16:CI$301,MATCH('배치점수 계산기'!$W393,환산공식!$A$16:$A$301,0))</f>
        <v>140</v>
      </c>
      <c r="I393" s="41" t="str">
        <f>CONCATENATE(ROUND(INDEX(환산공식!CJ$16:CJ$301,MATCH('배치점수 계산기'!$W393,환산공식!$A$16:$A$301,0)),1),"%")</f>
        <v>100%</v>
      </c>
      <c r="J393" s="41">
        <f>INDEX(환산공식!CK$16:CK$301,MATCH('배치점수 계산기'!$W393,환산공식!$A$16:$A$301,0))</f>
        <v>10</v>
      </c>
      <c r="K393" s="7">
        <f>INDEX(환산공식!$EF$16:$EF$301,MATCH('배치점수 계산기'!W393,환산공식!$A$16:$A$301,0))</f>
        <v>0</v>
      </c>
      <c r="L393" s="41" t="str">
        <f t="shared" si="56"/>
        <v>1% 이하</v>
      </c>
      <c r="M393" s="7">
        <v>621.95804900148698</v>
      </c>
      <c r="N393" s="7">
        <v>620.00862189459428</v>
      </c>
      <c r="O393" s="7">
        <v>617.68616619431305</v>
      </c>
      <c r="P393" s="7">
        <v>615.57657234597639</v>
      </c>
      <c r="Q393" s="7">
        <v>612.30825095568844</v>
      </c>
      <c r="R393" s="7">
        <f t="shared" si="57"/>
        <v>6</v>
      </c>
      <c r="T393" s="7">
        <f>COUNTIF($C$11:C393,C393)</f>
        <v>161</v>
      </c>
      <c r="U393" s="7" t="str">
        <f t="shared" si="59"/>
        <v>나161</v>
      </c>
      <c r="V393" s="7" t="str">
        <f>INDEX(환산공식!$C$16:$C$301,MATCH('배치점수 계산기'!W393,환산공식!$A$16:$A$301,0))</f>
        <v>한국외대 서울</v>
      </c>
      <c r="W393" s="7">
        <f t="shared" si="60"/>
        <v>36</v>
      </c>
      <c r="X393" s="7">
        <f t="shared" si="61"/>
        <v>1</v>
      </c>
      <c r="Y393" s="7">
        <f>IFERROR(INDEX(환산공식!Q$16:Q$200,MATCH($A393,환산공식!$A$16:$A$200,0)),"")</f>
        <v>1.4093959731543624</v>
      </c>
      <c r="Z393" s="7">
        <f>IFERROR(INDEX(환산공식!R$16:R$200,MATCH($A393,환산공식!$A$16:$A$200,0)),"")</f>
        <v>1.4285714285714286</v>
      </c>
      <c r="AA393" s="7">
        <f>IFERROR(INDEX(환산공식!U$16:U$200,MATCH($A393,환산공식!$A$16:$A$200,0)),"")</f>
        <v>1.0606060606060606</v>
      </c>
      <c r="AB393" s="7">
        <f t="shared" si="62"/>
        <v>0.36151581771434954</v>
      </c>
      <c r="AC393" s="7">
        <f t="shared" si="63"/>
        <v>0.36643440026828633</v>
      </c>
      <c r="AD393" s="7">
        <f t="shared" si="64"/>
        <v>0.27204978201736407</v>
      </c>
      <c r="AE393" s="7">
        <f>INDEX(환산공식!$AF$16:$AF$301,MATCH('배치점수 계산기'!W393,환산공식!$A$16:$A$301,0))</f>
        <v>12</v>
      </c>
      <c r="AF393" s="7">
        <f>INDEX(환산공식!$AP$16:$AP$301,MATCH('배치점수 계산기'!W393,환산공식!$A$16:$A$301,0))</f>
        <v>42</v>
      </c>
      <c r="AG393" s="7" t="str">
        <f t="shared" si="65"/>
        <v>표점/만점</v>
      </c>
      <c r="AH393" s="7" t="str">
        <f t="shared" si="66"/>
        <v>변표/만점</v>
      </c>
      <c r="BO393" s="210"/>
      <c r="BP393" s="210"/>
      <c r="BQ393" s="210"/>
      <c r="BR393" s="210"/>
      <c r="BS393" s="210"/>
      <c r="BT393" s="210"/>
      <c r="BU393" s="210"/>
      <c r="BV393" s="210"/>
      <c r="BW393" s="210"/>
      <c r="BX393" s="210"/>
      <c r="BY393" s="210"/>
      <c r="BZ393" s="210"/>
      <c r="CA393" s="210"/>
      <c r="CB393" s="210"/>
      <c r="CC393" s="210"/>
      <c r="EM393" s="120"/>
      <c r="ET393" s="210"/>
      <c r="EU393" s="210"/>
      <c r="EV393" s="210"/>
      <c r="EW393" s="210"/>
      <c r="EX393" s="210"/>
      <c r="EY393" s="210"/>
      <c r="EZ393" s="210"/>
      <c r="FA393" s="210"/>
      <c r="FB393" s="210"/>
      <c r="FC393" s="210"/>
      <c r="FD393" s="210"/>
      <c r="FE393" s="210"/>
      <c r="FF393" s="210"/>
      <c r="FG393" s="210"/>
      <c r="FH393" s="210"/>
      <c r="HR393" s="120"/>
      <c r="HY393" s="210"/>
      <c r="HZ393" s="210"/>
      <c r="IA393" s="210"/>
      <c r="IB393" s="210"/>
      <c r="IC393" s="210"/>
      <c r="ID393" s="210"/>
      <c r="IE393" s="210"/>
      <c r="IF393" s="210"/>
      <c r="IG393" s="210"/>
      <c r="IH393" s="210"/>
      <c r="II393" s="210"/>
      <c r="IJ393" s="210"/>
      <c r="IK393" s="210"/>
      <c r="IL393" s="210"/>
      <c r="IM393" s="210"/>
      <c r="KW393" s="120"/>
      <c r="LD393" s="210"/>
      <c r="LE393" s="210"/>
      <c r="LF393" s="210"/>
      <c r="LG393" s="210"/>
      <c r="LH393" s="210"/>
      <c r="LI393" s="210"/>
      <c r="LJ393" s="210"/>
      <c r="LK393" s="210"/>
      <c r="LL393" s="210"/>
      <c r="LM393" s="210"/>
      <c r="LN393" s="210"/>
      <c r="LO393" s="210"/>
      <c r="LP393" s="210"/>
      <c r="LQ393" s="210"/>
      <c r="LR393" s="210"/>
      <c r="OB393" s="120"/>
      <c r="OI393" s="210"/>
      <c r="OJ393" s="210"/>
      <c r="OK393" s="210"/>
      <c r="OL393" s="210"/>
      <c r="OM393" s="210"/>
      <c r="ON393" s="210"/>
      <c r="OO393" s="210"/>
      <c r="OP393" s="210"/>
      <c r="OQ393" s="210"/>
      <c r="OR393" s="210"/>
      <c r="OS393" s="210"/>
      <c r="OT393" s="210"/>
      <c r="OU393" s="210"/>
      <c r="OV393" s="210"/>
      <c r="OW393" s="210"/>
      <c r="RG393" s="120"/>
    </row>
    <row r="394" spans="1:475" x14ac:dyDescent="0.3">
      <c r="A394" s="7">
        <v>36</v>
      </c>
      <c r="B394" s="7">
        <v>384</v>
      </c>
      <c r="C394" s="7" t="s">
        <v>346</v>
      </c>
      <c r="D394" s="7" t="s">
        <v>764</v>
      </c>
      <c r="E394" s="7" t="s">
        <v>411</v>
      </c>
      <c r="F394" s="7" t="s">
        <v>275</v>
      </c>
      <c r="G394" s="41" t="str">
        <f t="shared" si="58"/>
        <v>X</v>
      </c>
      <c r="H394" s="41">
        <f>INDEX(환산공식!CI$16:CI$301,MATCH('배치점수 계산기'!$W394,환산공식!$A$16:$A$301,0))</f>
        <v>140</v>
      </c>
      <c r="I394" s="41" t="str">
        <f>CONCATENATE(ROUND(INDEX(환산공식!CJ$16:CJ$301,MATCH('배치점수 계산기'!$W394,환산공식!$A$16:$A$301,0)),1),"%")</f>
        <v>100%</v>
      </c>
      <c r="J394" s="41">
        <f>INDEX(환산공식!CK$16:CK$301,MATCH('배치점수 계산기'!$W394,환산공식!$A$16:$A$301,0))</f>
        <v>10</v>
      </c>
      <c r="K394" s="7">
        <f>INDEX(환산공식!$EF$16:$EF$301,MATCH('배치점수 계산기'!W394,환산공식!$A$16:$A$301,0))</f>
        <v>0</v>
      </c>
      <c r="L394" s="41" t="str">
        <f t="shared" si="56"/>
        <v>1% 이하</v>
      </c>
      <c r="M394" s="7">
        <v>621.95804900148698</v>
      </c>
      <c r="N394" s="7">
        <v>620.00862189459428</v>
      </c>
      <c r="O394" s="7">
        <v>617.68616619431305</v>
      </c>
      <c r="P394" s="7">
        <v>615.57657234597639</v>
      </c>
      <c r="Q394" s="7">
        <v>612.30825095568844</v>
      </c>
      <c r="R394" s="7">
        <f t="shared" si="57"/>
        <v>6</v>
      </c>
      <c r="T394" s="7">
        <f>COUNTIF($C$11:C394,C394)</f>
        <v>162</v>
      </c>
      <c r="U394" s="7" t="str">
        <f t="shared" si="59"/>
        <v>나162</v>
      </c>
      <c r="V394" s="7" t="str">
        <f>INDEX(환산공식!$C$16:$C$301,MATCH('배치점수 계산기'!W394,환산공식!$A$16:$A$301,0))</f>
        <v>한국외대 서울</v>
      </c>
      <c r="W394" s="7">
        <f t="shared" si="60"/>
        <v>36</v>
      </c>
      <c r="X394" s="7">
        <f t="shared" si="61"/>
        <v>1</v>
      </c>
      <c r="Y394" s="7">
        <f>IFERROR(INDEX(환산공식!Q$16:Q$200,MATCH($A394,환산공식!$A$16:$A$200,0)),"")</f>
        <v>1.4093959731543624</v>
      </c>
      <c r="Z394" s="7">
        <f>IFERROR(INDEX(환산공식!R$16:R$200,MATCH($A394,환산공식!$A$16:$A$200,0)),"")</f>
        <v>1.4285714285714286</v>
      </c>
      <c r="AA394" s="7">
        <f>IFERROR(INDEX(환산공식!U$16:U$200,MATCH($A394,환산공식!$A$16:$A$200,0)),"")</f>
        <v>1.0606060606060606</v>
      </c>
      <c r="AB394" s="7">
        <f t="shared" si="62"/>
        <v>0.36151581771434954</v>
      </c>
      <c r="AC394" s="7">
        <f t="shared" si="63"/>
        <v>0.36643440026828633</v>
      </c>
      <c r="AD394" s="7">
        <f t="shared" si="64"/>
        <v>0.27204978201736407</v>
      </c>
      <c r="AE394" s="7">
        <f>INDEX(환산공식!$AF$16:$AF$301,MATCH('배치점수 계산기'!W394,환산공식!$A$16:$A$301,0))</f>
        <v>12</v>
      </c>
      <c r="AF394" s="7">
        <f>INDEX(환산공식!$AP$16:$AP$301,MATCH('배치점수 계산기'!W394,환산공식!$A$16:$A$301,0))</f>
        <v>42</v>
      </c>
      <c r="AG394" s="7" t="str">
        <f t="shared" si="65"/>
        <v>표점/만점</v>
      </c>
      <c r="AH394" s="7" t="str">
        <f t="shared" si="66"/>
        <v>변표/만점</v>
      </c>
      <c r="BO394" s="210"/>
      <c r="BP394" s="210"/>
      <c r="BQ394" s="210"/>
      <c r="BR394" s="210"/>
      <c r="BS394" s="210"/>
      <c r="BT394" s="210"/>
      <c r="BU394" s="210"/>
      <c r="BV394" s="210"/>
      <c r="BW394" s="210"/>
      <c r="BX394" s="210"/>
      <c r="BY394" s="210"/>
      <c r="BZ394" s="210"/>
      <c r="CA394" s="210"/>
      <c r="CB394" s="210"/>
      <c r="CC394" s="210"/>
      <c r="EM394" s="120"/>
      <c r="ET394" s="210"/>
      <c r="EU394" s="210"/>
      <c r="EV394" s="210"/>
      <c r="EW394" s="210"/>
      <c r="EX394" s="210"/>
      <c r="EY394" s="210"/>
      <c r="EZ394" s="210"/>
      <c r="FA394" s="210"/>
      <c r="FB394" s="210"/>
      <c r="FC394" s="210"/>
      <c r="FD394" s="210"/>
      <c r="FE394" s="210"/>
      <c r="FF394" s="210"/>
      <c r="FG394" s="210"/>
      <c r="FH394" s="210"/>
      <c r="HR394" s="120"/>
      <c r="HY394" s="210"/>
      <c r="HZ394" s="210"/>
      <c r="IA394" s="210"/>
      <c r="IB394" s="210"/>
      <c r="IC394" s="210"/>
      <c r="ID394" s="210"/>
      <c r="IE394" s="210"/>
      <c r="IF394" s="210"/>
      <c r="IG394" s="210"/>
      <c r="IH394" s="210"/>
      <c r="II394" s="210"/>
      <c r="IJ394" s="210"/>
      <c r="IK394" s="210"/>
      <c r="IL394" s="210"/>
      <c r="IM394" s="210"/>
      <c r="KW394" s="120"/>
      <c r="LD394" s="210"/>
      <c r="LE394" s="210"/>
      <c r="LF394" s="210"/>
      <c r="LG394" s="210"/>
      <c r="LH394" s="210"/>
      <c r="LI394" s="210"/>
      <c r="LJ394" s="210"/>
      <c r="LK394" s="210"/>
      <c r="LL394" s="210"/>
      <c r="LM394" s="210"/>
      <c r="LN394" s="210"/>
      <c r="LO394" s="210"/>
      <c r="LP394" s="210"/>
      <c r="LQ394" s="210"/>
      <c r="LR394" s="210"/>
      <c r="OB394" s="120"/>
      <c r="OI394" s="210"/>
      <c r="OJ394" s="210"/>
      <c r="OK394" s="210"/>
      <c r="OL394" s="210"/>
      <c r="OM394" s="210"/>
      <c r="ON394" s="210"/>
      <c r="OO394" s="210"/>
      <c r="OP394" s="210"/>
      <c r="OQ394" s="210"/>
      <c r="OR394" s="210"/>
      <c r="OS394" s="210"/>
      <c r="OT394" s="210"/>
      <c r="OU394" s="210"/>
      <c r="OV394" s="210"/>
      <c r="OW394" s="210"/>
      <c r="RG394" s="120"/>
    </row>
    <row r="395" spans="1:475" x14ac:dyDescent="0.3">
      <c r="A395" s="7">
        <v>36</v>
      </c>
      <c r="B395" s="7">
        <v>385</v>
      </c>
      <c r="C395" s="7" t="s">
        <v>276</v>
      </c>
      <c r="D395" s="7" t="s">
        <v>764</v>
      </c>
      <c r="E395" s="7" t="s">
        <v>770</v>
      </c>
      <c r="F395" s="7" t="s">
        <v>275</v>
      </c>
      <c r="G395" s="41" t="str">
        <f t="shared" si="58"/>
        <v>X</v>
      </c>
      <c r="H395" s="41">
        <f>INDEX(환산공식!CI$16:CI$301,MATCH('배치점수 계산기'!$W395,환산공식!$A$16:$A$301,0))</f>
        <v>140</v>
      </c>
      <c r="I395" s="41" t="str">
        <f>CONCATENATE(ROUND(INDEX(환산공식!CJ$16:CJ$301,MATCH('배치점수 계산기'!$W395,환산공식!$A$16:$A$301,0)),1),"%")</f>
        <v>100%</v>
      </c>
      <c r="J395" s="41">
        <f>INDEX(환산공식!CK$16:CK$301,MATCH('배치점수 계산기'!$W395,환산공식!$A$16:$A$301,0))</f>
        <v>10</v>
      </c>
      <c r="K395" s="7">
        <f>INDEX(환산공식!$EF$16:$EF$301,MATCH('배치점수 계산기'!W395,환산공식!$A$16:$A$301,0))</f>
        <v>0</v>
      </c>
      <c r="L395" s="41" t="str">
        <f t="shared" ref="L395:L458" si="67">IF(K395&gt;M395,"90% 이상",IF(K395&gt;N395,CONCATENATE(ROUND(((K395-N395)/(M395-N395))*20+70,0),"%"),IF(K395&gt;O395,CONCATENATE(ROUND(((K395-O395)/(N395-O395))*30+40,0),"%"),IF(K395&gt;P395,CONCATENATE(ROUND(((K395-P395)/(O395-P395))*30+10,0),"%"),IF(K395&gt;Q395,CONCATENATE(ROUND(((K395-Q395)/(P395-Q395))*9+1,0),"%"),"1% 이하")))))</f>
        <v>1% 이하</v>
      </c>
      <c r="M395" s="7">
        <v>628.17209110977319</v>
      </c>
      <c r="N395" s="7">
        <v>623.57015619764854</v>
      </c>
      <c r="O395" s="7">
        <v>620.75169908079636</v>
      </c>
      <c r="P395" s="7">
        <v>617.68616619431305</v>
      </c>
      <c r="Q395" s="7">
        <v>615.57657234597639</v>
      </c>
      <c r="R395" s="7">
        <f t="shared" ref="R395:R458" si="68">IF(K395&gt;M395,1,IF(K395&gt;N395,2,IF(K395&gt;O395,3,IF(K395&gt;P395,4,IF(K395&gt;=Q395,5,IF(K395&lt;Q395,6))))))</f>
        <v>6</v>
      </c>
      <c r="T395" s="7">
        <f>COUNTIF($C$11:C395,C395)</f>
        <v>217</v>
      </c>
      <c r="U395" s="7" t="str">
        <f t="shared" si="59"/>
        <v>가217</v>
      </c>
      <c r="V395" s="7" t="str">
        <f>INDEX(환산공식!$C$16:$C$301,MATCH('배치점수 계산기'!W395,환산공식!$A$16:$A$301,0))</f>
        <v>한국외대 서울</v>
      </c>
      <c r="W395" s="7">
        <f t="shared" si="60"/>
        <v>36</v>
      </c>
      <c r="X395" s="7">
        <f t="shared" si="61"/>
        <v>1</v>
      </c>
      <c r="Y395" s="7">
        <f>IFERROR(INDEX(환산공식!Q$16:Q$200,MATCH($A395,환산공식!$A$16:$A$200,0)),"")</f>
        <v>1.4093959731543624</v>
      </c>
      <c r="Z395" s="7">
        <f>IFERROR(INDEX(환산공식!R$16:R$200,MATCH($A395,환산공식!$A$16:$A$200,0)),"")</f>
        <v>1.4285714285714286</v>
      </c>
      <c r="AA395" s="7">
        <f>IFERROR(INDEX(환산공식!U$16:U$200,MATCH($A395,환산공식!$A$16:$A$200,0)),"")</f>
        <v>1.0606060606060606</v>
      </c>
      <c r="AB395" s="7">
        <f t="shared" si="62"/>
        <v>0.36151581771434954</v>
      </c>
      <c r="AC395" s="7">
        <f t="shared" si="63"/>
        <v>0.36643440026828633</v>
      </c>
      <c r="AD395" s="7">
        <f t="shared" si="64"/>
        <v>0.27204978201736407</v>
      </c>
      <c r="AE395" s="7">
        <f>INDEX(환산공식!$AF$16:$AF$301,MATCH('배치점수 계산기'!W395,환산공식!$A$16:$A$301,0))</f>
        <v>12</v>
      </c>
      <c r="AF395" s="7">
        <f>INDEX(환산공식!$AP$16:$AP$301,MATCH('배치점수 계산기'!W395,환산공식!$A$16:$A$301,0))</f>
        <v>42</v>
      </c>
      <c r="AG395" s="7" t="str">
        <f t="shared" si="65"/>
        <v>표점/만점</v>
      </c>
      <c r="AH395" s="7" t="str">
        <f t="shared" si="66"/>
        <v>변표/만점</v>
      </c>
      <c r="BO395" s="210"/>
      <c r="BP395" s="210"/>
      <c r="BQ395" s="210"/>
      <c r="BR395" s="210"/>
      <c r="BS395" s="210"/>
      <c r="BT395" s="210"/>
      <c r="BU395" s="210"/>
      <c r="BV395" s="210"/>
      <c r="BW395" s="210"/>
      <c r="BX395" s="210"/>
      <c r="BY395" s="210"/>
      <c r="BZ395" s="210"/>
      <c r="CA395" s="210"/>
      <c r="CB395" s="210"/>
      <c r="CC395" s="210"/>
      <c r="EM395" s="120"/>
      <c r="ET395" s="210"/>
      <c r="EU395" s="210"/>
      <c r="EV395" s="210"/>
      <c r="EW395" s="210"/>
      <c r="EX395" s="210"/>
      <c r="EY395" s="210"/>
      <c r="EZ395" s="210"/>
      <c r="FA395" s="210"/>
      <c r="FB395" s="210"/>
      <c r="FC395" s="210"/>
      <c r="FD395" s="210"/>
      <c r="FE395" s="210"/>
      <c r="FF395" s="210"/>
      <c r="FG395" s="210"/>
      <c r="FH395" s="210"/>
      <c r="HR395" s="120"/>
      <c r="HY395" s="210"/>
      <c r="HZ395" s="210"/>
      <c r="IA395" s="210"/>
      <c r="IB395" s="210"/>
      <c r="IC395" s="210"/>
      <c r="ID395" s="210"/>
      <c r="IE395" s="210"/>
      <c r="IF395" s="210"/>
      <c r="IG395" s="210"/>
      <c r="IH395" s="210"/>
      <c r="II395" s="210"/>
      <c r="IJ395" s="210"/>
      <c r="IK395" s="210"/>
      <c r="IL395" s="210"/>
      <c r="IM395" s="210"/>
      <c r="KW395" s="120"/>
      <c r="LD395" s="210"/>
      <c r="LE395" s="210"/>
      <c r="LF395" s="210"/>
      <c r="LG395" s="210"/>
      <c r="LH395" s="210"/>
      <c r="LI395" s="210"/>
      <c r="LJ395" s="210"/>
      <c r="LK395" s="210"/>
      <c r="LL395" s="210"/>
      <c r="LM395" s="210"/>
      <c r="LN395" s="210"/>
      <c r="LO395" s="210"/>
      <c r="LP395" s="210"/>
      <c r="LQ395" s="210"/>
      <c r="LR395" s="210"/>
      <c r="OB395" s="120"/>
      <c r="OI395" s="210"/>
      <c r="OJ395" s="210"/>
      <c r="OK395" s="210"/>
      <c r="OL395" s="210"/>
      <c r="OM395" s="210"/>
      <c r="ON395" s="210"/>
      <c r="OO395" s="210"/>
      <c r="OP395" s="210"/>
      <c r="OQ395" s="210"/>
      <c r="OR395" s="210"/>
      <c r="OS395" s="210"/>
      <c r="OT395" s="210"/>
      <c r="OU395" s="210"/>
      <c r="OV395" s="210"/>
      <c r="OW395" s="210"/>
      <c r="RG395" s="120"/>
    </row>
    <row r="396" spans="1:475" x14ac:dyDescent="0.3">
      <c r="A396" s="7">
        <v>36</v>
      </c>
      <c r="B396" s="7">
        <v>386</v>
      </c>
      <c r="C396" s="7" t="s">
        <v>346</v>
      </c>
      <c r="D396" s="7" t="s">
        <v>764</v>
      </c>
      <c r="E396" s="7" t="s">
        <v>301</v>
      </c>
      <c r="F396" s="7" t="s">
        <v>275</v>
      </c>
      <c r="G396" s="41" t="str">
        <f t="shared" ref="G396:G459" si="69">IFERROR(IF(BJ396=0,"X","O"),"")</f>
        <v>X</v>
      </c>
      <c r="H396" s="41">
        <f>INDEX(환산공식!CI$16:CI$301,MATCH('배치점수 계산기'!$W396,환산공식!$A$16:$A$301,0))</f>
        <v>140</v>
      </c>
      <c r="I396" s="41" t="str">
        <f>CONCATENATE(ROUND(INDEX(환산공식!CJ$16:CJ$301,MATCH('배치점수 계산기'!$W396,환산공식!$A$16:$A$301,0)),1),"%")</f>
        <v>100%</v>
      </c>
      <c r="J396" s="41">
        <f>INDEX(환산공식!CK$16:CK$301,MATCH('배치점수 계산기'!$W396,환산공식!$A$16:$A$301,0))</f>
        <v>10</v>
      </c>
      <c r="K396" s="7">
        <f>INDEX(환산공식!$EF$16:$EF$301,MATCH('배치점수 계산기'!W396,환산공식!$A$16:$A$301,0))</f>
        <v>0</v>
      </c>
      <c r="L396" s="41" t="str">
        <f t="shared" si="67"/>
        <v>1% 이하</v>
      </c>
      <c r="M396" s="7">
        <v>628.17209110977319</v>
      </c>
      <c r="N396" s="7">
        <v>623.57015619764854</v>
      </c>
      <c r="O396" s="7">
        <v>620.75169908079636</v>
      </c>
      <c r="P396" s="7">
        <v>617.68616619431305</v>
      </c>
      <c r="Q396" s="7">
        <v>615.57657234597639</v>
      </c>
      <c r="R396" s="7">
        <f t="shared" si="68"/>
        <v>6</v>
      </c>
      <c r="T396" s="7">
        <f>COUNTIF($C$11:C396,C396)</f>
        <v>163</v>
      </c>
      <c r="U396" s="7" t="str">
        <f t="shared" ref="U396:U459" si="70">CONCATENATE(C396,T396)</f>
        <v>나163</v>
      </c>
      <c r="V396" s="7" t="str">
        <f>INDEX(환산공식!$C$16:$C$301,MATCH('배치점수 계산기'!W396,환산공식!$A$16:$A$301,0))</f>
        <v>한국외대 서울</v>
      </c>
      <c r="W396" s="7">
        <f t="shared" ref="W396:W459" si="71">A396</f>
        <v>36</v>
      </c>
      <c r="X396" s="7">
        <f t="shared" ref="X396:X459" si="72">IF(OR(D396=0,D396=""),"",IF(LEFT(D396,1)=LEFT(V396,1),1,2))</f>
        <v>1</v>
      </c>
      <c r="Y396" s="7">
        <f>IFERROR(INDEX(환산공식!Q$16:Q$200,MATCH($A396,환산공식!$A$16:$A$200,0)),"")</f>
        <v>1.4093959731543624</v>
      </c>
      <c r="Z396" s="7">
        <f>IFERROR(INDEX(환산공식!R$16:R$200,MATCH($A396,환산공식!$A$16:$A$200,0)),"")</f>
        <v>1.4285714285714286</v>
      </c>
      <c r="AA396" s="7">
        <f>IFERROR(INDEX(환산공식!U$16:U$200,MATCH($A396,환산공식!$A$16:$A$200,0)),"")</f>
        <v>1.0606060606060606</v>
      </c>
      <c r="AB396" s="7">
        <f t="shared" ref="AB396:AB459" si="73">Y396/($Y396+$Z396+$AA396)</f>
        <v>0.36151581771434954</v>
      </c>
      <c r="AC396" s="7">
        <f t="shared" ref="AC396:AC459" si="74">Z396/($Y396+$Z396+$AA396)</f>
        <v>0.36643440026828633</v>
      </c>
      <c r="AD396" s="7">
        <f t="shared" ref="AD396:AD459" si="75">AA396/($Y396+$Z396+$AA396)</f>
        <v>0.27204978201736407</v>
      </c>
      <c r="AE396" s="7">
        <f>INDEX(환산공식!$AF$16:$AF$301,MATCH('배치점수 계산기'!W396,환산공식!$A$16:$A$301,0))</f>
        <v>12</v>
      </c>
      <c r="AF396" s="7">
        <f>INDEX(환산공식!$AP$16:$AP$301,MATCH('배치점수 계산기'!W396,환산공식!$A$16:$A$301,0))</f>
        <v>42</v>
      </c>
      <c r="AG396" s="7" t="str">
        <f t="shared" ref="AG396:AG459" si="76">IF(AE396=1,"표점",IF(AE396=12,"표점/만점",IF(AE396=2,"백분위")))</f>
        <v>표점/만점</v>
      </c>
      <c r="AH396" s="7" t="str">
        <f t="shared" ref="AH396:AH459" si="77">IF(AF396=1,"표점",IF(AF396=12,"표점/만점",IF(AF396=2,"백분위",IF(AF396=4,"변표",IF(AF396=42,"변표/만점")))))</f>
        <v>변표/만점</v>
      </c>
      <c r="BO396" s="210"/>
      <c r="BP396" s="210"/>
      <c r="BQ396" s="210"/>
      <c r="BR396" s="210"/>
      <c r="BS396" s="210"/>
      <c r="BT396" s="210"/>
      <c r="BU396" s="210"/>
      <c r="BV396" s="210"/>
      <c r="BW396" s="210"/>
      <c r="BX396" s="210"/>
      <c r="BY396" s="210"/>
      <c r="BZ396" s="210"/>
      <c r="CA396" s="210"/>
      <c r="CB396" s="210"/>
      <c r="CC396" s="210"/>
      <c r="EM396" s="120"/>
      <c r="ET396" s="210"/>
      <c r="EU396" s="210"/>
      <c r="EV396" s="210"/>
      <c r="EW396" s="210"/>
      <c r="EX396" s="210"/>
      <c r="EY396" s="210"/>
      <c r="EZ396" s="210"/>
      <c r="FA396" s="210"/>
      <c r="FB396" s="210"/>
      <c r="FC396" s="210"/>
      <c r="FD396" s="210"/>
      <c r="FE396" s="210"/>
      <c r="FF396" s="210"/>
      <c r="FG396" s="210"/>
      <c r="FH396" s="210"/>
      <c r="HR396" s="120"/>
      <c r="HY396" s="210"/>
      <c r="HZ396" s="210"/>
      <c r="IA396" s="210"/>
      <c r="IB396" s="210"/>
      <c r="IC396" s="210"/>
      <c r="ID396" s="210"/>
      <c r="IE396" s="210"/>
      <c r="IF396" s="210"/>
      <c r="IG396" s="210"/>
      <c r="IH396" s="210"/>
      <c r="II396" s="210"/>
      <c r="IJ396" s="210"/>
      <c r="IK396" s="210"/>
      <c r="IL396" s="210"/>
      <c r="IM396" s="210"/>
      <c r="KW396" s="120"/>
      <c r="LD396" s="210"/>
      <c r="LE396" s="210"/>
      <c r="LF396" s="210"/>
      <c r="LG396" s="210"/>
      <c r="LH396" s="210"/>
      <c r="LI396" s="210"/>
      <c r="LJ396" s="210"/>
      <c r="LK396" s="210"/>
      <c r="LL396" s="210"/>
      <c r="LM396" s="210"/>
      <c r="LN396" s="210"/>
      <c r="LO396" s="210"/>
      <c r="LP396" s="210"/>
      <c r="LQ396" s="210"/>
      <c r="LR396" s="210"/>
      <c r="OB396" s="120"/>
      <c r="OI396" s="210"/>
      <c r="OJ396" s="210"/>
      <c r="OK396" s="210"/>
      <c r="OL396" s="210"/>
      <c r="OM396" s="210"/>
      <c r="ON396" s="210"/>
      <c r="OO396" s="210"/>
      <c r="OP396" s="210"/>
      <c r="OQ396" s="210"/>
      <c r="OR396" s="210"/>
      <c r="OS396" s="210"/>
      <c r="OT396" s="210"/>
      <c r="OU396" s="210"/>
      <c r="OV396" s="210"/>
      <c r="OW396" s="210"/>
      <c r="RG396" s="120"/>
    </row>
    <row r="397" spans="1:475" x14ac:dyDescent="0.3">
      <c r="A397" s="7">
        <v>43</v>
      </c>
      <c r="B397" s="7">
        <v>387</v>
      </c>
      <c r="C397" s="7" t="s">
        <v>378</v>
      </c>
      <c r="D397" s="7" t="s">
        <v>708</v>
      </c>
      <c r="E397" s="7" t="s">
        <v>771</v>
      </c>
      <c r="F397" s="7" t="s">
        <v>274</v>
      </c>
      <c r="G397" s="41" t="str">
        <f t="shared" si="69"/>
        <v>X</v>
      </c>
      <c r="H397" s="41">
        <f>INDEX(환산공식!CI$16:CI$301,MATCH('배치점수 계산기'!$W397,환산공식!$A$16:$A$301,0))</f>
        <v>200</v>
      </c>
      <c r="I397" s="41" t="str">
        <f>CONCATENATE(ROUND(INDEX(환산공식!CJ$16:CJ$301,MATCH('배치점수 계산기'!$W397,환산공식!$A$16:$A$301,0)),1),"%")</f>
        <v>100%</v>
      </c>
      <c r="J397" s="41">
        <f>INDEX(환산공식!CK$16:CK$301,MATCH('배치점수 계산기'!$W397,환산공식!$A$16:$A$301,0))</f>
        <v>200</v>
      </c>
      <c r="K397" s="7">
        <f>INDEX(환산공식!$EF$16:$EF$301,MATCH('배치점수 계산기'!W397,환산공식!$A$16:$A$301,0))</f>
        <v>0</v>
      </c>
      <c r="L397" s="41" t="str">
        <f t="shared" si="67"/>
        <v>1% 이하</v>
      </c>
      <c r="M397" s="7">
        <v>903.5</v>
      </c>
      <c r="N397" s="7">
        <v>902.81835822886114</v>
      </c>
      <c r="O397" s="7">
        <v>902.00586094042228</v>
      </c>
      <c r="P397" s="7">
        <v>900.10125000000016</v>
      </c>
      <c r="Q397" s="7">
        <v>898.31875000000002</v>
      </c>
      <c r="R397" s="7">
        <f t="shared" si="68"/>
        <v>6</v>
      </c>
      <c r="T397" s="7">
        <f>COUNTIF($C$11:C397,C397)</f>
        <v>7</v>
      </c>
      <c r="U397" s="7" t="str">
        <f t="shared" si="70"/>
        <v>다7</v>
      </c>
      <c r="V397" s="7" t="str">
        <f>INDEX(환산공식!$C$16:$C$301,MATCH('배치점수 계산기'!W397,환산공식!$A$16:$A$301,0))</f>
        <v>건국 자연1</v>
      </c>
      <c r="W397" s="7">
        <f t="shared" si="71"/>
        <v>43</v>
      </c>
      <c r="X397" s="7">
        <f t="shared" si="72"/>
        <v>1</v>
      </c>
      <c r="Y397" s="7">
        <f>IFERROR(INDEX(환산공식!Q$16:Q$200,MATCH($A397,환산공식!$A$16:$A$200,0)),"")</f>
        <v>1</v>
      </c>
      <c r="Z397" s="7">
        <f>IFERROR(INDEX(환산공식!R$16:R$200,MATCH($A397,환산공식!$A$16:$A$200,0)),"")</f>
        <v>1.75</v>
      </c>
      <c r="AA397" s="7">
        <f>IFERROR(INDEX(환산공식!U$16:U$200,MATCH($A397,환산공식!$A$16:$A$200,0)),"")</f>
        <v>1.25</v>
      </c>
      <c r="AB397" s="7">
        <f t="shared" si="73"/>
        <v>0.25</v>
      </c>
      <c r="AC397" s="7">
        <f t="shared" si="74"/>
        <v>0.4375</v>
      </c>
      <c r="AD397" s="7">
        <f t="shared" si="75"/>
        <v>0.3125</v>
      </c>
      <c r="AE397" s="7">
        <f>INDEX(환산공식!$AF$16:$AF$301,MATCH('배치점수 계산기'!W397,환산공식!$A$16:$A$301,0))</f>
        <v>1</v>
      </c>
      <c r="AF397" s="7">
        <f>INDEX(환산공식!$AP$16:$AP$301,MATCH('배치점수 계산기'!W397,환산공식!$A$16:$A$301,0))</f>
        <v>4</v>
      </c>
      <c r="AG397" s="7" t="str">
        <f t="shared" si="76"/>
        <v>표점</v>
      </c>
      <c r="AH397" s="7" t="str">
        <f t="shared" si="77"/>
        <v>변표</v>
      </c>
      <c r="BO397" s="210"/>
      <c r="BP397" s="210"/>
      <c r="BQ397" s="210"/>
      <c r="BR397" s="210"/>
      <c r="BS397" s="210"/>
      <c r="BT397" s="210"/>
      <c r="BU397" s="210"/>
      <c r="BV397" s="210"/>
      <c r="BW397" s="210"/>
      <c r="BX397" s="210"/>
      <c r="BY397" s="210"/>
      <c r="BZ397" s="210"/>
      <c r="CA397" s="210"/>
      <c r="CB397" s="210"/>
      <c r="CC397" s="210"/>
      <c r="EM397" s="120"/>
      <c r="ET397" s="210"/>
      <c r="EU397" s="210"/>
      <c r="EV397" s="210"/>
      <c r="EW397" s="210"/>
      <c r="EX397" s="210"/>
      <c r="EY397" s="210"/>
      <c r="EZ397" s="210"/>
      <c r="FA397" s="210"/>
      <c r="FB397" s="210"/>
      <c r="FC397" s="210"/>
      <c r="FD397" s="210"/>
      <c r="FE397" s="210"/>
      <c r="FF397" s="210"/>
      <c r="FG397" s="210"/>
      <c r="FH397" s="210"/>
      <c r="HR397" s="120"/>
      <c r="HY397" s="210"/>
      <c r="HZ397" s="210"/>
      <c r="IA397" s="210"/>
      <c r="IB397" s="210"/>
      <c r="IC397" s="210"/>
      <c r="ID397" s="210"/>
      <c r="IE397" s="210"/>
      <c r="IF397" s="210"/>
      <c r="IG397" s="210"/>
      <c r="IH397" s="210"/>
      <c r="II397" s="210"/>
      <c r="IJ397" s="210"/>
      <c r="IK397" s="210"/>
      <c r="IL397" s="210"/>
      <c r="IM397" s="210"/>
      <c r="KW397" s="120"/>
      <c r="LD397" s="210"/>
      <c r="LE397" s="210"/>
      <c r="LF397" s="210"/>
      <c r="LG397" s="210"/>
      <c r="LH397" s="210"/>
      <c r="LI397" s="210"/>
      <c r="LJ397" s="210"/>
      <c r="LK397" s="210"/>
      <c r="LL397" s="210"/>
      <c r="LM397" s="210"/>
      <c r="LN397" s="210"/>
      <c r="LO397" s="210"/>
      <c r="LP397" s="210"/>
      <c r="LQ397" s="210"/>
      <c r="LR397" s="210"/>
      <c r="OB397" s="120"/>
      <c r="OI397" s="210"/>
      <c r="OJ397" s="210"/>
      <c r="OK397" s="210"/>
      <c r="OL397" s="210"/>
      <c r="OM397" s="210"/>
      <c r="ON397" s="210"/>
      <c r="OO397" s="210"/>
      <c r="OP397" s="210"/>
      <c r="OQ397" s="210"/>
      <c r="OR397" s="210"/>
      <c r="OS397" s="210"/>
      <c r="OT397" s="210"/>
      <c r="OU397" s="210"/>
      <c r="OV397" s="210"/>
      <c r="OW397" s="210"/>
      <c r="RG397" s="120"/>
    </row>
    <row r="398" spans="1:475" x14ac:dyDescent="0.3">
      <c r="A398" s="7">
        <v>43</v>
      </c>
      <c r="B398" s="7">
        <v>388</v>
      </c>
      <c r="C398" s="7" t="s">
        <v>378</v>
      </c>
      <c r="D398" s="7" t="s">
        <v>708</v>
      </c>
      <c r="E398" s="7" t="s">
        <v>772</v>
      </c>
      <c r="F398" s="7" t="s">
        <v>274</v>
      </c>
      <c r="G398" s="41" t="str">
        <f t="shared" si="69"/>
        <v>X</v>
      </c>
      <c r="H398" s="41">
        <f>INDEX(환산공식!CI$16:CI$301,MATCH('배치점수 계산기'!$W398,환산공식!$A$16:$A$301,0))</f>
        <v>200</v>
      </c>
      <c r="I398" s="41" t="str">
        <f>CONCATENATE(ROUND(INDEX(환산공식!CJ$16:CJ$301,MATCH('배치점수 계산기'!$W398,환산공식!$A$16:$A$301,0)),1),"%")</f>
        <v>100%</v>
      </c>
      <c r="J398" s="41">
        <f>INDEX(환산공식!CK$16:CK$301,MATCH('배치점수 계산기'!$W398,환산공식!$A$16:$A$301,0))</f>
        <v>200</v>
      </c>
      <c r="K398" s="7">
        <f>INDEX(환산공식!$EF$16:$EF$301,MATCH('배치점수 계산기'!W398,환산공식!$A$16:$A$301,0))</f>
        <v>0</v>
      </c>
      <c r="L398" s="41" t="str">
        <f t="shared" si="67"/>
        <v>1% 이하</v>
      </c>
      <c r="M398" s="7">
        <v>902.81835822886114</v>
      </c>
      <c r="N398" s="7">
        <v>902.63164177113913</v>
      </c>
      <c r="O398" s="7">
        <v>901.18000000000018</v>
      </c>
      <c r="P398" s="7">
        <v>899.47250000000008</v>
      </c>
      <c r="Q398" s="7">
        <v>895.98803195082428</v>
      </c>
      <c r="R398" s="7">
        <f t="shared" si="68"/>
        <v>6</v>
      </c>
      <c r="T398" s="7">
        <f>COUNTIF($C$11:C398,C398)</f>
        <v>8</v>
      </c>
      <c r="U398" s="7" t="str">
        <f t="shared" si="70"/>
        <v>다8</v>
      </c>
      <c r="V398" s="7" t="str">
        <f>INDEX(환산공식!$C$16:$C$301,MATCH('배치점수 계산기'!W398,환산공식!$A$16:$A$301,0))</f>
        <v>건국 자연1</v>
      </c>
      <c r="W398" s="7">
        <f t="shared" si="71"/>
        <v>43</v>
      </c>
      <c r="X398" s="7">
        <f t="shared" si="72"/>
        <v>1</v>
      </c>
      <c r="Y398" s="7">
        <f>IFERROR(INDEX(환산공식!Q$16:Q$200,MATCH($A398,환산공식!$A$16:$A$200,0)),"")</f>
        <v>1</v>
      </c>
      <c r="Z398" s="7">
        <f>IFERROR(INDEX(환산공식!R$16:R$200,MATCH($A398,환산공식!$A$16:$A$200,0)),"")</f>
        <v>1.75</v>
      </c>
      <c r="AA398" s="7">
        <f>IFERROR(INDEX(환산공식!U$16:U$200,MATCH($A398,환산공식!$A$16:$A$200,0)),"")</f>
        <v>1.25</v>
      </c>
      <c r="AB398" s="7">
        <f t="shared" si="73"/>
        <v>0.25</v>
      </c>
      <c r="AC398" s="7">
        <f t="shared" si="74"/>
        <v>0.4375</v>
      </c>
      <c r="AD398" s="7">
        <f t="shared" si="75"/>
        <v>0.3125</v>
      </c>
      <c r="AE398" s="7">
        <f>INDEX(환산공식!$AF$16:$AF$301,MATCH('배치점수 계산기'!W398,환산공식!$A$16:$A$301,0))</f>
        <v>1</v>
      </c>
      <c r="AF398" s="7">
        <f>INDEX(환산공식!$AP$16:$AP$301,MATCH('배치점수 계산기'!W398,환산공식!$A$16:$A$301,0))</f>
        <v>4</v>
      </c>
      <c r="AG398" s="7" t="str">
        <f t="shared" si="76"/>
        <v>표점</v>
      </c>
      <c r="AH398" s="7" t="str">
        <f t="shared" si="77"/>
        <v>변표</v>
      </c>
      <c r="BO398" s="210"/>
      <c r="BP398" s="210"/>
      <c r="BQ398" s="210"/>
      <c r="BR398" s="210"/>
      <c r="BS398" s="210"/>
      <c r="BT398" s="210"/>
      <c r="BU398" s="210"/>
      <c r="BV398" s="210"/>
      <c r="BW398" s="210"/>
      <c r="BX398" s="210"/>
      <c r="BY398" s="210"/>
      <c r="BZ398" s="210"/>
      <c r="CA398" s="210"/>
      <c r="CB398" s="210"/>
      <c r="CC398" s="210"/>
      <c r="EM398" s="120"/>
      <c r="ET398" s="210"/>
      <c r="EU398" s="210"/>
      <c r="EV398" s="210"/>
      <c r="EW398" s="210"/>
      <c r="EX398" s="210"/>
      <c r="EY398" s="210"/>
      <c r="EZ398" s="210"/>
      <c r="FA398" s="210"/>
      <c r="FB398" s="210"/>
      <c r="FC398" s="210"/>
      <c r="FD398" s="210"/>
      <c r="FE398" s="210"/>
      <c r="FF398" s="210"/>
      <c r="FG398" s="210"/>
      <c r="FH398" s="210"/>
      <c r="HR398" s="120"/>
      <c r="HY398" s="210"/>
      <c r="HZ398" s="210"/>
      <c r="IA398" s="210"/>
      <c r="IB398" s="210"/>
      <c r="IC398" s="210"/>
      <c r="ID398" s="210"/>
      <c r="IE398" s="210"/>
      <c r="IF398" s="210"/>
      <c r="IG398" s="210"/>
      <c r="IH398" s="210"/>
      <c r="II398" s="210"/>
      <c r="IJ398" s="210"/>
      <c r="IK398" s="210"/>
      <c r="IL398" s="210"/>
      <c r="IM398" s="210"/>
      <c r="KW398" s="120"/>
      <c r="LD398" s="210"/>
      <c r="LE398" s="210"/>
      <c r="LF398" s="210"/>
      <c r="LG398" s="210"/>
      <c r="LH398" s="210"/>
      <c r="LI398" s="210"/>
      <c r="LJ398" s="210"/>
      <c r="LK398" s="210"/>
      <c r="LL398" s="210"/>
      <c r="LM398" s="210"/>
      <c r="LN398" s="210"/>
      <c r="LO398" s="210"/>
      <c r="LP398" s="210"/>
      <c r="LQ398" s="210"/>
      <c r="LR398" s="210"/>
      <c r="OB398" s="120"/>
      <c r="OI398" s="210"/>
      <c r="OJ398" s="210"/>
      <c r="OK398" s="210"/>
      <c r="OL398" s="210"/>
      <c r="OM398" s="210"/>
      <c r="ON398" s="210"/>
      <c r="OO398" s="210"/>
      <c r="OP398" s="210"/>
      <c r="OQ398" s="210"/>
      <c r="OR398" s="210"/>
      <c r="OS398" s="210"/>
      <c r="OT398" s="210"/>
      <c r="OU398" s="210"/>
      <c r="OV398" s="210"/>
      <c r="OW398" s="210"/>
      <c r="RG398" s="120"/>
    </row>
    <row r="399" spans="1:475" x14ac:dyDescent="0.3">
      <c r="A399" s="7">
        <v>44</v>
      </c>
      <c r="B399" s="7">
        <v>389</v>
      </c>
      <c r="C399" s="7" t="s">
        <v>378</v>
      </c>
      <c r="D399" s="7" t="s">
        <v>708</v>
      </c>
      <c r="E399" s="7" t="s">
        <v>773</v>
      </c>
      <c r="F399" s="7" t="s">
        <v>274</v>
      </c>
      <c r="G399" s="41" t="str">
        <f t="shared" si="69"/>
        <v>X</v>
      </c>
      <c r="H399" s="41">
        <f>INDEX(환산공식!CI$16:CI$301,MATCH('배치점수 계산기'!$W399,환산공식!$A$16:$A$301,0))</f>
        <v>200</v>
      </c>
      <c r="I399" s="41" t="str">
        <f>CONCATENATE(ROUND(INDEX(환산공식!CJ$16:CJ$301,MATCH('배치점수 계산기'!$W399,환산공식!$A$16:$A$301,0)),1),"%")</f>
        <v>100%</v>
      </c>
      <c r="J399" s="41">
        <f>INDEX(환산공식!CK$16:CK$301,MATCH('배치점수 계산기'!$W399,환산공식!$A$16:$A$301,0))</f>
        <v>200</v>
      </c>
      <c r="K399" s="7">
        <f>INDEX(환산공식!$EF$16:$EF$301,MATCH('배치점수 계산기'!W399,환산공식!$A$16:$A$301,0))</f>
        <v>0</v>
      </c>
      <c r="L399" s="41" t="str">
        <f t="shared" si="67"/>
        <v>1% 이하</v>
      </c>
      <c r="M399" s="7">
        <v>900.15963799091651</v>
      </c>
      <c r="N399" s="7">
        <v>899.31600000000014</v>
      </c>
      <c r="O399" s="7">
        <v>897.60700000000008</v>
      </c>
      <c r="P399" s="7">
        <v>893.66300000000012</v>
      </c>
      <c r="Q399" s="7">
        <v>890.48449564270163</v>
      </c>
      <c r="R399" s="7">
        <f t="shared" si="68"/>
        <v>6</v>
      </c>
      <c r="T399" s="7">
        <f>COUNTIF($C$11:C399,C399)</f>
        <v>9</v>
      </c>
      <c r="U399" s="7" t="str">
        <f t="shared" si="70"/>
        <v>다9</v>
      </c>
      <c r="V399" s="7" t="str">
        <f>INDEX(환산공식!$C$16:$C$301,MATCH('배치점수 계산기'!W399,환산공식!$A$16:$A$301,0))</f>
        <v>건국 자연2</v>
      </c>
      <c r="W399" s="7">
        <f t="shared" si="71"/>
        <v>44</v>
      </c>
      <c r="X399" s="7">
        <f t="shared" si="72"/>
        <v>1</v>
      </c>
      <c r="Y399" s="7">
        <f>IFERROR(INDEX(환산공식!Q$16:Q$200,MATCH($A399,환산공식!$A$16:$A$200,0)),"")</f>
        <v>1</v>
      </c>
      <c r="Z399" s="7">
        <f>IFERROR(INDEX(환산공식!R$16:R$200,MATCH($A399,환산공식!$A$16:$A$200,0)),"")</f>
        <v>1.5</v>
      </c>
      <c r="AA399" s="7">
        <f>IFERROR(INDEX(환산공식!U$16:U$200,MATCH($A399,환산공식!$A$16:$A$200,0)),"")</f>
        <v>1.5</v>
      </c>
      <c r="AB399" s="7">
        <f t="shared" si="73"/>
        <v>0.25</v>
      </c>
      <c r="AC399" s="7">
        <f t="shared" si="74"/>
        <v>0.375</v>
      </c>
      <c r="AD399" s="7">
        <f t="shared" si="75"/>
        <v>0.375</v>
      </c>
      <c r="AE399" s="7">
        <f>INDEX(환산공식!$AF$16:$AF$301,MATCH('배치점수 계산기'!W399,환산공식!$A$16:$A$301,0))</f>
        <v>1</v>
      </c>
      <c r="AF399" s="7">
        <f>INDEX(환산공식!$AP$16:$AP$301,MATCH('배치점수 계산기'!W399,환산공식!$A$16:$A$301,0))</f>
        <v>4</v>
      </c>
      <c r="AG399" s="7" t="str">
        <f t="shared" si="76"/>
        <v>표점</v>
      </c>
      <c r="AH399" s="7" t="str">
        <f t="shared" si="77"/>
        <v>변표</v>
      </c>
      <c r="BO399" s="210"/>
      <c r="BP399" s="210"/>
      <c r="BQ399" s="210"/>
      <c r="BR399" s="210"/>
      <c r="BS399" s="210"/>
      <c r="BT399" s="210"/>
      <c r="BU399" s="210"/>
      <c r="BV399" s="210"/>
      <c r="BW399" s="210"/>
      <c r="BX399" s="210"/>
      <c r="BY399" s="210"/>
      <c r="BZ399" s="210"/>
      <c r="CA399" s="210"/>
      <c r="CB399" s="210"/>
      <c r="CC399" s="210"/>
      <c r="EM399" s="120"/>
      <c r="ET399" s="210"/>
      <c r="EU399" s="210"/>
      <c r="EV399" s="210"/>
      <c r="EW399" s="210"/>
      <c r="EX399" s="210"/>
      <c r="EY399" s="210"/>
      <c r="EZ399" s="210"/>
      <c r="FA399" s="210"/>
      <c r="FB399" s="210"/>
      <c r="FC399" s="210"/>
      <c r="FD399" s="210"/>
      <c r="FE399" s="210"/>
      <c r="FF399" s="210"/>
      <c r="FG399" s="210"/>
      <c r="FH399" s="210"/>
      <c r="HR399" s="120"/>
      <c r="HY399" s="210"/>
      <c r="HZ399" s="210"/>
      <c r="IA399" s="210"/>
      <c r="IB399" s="210"/>
      <c r="IC399" s="210"/>
      <c r="ID399" s="210"/>
      <c r="IE399" s="210"/>
      <c r="IF399" s="210"/>
      <c r="IG399" s="210"/>
      <c r="IH399" s="210"/>
      <c r="II399" s="210"/>
      <c r="IJ399" s="210"/>
      <c r="IK399" s="210"/>
      <c r="IL399" s="210"/>
      <c r="IM399" s="210"/>
      <c r="KW399" s="120"/>
      <c r="LD399" s="210"/>
      <c r="LE399" s="210"/>
      <c r="LF399" s="210"/>
      <c r="LG399" s="210"/>
      <c r="LH399" s="210"/>
      <c r="LI399" s="210"/>
      <c r="LJ399" s="210"/>
      <c r="LK399" s="210"/>
      <c r="LL399" s="210"/>
      <c r="LM399" s="210"/>
      <c r="LN399" s="210"/>
      <c r="LO399" s="210"/>
      <c r="LP399" s="210"/>
      <c r="LQ399" s="210"/>
      <c r="LR399" s="210"/>
      <c r="OB399" s="120"/>
      <c r="OI399" s="210"/>
      <c r="OJ399" s="210"/>
      <c r="OK399" s="210"/>
      <c r="OL399" s="210"/>
      <c r="OM399" s="210"/>
      <c r="ON399" s="210"/>
      <c r="OO399" s="210"/>
      <c r="OP399" s="210"/>
      <c r="OQ399" s="210"/>
      <c r="OR399" s="210"/>
      <c r="OS399" s="210"/>
      <c r="OT399" s="210"/>
      <c r="OU399" s="210"/>
      <c r="OV399" s="210"/>
      <c r="OW399" s="210"/>
      <c r="RG399" s="120"/>
    </row>
    <row r="400" spans="1:475" x14ac:dyDescent="0.3">
      <c r="A400" s="7">
        <v>44</v>
      </c>
      <c r="B400" s="7">
        <v>390</v>
      </c>
      <c r="C400" s="7" t="s">
        <v>378</v>
      </c>
      <c r="D400" s="7" t="s">
        <v>708</v>
      </c>
      <c r="E400" s="7" t="s">
        <v>774</v>
      </c>
      <c r="F400" s="7" t="s">
        <v>274</v>
      </c>
      <c r="G400" s="41" t="str">
        <f t="shared" si="69"/>
        <v>X</v>
      </c>
      <c r="H400" s="41">
        <f>INDEX(환산공식!CI$16:CI$301,MATCH('배치점수 계산기'!$W400,환산공식!$A$16:$A$301,0))</f>
        <v>200</v>
      </c>
      <c r="I400" s="41" t="str">
        <f>CONCATENATE(ROUND(INDEX(환산공식!CJ$16:CJ$301,MATCH('배치점수 계산기'!$W400,환산공식!$A$16:$A$301,0)),1),"%")</f>
        <v>100%</v>
      </c>
      <c r="J400" s="41">
        <f>INDEX(환산공식!CK$16:CK$301,MATCH('배치점수 계산기'!$W400,환산공식!$A$16:$A$301,0))</f>
        <v>200</v>
      </c>
      <c r="K400" s="7">
        <f>INDEX(환산공식!$EF$16:$EF$301,MATCH('배치점수 계산기'!W400,환산공식!$A$16:$A$301,0))</f>
        <v>0</v>
      </c>
      <c r="L400" s="41" t="str">
        <f t="shared" si="67"/>
        <v>1% 이하</v>
      </c>
      <c r="M400" s="7">
        <v>900.15963799091651</v>
      </c>
      <c r="N400" s="7">
        <v>899.31600000000014</v>
      </c>
      <c r="O400" s="7">
        <v>897.60700000000008</v>
      </c>
      <c r="P400" s="7">
        <v>893.66300000000012</v>
      </c>
      <c r="Q400" s="7">
        <v>890.48449564270163</v>
      </c>
      <c r="R400" s="7">
        <f t="shared" si="68"/>
        <v>6</v>
      </c>
      <c r="T400" s="7">
        <f>COUNTIF($C$11:C400,C400)</f>
        <v>10</v>
      </c>
      <c r="U400" s="7" t="str">
        <f t="shared" si="70"/>
        <v>다10</v>
      </c>
      <c r="V400" s="7" t="str">
        <f>INDEX(환산공식!$C$16:$C$301,MATCH('배치점수 계산기'!W400,환산공식!$A$16:$A$301,0))</f>
        <v>건국 자연2</v>
      </c>
      <c r="W400" s="7">
        <f t="shared" si="71"/>
        <v>44</v>
      </c>
      <c r="X400" s="7">
        <f t="shared" si="72"/>
        <v>1</v>
      </c>
      <c r="Y400" s="7">
        <f>IFERROR(INDEX(환산공식!Q$16:Q$200,MATCH($A400,환산공식!$A$16:$A$200,0)),"")</f>
        <v>1</v>
      </c>
      <c r="Z400" s="7">
        <f>IFERROR(INDEX(환산공식!R$16:R$200,MATCH($A400,환산공식!$A$16:$A$200,0)),"")</f>
        <v>1.5</v>
      </c>
      <c r="AA400" s="7">
        <f>IFERROR(INDEX(환산공식!U$16:U$200,MATCH($A400,환산공식!$A$16:$A$200,0)),"")</f>
        <v>1.5</v>
      </c>
      <c r="AB400" s="7">
        <f t="shared" si="73"/>
        <v>0.25</v>
      </c>
      <c r="AC400" s="7">
        <f t="shared" si="74"/>
        <v>0.375</v>
      </c>
      <c r="AD400" s="7">
        <f t="shared" si="75"/>
        <v>0.375</v>
      </c>
      <c r="AE400" s="7">
        <f>INDEX(환산공식!$AF$16:$AF$301,MATCH('배치점수 계산기'!W400,환산공식!$A$16:$A$301,0))</f>
        <v>1</v>
      </c>
      <c r="AF400" s="7">
        <f>INDEX(환산공식!$AP$16:$AP$301,MATCH('배치점수 계산기'!W400,환산공식!$A$16:$A$301,0))</f>
        <v>4</v>
      </c>
      <c r="AG400" s="7" t="str">
        <f t="shared" si="76"/>
        <v>표점</v>
      </c>
      <c r="AH400" s="7" t="str">
        <f t="shared" si="77"/>
        <v>변표</v>
      </c>
      <c r="BO400" s="210"/>
      <c r="BP400" s="210"/>
      <c r="BQ400" s="210"/>
      <c r="BR400" s="210"/>
      <c r="BS400" s="210"/>
      <c r="BT400" s="210"/>
      <c r="BU400" s="210"/>
      <c r="BV400" s="210"/>
      <c r="BW400" s="210"/>
      <c r="BX400" s="210"/>
      <c r="BY400" s="210"/>
      <c r="BZ400" s="210"/>
      <c r="CA400" s="210"/>
      <c r="CB400" s="210"/>
      <c r="CC400" s="210"/>
      <c r="EM400" s="120"/>
      <c r="ET400" s="210"/>
      <c r="EU400" s="210"/>
      <c r="EV400" s="210"/>
      <c r="EW400" s="210"/>
      <c r="EX400" s="210"/>
      <c r="EY400" s="210"/>
      <c r="EZ400" s="210"/>
      <c r="FA400" s="210"/>
      <c r="FB400" s="210"/>
      <c r="FC400" s="210"/>
      <c r="FD400" s="210"/>
      <c r="FE400" s="210"/>
      <c r="FF400" s="210"/>
      <c r="FG400" s="210"/>
      <c r="FH400" s="210"/>
      <c r="HR400" s="120"/>
      <c r="HY400" s="210"/>
      <c r="HZ400" s="210"/>
      <c r="IA400" s="210"/>
      <c r="IB400" s="210"/>
      <c r="IC400" s="210"/>
      <c r="ID400" s="210"/>
      <c r="IE400" s="210"/>
      <c r="IF400" s="210"/>
      <c r="IG400" s="210"/>
      <c r="IH400" s="210"/>
      <c r="II400" s="210"/>
      <c r="IJ400" s="210"/>
      <c r="IK400" s="210"/>
      <c r="IL400" s="210"/>
      <c r="IM400" s="210"/>
      <c r="KW400" s="120"/>
      <c r="LD400" s="210"/>
      <c r="LE400" s="210"/>
      <c r="LF400" s="210"/>
      <c r="LG400" s="210"/>
      <c r="LH400" s="210"/>
      <c r="LI400" s="210"/>
      <c r="LJ400" s="210"/>
      <c r="LK400" s="210"/>
      <c r="LL400" s="210"/>
      <c r="LM400" s="210"/>
      <c r="LN400" s="210"/>
      <c r="LO400" s="210"/>
      <c r="LP400" s="210"/>
      <c r="LQ400" s="210"/>
      <c r="LR400" s="210"/>
      <c r="OB400" s="120"/>
      <c r="OI400" s="210"/>
      <c r="OJ400" s="210"/>
      <c r="OK400" s="210"/>
      <c r="OL400" s="210"/>
      <c r="OM400" s="210"/>
      <c r="ON400" s="210"/>
      <c r="OO400" s="210"/>
      <c r="OP400" s="210"/>
      <c r="OQ400" s="210"/>
      <c r="OR400" s="210"/>
      <c r="OS400" s="210"/>
      <c r="OT400" s="210"/>
      <c r="OU400" s="210"/>
      <c r="OV400" s="210"/>
      <c r="OW400" s="210"/>
      <c r="RG400" s="120"/>
    </row>
    <row r="401" spans="1:475" x14ac:dyDescent="0.3">
      <c r="A401" s="7">
        <v>44</v>
      </c>
      <c r="B401" s="7">
        <v>391</v>
      </c>
      <c r="C401" s="7" t="s">
        <v>378</v>
      </c>
      <c r="D401" s="7" t="s">
        <v>708</v>
      </c>
      <c r="E401" s="7" t="s">
        <v>775</v>
      </c>
      <c r="F401" s="7" t="s">
        <v>274</v>
      </c>
      <c r="G401" s="41" t="str">
        <f t="shared" si="69"/>
        <v>X</v>
      </c>
      <c r="H401" s="41">
        <f>INDEX(환산공식!CI$16:CI$301,MATCH('배치점수 계산기'!$W401,환산공식!$A$16:$A$301,0))</f>
        <v>200</v>
      </c>
      <c r="I401" s="41" t="str">
        <f>CONCATENATE(ROUND(INDEX(환산공식!CJ$16:CJ$301,MATCH('배치점수 계산기'!$W401,환산공식!$A$16:$A$301,0)),1),"%")</f>
        <v>100%</v>
      </c>
      <c r="J401" s="41">
        <f>INDEX(환산공식!CK$16:CK$301,MATCH('배치점수 계산기'!$W401,환산공식!$A$16:$A$301,0))</f>
        <v>200</v>
      </c>
      <c r="K401" s="7">
        <f>INDEX(환산공식!$EF$16:$EF$301,MATCH('배치점수 계산기'!W401,환산공식!$A$16:$A$301,0))</f>
        <v>0</v>
      </c>
      <c r="L401" s="41" t="str">
        <f t="shared" si="67"/>
        <v>1% 이하</v>
      </c>
      <c r="M401" s="7">
        <v>900.15963799091651</v>
      </c>
      <c r="N401" s="7">
        <v>899.31600000000014</v>
      </c>
      <c r="O401" s="7">
        <v>897.60700000000008</v>
      </c>
      <c r="P401" s="7">
        <v>895.09150000000022</v>
      </c>
      <c r="Q401" s="7">
        <v>892.03450000000021</v>
      </c>
      <c r="R401" s="7">
        <f t="shared" si="68"/>
        <v>6</v>
      </c>
      <c r="T401" s="7">
        <f>COUNTIF($C$11:C401,C401)</f>
        <v>11</v>
      </c>
      <c r="U401" s="7" t="str">
        <f t="shared" si="70"/>
        <v>다11</v>
      </c>
      <c r="V401" s="7" t="str">
        <f>INDEX(환산공식!$C$16:$C$301,MATCH('배치점수 계산기'!W401,환산공식!$A$16:$A$301,0))</f>
        <v>건국 자연2</v>
      </c>
      <c r="W401" s="7">
        <f t="shared" si="71"/>
        <v>44</v>
      </c>
      <c r="X401" s="7">
        <f t="shared" si="72"/>
        <v>1</v>
      </c>
      <c r="Y401" s="7">
        <f>IFERROR(INDEX(환산공식!Q$16:Q$200,MATCH($A401,환산공식!$A$16:$A$200,0)),"")</f>
        <v>1</v>
      </c>
      <c r="Z401" s="7">
        <f>IFERROR(INDEX(환산공식!R$16:R$200,MATCH($A401,환산공식!$A$16:$A$200,0)),"")</f>
        <v>1.5</v>
      </c>
      <c r="AA401" s="7">
        <f>IFERROR(INDEX(환산공식!U$16:U$200,MATCH($A401,환산공식!$A$16:$A$200,0)),"")</f>
        <v>1.5</v>
      </c>
      <c r="AB401" s="7">
        <f t="shared" si="73"/>
        <v>0.25</v>
      </c>
      <c r="AC401" s="7">
        <f t="shared" si="74"/>
        <v>0.375</v>
      </c>
      <c r="AD401" s="7">
        <f t="shared" si="75"/>
        <v>0.375</v>
      </c>
      <c r="AE401" s="7">
        <f>INDEX(환산공식!$AF$16:$AF$301,MATCH('배치점수 계산기'!W401,환산공식!$A$16:$A$301,0))</f>
        <v>1</v>
      </c>
      <c r="AF401" s="7">
        <f>INDEX(환산공식!$AP$16:$AP$301,MATCH('배치점수 계산기'!W401,환산공식!$A$16:$A$301,0))</f>
        <v>4</v>
      </c>
      <c r="AG401" s="7" t="str">
        <f t="shared" si="76"/>
        <v>표점</v>
      </c>
      <c r="AH401" s="7" t="str">
        <f t="shared" si="77"/>
        <v>변표</v>
      </c>
      <c r="BO401" s="210"/>
      <c r="BP401" s="210"/>
      <c r="BQ401" s="210"/>
      <c r="BR401" s="210"/>
      <c r="BS401" s="210"/>
      <c r="BT401" s="210"/>
      <c r="BU401" s="210"/>
      <c r="BV401" s="210"/>
      <c r="BW401" s="210"/>
      <c r="BX401" s="210"/>
      <c r="BY401" s="210"/>
      <c r="BZ401" s="210"/>
      <c r="CA401" s="210"/>
      <c r="CB401" s="210"/>
      <c r="CC401" s="210"/>
      <c r="EM401" s="120"/>
      <c r="ET401" s="210"/>
      <c r="EU401" s="210"/>
      <c r="EV401" s="210"/>
      <c r="EW401" s="210"/>
      <c r="EX401" s="210"/>
      <c r="EY401" s="210"/>
      <c r="EZ401" s="210"/>
      <c r="FA401" s="210"/>
      <c r="FB401" s="210"/>
      <c r="FC401" s="210"/>
      <c r="FD401" s="210"/>
      <c r="FE401" s="210"/>
      <c r="FF401" s="210"/>
      <c r="FG401" s="210"/>
      <c r="FH401" s="210"/>
      <c r="HR401" s="120"/>
      <c r="HY401" s="210"/>
      <c r="HZ401" s="210"/>
      <c r="IA401" s="210"/>
      <c r="IB401" s="210"/>
      <c r="IC401" s="210"/>
      <c r="ID401" s="210"/>
      <c r="IE401" s="210"/>
      <c r="IF401" s="210"/>
      <c r="IG401" s="210"/>
      <c r="IH401" s="210"/>
      <c r="II401" s="210"/>
      <c r="IJ401" s="210"/>
      <c r="IK401" s="210"/>
      <c r="IL401" s="210"/>
      <c r="IM401" s="210"/>
      <c r="KW401" s="120"/>
      <c r="LD401" s="210"/>
      <c r="LE401" s="210"/>
      <c r="LF401" s="210"/>
      <c r="LG401" s="210"/>
      <c r="LH401" s="210"/>
      <c r="LI401" s="210"/>
      <c r="LJ401" s="210"/>
      <c r="LK401" s="210"/>
      <c r="LL401" s="210"/>
      <c r="LM401" s="210"/>
      <c r="LN401" s="210"/>
      <c r="LO401" s="210"/>
      <c r="LP401" s="210"/>
      <c r="LQ401" s="210"/>
      <c r="LR401" s="210"/>
      <c r="OB401" s="120"/>
      <c r="OI401" s="210"/>
      <c r="OJ401" s="210"/>
      <c r="OK401" s="210"/>
      <c r="OL401" s="210"/>
      <c r="OM401" s="210"/>
      <c r="ON401" s="210"/>
      <c r="OO401" s="210"/>
      <c r="OP401" s="210"/>
      <c r="OQ401" s="210"/>
      <c r="OR401" s="210"/>
      <c r="OS401" s="210"/>
      <c r="OT401" s="210"/>
      <c r="OU401" s="210"/>
      <c r="OV401" s="210"/>
      <c r="OW401" s="210"/>
      <c r="RG401" s="120"/>
    </row>
    <row r="402" spans="1:475" x14ac:dyDescent="0.3">
      <c r="A402" s="7">
        <v>43</v>
      </c>
      <c r="B402" s="7">
        <v>392</v>
      </c>
      <c r="C402" s="7" t="s">
        <v>346</v>
      </c>
      <c r="D402" s="7" t="s">
        <v>708</v>
      </c>
      <c r="E402" s="7" t="s">
        <v>776</v>
      </c>
      <c r="F402" s="7" t="s">
        <v>274</v>
      </c>
      <c r="G402" s="41" t="str">
        <f t="shared" si="69"/>
        <v>X</v>
      </c>
      <c r="H402" s="41">
        <f>INDEX(환산공식!CI$16:CI$301,MATCH('배치점수 계산기'!$W402,환산공식!$A$16:$A$301,0))</f>
        <v>200</v>
      </c>
      <c r="I402" s="41" t="str">
        <f>CONCATENATE(ROUND(INDEX(환산공식!CJ$16:CJ$301,MATCH('배치점수 계산기'!$W402,환산공식!$A$16:$A$301,0)),1),"%")</f>
        <v>100%</v>
      </c>
      <c r="J402" s="41">
        <f>INDEX(환산공식!CK$16:CK$301,MATCH('배치점수 계산기'!$W402,환산공식!$A$16:$A$301,0))</f>
        <v>200</v>
      </c>
      <c r="K402" s="7">
        <f>INDEX(환산공식!$EF$16:$EF$301,MATCH('배치점수 계산기'!W402,환산공식!$A$16:$A$301,0))</f>
        <v>0</v>
      </c>
      <c r="L402" s="41" t="str">
        <f t="shared" si="67"/>
        <v>1% 이하</v>
      </c>
      <c r="M402" s="7">
        <v>902.33750000000009</v>
      </c>
      <c r="N402" s="7">
        <v>901.18000000000018</v>
      </c>
      <c r="O402" s="7">
        <v>899.47250000000008</v>
      </c>
      <c r="P402" s="7">
        <v>896.77625000000012</v>
      </c>
      <c r="Q402" s="7">
        <v>895.35250000000008</v>
      </c>
      <c r="R402" s="7">
        <f t="shared" si="68"/>
        <v>6</v>
      </c>
      <c r="T402" s="7">
        <f>COUNTIF($C$11:C402,C402)</f>
        <v>164</v>
      </c>
      <c r="U402" s="7" t="str">
        <f t="shared" si="70"/>
        <v>나164</v>
      </c>
      <c r="V402" s="7" t="str">
        <f>INDEX(환산공식!$C$16:$C$301,MATCH('배치점수 계산기'!W402,환산공식!$A$16:$A$301,0))</f>
        <v>건국 자연1</v>
      </c>
      <c r="W402" s="7">
        <f t="shared" si="71"/>
        <v>43</v>
      </c>
      <c r="X402" s="7">
        <f t="shared" si="72"/>
        <v>1</v>
      </c>
      <c r="Y402" s="7">
        <f>IFERROR(INDEX(환산공식!Q$16:Q$200,MATCH($A402,환산공식!$A$16:$A$200,0)),"")</f>
        <v>1</v>
      </c>
      <c r="Z402" s="7">
        <f>IFERROR(INDEX(환산공식!R$16:R$200,MATCH($A402,환산공식!$A$16:$A$200,0)),"")</f>
        <v>1.75</v>
      </c>
      <c r="AA402" s="7">
        <f>IFERROR(INDEX(환산공식!U$16:U$200,MATCH($A402,환산공식!$A$16:$A$200,0)),"")</f>
        <v>1.25</v>
      </c>
      <c r="AB402" s="7">
        <f t="shared" si="73"/>
        <v>0.25</v>
      </c>
      <c r="AC402" s="7">
        <f t="shared" si="74"/>
        <v>0.4375</v>
      </c>
      <c r="AD402" s="7">
        <f t="shared" si="75"/>
        <v>0.3125</v>
      </c>
      <c r="AE402" s="7">
        <f>INDEX(환산공식!$AF$16:$AF$301,MATCH('배치점수 계산기'!W402,환산공식!$A$16:$A$301,0))</f>
        <v>1</v>
      </c>
      <c r="AF402" s="7">
        <f>INDEX(환산공식!$AP$16:$AP$301,MATCH('배치점수 계산기'!W402,환산공식!$A$16:$A$301,0))</f>
        <v>4</v>
      </c>
      <c r="AG402" s="7" t="str">
        <f t="shared" si="76"/>
        <v>표점</v>
      </c>
      <c r="AH402" s="7" t="str">
        <f t="shared" si="77"/>
        <v>변표</v>
      </c>
      <c r="BO402" s="210"/>
      <c r="BP402" s="210"/>
      <c r="BQ402" s="210"/>
      <c r="BR402" s="210"/>
      <c r="BS402" s="210"/>
      <c r="BT402" s="210"/>
      <c r="BU402" s="210"/>
      <c r="BV402" s="210"/>
      <c r="BW402" s="210"/>
      <c r="BX402" s="210"/>
      <c r="BY402" s="210"/>
      <c r="BZ402" s="210"/>
      <c r="CA402" s="210"/>
      <c r="CB402" s="210"/>
      <c r="CC402" s="210"/>
      <c r="EM402" s="120"/>
      <c r="ET402" s="210"/>
      <c r="EU402" s="210"/>
      <c r="EV402" s="210"/>
      <c r="EW402" s="210"/>
      <c r="EX402" s="210"/>
      <c r="EY402" s="210"/>
      <c r="EZ402" s="210"/>
      <c r="FA402" s="210"/>
      <c r="FB402" s="210"/>
      <c r="FC402" s="210"/>
      <c r="FD402" s="210"/>
      <c r="FE402" s="210"/>
      <c r="FF402" s="210"/>
      <c r="FG402" s="210"/>
      <c r="FH402" s="210"/>
      <c r="HR402" s="120"/>
      <c r="HY402" s="210"/>
      <c r="HZ402" s="210"/>
      <c r="IA402" s="210"/>
      <c r="IB402" s="210"/>
      <c r="IC402" s="210"/>
      <c r="ID402" s="210"/>
      <c r="IE402" s="210"/>
      <c r="IF402" s="210"/>
      <c r="IG402" s="210"/>
      <c r="IH402" s="210"/>
      <c r="II402" s="210"/>
      <c r="IJ402" s="210"/>
      <c r="IK402" s="210"/>
      <c r="IL402" s="210"/>
      <c r="IM402" s="210"/>
      <c r="KW402" s="120"/>
      <c r="LD402" s="210"/>
      <c r="LE402" s="210"/>
      <c r="LF402" s="210"/>
      <c r="LG402" s="210"/>
      <c r="LH402" s="210"/>
      <c r="LI402" s="210"/>
      <c r="LJ402" s="210"/>
      <c r="LK402" s="210"/>
      <c r="LL402" s="210"/>
      <c r="LM402" s="210"/>
      <c r="LN402" s="210"/>
      <c r="LO402" s="210"/>
      <c r="LP402" s="210"/>
      <c r="LQ402" s="210"/>
      <c r="LR402" s="210"/>
      <c r="OB402" s="120"/>
      <c r="OI402" s="210"/>
      <c r="OJ402" s="210"/>
      <c r="OK402" s="210"/>
      <c r="OL402" s="210"/>
      <c r="OM402" s="210"/>
      <c r="ON402" s="210"/>
      <c r="OO402" s="210"/>
      <c r="OP402" s="210"/>
      <c r="OQ402" s="210"/>
      <c r="OR402" s="210"/>
      <c r="OS402" s="210"/>
      <c r="OT402" s="210"/>
      <c r="OU402" s="210"/>
      <c r="OV402" s="210"/>
      <c r="OW402" s="210"/>
      <c r="RG402" s="120"/>
    </row>
    <row r="403" spans="1:475" x14ac:dyDescent="0.3">
      <c r="A403" s="7">
        <v>43</v>
      </c>
      <c r="B403" s="7">
        <v>393</v>
      </c>
      <c r="C403" s="7" t="s">
        <v>276</v>
      </c>
      <c r="D403" s="7" t="s">
        <v>708</v>
      </c>
      <c r="E403" s="7" t="s">
        <v>777</v>
      </c>
      <c r="F403" s="7" t="s">
        <v>274</v>
      </c>
      <c r="G403" s="41" t="str">
        <f t="shared" si="69"/>
        <v>X</v>
      </c>
      <c r="H403" s="41">
        <f>INDEX(환산공식!CI$16:CI$301,MATCH('배치점수 계산기'!$W403,환산공식!$A$16:$A$301,0))</f>
        <v>200</v>
      </c>
      <c r="I403" s="41" t="str">
        <f>CONCATENATE(ROUND(INDEX(환산공식!CJ$16:CJ$301,MATCH('배치점수 계산기'!$W403,환산공식!$A$16:$A$301,0)),1),"%")</f>
        <v>100%</v>
      </c>
      <c r="J403" s="41">
        <f>INDEX(환산공식!CK$16:CK$301,MATCH('배치점수 계산기'!$W403,환산공식!$A$16:$A$301,0))</f>
        <v>200</v>
      </c>
      <c r="K403" s="7">
        <f>INDEX(환산공식!$EF$16:$EF$301,MATCH('배치점수 계산기'!W403,환산공식!$A$16:$A$301,0))</f>
        <v>0</v>
      </c>
      <c r="L403" s="41" t="str">
        <f t="shared" si="67"/>
        <v>1% 이하</v>
      </c>
      <c r="M403" s="7">
        <v>902.33750000000009</v>
      </c>
      <c r="N403" s="7">
        <v>901.18000000000018</v>
      </c>
      <c r="O403" s="7">
        <v>899.47250000000008</v>
      </c>
      <c r="P403" s="7">
        <v>896.77625000000012</v>
      </c>
      <c r="Q403" s="7">
        <v>895.35250000000008</v>
      </c>
      <c r="R403" s="7">
        <f t="shared" si="68"/>
        <v>6</v>
      </c>
      <c r="T403" s="7">
        <f>COUNTIF($C$11:C403,C403)</f>
        <v>218</v>
      </c>
      <c r="U403" s="7" t="str">
        <f t="shared" si="70"/>
        <v>가218</v>
      </c>
      <c r="V403" s="7" t="str">
        <f>INDEX(환산공식!$C$16:$C$301,MATCH('배치점수 계산기'!W403,환산공식!$A$16:$A$301,0))</f>
        <v>건국 자연1</v>
      </c>
      <c r="W403" s="7">
        <f t="shared" si="71"/>
        <v>43</v>
      </c>
      <c r="X403" s="7">
        <f t="shared" si="72"/>
        <v>1</v>
      </c>
      <c r="Y403" s="7">
        <f>IFERROR(INDEX(환산공식!Q$16:Q$200,MATCH($A403,환산공식!$A$16:$A$200,0)),"")</f>
        <v>1</v>
      </c>
      <c r="Z403" s="7">
        <f>IFERROR(INDEX(환산공식!R$16:R$200,MATCH($A403,환산공식!$A$16:$A$200,0)),"")</f>
        <v>1.75</v>
      </c>
      <c r="AA403" s="7">
        <f>IFERROR(INDEX(환산공식!U$16:U$200,MATCH($A403,환산공식!$A$16:$A$200,0)),"")</f>
        <v>1.25</v>
      </c>
      <c r="AB403" s="7">
        <f t="shared" si="73"/>
        <v>0.25</v>
      </c>
      <c r="AC403" s="7">
        <f t="shared" si="74"/>
        <v>0.4375</v>
      </c>
      <c r="AD403" s="7">
        <f t="shared" si="75"/>
        <v>0.3125</v>
      </c>
      <c r="AE403" s="7">
        <f>INDEX(환산공식!$AF$16:$AF$301,MATCH('배치점수 계산기'!W403,환산공식!$A$16:$A$301,0))</f>
        <v>1</v>
      </c>
      <c r="AF403" s="7">
        <f>INDEX(환산공식!$AP$16:$AP$301,MATCH('배치점수 계산기'!W403,환산공식!$A$16:$A$301,0))</f>
        <v>4</v>
      </c>
      <c r="AG403" s="7" t="str">
        <f t="shared" si="76"/>
        <v>표점</v>
      </c>
      <c r="AH403" s="7" t="str">
        <f t="shared" si="77"/>
        <v>변표</v>
      </c>
      <c r="BO403" s="210"/>
      <c r="BP403" s="210"/>
      <c r="BQ403" s="210"/>
      <c r="BR403" s="210"/>
      <c r="BS403" s="210"/>
      <c r="BT403" s="210"/>
      <c r="BU403" s="210"/>
      <c r="BV403" s="210"/>
      <c r="BW403" s="210"/>
      <c r="BX403" s="210"/>
      <c r="BY403" s="210"/>
      <c r="BZ403" s="210"/>
      <c r="CA403" s="210"/>
      <c r="CB403" s="210"/>
      <c r="CC403" s="210"/>
      <c r="EM403" s="120"/>
      <c r="ET403" s="210"/>
      <c r="EU403" s="210"/>
      <c r="EV403" s="210"/>
      <c r="EW403" s="210"/>
      <c r="EX403" s="210"/>
      <c r="EY403" s="210"/>
      <c r="EZ403" s="210"/>
      <c r="FA403" s="210"/>
      <c r="FB403" s="210"/>
      <c r="FC403" s="210"/>
      <c r="FD403" s="210"/>
      <c r="FE403" s="210"/>
      <c r="FF403" s="210"/>
      <c r="FG403" s="210"/>
      <c r="FH403" s="210"/>
      <c r="HR403" s="120"/>
      <c r="HY403" s="210"/>
      <c r="HZ403" s="210"/>
      <c r="IA403" s="210"/>
      <c r="IB403" s="210"/>
      <c r="IC403" s="210"/>
      <c r="ID403" s="210"/>
      <c r="IE403" s="210"/>
      <c r="IF403" s="210"/>
      <c r="IG403" s="210"/>
      <c r="IH403" s="210"/>
      <c r="II403" s="210"/>
      <c r="IJ403" s="210"/>
      <c r="IK403" s="210"/>
      <c r="IL403" s="210"/>
      <c r="IM403" s="210"/>
      <c r="KW403" s="120"/>
      <c r="LD403" s="210"/>
      <c r="LE403" s="210"/>
      <c r="LF403" s="210"/>
      <c r="LG403" s="210"/>
      <c r="LH403" s="210"/>
      <c r="LI403" s="210"/>
      <c r="LJ403" s="210"/>
      <c r="LK403" s="210"/>
      <c r="LL403" s="210"/>
      <c r="LM403" s="210"/>
      <c r="LN403" s="210"/>
      <c r="LO403" s="210"/>
      <c r="LP403" s="210"/>
      <c r="LQ403" s="210"/>
      <c r="LR403" s="210"/>
      <c r="OB403" s="120"/>
      <c r="OI403" s="210"/>
      <c r="OJ403" s="210"/>
      <c r="OK403" s="210"/>
      <c r="OL403" s="210"/>
      <c r="OM403" s="210"/>
      <c r="ON403" s="210"/>
      <c r="OO403" s="210"/>
      <c r="OP403" s="210"/>
      <c r="OQ403" s="210"/>
      <c r="OR403" s="210"/>
      <c r="OS403" s="210"/>
      <c r="OT403" s="210"/>
      <c r="OU403" s="210"/>
      <c r="OV403" s="210"/>
      <c r="OW403" s="210"/>
      <c r="RG403" s="120"/>
    </row>
    <row r="404" spans="1:475" x14ac:dyDescent="0.3">
      <c r="A404" s="7">
        <v>43</v>
      </c>
      <c r="B404" s="7">
        <v>394</v>
      </c>
      <c r="C404" s="7" t="s">
        <v>276</v>
      </c>
      <c r="D404" s="7" t="s">
        <v>708</v>
      </c>
      <c r="E404" s="7" t="s">
        <v>778</v>
      </c>
      <c r="F404" s="7" t="s">
        <v>274</v>
      </c>
      <c r="G404" s="41" t="str">
        <f t="shared" si="69"/>
        <v>X</v>
      </c>
      <c r="H404" s="41">
        <f>INDEX(환산공식!CI$16:CI$301,MATCH('배치점수 계산기'!$W404,환산공식!$A$16:$A$301,0))</f>
        <v>200</v>
      </c>
      <c r="I404" s="41" t="str">
        <f>CONCATENATE(ROUND(INDEX(환산공식!CJ$16:CJ$301,MATCH('배치점수 계산기'!$W404,환산공식!$A$16:$A$301,0)),1),"%")</f>
        <v>100%</v>
      </c>
      <c r="J404" s="41">
        <f>INDEX(환산공식!CK$16:CK$301,MATCH('배치점수 계산기'!$W404,환산공식!$A$16:$A$301,0))</f>
        <v>200</v>
      </c>
      <c r="K404" s="7">
        <f>INDEX(환산공식!$EF$16:$EF$301,MATCH('배치점수 계산기'!W404,환산공식!$A$16:$A$301,0))</f>
        <v>0</v>
      </c>
      <c r="L404" s="41" t="str">
        <f t="shared" si="67"/>
        <v>1% 이하</v>
      </c>
      <c r="M404" s="7">
        <v>902.33750000000009</v>
      </c>
      <c r="N404" s="7">
        <v>901.18000000000018</v>
      </c>
      <c r="O404" s="7">
        <v>899.47250000000008</v>
      </c>
      <c r="P404" s="7">
        <v>896.77625000000012</v>
      </c>
      <c r="Q404" s="7">
        <v>895.35250000000008</v>
      </c>
      <c r="R404" s="7">
        <f t="shared" si="68"/>
        <v>6</v>
      </c>
      <c r="T404" s="7">
        <f>COUNTIF($C$11:C404,C404)</f>
        <v>219</v>
      </c>
      <c r="U404" s="7" t="str">
        <f t="shared" si="70"/>
        <v>가219</v>
      </c>
      <c r="V404" s="7" t="str">
        <f>INDEX(환산공식!$C$16:$C$301,MATCH('배치점수 계산기'!W404,환산공식!$A$16:$A$301,0))</f>
        <v>건국 자연1</v>
      </c>
      <c r="W404" s="7">
        <f t="shared" si="71"/>
        <v>43</v>
      </c>
      <c r="X404" s="7">
        <f t="shared" si="72"/>
        <v>1</v>
      </c>
      <c r="Y404" s="7">
        <f>IFERROR(INDEX(환산공식!Q$16:Q$200,MATCH($A404,환산공식!$A$16:$A$200,0)),"")</f>
        <v>1</v>
      </c>
      <c r="Z404" s="7">
        <f>IFERROR(INDEX(환산공식!R$16:R$200,MATCH($A404,환산공식!$A$16:$A$200,0)),"")</f>
        <v>1.75</v>
      </c>
      <c r="AA404" s="7">
        <f>IFERROR(INDEX(환산공식!U$16:U$200,MATCH($A404,환산공식!$A$16:$A$200,0)),"")</f>
        <v>1.25</v>
      </c>
      <c r="AB404" s="7">
        <f t="shared" si="73"/>
        <v>0.25</v>
      </c>
      <c r="AC404" s="7">
        <f t="shared" si="74"/>
        <v>0.4375</v>
      </c>
      <c r="AD404" s="7">
        <f t="shared" si="75"/>
        <v>0.3125</v>
      </c>
      <c r="AE404" s="7">
        <f>INDEX(환산공식!$AF$16:$AF$301,MATCH('배치점수 계산기'!W404,환산공식!$A$16:$A$301,0))</f>
        <v>1</v>
      </c>
      <c r="AF404" s="7">
        <f>INDEX(환산공식!$AP$16:$AP$301,MATCH('배치점수 계산기'!W404,환산공식!$A$16:$A$301,0))</f>
        <v>4</v>
      </c>
      <c r="AG404" s="7" t="str">
        <f t="shared" si="76"/>
        <v>표점</v>
      </c>
      <c r="AH404" s="7" t="str">
        <f t="shared" si="77"/>
        <v>변표</v>
      </c>
      <c r="BO404" s="210"/>
      <c r="BP404" s="210"/>
      <c r="BQ404" s="210"/>
      <c r="BR404" s="210"/>
      <c r="BS404" s="210"/>
      <c r="BT404" s="210"/>
      <c r="BU404" s="210"/>
      <c r="BV404" s="210"/>
      <c r="BW404" s="210"/>
      <c r="BX404" s="210"/>
      <c r="BY404" s="210"/>
      <c r="BZ404" s="210"/>
      <c r="CA404" s="210"/>
      <c r="CB404" s="210"/>
      <c r="CC404" s="210"/>
      <c r="EM404" s="120"/>
      <c r="ET404" s="210"/>
      <c r="EU404" s="210"/>
      <c r="EV404" s="210"/>
      <c r="EW404" s="210"/>
      <c r="EX404" s="210"/>
      <c r="EY404" s="210"/>
      <c r="EZ404" s="210"/>
      <c r="FA404" s="210"/>
      <c r="FB404" s="210"/>
      <c r="FC404" s="210"/>
      <c r="FD404" s="210"/>
      <c r="FE404" s="210"/>
      <c r="FF404" s="210"/>
      <c r="FG404" s="210"/>
      <c r="FH404" s="210"/>
      <c r="HR404" s="120"/>
      <c r="HY404" s="210"/>
      <c r="HZ404" s="210"/>
      <c r="IA404" s="210"/>
      <c r="IB404" s="210"/>
      <c r="IC404" s="210"/>
      <c r="ID404" s="210"/>
      <c r="IE404" s="210"/>
      <c r="IF404" s="210"/>
      <c r="IG404" s="210"/>
      <c r="IH404" s="210"/>
      <c r="II404" s="210"/>
      <c r="IJ404" s="210"/>
      <c r="IK404" s="210"/>
      <c r="IL404" s="210"/>
      <c r="IM404" s="210"/>
      <c r="KW404" s="120"/>
      <c r="LD404" s="210"/>
      <c r="LE404" s="210"/>
      <c r="LF404" s="210"/>
      <c r="LG404" s="210"/>
      <c r="LH404" s="210"/>
      <c r="LI404" s="210"/>
      <c r="LJ404" s="210"/>
      <c r="LK404" s="210"/>
      <c r="LL404" s="210"/>
      <c r="LM404" s="210"/>
      <c r="LN404" s="210"/>
      <c r="LO404" s="210"/>
      <c r="LP404" s="210"/>
      <c r="LQ404" s="210"/>
      <c r="LR404" s="210"/>
      <c r="OB404" s="120"/>
      <c r="OI404" s="210"/>
      <c r="OJ404" s="210"/>
      <c r="OK404" s="210"/>
      <c r="OL404" s="210"/>
      <c r="OM404" s="210"/>
      <c r="ON404" s="210"/>
      <c r="OO404" s="210"/>
      <c r="OP404" s="210"/>
      <c r="OQ404" s="210"/>
      <c r="OR404" s="210"/>
      <c r="OS404" s="210"/>
      <c r="OT404" s="210"/>
      <c r="OU404" s="210"/>
      <c r="OV404" s="210"/>
      <c r="OW404" s="210"/>
      <c r="RG404" s="120"/>
    </row>
    <row r="405" spans="1:475" x14ac:dyDescent="0.3">
      <c r="A405" s="7">
        <v>43</v>
      </c>
      <c r="B405" s="7">
        <v>395</v>
      </c>
      <c r="C405" s="7" t="s">
        <v>276</v>
      </c>
      <c r="D405" s="7" t="s">
        <v>708</v>
      </c>
      <c r="E405" s="7" t="s">
        <v>779</v>
      </c>
      <c r="F405" s="7" t="s">
        <v>274</v>
      </c>
      <c r="G405" s="41" t="str">
        <f t="shared" si="69"/>
        <v>X</v>
      </c>
      <c r="H405" s="41">
        <f>INDEX(환산공식!CI$16:CI$301,MATCH('배치점수 계산기'!$W405,환산공식!$A$16:$A$301,0))</f>
        <v>200</v>
      </c>
      <c r="I405" s="41" t="str">
        <f>CONCATENATE(ROUND(INDEX(환산공식!CJ$16:CJ$301,MATCH('배치점수 계산기'!$W405,환산공식!$A$16:$A$301,0)),1),"%")</f>
        <v>100%</v>
      </c>
      <c r="J405" s="41">
        <f>INDEX(환산공식!CK$16:CK$301,MATCH('배치점수 계산기'!$W405,환산공식!$A$16:$A$301,0))</f>
        <v>200</v>
      </c>
      <c r="K405" s="7">
        <f>INDEX(환산공식!$EF$16:$EF$301,MATCH('배치점수 계산기'!W405,환산공식!$A$16:$A$301,0))</f>
        <v>0</v>
      </c>
      <c r="L405" s="41" t="str">
        <f t="shared" si="67"/>
        <v>1% 이하</v>
      </c>
      <c r="M405" s="7">
        <v>901.54416265704367</v>
      </c>
      <c r="N405" s="7">
        <v>900.10125000000016</v>
      </c>
      <c r="O405" s="7">
        <v>898.31875000000002</v>
      </c>
      <c r="P405" s="7">
        <v>895.35250000000008</v>
      </c>
      <c r="Q405" s="7">
        <v>895.35250000000008</v>
      </c>
      <c r="R405" s="7">
        <f t="shared" si="68"/>
        <v>6</v>
      </c>
      <c r="T405" s="7">
        <f>COUNTIF($C$11:C405,C405)</f>
        <v>220</v>
      </c>
      <c r="U405" s="7" t="str">
        <f t="shared" si="70"/>
        <v>가220</v>
      </c>
      <c r="V405" s="7" t="str">
        <f>INDEX(환산공식!$C$16:$C$301,MATCH('배치점수 계산기'!W405,환산공식!$A$16:$A$301,0))</f>
        <v>건국 자연1</v>
      </c>
      <c r="W405" s="7">
        <f t="shared" si="71"/>
        <v>43</v>
      </c>
      <c r="X405" s="7">
        <f t="shared" si="72"/>
        <v>1</v>
      </c>
      <c r="Y405" s="7">
        <f>IFERROR(INDEX(환산공식!Q$16:Q$200,MATCH($A405,환산공식!$A$16:$A$200,0)),"")</f>
        <v>1</v>
      </c>
      <c r="Z405" s="7">
        <f>IFERROR(INDEX(환산공식!R$16:R$200,MATCH($A405,환산공식!$A$16:$A$200,0)),"")</f>
        <v>1.75</v>
      </c>
      <c r="AA405" s="7">
        <f>IFERROR(INDEX(환산공식!U$16:U$200,MATCH($A405,환산공식!$A$16:$A$200,0)),"")</f>
        <v>1.25</v>
      </c>
      <c r="AB405" s="7">
        <f t="shared" si="73"/>
        <v>0.25</v>
      </c>
      <c r="AC405" s="7">
        <f t="shared" si="74"/>
        <v>0.4375</v>
      </c>
      <c r="AD405" s="7">
        <f t="shared" si="75"/>
        <v>0.3125</v>
      </c>
      <c r="AE405" s="7">
        <f>INDEX(환산공식!$AF$16:$AF$301,MATCH('배치점수 계산기'!W405,환산공식!$A$16:$A$301,0))</f>
        <v>1</v>
      </c>
      <c r="AF405" s="7">
        <f>INDEX(환산공식!$AP$16:$AP$301,MATCH('배치점수 계산기'!W405,환산공식!$A$16:$A$301,0))</f>
        <v>4</v>
      </c>
      <c r="AG405" s="7" t="str">
        <f t="shared" si="76"/>
        <v>표점</v>
      </c>
      <c r="AH405" s="7" t="str">
        <f t="shared" si="77"/>
        <v>변표</v>
      </c>
      <c r="BO405" s="210"/>
      <c r="BP405" s="210"/>
      <c r="BQ405" s="210"/>
      <c r="BR405" s="210"/>
      <c r="BS405" s="210"/>
      <c r="BT405" s="210"/>
      <c r="BU405" s="210"/>
      <c r="BV405" s="210"/>
      <c r="BW405" s="210"/>
      <c r="BX405" s="210"/>
      <c r="BY405" s="210"/>
      <c r="BZ405" s="210"/>
      <c r="CA405" s="210"/>
      <c r="CB405" s="210"/>
      <c r="CC405" s="210"/>
      <c r="EM405" s="120"/>
      <c r="ET405" s="210"/>
      <c r="EU405" s="210"/>
      <c r="EV405" s="210"/>
      <c r="EW405" s="210"/>
      <c r="EX405" s="210"/>
      <c r="EY405" s="210"/>
      <c r="EZ405" s="210"/>
      <c r="FA405" s="210"/>
      <c r="FB405" s="210"/>
      <c r="FC405" s="210"/>
      <c r="FD405" s="210"/>
      <c r="FE405" s="210"/>
      <c r="FF405" s="210"/>
      <c r="FG405" s="210"/>
      <c r="FH405" s="210"/>
      <c r="HR405" s="120"/>
      <c r="HY405" s="210"/>
      <c r="HZ405" s="210"/>
      <c r="IA405" s="210"/>
      <c r="IB405" s="210"/>
      <c r="IC405" s="210"/>
      <c r="ID405" s="210"/>
      <c r="IE405" s="210"/>
      <c r="IF405" s="210"/>
      <c r="IG405" s="210"/>
      <c r="IH405" s="210"/>
      <c r="II405" s="210"/>
      <c r="IJ405" s="210"/>
      <c r="IK405" s="210"/>
      <c r="IL405" s="210"/>
      <c r="IM405" s="210"/>
      <c r="KW405" s="120"/>
      <c r="LD405" s="210"/>
      <c r="LE405" s="210"/>
      <c r="LF405" s="210"/>
      <c r="LG405" s="210"/>
      <c r="LH405" s="210"/>
      <c r="LI405" s="210"/>
      <c r="LJ405" s="210"/>
      <c r="LK405" s="210"/>
      <c r="LL405" s="210"/>
      <c r="LM405" s="210"/>
      <c r="LN405" s="210"/>
      <c r="LO405" s="210"/>
      <c r="LP405" s="210"/>
      <c r="LQ405" s="210"/>
      <c r="LR405" s="210"/>
      <c r="OB405" s="120"/>
      <c r="OI405" s="210"/>
      <c r="OJ405" s="210"/>
      <c r="OK405" s="210"/>
      <c r="OL405" s="210"/>
      <c r="OM405" s="210"/>
      <c r="ON405" s="210"/>
      <c r="OO405" s="210"/>
      <c r="OP405" s="210"/>
      <c r="OQ405" s="210"/>
      <c r="OR405" s="210"/>
      <c r="OS405" s="210"/>
      <c r="OT405" s="210"/>
      <c r="OU405" s="210"/>
      <c r="OV405" s="210"/>
      <c r="OW405" s="210"/>
      <c r="RG405" s="120"/>
    </row>
    <row r="406" spans="1:475" x14ac:dyDescent="0.3">
      <c r="A406" s="7">
        <v>44</v>
      </c>
      <c r="B406" s="7">
        <v>396</v>
      </c>
      <c r="C406" s="7" t="s">
        <v>276</v>
      </c>
      <c r="D406" s="7" t="s">
        <v>708</v>
      </c>
      <c r="E406" s="7" t="s">
        <v>429</v>
      </c>
      <c r="F406" s="7" t="s">
        <v>274</v>
      </c>
      <c r="G406" s="41" t="str">
        <f t="shared" si="69"/>
        <v>X</v>
      </c>
      <c r="H406" s="41">
        <f>INDEX(환산공식!CI$16:CI$301,MATCH('배치점수 계산기'!$W406,환산공식!$A$16:$A$301,0))</f>
        <v>200</v>
      </c>
      <c r="I406" s="41" t="str">
        <f>CONCATENATE(ROUND(INDEX(환산공식!CJ$16:CJ$301,MATCH('배치점수 계산기'!$W406,환산공식!$A$16:$A$301,0)),1),"%")</f>
        <v>100%</v>
      </c>
      <c r="J406" s="41">
        <f>INDEX(환산공식!CK$16:CK$301,MATCH('배치점수 계산기'!$W406,환산공식!$A$16:$A$301,0))</f>
        <v>200</v>
      </c>
      <c r="K406" s="7">
        <f>INDEX(환산공식!$EF$16:$EF$301,MATCH('배치점수 계산기'!W406,환산공식!$A$16:$A$301,0))</f>
        <v>0</v>
      </c>
      <c r="L406" s="41" t="str">
        <f t="shared" si="67"/>
        <v>1% 이하</v>
      </c>
      <c r="M406" s="7">
        <v>898.93550000000005</v>
      </c>
      <c r="N406" s="7">
        <v>896.50250000000005</v>
      </c>
      <c r="O406" s="7">
        <v>894.33298230208072</v>
      </c>
      <c r="P406" s="7">
        <v>892.03450000000021</v>
      </c>
      <c r="Q406" s="7">
        <v>889.26</v>
      </c>
      <c r="R406" s="7">
        <f t="shared" si="68"/>
        <v>6</v>
      </c>
      <c r="T406" s="7">
        <f>COUNTIF($C$11:C406,C406)</f>
        <v>221</v>
      </c>
      <c r="U406" s="7" t="str">
        <f t="shared" si="70"/>
        <v>가221</v>
      </c>
      <c r="V406" s="7" t="str">
        <f>INDEX(환산공식!$C$16:$C$301,MATCH('배치점수 계산기'!W406,환산공식!$A$16:$A$301,0))</f>
        <v>건국 자연2</v>
      </c>
      <c r="W406" s="7">
        <f t="shared" si="71"/>
        <v>44</v>
      </c>
      <c r="X406" s="7">
        <f t="shared" si="72"/>
        <v>1</v>
      </c>
      <c r="Y406" s="7">
        <f>IFERROR(INDEX(환산공식!Q$16:Q$200,MATCH($A406,환산공식!$A$16:$A$200,0)),"")</f>
        <v>1</v>
      </c>
      <c r="Z406" s="7">
        <f>IFERROR(INDEX(환산공식!R$16:R$200,MATCH($A406,환산공식!$A$16:$A$200,0)),"")</f>
        <v>1.5</v>
      </c>
      <c r="AA406" s="7">
        <f>IFERROR(INDEX(환산공식!U$16:U$200,MATCH($A406,환산공식!$A$16:$A$200,0)),"")</f>
        <v>1.5</v>
      </c>
      <c r="AB406" s="7">
        <f t="shared" si="73"/>
        <v>0.25</v>
      </c>
      <c r="AC406" s="7">
        <f t="shared" si="74"/>
        <v>0.375</v>
      </c>
      <c r="AD406" s="7">
        <f t="shared" si="75"/>
        <v>0.375</v>
      </c>
      <c r="AE406" s="7">
        <f>INDEX(환산공식!$AF$16:$AF$301,MATCH('배치점수 계산기'!W406,환산공식!$A$16:$A$301,0))</f>
        <v>1</v>
      </c>
      <c r="AF406" s="7">
        <f>INDEX(환산공식!$AP$16:$AP$301,MATCH('배치점수 계산기'!W406,환산공식!$A$16:$A$301,0))</f>
        <v>4</v>
      </c>
      <c r="AG406" s="7" t="str">
        <f t="shared" si="76"/>
        <v>표점</v>
      </c>
      <c r="AH406" s="7" t="str">
        <f t="shared" si="77"/>
        <v>변표</v>
      </c>
      <c r="BO406" s="210"/>
      <c r="BP406" s="210"/>
      <c r="BQ406" s="210"/>
      <c r="BR406" s="210"/>
      <c r="BS406" s="210"/>
      <c r="BT406" s="210"/>
      <c r="BU406" s="210"/>
      <c r="BV406" s="210"/>
      <c r="BW406" s="210"/>
      <c r="BX406" s="210"/>
      <c r="BY406" s="210"/>
      <c r="BZ406" s="210"/>
      <c r="CA406" s="210"/>
      <c r="CB406" s="210"/>
      <c r="CC406" s="210"/>
      <c r="EM406" s="120"/>
      <c r="ET406" s="210"/>
      <c r="EU406" s="210"/>
      <c r="EV406" s="210"/>
      <c r="EW406" s="210"/>
      <c r="EX406" s="210"/>
      <c r="EY406" s="210"/>
      <c r="EZ406" s="210"/>
      <c r="FA406" s="210"/>
      <c r="FB406" s="210"/>
      <c r="FC406" s="210"/>
      <c r="FD406" s="210"/>
      <c r="FE406" s="210"/>
      <c r="FF406" s="210"/>
      <c r="FG406" s="210"/>
      <c r="FH406" s="210"/>
      <c r="HR406" s="120"/>
      <c r="HY406" s="210"/>
      <c r="HZ406" s="210"/>
      <c r="IA406" s="210"/>
      <c r="IB406" s="210"/>
      <c r="IC406" s="210"/>
      <c r="ID406" s="210"/>
      <c r="IE406" s="210"/>
      <c r="IF406" s="210"/>
      <c r="IG406" s="210"/>
      <c r="IH406" s="210"/>
      <c r="II406" s="210"/>
      <c r="IJ406" s="210"/>
      <c r="IK406" s="210"/>
      <c r="IL406" s="210"/>
      <c r="IM406" s="210"/>
      <c r="KW406" s="120"/>
      <c r="LD406" s="210"/>
      <c r="LE406" s="210"/>
      <c r="LF406" s="210"/>
      <c r="LG406" s="210"/>
      <c r="LH406" s="210"/>
      <c r="LI406" s="210"/>
      <c r="LJ406" s="210"/>
      <c r="LK406" s="210"/>
      <c r="LL406" s="210"/>
      <c r="LM406" s="210"/>
      <c r="LN406" s="210"/>
      <c r="LO406" s="210"/>
      <c r="LP406" s="210"/>
      <c r="LQ406" s="210"/>
      <c r="LR406" s="210"/>
      <c r="OB406" s="120"/>
      <c r="OI406" s="210"/>
      <c r="OJ406" s="210"/>
      <c r="OK406" s="210"/>
      <c r="OL406" s="210"/>
      <c r="OM406" s="210"/>
      <c r="ON406" s="210"/>
      <c r="OO406" s="210"/>
      <c r="OP406" s="210"/>
      <c r="OQ406" s="210"/>
      <c r="OR406" s="210"/>
      <c r="OS406" s="210"/>
      <c r="OT406" s="210"/>
      <c r="OU406" s="210"/>
      <c r="OV406" s="210"/>
      <c r="OW406" s="210"/>
      <c r="RG406" s="120"/>
    </row>
    <row r="407" spans="1:475" x14ac:dyDescent="0.3">
      <c r="A407" s="7">
        <v>43</v>
      </c>
      <c r="B407" s="7">
        <v>397</v>
      </c>
      <c r="C407" s="7" t="s">
        <v>276</v>
      </c>
      <c r="D407" s="7" t="s">
        <v>708</v>
      </c>
      <c r="E407" s="7" t="s">
        <v>780</v>
      </c>
      <c r="F407" s="7" t="s">
        <v>274</v>
      </c>
      <c r="G407" s="41" t="str">
        <f t="shared" si="69"/>
        <v>X</v>
      </c>
      <c r="H407" s="41">
        <f>INDEX(환산공식!CI$16:CI$301,MATCH('배치점수 계산기'!$W407,환산공식!$A$16:$A$301,0))</f>
        <v>200</v>
      </c>
      <c r="I407" s="41" t="str">
        <f>CONCATENATE(ROUND(INDEX(환산공식!CJ$16:CJ$301,MATCH('배치점수 계산기'!$W407,환산공식!$A$16:$A$301,0)),1),"%")</f>
        <v>100%</v>
      </c>
      <c r="J407" s="41">
        <f>INDEX(환산공식!CK$16:CK$301,MATCH('배치점수 계산기'!$W407,환산공식!$A$16:$A$301,0))</f>
        <v>200</v>
      </c>
      <c r="K407" s="7">
        <f>INDEX(환산공식!$EF$16:$EF$301,MATCH('배치점수 계산기'!W407,환산공식!$A$16:$A$301,0))</f>
        <v>0</v>
      </c>
      <c r="L407" s="41" t="str">
        <f t="shared" si="67"/>
        <v>1% 이하</v>
      </c>
      <c r="M407" s="7">
        <v>900.7962500000001</v>
      </c>
      <c r="N407" s="7">
        <v>899.47250000000008</v>
      </c>
      <c r="O407" s="7">
        <v>895.98803195082428</v>
      </c>
      <c r="P407" s="7">
        <v>893.67875000000004</v>
      </c>
      <c r="Q407" s="7">
        <v>890.3395095023244</v>
      </c>
      <c r="R407" s="7">
        <f t="shared" si="68"/>
        <v>6</v>
      </c>
      <c r="T407" s="7">
        <f>COUNTIF($C$11:C407,C407)</f>
        <v>222</v>
      </c>
      <c r="U407" s="7" t="str">
        <f t="shared" si="70"/>
        <v>가222</v>
      </c>
      <c r="V407" s="7" t="str">
        <f>INDEX(환산공식!$C$16:$C$301,MATCH('배치점수 계산기'!W407,환산공식!$A$16:$A$301,0))</f>
        <v>건국 자연1</v>
      </c>
      <c r="W407" s="7">
        <f t="shared" si="71"/>
        <v>43</v>
      </c>
      <c r="X407" s="7">
        <f t="shared" si="72"/>
        <v>1</v>
      </c>
      <c r="Y407" s="7">
        <f>IFERROR(INDEX(환산공식!Q$16:Q$200,MATCH($A407,환산공식!$A$16:$A$200,0)),"")</f>
        <v>1</v>
      </c>
      <c r="Z407" s="7">
        <f>IFERROR(INDEX(환산공식!R$16:R$200,MATCH($A407,환산공식!$A$16:$A$200,0)),"")</f>
        <v>1.75</v>
      </c>
      <c r="AA407" s="7">
        <f>IFERROR(INDEX(환산공식!U$16:U$200,MATCH($A407,환산공식!$A$16:$A$200,0)),"")</f>
        <v>1.25</v>
      </c>
      <c r="AB407" s="7">
        <f t="shared" si="73"/>
        <v>0.25</v>
      </c>
      <c r="AC407" s="7">
        <f t="shared" si="74"/>
        <v>0.4375</v>
      </c>
      <c r="AD407" s="7">
        <f t="shared" si="75"/>
        <v>0.3125</v>
      </c>
      <c r="AE407" s="7">
        <f>INDEX(환산공식!$AF$16:$AF$301,MATCH('배치점수 계산기'!W407,환산공식!$A$16:$A$301,0))</f>
        <v>1</v>
      </c>
      <c r="AF407" s="7">
        <f>INDEX(환산공식!$AP$16:$AP$301,MATCH('배치점수 계산기'!W407,환산공식!$A$16:$A$301,0))</f>
        <v>4</v>
      </c>
      <c r="AG407" s="7" t="str">
        <f t="shared" si="76"/>
        <v>표점</v>
      </c>
      <c r="AH407" s="7" t="str">
        <f t="shared" si="77"/>
        <v>변표</v>
      </c>
      <c r="BO407" s="210"/>
      <c r="BP407" s="210"/>
      <c r="BQ407" s="210"/>
      <c r="BR407" s="210"/>
      <c r="BS407" s="210"/>
      <c r="BT407" s="210"/>
      <c r="BU407" s="210"/>
      <c r="BV407" s="210"/>
      <c r="BW407" s="210"/>
      <c r="BX407" s="210"/>
      <c r="BY407" s="210"/>
      <c r="BZ407" s="210"/>
      <c r="CA407" s="210"/>
      <c r="CB407" s="210"/>
      <c r="CC407" s="210"/>
      <c r="EM407" s="120"/>
      <c r="ET407" s="210"/>
      <c r="EU407" s="210"/>
      <c r="EV407" s="210"/>
      <c r="EW407" s="210"/>
      <c r="EX407" s="210"/>
      <c r="EY407" s="210"/>
      <c r="EZ407" s="210"/>
      <c r="FA407" s="210"/>
      <c r="FB407" s="210"/>
      <c r="FC407" s="210"/>
      <c r="FD407" s="210"/>
      <c r="FE407" s="210"/>
      <c r="FF407" s="210"/>
      <c r="FG407" s="210"/>
      <c r="FH407" s="210"/>
      <c r="HR407" s="120"/>
      <c r="HY407" s="210"/>
      <c r="HZ407" s="210"/>
      <c r="IA407" s="210"/>
      <c r="IB407" s="210"/>
      <c r="IC407" s="210"/>
      <c r="ID407" s="210"/>
      <c r="IE407" s="210"/>
      <c r="IF407" s="210"/>
      <c r="IG407" s="210"/>
      <c r="IH407" s="210"/>
      <c r="II407" s="210"/>
      <c r="IJ407" s="210"/>
      <c r="IK407" s="210"/>
      <c r="IL407" s="210"/>
      <c r="IM407" s="210"/>
      <c r="KW407" s="120"/>
      <c r="LD407" s="210"/>
      <c r="LE407" s="210"/>
      <c r="LF407" s="210"/>
      <c r="LG407" s="210"/>
      <c r="LH407" s="210"/>
      <c r="LI407" s="210"/>
      <c r="LJ407" s="210"/>
      <c r="LK407" s="210"/>
      <c r="LL407" s="210"/>
      <c r="LM407" s="210"/>
      <c r="LN407" s="210"/>
      <c r="LO407" s="210"/>
      <c r="LP407" s="210"/>
      <c r="LQ407" s="210"/>
      <c r="LR407" s="210"/>
      <c r="OB407" s="120"/>
      <c r="OI407" s="210"/>
      <c r="OJ407" s="210"/>
      <c r="OK407" s="210"/>
      <c r="OL407" s="210"/>
      <c r="OM407" s="210"/>
      <c r="ON407" s="210"/>
      <c r="OO407" s="210"/>
      <c r="OP407" s="210"/>
      <c r="OQ407" s="210"/>
      <c r="OR407" s="210"/>
      <c r="OS407" s="210"/>
      <c r="OT407" s="210"/>
      <c r="OU407" s="210"/>
      <c r="OV407" s="210"/>
      <c r="OW407" s="210"/>
      <c r="RG407" s="120"/>
    </row>
    <row r="408" spans="1:475" x14ac:dyDescent="0.3">
      <c r="A408" s="7">
        <v>43</v>
      </c>
      <c r="B408" s="7">
        <v>398</v>
      </c>
      <c r="C408" s="7" t="s">
        <v>346</v>
      </c>
      <c r="D408" s="7" t="s">
        <v>708</v>
      </c>
      <c r="E408" s="7" t="s">
        <v>256</v>
      </c>
      <c r="F408" s="7" t="s">
        <v>274</v>
      </c>
      <c r="G408" s="41" t="str">
        <f t="shared" si="69"/>
        <v>X</v>
      </c>
      <c r="H408" s="41">
        <f>INDEX(환산공식!CI$16:CI$301,MATCH('배치점수 계산기'!$W408,환산공식!$A$16:$A$301,0))</f>
        <v>200</v>
      </c>
      <c r="I408" s="41" t="str">
        <f>CONCATENATE(ROUND(INDEX(환산공식!CJ$16:CJ$301,MATCH('배치점수 계산기'!$W408,환산공식!$A$16:$A$301,0)),1),"%")</f>
        <v>100%</v>
      </c>
      <c r="J408" s="41">
        <f>INDEX(환산공식!CK$16:CK$301,MATCH('배치점수 계산기'!$W408,환산공식!$A$16:$A$301,0))</f>
        <v>200</v>
      </c>
      <c r="K408" s="7">
        <f>INDEX(환산공식!$EF$16:$EF$301,MATCH('배치점수 계산기'!W408,환산공식!$A$16:$A$301,0))</f>
        <v>0</v>
      </c>
      <c r="L408" s="41" t="str">
        <f t="shared" si="67"/>
        <v>1% 이하</v>
      </c>
      <c r="M408" s="7">
        <v>901.54416265704367</v>
      </c>
      <c r="N408" s="7">
        <v>900.10125000000016</v>
      </c>
      <c r="O408" s="7">
        <v>898.31875000000002</v>
      </c>
      <c r="P408" s="7">
        <v>895.98803195082428</v>
      </c>
      <c r="Q408" s="7">
        <v>890.95</v>
      </c>
      <c r="R408" s="7">
        <f t="shared" si="68"/>
        <v>6</v>
      </c>
      <c r="T408" s="7">
        <f>COUNTIF($C$11:C408,C408)</f>
        <v>165</v>
      </c>
      <c r="U408" s="7" t="str">
        <f t="shared" si="70"/>
        <v>나165</v>
      </c>
      <c r="V408" s="7" t="str">
        <f>INDEX(환산공식!$C$16:$C$301,MATCH('배치점수 계산기'!W408,환산공식!$A$16:$A$301,0))</f>
        <v>건국 자연1</v>
      </c>
      <c r="W408" s="7">
        <f t="shared" si="71"/>
        <v>43</v>
      </c>
      <c r="X408" s="7">
        <f t="shared" si="72"/>
        <v>1</v>
      </c>
      <c r="Y408" s="7">
        <f>IFERROR(INDEX(환산공식!Q$16:Q$200,MATCH($A408,환산공식!$A$16:$A$200,0)),"")</f>
        <v>1</v>
      </c>
      <c r="Z408" s="7">
        <f>IFERROR(INDEX(환산공식!R$16:R$200,MATCH($A408,환산공식!$A$16:$A$200,0)),"")</f>
        <v>1.75</v>
      </c>
      <c r="AA408" s="7">
        <f>IFERROR(INDEX(환산공식!U$16:U$200,MATCH($A408,환산공식!$A$16:$A$200,0)),"")</f>
        <v>1.25</v>
      </c>
      <c r="AB408" s="7">
        <f t="shared" si="73"/>
        <v>0.25</v>
      </c>
      <c r="AC408" s="7">
        <f t="shared" si="74"/>
        <v>0.4375</v>
      </c>
      <c r="AD408" s="7">
        <f t="shared" si="75"/>
        <v>0.3125</v>
      </c>
      <c r="AE408" s="7">
        <f>INDEX(환산공식!$AF$16:$AF$301,MATCH('배치점수 계산기'!W408,환산공식!$A$16:$A$301,0))</f>
        <v>1</v>
      </c>
      <c r="AF408" s="7">
        <f>INDEX(환산공식!$AP$16:$AP$301,MATCH('배치점수 계산기'!W408,환산공식!$A$16:$A$301,0))</f>
        <v>4</v>
      </c>
      <c r="AG408" s="7" t="str">
        <f t="shared" si="76"/>
        <v>표점</v>
      </c>
      <c r="AH408" s="7" t="str">
        <f t="shared" si="77"/>
        <v>변표</v>
      </c>
      <c r="BO408" s="210"/>
      <c r="BP408" s="210"/>
      <c r="BQ408" s="210"/>
      <c r="BR408" s="210"/>
      <c r="BS408" s="210"/>
      <c r="BT408" s="210"/>
      <c r="BU408" s="210"/>
      <c r="BV408" s="210"/>
      <c r="BW408" s="210"/>
      <c r="BX408" s="210"/>
      <c r="BY408" s="210"/>
      <c r="BZ408" s="210"/>
      <c r="CA408" s="210"/>
      <c r="CB408" s="210"/>
      <c r="CC408" s="210"/>
      <c r="EM408" s="120"/>
      <c r="ET408" s="210"/>
      <c r="EU408" s="210"/>
      <c r="EV408" s="210"/>
      <c r="EW408" s="210"/>
      <c r="EX408" s="210"/>
      <c r="EY408" s="210"/>
      <c r="EZ408" s="210"/>
      <c r="FA408" s="210"/>
      <c r="FB408" s="210"/>
      <c r="FC408" s="210"/>
      <c r="FD408" s="210"/>
      <c r="FE408" s="210"/>
      <c r="FF408" s="210"/>
      <c r="FG408" s="210"/>
      <c r="FH408" s="210"/>
      <c r="HR408" s="120"/>
      <c r="HY408" s="210"/>
      <c r="HZ408" s="210"/>
      <c r="IA408" s="210"/>
      <c r="IB408" s="210"/>
      <c r="IC408" s="210"/>
      <c r="ID408" s="210"/>
      <c r="IE408" s="210"/>
      <c r="IF408" s="210"/>
      <c r="IG408" s="210"/>
      <c r="IH408" s="210"/>
      <c r="II408" s="210"/>
      <c r="IJ408" s="210"/>
      <c r="IK408" s="210"/>
      <c r="IL408" s="210"/>
      <c r="IM408" s="210"/>
      <c r="KW408" s="120"/>
      <c r="LD408" s="210"/>
      <c r="LE408" s="210"/>
      <c r="LF408" s="210"/>
      <c r="LG408" s="210"/>
      <c r="LH408" s="210"/>
      <c r="LI408" s="210"/>
      <c r="LJ408" s="210"/>
      <c r="LK408" s="210"/>
      <c r="LL408" s="210"/>
      <c r="LM408" s="210"/>
      <c r="LN408" s="210"/>
      <c r="LO408" s="210"/>
      <c r="LP408" s="210"/>
      <c r="LQ408" s="210"/>
      <c r="LR408" s="210"/>
      <c r="OB408" s="120"/>
      <c r="OI408" s="210"/>
      <c r="OJ408" s="210"/>
      <c r="OK408" s="210"/>
      <c r="OL408" s="210"/>
      <c r="OM408" s="210"/>
      <c r="ON408" s="210"/>
      <c r="OO408" s="210"/>
      <c r="OP408" s="210"/>
      <c r="OQ408" s="210"/>
      <c r="OR408" s="210"/>
      <c r="OS408" s="210"/>
      <c r="OT408" s="210"/>
      <c r="OU408" s="210"/>
      <c r="OV408" s="210"/>
      <c r="OW408" s="210"/>
      <c r="RG408" s="120"/>
    </row>
    <row r="409" spans="1:475" x14ac:dyDescent="0.3">
      <c r="A409" s="7">
        <v>44</v>
      </c>
      <c r="B409" s="7">
        <v>399</v>
      </c>
      <c r="C409" s="7" t="s">
        <v>346</v>
      </c>
      <c r="D409" s="7" t="s">
        <v>708</v>
      </c>
      <c r="E409" s="7" t="s">
        <v>781</v>
      </c>
      <c r="F409" s="7" t="s">
        <v>274</v>
      </c>
      <c r="G409" s="41" t="str">
        <f t="shared" si="69"/>
        <v>X</v>
      </c>
      <c r="H409" s="41">
        <f>INDEX(환산공식!CI$16:CI$301,MATCH('배치점수 계산기'!$W409,환산공식!$A$16:$A$301,0))</f>
        <v>200</v>
      </c>
      <c r="I409" s="41" t="str">
        <f>CONCATENATE(ROUND(INDEX(환산공식!CJ$16:CJ$301,MATCH('배치점수 계산기'!$W409,환산공식!$A$16:$A$301,0)),1),"%")</f>
        <v>100%</v>
      </c>
      <c r="J409" s="41">
        <f>INDEX(환산공식!CK$16:CK$301,MATCH('배치점수 계산기'!$W409,환산공식!$A$16:$A$301,0))</f>
        <v>200</v>
      </c>
      <c r="K409" s="7">
        <f>INDEX(환산공식!$EF$16:$EF$301,MATCH('배치점수 계산기'!W409,환산공식!$A$16:$A$301,0))</f>
        <v>0</v>
      </c>
      <c r="L409" s="41" t="str">
        <f t="shared" si="67"/>
        <v>1% 이하</v>
      </c>
      <c r="M409" s="7">
        <v>898.83550000000014</v>
      </c>
      <c r="N409" s="7">
        <v>896.50250000000005</v>
      </c>
      <c r="O409" s="7">
        <v>894.33298230208072</v>
      </c>
      <c r="P409" s="7">
        <v>892.03450000000021</v>
      </c>
      <c r="Q409" s="7">
        <v>888.64005017774139</v>
      </c>
      <c r="R409" s="7">
        <f t="shared" si="68"/>
        <v>6</v>
      </c>
      <c r="T409" s="7">
        <f>COUNTIF($C$11:C409,C409)</f>
        <v>166</v>
      </c>
      <c r="U409" s="7" t="str">
        <f t="shared" si="70"/>
        <v>나166</v>
      </c>
      <c r="V409" s="7" t="str">
        <f>INDEX(환산공식!$C$16:$C$301,MATCH('배치점수 계산기'!W409,환산공식!$A$16:$A$301,0))</f>
        <v>건국 자연2</v>
      </c>
      <c r="W409" s="7">
        <f t="shared" si="71"/>
        <v>44</v>
      </c>
      <c r="X409" s="7">
        <f t="shared" si="72"/>
        <v>1</v>
      </c>
      <c r="Y409" s="7">
        <f>IFERROR(INDEX(환산공식!Q$16:Q$200,MATCH($A409,환산공식!$A$16:$A$200,0)),"")</f>
        <v>1</v>
      </c>
      <c r="Z409" s="7">
        <f>IFERROR(INDEX(환산공식!R$16:R$200,MATCH($A409,환산공식!$A$16:$A$200,0)),"")</f>
        <v>1.5</v>
      </c>
      <c r="AA409" s="7">
        <f>IFERROR(INDEX(환산공식!U$16:U$200,MATCH($A409,환산공식!$A$16:$A$200,0)),"")</f>
        <v>1.5</v>
      </c>
      <c r="AB409" s="7">
        <f t="shared" si="73"/>
        <v>0.25</v>
      </c>
      <c r="AC409" s="7">
        <f t="shared" si="74"/>
        <v>0.375</v>
      </c>
      <c r="AD409" s="7">
        <f t="shared" si="75"/>
        <v>0.375</v>
      </c>
      <c r="AE409" s="7">
        <f>INDEX(환산공식!$AF$16:$AF$301,MATCH('배치점수 계산기'!W409,환산공식!$A$16:$A$301,0))</f>
        <v>1</v>
      </c>
      <c r="AF409" s="7">
        <f>INDEX(환산공식!$AP$16:$AP$301,MATCH('배치점수 계산기'!W409,환산공식!$A$16:$A$301,0))</f>
        <v>4</v>
      </c>
      <c r="AG409" s="7" t="str">
        <f t="shared" si="76"/>
        <v>표점</v>
      </c>
      <c r="AH409" s="7" t="str">
        <f t="shared" si="77"/>
        <v>변표</v>
      </c>
      <c r="BO409" s="210"/>
      <c r="BP409" s="210"/>
      <c r="BQ409" s="210"/>
      <c r="BR409" s="210"/>
      <c r="BS409" s="210"/>
      <c r="BT409" s="210"/>
      <c r="BU409" s="210"/>
      <c r="BV409" s="210"/>
      <c r="BW409" s="210"/>
      <c r="BX409" s="210"/>
      <c r="BY409" s="210"/>
      <c r="BZ409" s="210"/>
      <c r="CA409" s="210"/>
      <c r="CB409" s="210"/>
      <c r="CC409" s="210"/>
      <c r="EM409" s="120"/>
      <c r="ET409" s="210"/>
      <c r="EU409" s="210"/>
      <c r="EV409" s="210"/>
      <c r="EW409" s="210"/>
      <c r="EX409" s="210"/>
      <c r="EY409" s="210"/>
      <c r="EZ409" s="210"/>
      <c r="FA409" s="210"/>
      <c r="FB409" s="210"/>
      <c r="FC409" s="210"/>
      <c r="FD409" s="210"/>
      <c r="FE409" s="210"/>
      <c r="FF409" s="210"/>
      <c r="FG409" s="210"/>
      <c r="FH409" s="210"/>
      <c r="HR409" s="120"/>
      <c r="HY409" s="210"/>
      <c r="HZ409" s="210"/>
      <c r="IA409" s="210"/>
      <c r="IB409" s="210"/>
      <c r="IC409" s="210"/>
      <c r="ID409" s="210"/>
      <c r="IE409" s="210"/>
      <c r="IF409" s="210"/>
      <c r="IG409" s="210"/>
      <c r="IH409" s="210"/>
      <c r="II409" s="210"/>
      <c r="IJ409" s="210"/>
      <c r="IK409" s="210"/>
      <c r="IL409" s="210"/>
      <c r="IM409" s="210"/>
      <c r="KW409" s="120"/>
      <c r="LD409" s="210"/>
      <c r="LE409" s="210"/>
      <c r="LF409" s="210"/>
      <c r="LG409" s="210"/>
      <c r="LH409" s="210"/>
      <c r="LI409" s="210"/>
      <c r="LJ409" s="210"/>
      <c r="LK409" s="210"/>
      <c r="LL409" s="210"/>
      <c r="LM409" s="210"/>
      <c r="LN409" s="210"/>
      <c r="LO409" s="210"/>
      <c r="LP409" s="210"/>
      <c r="LQ409" s="210"/>
      <c r="LR409" s="210"/>
      <c r="OB409" s="120"/>
      <c r="OI409" s="210"/>
      <c r="OJ409" s="210"/>
      <c r="OK409" s="210"/>
      <c r="OL409" s="210"/>
      <c r="OM409" s="210"/>
      <c r="ON409" s="210"/>
      <c r="OO409" s="210"/>
      <c r="OP409" s="210"/>
      <c r="OQ409" s="210"/>
      <c r="OR409" s="210"/>
      <c r="OS409" s="210"/>
      <c r="OT409" s="210"/>
      <c r="OU409" s="210"/>
      <c r="OV409" s="210"/>
      <c r="OW409" s="210"/>
      <c r="RG409" s="120"/>
    </row>
    <row r="410" spans="1:475" x14ac:dyDescent="0.3">
      <c r="A410" s="7">
        <v>44</v>
      </c>
      <c r="B410" s="7">
        <v>400</v>
      </c>
      <c r="C410" s="7" t="s">
        <v>346</v>
      </c>
      <c r="D410" s="7" t="s">
        <v>708</v>
      </c>
      <c r="E410" s="7" t="s">
        <v>782</v>
      </c>
      <c r="F410" s="7" t="s">
        <v>274</v>
      </c>
      <c r="G410" s="41" t="str">
        <f t="shared" si="69"/>
        <v>X</v>
      </c>
      <c r="H410" s="41">
        <f>INDEX(환산공식!CI$16:CI$301,MATCH('배치점수 계산기'!$W410,환산공식!$A$16:$A$301,0))</f>
        <v>200</v>
      </c>
      <c r="I410" s="41" t="str">
        <f>CONCATENATE(ROUND(INDEX(환산공식!CJ$16:CJ$301,MATCH('배치점수 계산기'!$W410,환산공식!$A$16:$A$301,0)),1),"%")</f>
        <v>100%</v>
      </c>
      <c r="J410" s="41">
        <f>INDEX(환산공식!CK$16:CK$301,MATCH('배치점수 계산기'!$W410,환산공식!$A$16:$A$301,0))</f>
        <v>200</v>
      </c>
      <c r="K410" s="7">
        <f>INDEX(환산공식!$EF$16:$EF$301,MATCH('배치점수 계산기'!W410,환산공식!$A$16:$A$301,0))</f>
        <v>0</v>
      </c>
      <c r="L410" s="41" t="str">
        <f t="shared" si="67"/>
        <v>1% 이하</v>
      </c>
      <c r="M410" s="7">
        <v>897.60700000000008</v>
      </c>
      <c r="N410" s="7">
        <v>895.09150000000022</v>
      </c>
      <c r="O410" s="7">
        <v>893.66300000000012</v>
      </c>
      <c r="P410" s="7">
        <v>890.48449564270163</v>
      </c>
      <c r="Q410" s="7">
        <v>888.64005017774139</v>
      </c>
      <c r="R410" s="7">
        <f t="shared" si="68"/>
        <v>6</v>
      </c>
      <c r="T410" s="7">
        <f>COUNTIF($C$11:C410,C410)</f>
        <v>167</v>
      </c>
      <c r="U410" s="7" t="str">
        <f t="shared" si="70"/>
        <v>나167</v>
      </c>
      <c r="V410" s="7" t="str">
        <f>INDEX(환산공식!$C$16:$C$301,MATCH('배치점수 계산기'!W410,환산공식!$A$16:$A$301,0))</f>
        <v>건국 자연2</v>
      </c>
      <c r="W410" s="7">
        <f t="shared" si="71"/>
        <v>44</v>
      </c>
      <c r="X410" s="7">
        <f t="shared" si="72"/>
        <v>1</v>
      </c>
      <c r="Y410" s="7">
        <f>IFERROR(INDEX(환산공식!Q$16:Q$200,MATCH($A410,환산공식!$A$16:$A$200,0)),"")</f>
        <v>1</v>
      </c>
      <c r="Z410" s="7">
        <f>IFERROR(INDEX(환산공식!R$16:R$200,MATCH($A410,환산공식!$A$16:$A$200,0)),"")</f>
        <v>1.5</v>
      </c>
      <c r="AA410" s="7">
        <f>IFERROR(INDEX(환산공식!U$16:U$200,MATCH($A410,환산공식!$A$16:$A$200,0)),"")</f>
        <v>1.5</v>
      </c>
      <c r="AB410" s="7">
        <f t="shared" si="73"/>
        <v>0.25</v>
      </c>
      <c r="AC410" s="7">
        <f t="shared" si="74"/>
        <v>0.375</v>
      </c>
      <c r="AD410" s="7">
        <f t="shared" si="75"/>
        <v>0.375</v>
      </c>
      <c r="AE410" s="7">
        <f>INDEX(환산공식!$AF$16:$AF$301,MATCH('배치점수 계산기'!W410,환산공식!$A$16:$A$301,0))</f>
        <v>1</v>
      </c>
      <c r="AF410" s="7">
        <f>INDEX(환산공식!$AP$16:$AP$301,MATCH('배치점수 계산기'!W410,환산공식!$A$16:$A$301,0))</f>
        <v>4</v>
      </c>
      <c r="AG410" s="7" t="str">
        <f t="shared" si="76"/>
        <v>표점</v>
      </c>
      <c r="AH410" s="7" t="str">
        <f t="shared" si="77"/>
        <v>변표</v>
      </c>
      <c r="BO410" s="210"/>
      <c r="BP410" s="210"/>
      <c r="BQ410" s="210"/>
      <c r="BR410" s="210"/>
      <c r="BS410" s="210"/>
      <c r="BT410" s="210"/>
      <c r="BU410" s="210"/>
      <c r="BV410" s="210"/>
      <c r="BW410" s="210"/>
      <c r="BX410" s="210"/>
      <c r="BY410" s="210"/>
      <c r="BZ410" s="210"/>
      <c r="CA410" s="210"/>
      <c r="CB410" s="210"/>
      <c r="CC410" s="210"/>
      <c r="EM410" s="120"/>
      <c r="ET410" s="210"/>
      <c r="EU410" s="210"/>
      <c r="EV410" s="210"/>
      <c r="EW410" s="210"/>
      <c r="EX410" s="210"/>
      <c r="EY410" s="210"/>
      <c r="EZ410" s="210"/>
      <c r="FA410" s="210"/>
      <c r="FB410" s="210"/>
      <c r="FC410" s="210"/>
      <c r="FD410" s="210"/>
      <c r="FE410" s="210"/>
      <c r="FF410" s="210"/>
      <c r="FG410" s="210"/>
      <c r="FH410" s="210"/>
      <c r="HR410" s="120"/>
      <c r="HY410" s="210"/>
      <c r="HZ410" s="210"/>
      <c r="IA410" s="210"/>
      <c r="IB410" s="210"/>
      <c r="IC410" s="210"/>
      <c r="ID410" s="210"/>
      <c r="IE410" s="210"/>
      <c r="IF410" s="210"/>
      <c r="IG410" s="210"/>
      <c r="IH410" s="210"/>
      <c r="II410" s="210"/>
      <c r="IJ410" s="210"/>
      <c r="IK410" s="210"/>
      <c r="IL410" s="210"/>
      <c r="IM410" s="210"/>
      <c r="KW410" s="120"/>
      <c r="LD410" s="210"/>
      <c r="LE410" s="210"/>
      <c r="LF410" s="210"/>
      <c r="LG410" s="210"/>
      <c r="LH410" s="210"/>
      <c r="LI410" s="210"/>
      <c r="LJ410" s="210"/>
      <c r="LK410" s="210"/>
      <c r="LL410" s="210"/>
      <c r="LM410" s="210"/>
      <c r="LN410" s="210"/>
      <c r="LO410" s="210"/>
      <c r="LP410" s="210"/>
      <c r="LQ410" s="210"/>
      <c r="LR410" s="210"/>
      <c r="OB410" s="120"/>
      <c r="OI410" s="210"/>
      <c r="OJ410" s="210"/>
      <c r="OK410" s="210"/>
      <c r="OL410" s="210"/>
      <c r="OM410" s="210"/>
      <c r="ON410" s="210"/>
      <c r="OO410" s="210"/>
      <c r="OP410" s="210"/>
      <c r="OQ410" s="210"/>
      <c r="OR410" s="210"/>
      <c r="OS410" s="210"/>
      <c r="OT410" s="210"/>
      <c r="OU410" s="210"/>
      <c r="OV410" s="210"/>
      <c r="OW410" s="210"/>
      <c r="RG410" s="120"/>
    </row>
    <row r="411" spans="1:475" x14ac:dyDescent="0.3">
      <c r="A411" s="7">
        <v>43</v>
      </c>
      <c r="B411" s="7">
        <v>401</v>
      </c>
      <c r="C411" s="7" t="s">
        <v>346</v>
      </c>
      <c r="D411" s="7" t="s">
        <v>708</v>
      </c>
      <c r="E411" s="7" t="s">
        <v>783</v>
      </c>
      <c r="F411" s="7" t="s">
        <v>274</v>
      </c>
      <c r="G411" s="41" t="str">
        <f t="shared" si="69"/>
        <v>X</v>
      </c>
      <c r="H411" s="41">
        <f>INDEX(환산공식!CI$16:CI$301,MATCH('배치점수 계산기'!$W411,환산공식!$A$16:$A$301,0))</f>
        <v>200</v>
      </c>
      <c r="I411" s="41" t="str">
        <f>CONCATENATE(ROUND(INDEX(환산공식!CJ$16:CJ$301,MATCH('배치점수 계산기'!$W411,환산공식!$A$16:$A$301,0)),1),"%")</f>
        <v>100%</v>
      </c>
      <c r="J411" s="41">
        <f>INDEX(환산공식!CK$16:CK$301,MATCH('배치점수 계산기'!$W411,환산공식!$A$16:$A$301,0))</f>
        <v>200</v>
      </c>
      <c r="K411" s="7">
        <f>INDEX(환산공식!$EF$16:$EF$301,MATCH('배치점수 계산기'!W411,환산공식!$A$16:$A$301,0))</f>
        <v>0</v>
      </c>
      <c r="L411" s="41" t="str">
        <f t="shared" si="67"/>
        <v>1% 이하</v>
      </c>
      <c r="M411" s="7">
        <v>899.47250000000008</v>
      </c>
      <c r="N411" s="7">
        <v>896.77625000000012</v>
      </c>
      <c r="O411" s="7">
        <v>895.35250000000008</v>
      </c>
      <c r="P411" s="7">
        <v>892.11429466230948</v>
      </c>
      <c r="Q411" s="7">
        <v>890.3395095023244</v>
      </c>
      <c r="R411" s="7">
        <f t="shared" si="68"/>
        <v>6</v>
      </c>
      <c r="T411" s="7">
        <f>COUNTIF($C$11:C411,C411)</f>
        <v>168</v>
      </c>
      <c r="U411" s="7" t="str">
        <f t="shared" si="70"/>
        <v>나168</v>
      </c>
      <c r="V411" s="7" t="str">
        <f>INDEX(환산공식!$C$16:$C$301,MATCH('배치점수 계산기'!W411,환산공식!$A$16:$A$301,0))</f>
        <v>건국 자연1</v>
      </c>
      <c r="W411" s="7">
        <f t="shared" si="71"/>
        <v>43</v>
      </c>
      <c r="X411" s="7">
        <f t="shared" si="72"/>
        <v>1</v>
      </c>
      <c r="Y411" s="7">
        <f>IFERROR(INDEX(환산공식!Q$16:Q$200,MATCH($A411,환산공식!$A$16:$A$200,0)),"")</f>
        <v>1</v>
      </c>
      <c r="Z411" s="7">
        <f>IFERROR(INDEX(환산공식!R$16:R$200,MATCH($A411,환산공식!$A$16:$A$200,0)),"")</f>
        <v>1.75</v>
      </c>
      <c r="AA411" s="7">
        <f>IFERROR(INDEX(환산공식!U$16:U$200,MATCH($A411,환산공식!$A$16:$A$200,0)),"")</f>
        <v>1.25</v>
      </c>
      <c r="AB411" s="7">
        <f t="shared" si="73"/>
        <v>0.25</v>
      </c>
      <c r="AC411" s="7">
        <f t="shared" si="74"/>
        <v>0.4375</v>
      </c>
      <c r="AD411" s="7">
        <f t="shared" si="75"/>
        <v>0.3125</v>
      </c>
      <c r="AE411" s="7">
        <f>INDEX(환산공식!$AF$16:$AF$301,MATCH('배치점수 계산기'!W411,환산공식!$A$16:$A$301,0))</f>
        <v>1</v>
      </c>
      <c r="AF411" s="7">
        <f>INDEX(환산공식!$AP$16:$AP$301,MATCH('배치점수 계산기'!W411,환산공식!$A$16:$A$301,0))</f>
        <v>4</v>
      </c>
      <c r="AG411" s="7" t="str">
        <f t="shared" si="76"/>
        <v>표점</v>
      </c>
      <c r="AH411" s="7" t="str">
        <f t="shared" si="77"/>
        <v>변표</v>
      </c>
      <c r="BO411" s="210"/>
      <c r="BP411" s="210"/>
      <c r="BQ411" s="210"/>
      <c r="BR411" s="210"/>
      <c r="BS411" s="210"/>
      <c r="BT411" s="210"/>
      <c r="BU411" s="210"/>
      <c r="BV411" s="210"/>
      <c r="BW411" s="210"/>
      <c r="BX411" s="210"/>
      <c r="BY411" s="210"/>
      <c r="BZ411" s="210"/>
      <c r="CA411" s="210"/>
      <c r="CB411" s="210"/>
      <c r="CC411" s="210"/>
      <c r="EM411" s="120"/>
      <c r="ET411" s="210"/>
      <c r="EU411" s="210"/>
      <c r="EV411" s="210"/>
      <c r="EW411" s="210"/>
      <c r="EX411" s="210"/>
      <c r="EY411" s="210"/>
      <c r="EZ411" s="210"/>
      <c r="FA411" s="210"/>
      <c r="FB411" s="210"/>
      <c r="FC411" s="210"/>
      <c r="FD411" s="210"/>
      <c r="FE411" s="210"/>
      <c r="FF411" s="210"/>
      <c r="FG411" s="210"/>
      <c r="FH411" s="210"/>
      <c r="HR411" s="120"/>
      <c r="HY411" s="210"/>
      <c r="HZ411" s="210"/>
      <c r="IA411" s="210"/>
      <c r="IB411" s="210"/>
      <c r="IC411" s="210"/>
      <c r="ID411" s="210"/>
      <c r="IE411" s="210"/>
      <c r="IF411" s="210"/>
      <c r="IG411" s="210"/>
      <c r="IH411" s="210"/>
      <c r="II411" s="210"/>
      <c r="IJ411" s="210"/>
      <c r="IK411" s="210"/>
      <c r="IL411" s="210"/>
      <c r="IM411" s="210"/>
      <c r="KW411" s="120"/>
      <c r="LD411" s="210"/>
      <c r="LE411" s="210"/>
      <c r="LF411" s="210"/>
      <c r="LG411" s="210"/>
      <c r="LH411" s="210"/>
      <c r="LI411" s="210"/>
      <c r="LJ411" s="210"/>
      <c r="LK411" s="210"/>
      <c r="LL411" s="210"/>
      <c r="LM411" s="210"/>
      <c r="LN411" s="210"/>
      <c r="LO411" s="210"/>
      <c r="LP411" s="210"/>
      <c r="LQ411" s="210"/>
      <c r="LR411" s="210"/>
      <c r="OB411" s="120"/>
      <c r="OI411" s="210"/>
      <c r="OJ411" s="210"/>
      <c r="OK411" s="210"/>
      <c r="OL411" s="210"/>
      <c r="OM411" s="210"/>
      <c r="ON411" s="210"/>
      <c r="OO411" s="210"/>
      <c r="OP411" s="210"/>
      <c r="OQ411" s="210"/>
      <c r="OR411" s="210"/>
      <c r="OS411" s="210"/>
      <c r="OT411" s="210"/>
      <c r="OU411" s="210"/>
      <c r="OV411" s="210"/>
      <c r="OW411" s="210"/>
      <c r="RG411" s="120"/>
    </row>
    <row r="412" spans="1:475" x14ac:dyDescent="0.3">
      <c r="A412" s="7">
        <v>43</v>
      </c>
      <c r="B412" s="7">
        <v>402</v>
      </c>
      <c r="C412" s="7" t="s">
        <v>378</v>
      </c>
      <c r="D412" s="7" t="s">
        <v>708</v>
      </c>
      <c r="E412" s="7" t="s">
        <v>784</v>
      </c>
      <c r="F412" s="7" t="s">
        <v>274</v>
      </c>
      <c r="G412" s="41" t="str">
        <f t="shared" si="69"/>
        <v>X</v>
      </c>
      <c r="H412" s="41">
        <f>INDEX(환산공식!CI$16:CI$301,MATCH('배치점수 계산기'!$W412,환산공식!$A$16:$A$301,0))</f>
        <v>200</v>
      </c>
      <c r="I412" s="41" t="str">
        <f>CONCATENATE(ROUND(INDEX(환산공식!CJ$16:CJ$301,MATCH('배치점수 계산기'!$W412,환산공식!$A$16:$A$301,0)),1),"%")</f>
        <v>100%</v>
      </c>
      <c r="J412" s="41">
        <f>INDEX(환산공식!CK$16:CK$301,MATCH('배치점수 계산기'!$W412,환산공식!$A$16:$A$301,0))</f>
        <v>200</v>
      </c>
      <c r="K412" s="7">
        <f>INDEX(환산공식!$EF$16:$EF$301,MATCH('배치점수 계산기'!W412,환산공식!$A$16:$A$301,0))</f>
        <v>0</v>
      </c>
      <c r="L412" s="41" t="str">
        <f t="shared" si="67"/>
        <v>1% 이하</v>
      </c>
      <c r="M412" s="7">
        <v>902.33750000000009</v>
      </c>
      <c r="N412" s="7">
        <v>901.18000000000018</v>
      </c>
      <c r="O412" s="7">
        <v>898.31875000000002</v>
      </c>
      <c r="P412" s="7">
        <v>896.40125000000012</v>
      </c>
      <c r="Q412" s="7">
        <v>895.35250000000008</v>
      </c>
      <c r="R412" s="7">
        <f t="shared" si="68"/>
        <v>6</v>
      </c>
      <c r="T412" s="7">
        <f>COUNTIF($C$11:C412,C412)</f>
        <v>12</v>
      </c>
      <c r="U412" s="7" t="str">
        <f t="shared" si="70"/>
        <v>다12</v>
      </c>
      <c r="V412" s="7" t="str">
        <f>INDEX(환산공식!$C$16:$C$301,MATCH('배치점수 계산기'!W412,환산공식!$A$16:$A$301,0))</f>
        <v>건국 자연1</v>
      </c>
      <c r="W412" s="7">
        <f t="shared" si="71"/>
        <v>43</v>
      </c>
      <c r="X412" s="7">
        <f t="shared" si="72"/>
        <v>1</v>
      </c>
      <c r="Y412" s="7">
        <f>IFERROR(INDEX(환산공식!Q$16:Q$200,MATCH($A412,환산공식!$A$16:$A$200,0)),"")</f>
        <v>1</v>
      </c>
      <c r="Z412" s="7">
        <f>IFERROR(INDEX(환산공식!R$16:R$200,MATCH($A412,환산공식!$A$16:$A$200,0)),"")</f>
        <v>1.75</v>
      </c>
      <c r="AA412" s="7">
        <f>IFERROR(INDEX(환산공식!U$16:U$200,MATCH($A412,환산공식!$A$16:$A$200,0)),"")</f>
        <v>1.25</v>
      </c>
      <c r="AB412" s="7">
        <f t="shared" si="73"/>
        <v>0.25</v>
      </c>
      <c r="AC412" s="7">
        <f t="shared" si="74"/>
        <v>0.4375</v>
      </c>
      <c r="AD412" s="7">
        <f t="shared" si="75"/>
        <v>0.3125</v>
      </c>
      <c r="AE412" s="7">
        <f>INDEX(환산공식!$AF$16:$AF$301,MATCH('배치점수 계산기'!W412,환산공식!$A$16:$A$301,0))</f>
        <v>1</v>
      </c>
      <c r="AF412" s="7">
        <f>INDEX(환산공식!$AP$16:$AP$301,MATCH('배치점수 계산기'!W412,환산공식!$A$16:$A$301,0))</f>
        <v>4</v>
      </c>
      <c r="AG412" s="7" t="str">
        <f t="shared" si="76"/>
        <v>표점</v>
      </c>
      <c r="AH412" s="7" t="str">
        <f t="shared" si="77"/>
        <v>변표</v>
      </c>
      <c r="BO412" s="210"/>
      <c r="BP412" s="210"/>
      <c r="BQ412" s="210"/>
      <c r="BR412" s="210"/>
      <c r="BS412" s="210"/>
      <c r="BT412" s="210"/>
      <c r="BU412" s="210"/>
      <c r="BV412" s="210"/>
      <c r="BW412" s="210"/>
      <c r="BX412" s="210"/>
      <c r="BY412" s="210"/>
      <c r="BZ412" s="210"/>
      <c r="CA412" s="210"/>
      <c r="CB412" s="210"/>
      <c r="CC412" s="210"/>
      <c r="EM412" s="120"/>
      <c r="ET412" s="210"/>
      <c r="EU412" s="210"/>
      <c r="EV412" s="210"/>
      <c r="EW412" s="210"/>
      <c r="EX412" s="210"/>
      <c r="EY412" s="210"/>
      <c r="EZ412" s="210"/>
      <c r="FA412" s="210"/>
      <c r="FB412" s="210"/>
      <c r="FC412" s="210"/>
      <c r="FD412" s="210"/>
      <c r="FE412" s="210"/>
      <c r="FF412" s="210"/>
      <c r="FG412" s="210"/>
      <c r="FH412" s="210"/>
      <c r="HR412" s="120"/>
      <c r="HY412" s="210"/>
      <c r="HZ412" s="210"/>
      <c r="IA412" s="210"/>
      <c r="IB412" s="210"/>
      <c r="IC412" s="210"/>
      <c r="ID412" s="210"/>
      <c r="IE412" s="210"/>
      <c r="IF412" s="210"/>
      <c r="IG412" s="210"/>
      <c r="IH412" s="210"/>
      <c r="II412" s="210"/>
      <c r="IJ412" s="210"/>
      <c r="IK412" s="210"/>
      <c r="IL412" s="210"/>
      <c r="IM412" s="210"/>
      <c r="KW412" s="120"/>
      <c r="LD412" s="210"/>
      <c r="LE412" s="210"/>
      <c r="LF412" s="210"/>
      <c r="LG412" s="210"/>
      <c r="LH412" s="210"/>
      <c r="LI412" s="210"/>
      <c r="LJ412" s="210"/>
      <c r="LK412" s="210"/>
      <c r="LL412" s="210"/>
      <c r="LM412" s="210"/>
      <c r="LN412" s="210"/>
      <c r="LO412" s="210"/>
      <c r="LP412" s="210"/>
      <c r="LQ412" s="210"/>
      <c r="LR412" s="210"/>
      <c r="OB412" s="120"/>
      <c r="OI412" s="210"/>
      <c r="OJ412" s="210"/>
      <c r="OK412" s="210"/>
      <c r="OL412" s="210"/>
      <c r="OM412" s="210"/>
      <c r="ON412" s="210"/>
      <c r="OO412" s="210"/>
      <c r="OP412" s="210"/>
      <c r="OQ412" s="210"/>
      <c r="OR412" s="210"/>
      <c r="OS412" s="210"/>
      <c r="OT412" s="210"/>
      <c r="OU412" s="210"/>
      <c r="OV412" s="210"/>
      <c r="OW412" s="210"/>
      <c r="RG412" s="120"/>
    </row>
    <row r="413" spans="1:475" x14ac:dyDescent="0.3">
      <c r="A413" s="7">
        <v>44</v>
      </c>
      <c r="B413" s="7">
        <v>403</v>
      </c>
      <c r="C413" s="7" t="s">
        <v>346</v>
      </c>
      <c r="D413" s="7" t="s">
        <v>708</v>
      </c>
      <c r="E413" s="7" t="s">
        <v>785</v>
      </c>
      <c r="F413" s="7" t="s">
        <v>274</v>
      </c>
      <c r="G413" s="41" t="str">
        <f t="shared" si="69"/>
        <v>X</v>
      </c>
      <c r="H413" s="41">
        <f>INDEX(환산공식!CI$16:CI$301,MATCH('배치점수 계산기'!$W413,환산공식!$A$16:$A$301,0))</f>
        <v>200</v>
      </c>
      <c r="I413" s="41" t="str">
        <f>CONCATENATE(ROUND(INDEX(환산공식!CJ$16:CJ$301,MATCH('배치점수 계산기'!$W413,환산공식!$A$16:$A$301,0)),1),"%")</f>
        <v>100%</v>
      </c>
      <c r="J413" s="41">
        <f>INDEX(환산공식!CK$16:CK$301,MATCH('배치점수 계산기'!$W413,환산공식!$A$16:$A$301,0))</f>
        <v>200</v>
      </c>
      <c r="K413" s="7">
        <f>INDEX(환산공식!$EF$16:$EF$301,MATCH('배치점수 계산기'!W413,환산공식!$A$16:$A$301,0))</f>
        <v>0</v>
      </c>
      <c r="L413" s="41" t="str">
        <f t="shared" si="67"/>
        <v>1% 이하</v>
      </c>
      <c r="M413" s="7">
        <v>897.60700000000008</v>
      </c>
      <c r="N413" s="7">
        <v>895.09150000000022</v>
      </c>
      <c r="O413" s="7">
        <v>893.66300000000012</v>
      </c>
      <c r="P413" s="7">
        <v>890.48449564270163</v>
      </c>
      <c r="Q413" s="7">
        <v>888.64005017774139</v>
      </c>
      <c r="R413" s="7">
        <f t="shared" si="68"/>
        <v>6</v>
      </c>
      <c r="T413" s="7">
        <f>COUNTIF($C$11:C413,C413)</f>
        <v>169</v>
      </c>
      <c r="U413" s="7" t="str">
        <f t="shared" si="70"/>
        <v>나169</v>
      </c>
      <c r="V413" s="7" t="str">
        <f>INDEX(환산공식!$C$16:$C$301,MATCH('배치점수 계산기'!W413,환산공식!$A$16:$A$301,0))</f>
        <v>건국 자연2</v>
      </c>
      <c r="W413" s="7">
        <f t="shared" si="71"/>
        <v>44</v>
      </c>
      <c r="X413" s="7">
        <f t="shared" si="72"/>
        <v>1</v>
      </c>
      <c r="Y413" s="7">
        <f>IFERROR(INDEX(환산공식!Q$16:Q$200,MATCH($A413,환산공식!$A$16:$A$200,0)),"")</f>
        <v>1</v>
      </c>
      <c r="Z413" s="7">
        <f>IFERROR(INDEX(환산공식!R$16:R$200,MATCH($A413,환산공식!$A$16:$A$200,0)),"")</f>
        <v>1.5</v>
      </c>
      <c r="AA413" s="7">
        <f>IFERROR(INDEX(환산공식!U$16:U$200,MATCH($A413,환산공식!$A$16:$A$200,0)),"")</f>
        <v>1.5</v>
      </c>
      <c r="AB413" s="7">
        <f t="shared" si="73"/>
        <v>0.25</v>
      </c>
      <c r="AC413" s="7">
        <f t="shared" si="74"/>
        <v>0.375</v>
      </c>
      <c r="AD413" s="7">
        <f t="shared" si="75"/>
        <v>0.375</v>
      </c>
      <c r="AE413" s="7">
        <f>INDEX(환산공식!$AF$16:$AF$301,MATCH('배치점수 계산기'!W413,환산공식!$A$16:$A$301,0))</f>
        <v>1</v>
      </c>
      <c r="AF413" s="7">
        <f>INDEX(환산공식!$AP$16:$AP$301,MATCH('배치점수 계산기'!W413,환산공식!$A$16:$A$301,0))</f>
        <v>4</v>
      </c>
      <c r="AG413" s="7" t="str">
        <f t="shared" si="76"/>
        <v>표점</v>
      </c>
      <c r="AH413" s="7" t="str">
        <f t="shared" si="77"/>
        <v>변표</v>
      </c>
      <c r="BO413" s="210"/>
      <c r="BP413" s="210"/>
      <c r="BQ413" s="210"/>
      <c r="BR413" s="210"/>
      <c r="BS413" s="210"/>
      <c r="BT413" s="210"/>
      <c r="BU413" s="210"/>
      <c r="BV413" s="210"/>
      <c r="BW413" s="210"/>
      <c r="BX413" s="210"/>
      <c r="BY413" s="210"/>
      <c r="BZ413" s="210"/>
      <c r="CA413" s="210"/>
      <c r="CB413" s="210"/>
      <c r="CC413" s="210"/>
      <c r="EM413" s="120"/>
      <c r="ET413" s="210"/>
      <c r="EU413" s="210"/>
      <c r="EV413" s="210"/>
      <c r="EW413" s="210"/>
      <c r="EX413" s="210"/>
      <c r="EY413" s="210"/>
      <c r="EZ413" s="210"/>
      <c r="FA413" s="210"/>
      <c r="FB413" s="210"/>
      <c r="FC413" s="210"/>
      <c r="FD413" s="210"/>
      <c r="FE413" s="210"/>
      <c r="FF413" s="210"/>
      <c r="FG413" s="210"/>
      <c r="FH413" s="210"/>
      <c r="HR413" s="120"/>
      <c r="HY413" s="210"/>
      <c r="HZ413" s="210"/>
      <c r="IA413" s="210"/>
      <c r="IB413" s="210"/>
      <c r="IC413" s="210"/>
      <c r="ID413" s="210"/>
      <c r="IE413" s="210"/>
      <c r="IF413" s="210"/>
      <c r="IG413" s="210"/>
      <c r="IH413" s="210"/>
      <c r="II413" s="210"/>
      <c r="IJ413" s="210"/>
      <c r="IK413" s="210"/>
      <c r="IL413" s="210"/>
      <c r="IM413" s="210"/>
      <c r="KW413" s="120"/>
      <c r="LD413" s="210"/>
      <c r="LE413" s="210"/>
      <c r="LF413" s="210"/>
      <c r="LG413" s="210"/>
      <c r="LH413" s="210"/>
      <c r="LI413" s="210"/>
      <c r="LJ413" s="210"/>
      <c r="LK413" s="210"/>
      <c r="LL413" s="210"/>
      <c r="LM413" s="210"/>
      <c r="LN413" s="210"/>
      <c r="LO413" s="210"/>
      <c r="LP413" s="210"/>
      <c r="LQ413" s="210"/>
      <c r="LR413" s="210"/>
      <c r="OB413" s="120"/>
      <c r="OI413" s="210"/>
      <c r="OJ413" s="210"/>
      <c r="OK413" s="210"/>
      <c r="OL413" s="210"/>
      <c r="OM413" s="210"/>
      <c r="ON413" s="210"/>
      <c r="OO413" s="210"/>
      <c r="OP413" s="210"/>
      <c r="OQ413" s="210"/>
      <c r="OR413" s="210"/>
      <c r="OS413" s="210"/>
      <c r="OT413" s="210"/>
      <c r="OU413" s="210"/>
      <c r="OV413" s="210"/>
      <c r="OW413" s="210"/>
      <c r="RG413" s="120"/>
    </row>
    <row r="414" spans="1:475" x14ac:dyDescent="0.3">
      <c r="A414" s="7">
        <v>44</v>
      </c>
      <c r="B414" s="7">
        <v>404</v>
      </c>
      <c r="C414" s="7" t="s">
        <v>346</v>
      </c>
      <c r="D414" s="7" t="s">
        <v>708</v>
      </c>
      <c r="E414" s="7" t="s">
        <v>786</v>
      </c>
      <c r="F414" s="7" t="s">
        <v>274</v>
      </c>
      <c r="G414" s="41" t="str">
        <f t="shared" si="69"/>
        <v>X</v>
      </c>
      <c r="H414" s="41">
        <f>INDEX(환산공식!CI$16:CI$301,MATCH('배치점수 계산기'!$W414,환산공식!$A$16:$A$301,0))</f>
        <v>200</v>
      </c>
      <c r="I414" s="41" t="str">
        <f>CONCATENATE(ROUND(INDEX(환산공식!CJ$16:CJ$301,MATCH('배치점수 계산기'!$W414,환산공식!$A$16:$A$301,0)),1),"%")</f>
        <v>100%</v>
      </c>
      <c r="J414" s="41">
        <f>INDEX(환산공식!CK$16:CK$301,MATCH('배치점수 계산기'!$W414,환산공식!$A$16:$A$301,0))</f>
        <v>200</v>
      </c>
      <c r="K414" s="7">
        <f>INDEX(환산공식!$EF$16:$EF$301,MATCH('배치점수 계산기'!W414,환산공식!$A$16:$A$301,0))</f>
        <v>0</v>
      </c>
      <c r="L414" s="41" t="str">
        <f t="shared" si="67"/>
        <v>1% 이하</v>
      </c>
      <c r="M414" s="7">
        <v>899.74038358727626</v>
      </c>
      <c r="N414" s="7">
        <v>898.26150000000007</v>
      </c>
      <c r="O414" s="7">
        <v>896.50250000000005</v>
      </c>
      <c r="P414" s="7">
        <v>894.33298230208072</v>
      </c>
      <c r="Q414" s="7">
        <v>889.26</v>
      </c>
      <c r="R414" s="7">
        <f t="shared" si="68"/>
        <v>6</v>
      </c>
      <c r="T414" s="7">
        <f>COUNTIF($C$11:C414,C414)</f>
        <v>170</v>
      </c>
      <c r="U414" s="7" t="str">
        <f t="shared" si="70"/>
        <v>나170</v>
      </c>
      <c r="V414" s="7" t="str">
        <f>INDEX(환산공식!$C$16:$C$301,MATCH('배치점수 계산기'!W414,환산공식!$A$16:$A$301,0))</f>
        <v>건국 자연2</v>
      </c>
      <c r="W414" s="7">
        <f t="shared" si="71"/>
        <v>44</v>
      </c>
      <c r="X414" s="7">
        <f t="shared" si="72"/>
        <v>1</v>
      </c>
      <c r="Y414" s="7">
        <f>IFERROR(INDEX(환산공식!Q$16:Q$200,MATCH($A414,환산공식!$A$16:$A$200,0)),"")</f>
        <v>1</v>
      </c>
      <c r="Z414" s="7">
        <f>IFERROR(INDEX(환산공식!R$16:R$200,MATCH($A414,환산공식!$A$16:$A$200,0)),"")</f>
        <v>1.5</v>
      </c>
      <c r="AA414" s="7">
        <f>IFERROR(INDEX(환산공식!U$16:U$200,MATCH($A414,환산공식!$A$16:$A$200,0)),"")</f>
        <v>1.5</v>
      </c>
      <c r="AB414" s="7">
        <f t="shared" si="73"/>
        <v>0.25</v>
      </c>
      <c r="AC414" s="7">
        <f t="shared" si="74"/>
        <v>0.375</v>
      </c>
      <c r="AD414" s="7">
        <f t="shared" si="75"/>
        <v>0.375</v>
      </c>
      <c r="AE414" s="7">
        <f>INDEX(환산공식!$AF$16:$AF$301,MATCH('배치점수 계산기'!W414,환산공식!$A$16:$A$301,0))</f>
        <v>1</v>
      </c>
      <c r="AF414" s="7">
        <f>INDEX(환산공식!$AP$16:$AP$301,MATCH('배치점수 계산기'!W414,환산공식!$A$16:$A$301,0))</f>
        <v>4</v>
      </c>
      <c r="AG414" s="7" t="str">
        <f t="shared" si="76"/>
        <v>표점</v>
      </c>
      <c r="AH414" s="7" t="str">
        <f t="shared" si="77"/>
        <v>변표</v>
      </c>
      <c r="BO414" s="210"/>
      <c r="BP414" s="210"/>
      <c r="BQ414" s="210"/>
      <c r="BR414" s="210"/>
      <c r="BS414" s="210"/>
      <c r="BT414" s="210"/>
      <c r="BU414" s="210"/>
      <c r="BV414" s="210"/>
      <c r="BW414" s="210"/>
      <c r="BX414" s="210"/>
      <c r="BY414" s="210"/>
      <c r="BZ414" s="210"/>
      <c r="CA414" s="210"/>
      <c r="CB414" s="210"/>
      <c r="CC414" s="210"/>
      <c r="EM414" s="120"/>
      <c r="ET414" s="210"/>
      <c r="EU414" s="210"/>
      <c r="EV414" s="210"/>
      <c r="EW414" s="210"/>
      <c r="EX414" s="210"/>
      <c r="EY414" s="210"/>
      <c r="EZ414" s="210"/>
      <c r="FA414" s="210"/>
      <c r="FB414" s="210"/>
      <c r="FC414" s="210"/>
      <c r="FD414" s="210"/>
      <c r="FE414" s="210"/>
      <c r="FF414" s="210"/>
      <c r="FG414" s="210"/>
      <c r="FH414" s="210"/>
      <c r="HR414" s="120"/>
      <c r="HY414" s="210"/>
      <c r="HZ414" s="210"/>
      <c r="IA414" s="210"/>
      <c r="IB414" s="210"/>
      <c r="IC414" s="210"/>
      <c r="ID414" s="210"/>
      <c r="IE414" s="210"/>
      <c r="IF414" s="210"/>
      <c r="IG414" s="210"/>
      <c r="IH414" s="210"/>
      <c r="II414" s="210"/>
      <c r="IJ414" s="210"/>
      <c r="IK414" s="210"/>
      <c r="IL414" s="210"/>
      <c r="IM414" s="210"/>
      <c r="KW414" s="120"/>
      <c r="LD414" s="210"/>
      <c r="LE414" s="210"/>
      <c r="LF414" s="210"/>
      <c r="LG414" s="210"/>
      <c r="LH414" s="210"/>
      <c r="LI414" s="210"/>
      <c r="LJ414" s="210"/>
      <c r="LK414" s="210"/>
      <c r="LL414" s="210"/>
      <c r="LM414" s="210"/>
      <c r="LN414" s="210"/>
      <c r="LO414" s="210"/>
      <c r="LP414" s="210"/>
      <c r="LQ414" s="210"/>
      <c r="LR414" s="210"/>
      <c r="OB414" s="120"/>
      <c r="OI414" s="210"/>
      <c r="OJ414" s="210"/>
      <c r="OK414" s="210"/>
      <c r="OL414" s="210"/>
      <c r="OM414" s="210"/>
      <c r="ON414" s="210"/>
      <c r="OO414" s="210"/>
      <c r="OP414" s="210"/>
      <c r="OQ414" s="210"/>
      <c r="OR414" s="210"/>
      <c r="OS414" s="210"/>
      <c r="OT414" s="210"/>
      <c r="OU414" s="210"/>
      <c r="OV414" s="210"/>
      <c r="OW414" s="210"/>
      <c r="RG414" s="120"/>
    </row>
    <row r="415" spans="1:475" x14ac:dyDescent="0.3">
      <c r="A415" s="7">
        <v>44</v>
      </c>
      <c r="B415" s="7">
        <v>405</v>
      </c>
      <c r="C415" s="7" t="s">
        <v>378</v>
      </c>
      <c r="D415" s="7" t="s">
        <v>708</v>
      </c>
      <c r="E415" s="7" t="s">
        <v>787</v>
      </c>
      <c r="F415" s="7" t="s">
        <v>274</v>
      </c>
      <c r="G415" s="41" t="str">
        <f t="shared" si="69"/>
        <v>X</v>
      </c>
      <c r="H415" s="41">
        <f>INDEX(환산공식!CI$16:CI$301,MATCH('배치점수 계산기'!$W415,환산공식!$A$16:$A$301,0))</f>
        <v>200</v>
      </c>
      <c r="I415" s="41" t="str">
        <f>CONCATENATE(ROUND(INDEX(환산공식!CJ$16:CJ$301,MATCH('배치점수 계산기'!$W415,환산공식!$A$16:$A$301,0)),1),"%")</f>
        <v>100%</v>
      </c>
      <c r="J415" s="41">
        <f>INDEX(환산공식!CK$16:CK$301,MATCH('배치점수 계산기'!$W415,환산공식!$A$16:$A$301,0))</f>
        <v>200</v>
      </c>
      <c r="K415" s="7">
        <f>INDEX(환산공식!$EF$16:$EF$301,MATCH('배치점수 계산기'!W415,환산공식!$A$16:$A$301,0))</f>
        <v>0</v>
      </c>
      <c r="L415" s="41" t="str">
        <f t="shared" si="67"/>
        <v>1% 이하</v>
      </c>
      <c r="M415" s="7">
        <v>900.50500000000011</v>
      </c>
      <c r="N415" s="7">
        <v>899.97500000000014</v>
      </c>
      <c r="O415" s="7">
        <v>898.26150000000007</v>
      </c>
      <c r="P415" s="7">
        <v>896.50250000000005</v>
      </c>
      <c r="Q415" s="7">
        <v>890.06450000000018</v>
      </c>
      <c r="R415" s="7">
        <f t="shared" si="68"/>
        <v>6</v>
      </c>
      <c r="T415" s="7">
        <f>COUNTIF($C$11:C415,C415)</f>
        <v>13</v>
      </c>
      <c r="U415" s="7" t="str">
        <f t="shared" si="70"/>
        <v>다13</v>
      </c>
      <c r="V415" s="7" t="str">
        <f>INDEX(환산공식!$C$16:$C$301,MATCH('배치점수 계산기'!W415,환산공식!$A$16:$A$301,0))</f>
        <v>건국 자연2</v>
      </c>
      <c r="W415" s="7">
        <f t="shared" si="71"/>
        <v>44</v>
      </c>
      <c r="X415" s="7">
        <f t="shared" si="72"/>
        <v>1</v>
      </c>
      <c r="Y415" s="7">
        <f>IFERROR(INDEX(환산공식!Q$16:Q$200,MATCH($A415,환산공식!$A$16:$A$200,0)),"")</f>
        <v>1</v>
      </c>
      <c r="Z415" s="7">
        <f>IFERROR(INDEX(환산공식!R$16:R$200,MATCH($A415,환산공식!$A$16:$A$200,0)),"")</f>
        <v>1.5</v>
      </c>
      <c r="AA415" s="7">
        <f>IFERROR(INDEX(환산공식!U$16:U$200,MATCH($A415,환산공식!$A$16:$A$200,0)),"")</f>
        <v>1.5</v>
      </c>
      <c r="AB415" s="7">
        <f t="shared" si="73"/>
        <v>0.25</v>
      </c>
      <c r="AC415" s="7">
        <f t="shared" si="74"/>
        <v>0.375</v>
      </c>
      <c r="AD415" s="7">
        <f t="shared" si="75"/>
        <v>0.375</v>
      </c>
      <c r="AE415" s="7">
        <f>INDEX(환산공식!$AF$16:$AF$301,MATCH('배치점수 계산기'!W415,환산공식!$A$16:$A$301,0))</f>
        <v>1</v>
      </c>
      <c r="AF415" s="7">
        <f>INDEX(환산공식!$AP$16:$AP$301,MATCH('배치점수 계산기'!W415,환산공식!$A$16:$A$301,0))</f>
        <v>4</v>
      </c>
      <c r="AG415" s="7" t="str">
        <f t="shared" si="76"/>
        <v>표점</v>
      </c>
      <c r="AH415" s="7" t="str">
        <f t="shared" si="77"/>
        <v>변표</v>
      </c>
      <c r="BO415" s="210"/>
      <c r="BP415" s="210"/>
      <c r="BQ415" s="210"/>
      <c r="BR415" s="210"/>
      <c r="BS415" s="210"/>
      <c r="BT415" s="210"/>
      <c r="BU415" s="210"/>
      <c r="BV415" s="210"/>
      <c r="BW415" s="210"/>
      <c r="BX415" s="210"/>
      <c r="BY415" s="210"/>
      <c r="BZ415" s="210"/>
      <c r="CA415" s="210"/>
      <c r="CB415" s="210"/>
      <c r="CC415" s="210"/>
      <c r="EM415" s="120"/>
      <c r="ET415" s="210"/>
      <c r="EU415" s="210"/>
      <c r="EV415" s="210"/>
      <c r="EW415" s="210"/>
      <c r="EX415" s="210"/>
      <c r="EY415" s="210"/>
      <c r="EZ415" s="210"/>
      <c r="FA415" s="210"/>
      <c r="FB415" s="210"/>
      <c r="FC415" s="210"/>
      <c r="FD415" s="210"/>
      <c r="FE415" s="210"/>
      <c r="FF415" s="210"/>
      <c r="FG415" s="210"/>
      <c r="FH415" s="210"/>
      <c r="HR415" s="120"/>
      <c r="HY415" s="210"/>
      <c r="HZ415" s="210"/>
      <c r="IA415" s="210"/>
      <c r="IB415" s="210"/>
      <c r="IC415" s="210"/>
      <c r="ID415" s="210"/>
      <c r="IE415" s="210"/>
      <c r="IF415" s="210"/>
      <c r="IG415" s="210"/>
      <c r="IH415" s="210"/>
      <c r="II415" s="210"/>
      <c r="IJ415" s="210"/>
      <c r="IK415" s="210"/>
      <c r="IL415" s="210"/>
      <c r="IM415" s="210"/>
      <c r="KW415" s="120"/>
      <c r="LD415" s="210"/>
      <c r="LE415" s="210"/>
      <c r="LF415" s="210"/>
      <c r="LG415" s="210"/>
      <c r="LH415" s="210"/>
      <c r="LI415" s="210"/>
      <c r="LJ415" s="210"/>
      <c r="LK415" s="210"/>
      <c r="LL415" s="210"/>
      <c r="LM415" s="210"/>
      <c r="LN415" s="210"/>
      <c r="LO415" s="210"/>
      <c r="LP415" s="210"/>
      <c r="LQ415" s="210"/>
      <c r="LR415" s="210"/>
      <c r="OB415" s="120"/>
      <c r="OI415" s="210"/>
      <c r="OJ415" s="210"/>
      <c r="OK415" s="210"/>
      <c r="OL415" s="210"/>
      <c r="OM415" s="210"/>
      <c r="ON415" s="210"/>
      <c r="OO415" s="210"/>
      <c r="OP415" s="210"/>
      <c r="OQ415" s="210"/>
      <c r="OR415" s="210"/>
      <c r="OS415" s="210"/>
      <c r="OT415" s="210"/>
      <c r="OU415" s="210"/>
      <c r="OV415" s="210"/>
      <c r="OW415" s="210"/>
      <c r="RG415" s="120"/>
    </row>
    <row r="416" spans="1:475" x14ac:dyDescent="0.3">
      <c r="A416" s="7">
        <v>44</v>
      </c>
      <c r="B416" s="7">
        <v>406</v>
      </c>
      <c r="C416" s="7" t="s">
        <v>346</v>
      </c>
      <c r="D416" s="7" t="s">
        <v>708</v>
      </c>
      <c r="E416" s="7" t="s">
        <v>788</v>
      </c>
      <c r="F416" s="7" t="s">
        <v>274</v>
      </c>
      <c r="G416" s="41" t="str">
        <f t="shared" si="69"/>
        <v>X</v>
      </c>
      <c r="H416" s="41">
        <f>INDEX(환산공식!CI$16:CI$301,MATCH('배치점수 계산기'!$W416,환산공식!$A$16:$A$301,0))</f>
        <v>200</v>
      </c>
      <c r="I416" s="41" t="str">
        <f>CONCATENATE(ROUND(INDEX(환산공식!CJ$16:CJ$301,MATCH('배치점수 계산기'!$W416,환산공식!$A$16:$A$301,0)),1),"%")</f>
        <v>100%</v>
      </c>
      <c r="J416" s="41">
        <f>INDEX(환산공식!CK$16:CK$301,MATCH('배치점수 계산기'!$W416,환산공식!$A$16:$A$301,0))</f>
        <v>200</v>
      </c>
      <c r="K416" s="7">
        <f>INDEX(환산공식!$EF$16:$EF$301,MATCH('배치점수 계산기'!W416,환산공식!$A$16:$A$301,0))</f>
        <v>0</v>
      </c>
      <c r="L416" s="41" t="str">
        <f t="shared" si="67"/>
        <v>1% 이하</v>
      </c>
      <c r="M416" s="7">
        <v>894.13298230208079</v>
      </c>
      <c r="N416" s="7">
        <v>891.83450000000016</v>
      </c>
      <c r="O416" s="7">
        <v>889.86450000000013</v>
      </c>
      <c r="P416" s="7">
        <v>889.06000000000006</v>
      </c>
      <c r="Q416" s="7">
        <v>888.35550000000012</v>
      </c>
      <c r="R416" s="7">
        <f t="shared" si="68"/>
        <v>6</v>
      </c>
      <c r="T416" s="7">
        <f>COUNTIF($C$11:C416,C416)</f>
        <v>171</v>
      </c>
      <c r="U416" s="7" t="str">
        <f t="shared" si="70"/>
        <v>나171</v>
      </c>
      <c r="V416" s="7" t="str">
        <f>INDEX(환산공식!$C$16:$C$301,MATCH('배치점수 계산기'!W416,환산공식!$A$16:$A$301,0))</f>
        <v>건국 자연2</v>
      </c>
      <c r="W416" s="7">
        <f t="shared" si="71"/>
        <v>44</v>
      </c>
      <c r="X416" s="7">
        <f t="shared" si="72"/>
        <v>1</v>
      </c>
      <c r="Y416" s="7">
        <f>IFERROR(INDEX(환산공식!Q$16:Q$200,MATCH($A416,환산공식!$A$16:$A$200,0)),"")</f>
        <v>1</v>
      </c>
      <c r="Z416" s="7">
        <f>IFERROR(INDEX(환산공식!R$16:R$200,MATCH($A416,환산공식!$A$16:$A$200,0)),"")</f>
        <v>1.5</v>
      </c>
      <c r="AA416" s="7">
        <f>IFERROR(INDEX(환산공식!U$16:U$200,MATCH($A416,환산공식!$A$16:$A$200,0)),"")</f>
        <v>1.5</v>
      </c>
      <c r="AB416" s="7">
        <f t="shared" si="73"/>
        <v>0.25</v>
      </c>
      <c r="AC416" s="7">
        <f t="shared" si="74"/>
        <v>0.375</v>
      </c>
      <c r="AD416" s="7">
        <f t="shared" si="75"/>
        <v>0.375</v>
      </c>
      <c r="AE416" s="7">
        <f>INDEX(환산공식!$AF$16:$AF$301,MATCH('배치점수 계산기'!W416,환산공식!$A$16:$A$301,0))</f>
        <v>1</v>
      </c>
      <c r="AF416" s="7">
        <f>INDEX(환산공식!$AP$16:$AP$301,MATCH('배치점수 계산기'!W416,환산공식!$A$16:$A$301,0))</f>
        <v>4</v>
      </c>
      <c r="AG416" s="7" t="str">
        <f t="shared" si="76"/>
        <v>표점</v>
      </c>
      <c r="AH416" s="7" t="str">
        <f t="shared" si="77"/>
        <v>변표</v>
      </c>
      <c r="BO416" s="210"/>
      <c r="BP416" s="210"/>
      <c r="BQ416" s="210"/>
      <c r="BR416" s="210"/>
      <c r="BS416" s="210"/>
      <c r="BT416" s="210"/>
      <c r="BU416" s="210"/>
      <c r="BV416" s="210"/>
      <c r="BW416" s="210"/>
      <c r="BX416" s="210"/>
      <c r="BY416" s="210"/>
      <c r="BZ416" s="210"/>
      <c r="CA416" s="210"/>
      <c r="CB416" s="210"/>
      <c r="CC416" s="210"/>
      <c r="EM416" s="120"/>
      <c r="ET416" s="210"/>
      <c r="EU416" s="210"/>
      <c r="EV416" s="210"/>
      <c r="EW416" s="210"/>
      <c r="EX416" s="210"/>
      <c r="EY416" s="210"/>
      <c r="EZ416" s="210"/>
      <c r="FA416" s="210"/>
      <c r="FB416" s="210"/>
      <c r="FC416" s="210"/>
      <c r="FD416" s="210"/>
      <c r="FE416" s="210"/>
      <c r="FF416" s="210"/>
      <c r="FG416" s="210"/>
      <c r="FH416" s="210"/>
      <c r="HR416" s="120"/>
      <c r="HY416" s="210"/>
      <c r="HZ416" s="210"/>
      <c r="IA416" s="210"/>
      <c r="IB416" s="210"/>
      <c r="IC416" s="210"/>
      <c r="ID416" s="210"/>
      <c r="IE416" s="210"/>
      <c r="IF416" s="210"/>
      <c r="IG416" s="210"/>
      <c r="IH416" s="210"/>
      <c r="II416" s="210"/>
      <c r="IJ416" s="210"/>
      <c r="IK416" s="210"/>
      <c r="IL416" s="210"/>
      <c r="IM416" s="210"/>
      <c r="KW416" s="120"/>
      <c r="LD416" s="210"/>
      <c r="LE416" s="210"/>
      <c r="LF416" s="210"/>
      <c r="LG416" s="210"/>
      <c r="LH416" s="210"/>
      <c r="LI416" s="210"/>
      <c r="LJ416" s="210"/>
      <c r="LK416" s="210"/>
      <c r="LL416" s="210"/>
      <c r="LM416" s="210"/>
      <c r="LN416" s="210"/>
      <c r="LO416" s="210"/>
      <c r="LP416" s="210"/>
      <c r="LQ416" s="210"/>
      <c r="LR416" s="210"/>
      <c r="OB416" s="120"/>
      <c r="OI416" s="210"/>
      <c r="OJ416" s="210"/>
      <c r="OK416" s="210"/>
      <c r="OL416" s="210"/>
      <c r="OM416" s="210"/>
      <c r="ON416" s="210"/>
      <c r="OO416" s="210"/>
      <c r="OP416" s="210"/>
      <c r="OQ416" s="210"/>
      <c r="OR416" s="210"/>
      <c r="OS416" s="210"/>
      <c r="OT416" s="210"/>
      <c r="OU416" s="210"/>
      <c r="OV416" s="210"/>
      <c r="OW416" s="210"/>
      <c r="RG416" s="120"/>
    </row>
    <row r="417" spans="1:475" x14ac:dyDescent="0.3">
      <c r="A417" s="7">
        <v>43</v>
      </c>
      <c r="B417" s="7">
        <v>407</v>
      </c>
      <c r="C417" s="7" t="s">
        <v>276</v>
      </c>
      <c r="D417" s="7" t="s">
        <v>708</v>
      </c>
      <c r="E417" s="7" t="s">
        <v>789</v>
      </c>
      <c r="F417" s="7" t="s">
        <v>274</v>
      </c>
      <c r="G417" s="41" t="str">
        <f t="shared" si="69"/>
        <v>X</v>
      </c>
      <c r="H417" s="41">
        <f>INDEX(환산공식!CI$16:CI$301,MATCH('배치점수 계산기'!$W417,환산공식!$A$16:$A$301,0))</f>
        <v>200</v>
      </c>
      <c r="I417" s="41" t="str">
        <f>CONCATENATE(ROUND(INDEX(환산공식!CJ$16:CJ$301,MATCH('배치점수 계산기'!$W417,환산공식!$A$16:$A$301,0)),1),"%")</f>
        <v>100%</v>
      </c>
      <c r="J417" s="41">
        <f>INDEX(환산공식!CK$16:CK$301,MATCH('배치점수 계산기'!$W417,환산공식!$A$16:$A$301,0))</f>
        <v>200</v>
      </c>
      <c r="K417" s="7">
        <f>INDEX(환산공식!$EF$16:$EF$301,MATCH('배치점수 계산기'!W417,환산공식!$A$16:$A$301,0))</f>
        <v>0</v>
      </c>
      <c r="L417" s="41" t="str">
        <f t="shared" si="67"/>
        <v>1% 이하</v>
      </c>
      <c r="M417" s="7">
        <v>900.10125000000016</v>
      </c>
      <c r="N417" s="7">
        <v>899.08875000000012</v>
      </c>
      <c r="O417" s="7">
        <v>896.77625000000012</v>
      </c>
      <c r="P417" s="7">
        <v>895.35250000000008</v>
      </c>
      <c r="Q417" s="7">
        <v>891.22500000000014</v>
      </c>
      <c r="R417" s="7">
        <f t="shared" si="68"/>
        <v>6</v>
      </c>
      <c r="T417" s="7">
        <f>COUNTIF($C$11:C417,C417)</f>
        <v>223</v>
      </c>
      <c r="U417" s="7" t="str">
        <f t="shared" si="70"/>
        <v>가223</v>
      </c>
      <c r="V417" s="7" t="str">
        <f>INDEX(환산공식!$C$16:$C$301,MATCH('배치점수 계산기'!W417,환산공식!$A$16:$A$301,0))</f>
        <v>건국 자연1</v>
      </c>
      <c r="W417" s="7">
        <f t="shared" si="71"/>
        <v>43</v>
      </c>
      <c r="X417" s="7">
        <f t="shared" si="72"/>
        <v>1</v>
      </c>
      <c r="Y417" s="7">
        <f>IFERROR(INDEX(환산공식!Q$16:Q$200,MATCH($A417,환산공식!$A$16:$A$200,0)),"")</f>
        <v>1</v>
      </c>
      <c r="Z417" s="7">
        <f>IFERROR(INDEX(환산공식!R$16:R$200,MATCH($A417,환산공식!$A$16:$A$200,0)),"")</f>
        <v>1.75</v>
      </c>
      <c r="AA417" s="7">
        <f>IFERROR(INDEX(환산공식!U$16:U$200,MATCH($A417,환산공식!$A$16:$A$200,0)),"")</f>
        <v>1.25</v>
      </c>
      <c r="AB417" s="7">
        <f t="shared" si="73"/>
        <v>0.25</v>
      </c>
      <c r="AC417" s="7">
        <f t="shared" si="74"/>
        <v>0.4375</v>
      </c>
      <c r="AD417" s="7">
        <f t="shared" si="75"/>
        <v>0.3125</v>
      </c>
      <c r="AE417" s="7">
        <f>INDEX(환산공식!$AF$16:$AF$301,MATCH('배치점수 계산기'!W417,환산공식!$A$16:$A$301,0))</f>
        <v>1</v>
      </c>
      <c r="AF417" s="7">
        <f>INDEX(환산공식!$AP$16:$AP$301,MATCH('배치점수 계산기'!W417,환산공식!$A$16:$A$301,0))</f>
        <v>4</v>
      </c>
      <c r="AG417" s="7" t="str">
        <f t="shared" si="76"/>
        <v>표점</v>
      </c>
      <c r="AH417" s="7" t="str">
        <f t="shared" si="77"/>
        <v>변표</v>
      </c>
      <c r="BO417" s="210"/>
      <c r="BP417" s="210"/>
      <c r="BQ417" s="210"/>
      <c r="BR417" s="210"/>
      <c r="BS417" s="210"/>
      <c r="BT417" s="210"/>
      <c r="BU417" s="210"/>
      <c r="BV417" s="210"/>
      <c r="BW417" s="210"/>
      <c r="BX417" s="210"/>
      <c r="BY417" s="210"/>
      <c r="BZ417" s="210"/>
      <c r="CA417" s="210"/>
      <c r="CB417" s="210"/>
      <c r="CC417" s="210"/>
      <c r="EM417" s="120"/>
      <c r="ET417" s="210"/>
      <c r="EU417" s="210"/>
      <c r="EV417" s="210"/>
      <c r="EW417" s="210"/>
      <c r="EX417" s="210"/>
      <c r="EY417" s="210"/>
      <c r="EZ417" s="210"/>
      <c r="FA417" s="210"/>
      <c r="FB417" s="210"/>
      <c r="FC417" s="210"/>
      <c r="FD417" s="210"/>
      <c r="FE417" s="210"/>
      <c r="FF417" s="210"/>
      <c r="FG417" s="210"/>
      <c r="FH417" s="210"/>
      <c r="HR417" s="120"/>
      <c r="HY417" s="210"/>
      <c r="HZ417" s="210"/>
      <c r="IA417" s="210"/>
      <c r="IB417" s="210"/>
      <c r="IC417" s="210"/>
      <c r="ID417" s="210"/>
      <c r="IE417" s="210"/>
      <c r="IF417" s="210"/>
      <c r="IG417" s="210"/>
      <c r="IH417" s="210"/>
      <c r="II417" s="210"/>
      <c r="IJ417" s="210"/>
      <c r="IK417" s="210"/>
      <c r="IL417" s="210"/>
      <c r="IM417" s="210"/>
      <c r="KW417" s="120"/>
      <c r="LD417" s="210"/>
      <c r="LE417" s="210"/>
      <c r="LF417" s="210"/>
      <c r="LG417" s="210"/>
      <c r="LH417" s="210"/>
      <c r="LI417" s="210"/>
      <c r="LJ417" s="210"/>
      <c r="LK417" s="210"/>
      <c r="LL417" s="210"/>
      <c r="LM417" s="210"/>
      <c r="LN417" s="210"/>
      <c r="LO417" s="210"/>
      <c r="LP417" s="210"/>
      <c r="LQ417" s="210"/>
      <c r="LR417" s="210"/>
      <c r="OB417" s="120"/>
      <c r="OI417" s="210"/>
      <c r="OJ417" s="210"/>
      <c r="OK417" s="210"/>
      <c r="OL417" s="210"/>
      <c r="OM417" s="210"/>
      <c r="ON417" s="210"/>
      <c r="OO417" s="210"/>
      <c r="OP417" s="210"/>
      <c r="OQ417" s="210"/>
      <c r="OR417" s="210"/>
      <c r="OS417" s="210"/>
      <c r="OT417" s="210"/>
      <c r="OU417" s="210"/>
      <c r="OV417" s="210"/>
      <c r="OW417" s="210"/>
      <c r="RG417" s="120"/>
    </row>
    <row r="418" spans="1:475" x14ac:dyDescent="0.3">
      <c r="A418" s="7">
        <v>43</v>
      </c>
      <c r="B418" s="7">
        <v>408</v>
      </c>
      <c r="C418" s="7" t="s">
        <v>276</v>
      </c>
      <c r="D418" s="7" t="s">
        <v>708</v>
      </c>
      <c r="E418" s="7" t="s">
        <v>288</v>
      </c>
      <c r="F418" s="7" t="s">
        <v>274</v>
      </c>
      <c r="G418" s="41" t="str">
        <f t="shared" si="69"/>
        <v>X</v>
      </c>
      <c r="H418" s="41">
        <f>INDEX(환산공식!CI$16:CI$301,MATCH('배치점수 계산기'!$W418,환산공식!$A$16:$A$301,0))</f>
        <v>200</v>
      </c>
      <c r="I418" s="41" t="str">
        <f>CONCATENATE(ROUND(INDEX(환산공식!CJ$16:CJ$301,MATCH('배치점수 계산기'!$W418,환산공식!$A$16:$A$301,0)),1),"%")</f>
        <v>100%</v>
      </c>
      <c r="J418" s="41">
        <f>INDEX(환산공식!CK$16:CK$301,MATCH('배치점수 계산기'!$W418,환산공식!$A$16:$A$301,0))</f>
        <v>200</v>
      </c>
      <c r="K418" s="7">
        <f>INDEX(환산공식!$EF$16:$EF$301,MATCH('배치점수 계산기'!W418,환산공식!$A$16:$A$301,0))</f>
        <v>0</v>
      </c>
      <c r="L418" s="41" t="str">
        <f t="shared" si="67"/>
        <v>1% 이하</v>
      </c>
      <c r="M418" s="7">
        <v>902.33750000000009</v>
      </c>
      <c r="N418" s="7">
        <v>901.18000000000018</v>
      </c>
      <c r="O418" s="7">
        <v>899.84750000000008</v>
      </c>
      <c r="P418" s="7">
        <v>896.77625000000012</v>
      </c>
      <c r="Q418" s="7">
        <v>895.35250000000008</v>
      </c>
      <c r="R418" s="7">
        <f t="shared" si="68"/>
        <v>6</v>
      </c>
      <c r="T418" s="7">
        <f>COUNTIF($C$11:C418,C418)</f>
        <v>224</v>
      </c>
      <c r="U418" s="7" t="str">
        <f t="shared" si="70"/>
        <v>가224</v>
      </c>
      <c r="V418" s="7" t="str">
        <f>INDEX(환산공식!$C$16:$C$301,MATCH('배치점수 계산기'!W418,환산공식!$A$16:$A$301,0))</f>
        <v>건국 자연1</v>
      </c>
      <c r="W418" s="7">
        <f t="shared" si="71"/>
        <v>43</v>
      </c>
      <c r="X418" s="7">
        <f t="shared" si="72"/>
        <v>1</v>
      </c>
      <c r="Y418" s="7">
        <f>IFERROR(INDEX(환산공식!Q$16:Q$200,MATCH($A418,환산공식!$A$16:$A$200,0)),"")</f>
        <v>1</v>
      </c>
      <c r="Z418" s="7">
        <f>IFERROR(INDEX(환산공식!R$16:R$200,MATCH($A418,환산공식!$A$16:$A$200,0)),"")</f>
        <v>1.75</v>
      </c>
      <c r="AA418" s="7">
        <f>IFERROR(INDEX(환산공식!U$16:U$200,MATCH($A418,환산공식!$A$16:$A$200,0)),"")</f>
        <v>1.25</v>
      </c>
      <c r="AB418" s="7">
        <f t="shared" si="73"/>
        <v>0.25</v>
      </c>
      <c r="AC418" s="7">
        <f t="shared" si="74"/>
        <v>0.4375</v>
      </c>
      <c r="AD418" s="7">
        <f t="shared" si="75"/>
        <v>0.3125</v>
      </c>
      <c r="AE418" s="7">
        <f>INDEX(환산공식!$AF$16:$AF$301,MATCH('배치점수 계산기'!W418,환산공식!$A$16:$A$301,0))</f>
        <v>1</v>
      </c>
      <c r="AF418" s="7">
        <f>INDEX(환산공식!$AP$16:$AP$301,MATCH('배치점수 계산기'!W418,환산공식!$A$16:$A$301,0))</f>
        <v>4</v>
      </c>
      <c r="AG418" s="7" t="str">
        <f t="shared" si="76"/>
        <v>표점</v>
      </c>
      <c r="AH418" s="7" t="str">
        <f t="shared" si="77"/>
        <v>변표</v>
      </c>
      <c r="BO418" s="210"/>
      <c r="BP418" s="210"/>
      <c r="BQ418" s="210"/>
      <c r="BR418" s="210"/>
      <c r="BS418" s="210"/>
      <c r="BT418" s="210"/>
      <c r="BU418" s="210"/>
      <c r="BV418" s="210"/>
      <c r="BW418" s="210"/>
      <c r="BX418" s="210"/>
      <c r="BY418" s="210"/>
      <c r="BZ418" s="210"/>
      <c r="CA418" s="210"/>
      <c r="CB418" s="210"/>
      <c r="CC418" s="210"/>
      <c r="EM418" s="120"/>
      <c r="ET418" s="210"/>
      <c r="EU418" s="210"/>
      <c r="EV418" s="210"/>
      <c r="EW418" s="210"/>
      <c r="EX418" s="210"/>
      <c r="EY418" s="210"/>
      <c r="EZ418" s="210"/>
      <c r="FA418" s="210"/>
      <c r="FB418" s="210"/>
      <c r="FC418" s="210"/>
      <c r="FD418" s="210"/>
      <c r="FE418" s="210"/>
      <c r="FF418" s="210"/>
      <c r="FG418" s="210"/>
      <c r="FH418" s="210"/>
      <c r="HR418" s="120"/>
      <c r="HY418" s="210"/>
      <c r="HZ418" s="210"/>
      <c r="IA418" s="210"/>
      <c r="IB418" s="210"/>
      <c r="IC418" s="210"/>
      <c r="ID418" s="210"/>
      <c r="IE418" s="210"/>
      <c r="IF418" s="210"/>
      <c r="IG418" s="210"/>
      <c r="IH418" s="210"/>
      <c r="II418" s="210"/>
      <c r="IJ418" s="210"/>
      <c r="IK418" s="210"/>
      <c r="IL418" s="210"/>
      <c r="IM418" s="210"/>
      <c r="KW418" s="120"/>
      <c r="LD418" s="210"/>
      <c r="LE418" s="210"/>
      <c r="LF418" s="210"/>
      <c r="LG418" s="210"/>
      <c r="LH418" s="210"/>
      <c r="LI418" s="210"/>
      <c r="LJ418" s="210"/>
      <c r="LK418" s="210"/>
      <c r="LL418" s="210"/>
      <c r="LM418" s="210"/>
      <c r="LN418" s="210"/>
      <c r="LO418" s="210"/>
      <c r="LP418" s="210"/>
      <c r="LQ418" s="210"/>
      <c r="LR418" s="210"/>
      <c r="OB418" s="120"/>
      <c r="OI418" s="210"/>
      <c r="OJ418" s="210"/>
      <c r="OK418" s="210"/>
      <c r="OL418" s="210"/>
      <c r="OM418" s="210"/>
      <c r="ON418" s="210"/>
      <c r="OO418" s="210"/>
      <c r="OP418" s="210"/>
      <c r="OQ418" s="210"/>
      <c r="OR418" s="210"/>
      <c r="OS418" s="210"/>
      <c r="OT418" s="210"/>
      <c r="OU418" s="210"/>
      <c r="OV418" s="210"/>
      <c r="OW418" s="210"/>
      <c r="RG418" s="120"/>
    </row>
    <row r="419" spans="1:475" x14ac:dyDescent="0.3">
      <c r="A419" s="7">
        <v>43</v>
      </c>
      <c r="B419" s="7">
        <v>409</v>
      </c>
      <c r="C419" s="7" t="s">
        <v>276</v>
      </c>
      <c r="D419" s="7" t="s">
        <v>708</v>
      </c>
      <c r="E419" s="7" t="s">
        <v>252</v>
      </c>
      <c r="F419" s="7" t="s">
        <v>274</v>
      </c>
      <c r="G419" s="41" t="str">
        <f t="shared" si="69"/>
        <v>X</v>
      </c>
      <c r="H419" s="41">
        <f>INDEX(환산공식!CI$16:CI$301,MATCH('배치점수 계산기'!$W419,환산공식!$A$16:$A$301,0))</f>
        <v>200</v>
      </c>
      <c r="I419" s="41" t="str">
        <f>CONCATENATE(ROUND(INDEX(환산공식!CJ$16:CJ$301,MATCH('배치점수 계산기'!$W419,환산공식!$A$16:$A$301,0)),1),"%")</f>
        <v>100%</v>
      </c>
      <c r="J419" s="41">
        <f>INDEX(환산공식!CK$16:CK$301,MATCH('배치점수 계산기'!$W419,환산공식!$A$16:$A$301,0))</f>
        <v>200</v>
      </c>
      <c r="K419" s="7">
        <f>INDEX(환산공식!$EF$16:$EF$301,MATCH('배치점수 계산기'!W419,환산공식!$A$16:$A$301,0))</f>
        <v>0</v>
      </c>
      <c r="L419" s="41" t="str">
        <f t="shared" si="67"/>
        <v>1% 이하</v>
      </c>
      <c r="M419" s="7">
        <v>901.54416265704367</v>
      </c>
      <c r="N419" s="7">
        <v>900.10125000000016</v>
      </c>
      <c r="O419" s="7">
        <v>898.31875000000002</v>
      </c>
      <c r="P419" s="7">
        <v>895.98803195082428</v>
      </c>
      <c r="Q419" s="7">
        <v>890.95</v>
      </c>
      <c r="R419" s="7">
        <f t="shared" si="68"/>
        <v>6</v>
      </c>
      <c r="T419" s="7">
        <f>COUNTIF($C$11:C419,C419)</f>
        <v>225</v>
      </c>
      <c r="U419" s="7" t="str">
        <f t="shared" si="70"/>
        <v>가225</v>
      </c>
      <c r="V419" s="7" t="str">
        <f>INDEX(환산공식!$C$16:$C$301,MATCH('배치점수 계산기'!W419,환산공식!$A$16:$A$301,0))</f>
        <v>건국 자연1</v>
      </c>
      <c r="W419" s="7">
        <f t="shared" si="71"/>
        <v>43</v>
      </c>
      <c r="X419" s="7">
        <f t="shared" si="72"/>
        <v>1</v>
      </c>
      <c r="Y419" s="7">
        <f>IFERROR(INDEX(환산공식!Q$16:Q$200,MATCH($A419,환산공식!$A$16:$A$200,0)),"")</f>
        <v>1</v>
      </c>
      <c r="Z419" s="7">
        <f>IFERROR(INDEX(환산공식!R$16:R$200,MATCH($A419,환산공식!$A$16:$A$200,0)),"")</f>
        <v>1.75</v>
      </c>
      <c r="AA419" s="7">
        <f>IFERROR(INDEX(환산공식!U$16:U$200,MATCH($A419,환산공식!$A$16:$A$200,0)),"")</f>
        <v>1.25</v>
      </c>
      <c r="AB419" s="7">
        <f t="shared" si="73"/>
        <v>0.25</v>
      </c>
      <c r="AC419" s="7">
        <f t="shared" si="74"/>
        <v>0.4375</v>
      </c>
      <c r="AD419" s="7">
        <f t="shared" si="75"/>
        <v>0.3125</v>
      </c>
      <c r="AE419" s="7">
        <f>INDEX(환산공식!$AF$16:$AF$301,MATCH('배치점수 계산기'!W419,환산공식!$A$16:$A$301,0))</f>
        <v>1</v>
      </c>
      <c r="AF419" s="7">
        <f>INDEX(환산공식!$AP$16:$AP$301,MATCH('배치점수 계산기'!W419,환산공식!$A$16:$A$301,0))</f>
        <v>4</v>
      </c>
      <c r="AG419" s="7" t="str">
        <f t="shared" si="76"/>
        <v>표점</v>
      </c>
      <c r="AH419" s="7" t="str">
        <f t="shared" si="77"/>
        <v>변표</v>
      </c>
      <c r="BO419" s="210"/>
      <c r="BP419" s="210"/>
      <c r="BQ419" s="210"/>
      <c r="BR419" s="210"/>
      <c r="BS419" s="210"/>
      <c r="BT419" s="210"/>
      <c r="BU419" s="210"/>
      <c r="BV419" s="210"/>
      <c r="BW419" s="210"/>
      <c r="BX419" s="210"/>
      <c r="BY419" s="210"/>
      <c r="BZ419" s="210"/>
      <c r="CA419" s="210"/>
      <c r="CB419" s="210"/>
      <c r="CC419" s="210"/>
      <c r="EM419" s="120"/>
      <c r="ET419" s="210"/>
      <c r="EU419" s="210"/>
      <c r="EV419" s="210"/>
      <c r="EW419" s="210"/>
      <c r="EX419" s="210"/>
      <c r="EY419" s="210"/>
      <c r="EZ419" s="210"/>
      <c r="FA419" s="210"/>
      <c r="FB419" s="210"/>
      <c r="FC419" s="210"/>
      <c r="FD419" s="210"/>
      <c r="FE419" s="210"/>
      <c r="FF419" s="210"/>
      <c r="FG419" s="210"/>
      <c r="FH419" s="210"/>
      <c r="HR419" s="120"/>
      <c r="HY419" s="210"/>
      <c r="HZ419" s="210"/>
      <c r="IA419" s="210"/>
      <c r="IB419" s="210"/>
      <c r="IC419" s="210"/>
      <c r="ID419" s="210"/>
      <c r="IE419" s="210"/>
      <c r="IF419" s="210"/>
      <c r="IG419" s="210"/>
      <c r="IH419" s="210"/>
      <c r="II419" s="210"/>
      <c r="IJ419" s="210"/>
      <c r="IK419" s="210"/>
      <c r="IL419" s="210"/>
      <c r="IM419" s="210"/>
      <c r="KW419" s="120"/>
      <c r="LD419" s="210"/>
      <c r="LE419" s="210"/>
      <c r="LF419" s="210"/>
      <c r="LG419" s="210"/>
      <c r="LH419" s="210"/>
      <c r="LI419" s="210"/>
      <c r="LJ419" s="210"/>
      <c r="LK419" s="210"/>
      <c r="LL419" s="210"/>
      <c r="LM419" s="210"/>
      <c r="LN419" s="210"/>
      <c r="LO419" s="210"/>
      <c r="LP419" s="210"/>
      <c r="LQ419" s="210"/>
      <c r="LR419" s="210"/>
      <c r="OB419" s="120"/>
      <c r="OI419" s="210"/>
      <c r="OJ419" s="210"/>
      <c r="OK419" s="210"/>
      <c r="OL419" s="210"/>
      <c r="OM419" s="210"/>
      <c r="ON419" s="210"/>
      <c r="OO419" s="210"/>
      <c r="OP419" s="210"/>
      <c r="OQ419" s="210"/>
      <c r="OR419" s="210"/>
      <c r="OS419" s="210"/>
      <c r="OT419" s="210"/>
      <c r="OU419" s="210"/>
      <c r="OV419" s="210"/>
      <c r="OW419" s="210"/>
      <c r="RG419" s="120"/>
    </row>
    <row r="420" spans="1:475" x14ac:dyDescent="0.3">
      <c r="A420" s="7">
        <v>44</v>
      </c>
      <c r="B420" s="7">
        <v>410</v>
      </c>
      <c r="C420" s="7" t="s">
        <v>346</v>
      </c>
      <c r="D420" s="7" t="s">
        <v>708</v>
      </c>
      <c r="E420" s="7" t="s">
        <v>790</v>
      </c>
      <c r="F420" s="7" t="s">
        <v>274</v>
      </c>
      <c r="G420" s="41" t="str">
        <f t="shared" si="69"/>
        <v>X</v>
      </c>
      <c r="H420" s="41">
        <f>INDEX(환산공식!CI$16:CI$301,MATCH('배치점수 계산기'!$W420,환산공식!$A$16:$A$301,0))</f>
        <v>200</v>
      </c>
      <c r="I420" s="41" t="str">
        <f>CONCATENATE(ROUND(INDEX(환산공식!CJ$16:CJ$301,MATCH('배치점수 계산기'!$W420,환산공식!$A$16:$A$301,0)),1),"%")</f>
        <v>100%</v>
      </c>
      <c r="J420" s="41">
        <f>INDEX(환산공식!CK$16:CK$301,MATCH('배치점수 계산기'!$W420,환산공식!$A$16:$A$301,0))</f>
        <v>200</v>
      </c>
      <c r="K420" s="7">
        <f>INDEX(환산공식!$EF$16:$EF$301,MATCH('배치점수 계산기'!W420,환산공식!$A$16:$A$301,0))</f>
        <v>0</v>
      </c>
      <c r="L420" s="41" t="str">
        <f t="shared" si="67"/>
        <v>1% 이하</v>
      </c>
      <c r="M420" s="7">
        <v>897.60700000000008</v>
      </c>
      <c r="N420" s="7">
        <v>895.09150000000022</v>
      </c>
      <c r="O420" s="7">
        <v>893.66300000000012</v>
      </c>
      <c r="P420" s="7">
        <v>890.48449564270163</v>
      </c>
      <c r="Q420" s="7">
        <v>888.64005017774139</v>
      </c>
      <c r="R420" s="7">
        <f t="shared" si="68"/>
        <v>6</v>
      </c>
      <c r="T420" s="7">
        <f>COUNTIF($C$11:C420,C420)</f>
        <v>172</v>
      </c>
      <c r="U420" s="7" t="str">
        <f t="shared" si="70"/>
        <v>나172</v>
      </c>
      <c r="V420" s="7" t="str">
        <f>INDEX(환산공식!$C$16:$C$301,MATCH('배치점수 계산기'!W420,환산공식!$A$16:$A$301,0))</f>
        <v>건국 자연2</v>
      </c>
      <c r="W420" s="7">
        <f t="shared" si="71"/>
        <v>44</v>
      </c>
      <c r="X420" s="7">
        <f t="shared" si="72"/>
        <v>1</v>
      </c>
      <c r="Y420" s="7">
        <f>IFERROR(INDEX(환산공식!Q$16:Q$200,MATCH($A420,환산공식!$A$16:$A$200,0)),"")</f>
        <v>1</v>
      </c>
      <c r="Z420" s="7">
        <f>IFERROR(INDEX(환산공식!R$16:R$200,MATCH($A420,환산공식!$A$16:$A$200,0)),"")</f>
        <v>1.5</v>
      </c>
      <c r="AA420" s="7">
        <f>IFERROR(INDEX(환산공식!U$16:U$200,MATCH($A420,환산공식!$A$16:$A$200,0)),"")</f>
        <v>1.5</v>
      </c>
      <c r="AB420" s="7">
        <f t="shared" si="73"/>
        <v>0.25</v>
      </c>
      <c r="AC420" s="7">
        <f t="shared" si="74"/>
        <v>0.375</v>
      </c>
      <c r="AD420" s="7">
        <f t="shared" si="75"/>
        <v>0.375</v>
      </c>
      <c r="AE420" s="7">
        <f>INDEX(환산공식!$AF$16:$AF$301,MATCH('배치점수 계산기'!W420,환산공식!$A$16:$A$301,0))</f>
        <v>1</v>
      </c>
      <c r="AF420" s="7">
        <f>INDEX(환산공식!$AP$16:$AP$301,MATCH('배치점수 계산기'!W420,환산공식!$A$16:$A$301,0))</f>
        <v>4</v>
      </c>
      <c r="AG420" s="7" t="str">
        <f t="shared" si="76"/>
        <v>표점</v>
      </c>
      <c r="AH420" s="7" t="str">
        <f t="shared" si="77"/>
        <v>변표</v>
      </c>
      <c r="BO420" s="210"/>
      <c r="BP420" s="210"/>
      <c r="BQ420" s="210"/>
      <c r="BR420" s="210"/>
      <c r="BS420" s="210"/>
      <c r="BT420" s="210"/>
      <c r="BU420" s="210"/>
      <c r="BV420" s="210"/>
      <c r="BW420" s="210"/>
      <c r="BX420" s="210"/>
      <c r="BY420" s="210"/>
      <c r="BZ420" s="210"/>
      <c r="CA420" s="210"/>
      <c r="CB420" s="210"/>
      <c r="CC420" s="210"/>
      <c r="EM420" s="120"/>
      <c r="ET420" s="210"/>
      <c r="EU420" s="210"/>
      <c r="EV420" s="210"/>
      <c r="EW420" s="210"/>
      <c r="EX420" s="210"/>
      <c r="EY420" s="210"/>
      <c r="EZ420" s="210"/>
      <c r="FA420" s="210"/>
      <c r="FB420" s="210"/>
      <c r="FC420" s="210"/>
      <c r="FD420" s="210"/>
      <c r="FE420" s="210"/>
      <c r="FF420" s="210"/>
      <c r="FG420" s="210"/>
      <c r="FH420" s="210"/>
      <c r="HR420" s="120"/>
      <c r="HY420" s="210"/>
      <c r="HZ420" s="210"/>
      <c r="IA420" s="210"/>
      <c r="IB420" s="210"/>
      <c r="IC420" s="210"/>
      <c r="ID420" s="210"/>
      <c r="IE420" s="210"/>
      <c r="IF420" s="210"/>
      <c r="IG420" s="210"/>
      <c r="IH420" s="210"/>
      <c r="II420" s="210"/>
      <c r="IJ420" s="210"/>
      <c r="IK420" s="210"/>
      <c r="IL420" s="210"/>
      <c r="IM420" s="210"/>
      <c r="KW420" s="120"/>
      <c r="LD420" s="210"/>
      <c r="LE420" s="210"/>
      <c r="LF420" s="210"/>
      <c r="LG420" s="210"/>
      <c r="LH420" s="210"/>
      <c r="LI420" s="210"/>
      <c r="LJ420" s="210"/>
      <c r="LK420" s="210"/>
      <c r="LL420" s="210"/>
      <c r="LM420" s="210"/>
      <c r="LN420" s="210"/>
      <c r="LO420" s="210"/>
      <c r="LP420" s="210"/>
      <c r="LQ420" s="210"/>
      <c r="LR420" s="210"/>
      <c r="OB420" s="120"/>
      <c r="OI420" s="210"/>
      <c r="OJ420" s="210"/>
      <c r="OK420" s="210"/>
      <c r="OL420" s="210"/>
      <c r="OM420" s="210"/>
      <c r="ON420" s="210"/>
      <c r="OO420" s="210"/>
      <c r="OP420" s="210"/>
      <c r="OQ420" s="210"/>
      <c r="OR420" s="210"/>
      <c r="OS420" s="210"/>
      <c r="OT420" s="210"/>
      <c r="OU420" s="210"/>
      <c r="OV420" s="210"/>
      <c r="OW420" s="210"/>
      <c r="RG420" s="120"/>
    </row>
    <row r="421" spans="1:475" x14ac:dyDescent="0.3">
      <c r="A421" s="7">
        <v>43</v>
      </c>
      <c r="B421" s="7">
        <v>411</v>
      </c>
      <c r="C421" s="7" t="s">
        <v>346</v>
      </c>
      <c r="D421" s="7" t="s">
        <v>708</v>
      </c>
      <c r="E421" s="7" t="s">
        <v>292</v>
      </c>
      <c r="F421" s="7" t="s">
        <v>274</v>
      </c>
      <c r="G421" s="41" t="str">
        <f t="shared" si="69"/>
        <v>X</v>
      </c>
      <c r="H421" s="41">
        <f>INDEX(환산공식!CI$16:CI$301,MATCH('배치점수 계산기'!$W421,환산공식!$A$16:$A$301,0))</f>
        <v>200</v>
      </c>
      <c r="I421" s="41" t="str">
        <f>CONCATENATE(ROUND(INDEX(환산공식!CJ$16:CJ$301,MATCH('배치점수 계산기'!$W421,환산공식!$A$16:$A$301,0)),1),"%")</f>
        <v>100%</v>
      </c>
      <c r="J421" s="41">
        <f>INDEX(환산공식!CK$16:CK$301,MATCH('배치점수 계산기'!$W421,환산공식!$A$16:$A$301,0))</f>
        <v>200</v>
      </c>
      <c r="K421" s="7">
        <f>INDEX(환산공식!$EF$16:$EF$301,MATCH('배치점수 계산기'!W421,환산공식!$A$16:$A$301,0))</f>
        <v>0</v>
      </c>
      <c r="L421" s="41" t="str">
        <f t="shared" si="67"/>
        <v>1% 이하</v>
      </c>
      <c r="M421" s="7">
        <v>902.00586094042228</v>
      </c>
      <c r="N421" s="7">
        <v>900.7962500000001</v>
      </c>
      <c r="O421" s="7">
        <v>899.47250000000008</v>
      </c>
      <c r="P421" s="7">
        <v>895.98803195082428</v>
      </c>
      <c r="Q421" s="7">
        <v>891.22500000000014</v>
      </c>
      <c r="R421" s="7">
        <f t="shared" si="68"/>
        <v>6</v>
      </c>
      <c r="T421" s="7">
        <f>COUNTIF($C$11:C421,C421)</f>
        <v>173</v>
      </c>
      <c r="U421" s="7" t="str">
        <f t="shared" si="70"/>
        <v>나173</v>
      </c>
      <c r="V421" s="7" t="str">
        <f>INDEX(환산공식!$C$16:$C$301,MATCH('배치점수 계산기'!W421,환산공식!$A$16:$A$301,0))</f>
        <v>건국 자연1</v>
      </c>
      <c r="W421" s="7">
        <f t="shared" si="71"/>
        <v>43</v>
      </c>
      <c r="X421" s="7">
        <f t="shared" si="72"/>
        <v>1</v>
      </c>
      <c r="Y421" s="7">
        <f>IFERROR(INDEX(환산공식!Q$16:Q$200,MATCH($A421,환산공식!$A$16:$A$200,0)),"")</f>
        <v>1</v>
      </c>
      <c r="Z421" s="7">
        <f>IFERROR(INDEX(환산공식!R$16:R$200,MATCH($A421,환산공식!$A$16:$A$200,0)),"")</f>
        <v>1.75</v>
      </c>
      <c r="AA421" s="7">
        <f>IFERROR(INDEX(환산공식!U$16:U$200,MATCH($A421,환산공식!$A$16:$A$200,0)),"")</f>
        <v>1.25</v>
      </c>
      <c r="AB421" s="7">
        <f t="shared" si="73"/>
        <v>0.25</v>
      </c>
      <c r="AC421" s="7">
        <f t="shared" si="74"/>
        <v>0.4375</v>
      </c>
      <c r="AD421" s="7">
        <f t="shared" si="75"/>
        <v>0.3125</v>
      </c>
      <c r="AE421" s="7">
        <f>INDEX(환산공식!$AF$16:$AF$301,MATCH('배치점수 계산기'!W421,환산공식!$A$16:$A$301,0))</f>
        <v>1</v>
      </c>
      <c r="AF421" s="7">
        <f>INDEX(환산공식!$AP$16:$AP$301,MATCH('배치점수 계산기'!W421,환산공식!$A$16:$A$301,0))</f>
        <v>4</v>
      </c>
      <c r="AG421" s="7" t="str">
        <f t="shared" si="76"/>
        <v>표점</v>
      </c>
      <c r="AH421" s="7" t="str">
        <f t="shared" si="77"/>
        <v>변표</v>
      </c>
      <c r="BO421" s="210"/>
      <c r="BP421" s="210"/>
      <c r="BQ421" s="210"/>
      <c r="BR421" s="210"/>
      <c r="BS421" s="210"/>
      <c r="BT421" s="210"/>
      <c r="BU421" s="210"/>
      <c r="BV421" s="210"/>
      <c r="BW421" s="210"/>
      <c r="BX421" s="210"/>
      <c r="BY421" s="210"/>
      <c r="BZ421" s="210"/>
      <c r="CA421" s="210"/>
      <c r="CB421" s="210"/>
      <c r="CC421" s="210"/>
      <c r="EM421" s="120"/>
      <c r="ET421" s="210"/>
      <c r="EU421" s="210"/>
      <c r="EV421" s="210"/>
      <c r="EW421" s="210"/>
      <c r="EX421" s="210"/>
      <c r="EY421" s="210"/>
      <c r="EZ421" s="210"/>
      <c r="FA421" s="210"/>
      <c r="FB421" s="210"/>
      <c r="FC421" s="210"/>
      <c r="FD421" s="210"/>
      <c r="FE421" s="210"/>
      <c r="FF421" s="210"/>
      <c r="FG421" s="210"/>
      <c r="FH421" s="210"/>
      <c r="HR421" s="120"/>
      <c r="HY421" s="210"/>
      <c r="HZ421" s="210"/>
      <c r="IA421" s="210"/>
      <c r="IB421" s="210"/>
      <c r="IC421" s="210"/>
      <c r="ID421" s="210"/>
      <c r="IE421" s="210"/>
      <c r="IF421" s="210"/>
      <c r="IG421" s="210"/>
      <c r="IH421" s="210"/>
      <c r="II421" s="210"/>
      <c r="IJ421" s="210"/>
      <c r="IK421" s="210"/>
      <c r="IL421" s="210"/>
      <c r="IM421" s="210"/>
      <c r="KW421" s="120"/>
      <c r="LD421" s="210"/>
      <c r="LE421" s="210"/>
      <c r="LF421" s="210"/>
      <c r="LG421" s="210"/>
      <c r="LH421" s="210"/>
      <c r="LI421" s="210"/>
      <c r="LJ421" s="210"/>
      <c r="LK421" s="210"/>
      <c r="LL421" s="210"/>
      <c r="LM421" s="210"/>
      <c r="LN421" s="210"/>
      <c r="LO421" s="210"/>
      <c r="LP421" s="210"/>
      <c r="LQ421" s="210"/>
      <c r="LR421" s="210"/>
      <c r="OB421" s="120"/>
      <c r="OI421" s="210"/>
      <c r="OJ421" s="210"/>
      <c r="OK421" s="210"/>
      <c r="OL421" s="210"/>
      <c r="OM421" s="210"/>
      <c r="ON421" s="210"/>
      <c r="OO421" s="210"/>
      <c r="OP421" s="210"/>
      <c r="OQ421" s="210"/>
      <c r="OR421" s="210"/>
      <c r="OS421" s="210"/>
      <c r="OT421" s="210"/>
      <c r="OU421" s="210"/>
      <c r="OV421" s="210"/>
      <c r="OW421" s="210"/>
      <c r="RG421" s="120"/>
    </row>
    <row r="422" spans="1:475" x14ac:dyDescent="0.3">
      <c r="A422" s="7">
        <v>44</v>
      </c>
      <c r="B422" s="7">
        <v>412</v>
      </c>
      <c r="C422" s="7" t="s">
        <v>346</v>
      </c>
      <c r="D422" s="7" t="s">
        <v>708</v>
      </c>
      <c r="E422" s="7" t="s">
        <v>791</v>
      </c>
      <c r="F422" s="7" t="s">
        <v>274</v>
      </c>
      <c r="G422" s="41" t="str">
        <f t="shared" si="69"/>
        <v>X</v>
      </c>
      <c r="H422" s="41">
        <f>INDEX(환산공식!CI$16:CI$301,MATCH('배치점수 계산기'!$W422,환산공식!$A$16:$A$301,0))</f>
        <v>200</v>
      </c>
      <c r="I422" s="41" t="str">
        <f>CONCATENATE(ROUND(INDEX(환산공식!CJ$16:CJ$301,MATCH('배치점수 계산기'!$W422,환산공식!$A$16:$A$301,0)),1),"%")</f>
        <v>100%</v>
      </c>
      <c r="J422" s="41">
        <f>INDEX(환산공식!CK$16:CK$301,MATCH('배치점수 계산기'!$W422,환산공식!$A$16:$A$301,0))</f>
        <v>200</v>
      </c>
      <c r="K422" s="7">
        <f>INDEX(환산공식!$EF$16:$EF$301,MATCH('배치점수 계산기'!W422,환산공식!$A$16:$A$301,0))</f>
        <v>0</v>
      </c>
      <c r="L422" s="41" t="str">
        <f t="shared" si="67"/>
        <v>1% 이하</v>
      </c>
      <c r="M422" s="7">
        <v>896.50250000000005</v>
      </c>
      <c r="N422" s="7">
        <v>894.33298230208072</v>
      </c>
      <c r="O422" s="7">
        <v>892.03450000000021</v>
      </c>
      <c r="P422" s="7">
        <v>889.5100000000001</v>
      </c>
      <c r="Q422" s="7">
        <v>888.55550000000005</v>
      </c>
      <c r="R422" s="7">
        <f t="shared" si="68"/>
        <v>6</v>
      </c>
      <c r="T422" s="7">
        <f>COUNTIF($C$11:C422,C422)</f>
        <v>174</v>
      </c>
      <c r="U422" s="7" t="str">
        <f t="shared" si="70"/>
        <v>나174</v>
      </c>
      <c r="V422" s="7" t="str">
        <f>INDEX(환산공식!$C$16:$C$301,MATCH('배치점수 계산기'!W422,환산공식!$A$16:$A$301,0))</f>
        <v>건국 자연2</v>
      </c>
      <c r="W422" s="7">
        <f t="shared" si="71"/>
        <v>44</v>
      </c>
      <c r="X422" s="7">
        <f t="shared" si="72"/>
        <v>1</v>
      </c>
      <c r="Y422" s="7">
        <f>IFERROR(INDEX(환산공식!Q$16:Q$200,MATCH($A422,환산공식!$A$16:$A$200,0)),"")</f>
        <v>1</v>
      </c>
      <c r="Z422" s="7">
        <f>IFERROR(INDEX(환산공식!R$16:R$200,MATCH($A422,환산공식!$A$16:$A$200,0)),"")</f>
        <v>1.5</v>
      </c>
      <c r="AA422" s="7">
        <f>IFERROR(INDEX(환산공식!U$16:U$200,MATCH($A422,환산공식!$A$16:$A$200,0)),"")</f>
        <v>1.5</v>
      </c>
      <c r="AB422" s="7">
        <f t="shared" si="73"/>
        <v>0.25</v>
      </c>
      <c r="AC422" s="7">
        <f t="shared" si="74"/>
        <v>0.375</v>
      </c>
      <c r="AD422" s="7">
        <f t="shared" si="75"/>
        <v>0.375</v>
      </c>
      <c r="AE422" s="7">
        <f>INDEX(환산공식!$AF$16:$AF$301,MATCH('배치점수 계산기'!W422,환산공식!$A$16:$A$301,0))</f>
        <v>1</v>
      </c>
      <c r="AF422" s="7">
        <f>INDEX(환산공식!$AP$16:$AP$301,MATCH('배치점수 계산기'!W422,환산공식!$A$16:$A$301,0))</f>
        <v>4</v>
      </c>
      <c r="AG422" s="7" t="str">
        <f t="shared" si="76"/>
        <v>표점</v>
      </c>
      <c r="AH422" s="7" t="str">
        <f t="shared" si="77"/>
        <v>변표</v>
      </c>
      <c r="BO422" s="210"/>
      <c r="BP422" s="210"/>
      <c r="BQ422" s="210"/>
      <c r="BR422" s="210"/>
      <c r="BS422" s="210"/>
      <c r="BT422" s="210"/>
      <c r="BU422" s="210"/>
      <c r="BV422" s="210"/>
      <c r="BW422" s="210"/>
      <c r="BX422" s="210"/>
      <c r="BY422" s="210"/>
      <c r="BZ422" s="210"/>
      <c r="CA422" s="210"/>
      <c r="CB422" s="210"/>
      <c r="CC422" s="210"/>
      <c r="EM422" s="120"/>
      <c r="ET422" s="210"/>
      <c r="EU422" s="210"/>
      <c r="EV422" s="210"/>
      <c r="EW422" s="210"/>
      <c r="EX422" s="210"/>
      <c r="EY422" s="210"/>
      <c r="EZ422" s="210"/>
      <c r="FA422" s="210"/>
      <c r="FB422" s="210"/>
      <c r="FC422" s="210"/>
      <c r="FD422" s="210"/>
      <c r="FE422" s="210"/>
      <c r="FF422" s="210"/>
      <c r="FG422" s="210"/>
      <c r="FH422" s="210"/>
      <c r="HR422" s="120"/>
      <c r="HY422" s="210"/>
      <c r="HZ422" s="210"/>
      <c r="IA422" s="210"/>
      <c r="IB422" s="210"/>
      <c r="IC422" s="210"/>
      <c r="ID422" s="210"/>
      <c r="IE422" s="210"/>
      <c r="IF422" s="210"/>
      <c r="IG422" s="210"/>
      <c r="IH422" s="210"/>
      <c r="II422" s="210"/>
      <c r="IJ422" s="210"/>
      <c r="IK422" s="210"/>
      <c r="IL422" s="210"/>
      <c r="IM422" s="210"/>
      <c r="KW422" s="120"/>
      <c r="LD422" s="210"/>
      <c r="LE422" s="210"/>
      <c r="LF422" s="210"/>
      <c r="LG422" s="210"/>
      <c r="LH422" s="210"/>
      <c r="LI422" s="210"/>
      <c r="LJ422" s="210"/>
      <c r="LK422" s="210"/>
      <c r="LL422" s="210"/>
      <c r="LM422" s="210"/>
      <c r="LN422" s="210"/>
      <c r="LO422" s="210"/>
      <c r="LP422" s="210"/>
      <c r="LQ422" s="210"/>
      <c r="LR422" s="210"/>
      <c r="OB422" s="120"/>
      <c r="OI422" s="210"/>
      <c r="OJ422" s="210"/>
      <c r="OK422" s="210"/>
      <c r="OL422" s="210"/>
      <c r="OM422" s="210"/>
      <c r="ON422" s="210"/>
      <c r="OO422" s="210"/>
      <c r="OP422" s="210"/>
      <c r="OQ422" s="210"/>
      <c r="OR422" s="210"/>
      <c r="OS422" s="210"/>
      <c r="OT422" s="210"/>
      <c r="OU422" s="210"/>
      <c r="OV422" s="210"/>
      <c r="OW422" s="210"/>
      <c r="RG422" s="120"/>
    </row>
    <row r="423" spans="1:475" x14ac:dyDescent="0.3">
      <c r="A423" s="7">
        <v>45</v>
      </c>
      <c r="B423" s="7">
        <v>413</v>
      </c>
      <c r="C423" s="7" t="s">
        <v>378</v>
      </c>
      <c r="D423" s="7" t="s">
        <v>708</v>
      </c>
      <c r="E423" s="7" t="s">
        <v>335</v>
      </c>
      <c r="F423" s="7" t="s">
        <v>275</v>
      </c>
      <c r="G423" s="41" t="str">
        <f t="shared" si="69"/>
        <v>X</v>
      </c>
      <c r="H423" s="41">
        <f>INDEX(환산공식!CI$16:CI$301,MATCH('배치점수 계산기'!$W423,환산공식!$A$16:$A$301,0))</f>
        <v>200</v>
      </c>
      <c r="I423" s="41" t="str">
        <f>CONCATENATE(ROUND(INDEX(환산공식!CJ$16:CJ$301,MATCH('배치점수 계산기'!$W423,환산공식!$A$16:$A$301,0)),1),"%")</f>
        <v>100%</v>
      </c>
      <c r="J423" s="41">
        <f>INDEX(환산공식!CK$16:CK$301,MATCH('배치점수 계산기'!$W423,환산공식!$A$16:$A$301,0))</f>
        <v>200</v>
      </c>
      <c r="K423" s="7">
        <f>INDEX(환산공식!$EF$16:$EF$301,MATCH('배치점수 계산기'!W423,환산공식!$A$16:$A$301,0))</f>
        <v>0</v>
      </c>
      <c r="L423" s="41" t="str">
        <f t="shared" si="67"/>
        <v>1% 이하</v>
      </c>
      <c r="M423" s="7">
        <v>897.7187761114086</v>
      </c>
      <c r="N423" s="7">
        <v>896.8024999999999</v>
      </c>
      <c r="O423" s="7">
        <v>895.35749999999996</v>
      </c>
      <c r="P423" s="7">
        <v>890.38092144604514</v>
      </c>
      <c r="Q423" s="7">
        <v>885.06073234405062</v>
      </c>
      <c r="R423" s="7">
        <f t="shared" si="68"/>
        <v>6</v>
      </c>
      <c r="T423" s="7">
        <f>COUNTIF($C$11:C423,C423)</f>
        <v>14</v>
      </c>
      <c r="U423" s="7" t="str">
        <f t="shared" si="70"/>
        <v>다14</v>
      </c>
      <c r="V423" s="7" t="str">
        <f>INDEX(환산공식!$C$16:$C$301,MATCH('배치점수 계산기'!W423,환산공식!$A$16:$A$301,0))</f>
        <v>건국 통합1</v>
      </c>
      <c r="W423" s="7">
        <f t="shared" si="71"/>
        <v>45</v>
      </c>
      <c r="X423" s="7">
        <f t="shared" si="72"/>
        <v>1</v>
      </c>
      <c r="Y423" s="7">
        <f>IFERROR(INDEX(환산공식!Q$16:Q$200,MATCH($A423,환산공식!$A$16:$A$200,0)),"")</f>
        <v>1.5</v>
      </c>
      <c r="Z423" s="7">
        <f>IFERROR(INDEX(환산공식!R$16:R$200,MATCH($A423,환산공식!$A$16:$A$200,0)),"")</f>
        <v>1.25</v>
      </c>
      <c r="AA423" s="7">
        <f>IFERROR(INDEX(환산공식!U$16:U$200,MATCH($A423,환산공식!$A$16:$A$200,0)),"")</f>
        <v>1.25</v>
      </c>
      <c r="AB423" s="7">
        <f t="shared" si="73"/>
        <v>0.375</v>
      </c>
      <c r="AC423" s="7">
        <f t="shared" si="74"/>
        <v>0.3125</v>
      </c>
      <c r="AD423" s="7">
        <f t="shared" si="75"/>
        <v>0.3125</v>
      </c>
      <c r="AE423" s="7">
        <f>INDEX(환산공식!$AF$16:$AF$301,MATCH('배치점수 계산기'!W423,환산공식!$A$16:$A$301,0))</f>
        <v>1</v>
      </c>
      <c r="AF423" s="7">
        <f>INDEX(환산공식!$AP$16:$AP$301,MATCH('배치점수 계산기'!W423,환산공식!$A$16:$A$301,0))</f>
        <v>4</v>
      </c>
      <c r="AG423" s="7" t="str">
        <f t="shared" si="76"/>
        <v>표점</v>
      </c>
      <c r="AH423" s="7" t="str">
        <f t="shared" si="77"/>
        <v>변표</v>
      </c>
      <c r="BO423" s="210"/>
      <c r="BP423" s="210"/>
      <c r="BQ423" s="210"/>
      <c r="BR423" s="210"/>
      <c r="BS423" s="210"/>
      <c r="BT423" s="210"/>
      <c r="BU423" s="210"/>
      <c r="BV423" s="210"/>
      <c r="BW423" s="210"/>
      <c r="BX423" s="210"/>
      <c r="BY423" s="210"/>
      <c r="BZ423" s="210"/>
      <c r="CA423" s="210"/>
      <c r="CB423" s="210"/>
      <c r="CC423" s="210"/>
      <c r="EM423" s="120"/>
      <c r="ET423" s="210"/>
      <c r="EU423" s="210"/>
      <c r="EV423" s="210"/>
      <c r="EW423" s="210"/>
      <c r="EX423" s="210"/>
      <c r="EY423" s="210"/>
      <c r="EZ423" s="210"/>
      <c r="FA423" s="210"/>
      <c r="FB423" s="210"/>
      <c r="FC423" s="210"/>
      <c r="FD423" s="210"/>
      <c r="FE423" s="210"/>
      <c r="FF423" s="210"/>
      <c r="FG423" s="210"/>
      <c r="FH423" s="210"/>
      <c r="HR423" s="120"/>
      <c r="HY423" s="210"/>
      <c r="HZ423" s="210"/>
      <c r="IA423" s="210"/>
      <c r="IB423" s="210"/>
      <c r="IC423" s="210"/>
      <c r="ID423" s="210"/>
      <c r="IE423" s="210"/>
      <c r="IF423" s="210"/>
      <c r="IG423" s="210"/>
      <c r="IH423" s="210"/>
      <c r="II423" s="210"/>
      <c r="IJ423" s="210"/>
      <c r="IK423" s="210"/>
      <c r="IL423" s="210"/>
      <c r="IM423" s="210"/>
      <c r="KW423" s="120"/>
      <c r="LD423" s="210"/>
      <c r="LE423" s="210"/>
      <c r="LF423" s="210"/>
      <c r="LG423" s="210"/>
      <c r="LH423" s="210"/>
      <c r="LI423" s="210"/>
      <c r="LJ423" s="210"/>
      <c r="LK423" s="210"/>
      <c r="LL423" s="210"/>
      <c r="LM423" s="210"/>
      <c r="LN423" s="210"/>
      <c r="LO423" s="210"/>
      <c r="LP423" s="210"/>
      <c r="LQ423" s="210"/>
      <c r="LR423" s="210"/>
      <c r="OB423" s="120"/>
      <c r="OI423" s="210"/>
      <c r="OJ423" s="210"/>
      <c r="OK423" s="210"/>
      <c r="OL423" s="210"/>
      <c r="OM423" s="210"/>
      <c r="ON423" s="210"/>
      <c r="OO423" s="210"/>
      <c r="OP423" s="210"/>
      <c r="OQ423" s="210"/>
      <c r="OR423" s="210"/>
      <c r="OS423" s="210"/>
      <c r="OT423" s="210"/>
      <c r="OU423" s="210"/>
      <c r="OV423" s="210"/>
      <c r="OW423" s="210"/>
      <c r="RG423" s="120"/>
    </row>
    <row r="424" spans="1:475" x14ac:dyDescent="0.3">
      <c r="A424" s="7">
        <v>46</v>
      </c>
      <c r="B424" s="7">
        <v>414</v>
      </c>
      <c r="C424" s="7" t="s">
        <v>346</v>
      </c>
      <c r="D424" s="7" t="s">
        <v>708</v>
      </c>
      <c r="E424" s="7" t="s">
        <v>792</v>
      </c>
      <c r="F424" s="7" t="s">
        <v>275</v>
      </c>
      <c r="G424" s="41" t="str">
        <f t="shared" si="69"/>
        <v>X</v>
      </c>
      <c r="H424" s="41">
        <f>INDEX(환산공식!CI$16:CI$301,MATCH('배치점수 계산기'!$W424,환산공식!$A$16:$A$301,0))</f>
        <v>200</v>
      </c>
      <c r="I424" s="41" t="str">
        <f>CONCATENATE(ROUND(INDEX(환산공식!CJ$16:CJ$301,MATCH('배치점수 계산기'!$W424,환산공식!$A$16:$A$301,0)),1),"%")</f>
        <v>100%</v>
      </c>
      <c r="J424" s="41">
        <f>INDEX(환산공식!CK$16:CK$301,MATCH('배치점수 계산기'!$W424,환산공식!$A$16:$A$301,0))</f>
        <v>200</v>
      </c>
      <c r="K424" s="7">
        <f>INDEX(환산공식!$EF$16:$EF$301,MATCH('배치점수 계산기'!W424,환산공식!$A$16:$A$301,0))</f>
        <v>0</v>
      </c>
      <c r="L424" s="41" t="str">
        <f t="shared" si="67"/>
        <v>1% 이하</v>
      </c>
      <c r="M424" s="7">
        <v>896.4184279592929</v>
      </c>
      <c r="N424" s="7">
        <v>895.9274999999999</v>
      </c>
      <c r="O424" s="7">
        <v>894.68915815640946</v>
      </c>
      <c r="P424" s="7">
        <v>888.80549334058173</v>
      </c>
      <c r="Q424" s="7">
        <v>885.64999999999986</v>
      </c>
      <c r="R424" s="7">
        <f t="shared" si="68"/>
        <v>6</v>
      </c>
      <c r="T424" s="7">
        <f>COUNTIF($C$11:C424,C424)</f>
        <v>175</v>
      </c>
      <c r="U424" s="7" t="str">
        <f t="shared" si="70"/>
        <v>나175</v>
      </c>
      <c r="V424" s="7" t="str">
        <f>INDEX(환산공식!$C$16:$C$301,MATCH('배치점수 계산기'!W424,환산공식!$A$16:$A$301,0))</f>
        <v>건국 통합2</v>
      </c>
      <c r="W424" s="7">
        <f t="shared" si="71"/>
        <v>46</v>
      </c>
      <c r="X424" s="7">
        <f t="shared" si="72"/>
        <v>1</v>
      </c>
      <c r="Y424" s="7">
        <f>IFERROR(INDEX(환산공식!Q$16:Q$200,MATCH($A424,환산공식!$A$16:$A$200,0)),"")</f>
        <v>1.25</v>
      </c>
      <c r="Z424" s="7">
        <f>IFERROR(INDEX(환산공식!R$16:R$200,MATCH($A424,환산공식!$A$16:$A$200,0)),"")</f>
        <v>1.5</v>
      </c>
      <c r="AA424" s="7">
        <f>IFERROR(INDEX(환산공식!U$16:U$200,MATCH($A424,환산공식!$A$16:$A$200,0)),"")</f>
        <v>1.25</v>
      </c>
      <c r="AB424" s="7">
        <f t="shared" si="73"/>
        <v>0.3125</v>
      </c>
      <c r="AC424" s="7">
        <f t="shared" si="74"/>
        <v>0.375</v>
      </c>
      <c r="AD424" s="7">
        <f t="shared" si="75"/>
        <v>0.3125</v>
      </c>
      <c r="AE424" s="7">
        <f>INDEX(환산공식!$AF$16:$AF$301,MATCH('배치점수 계산기'!W424,환산공식!$A$16:$A$301,0))</f>
        <v>1</v>
      </c>
      <c r="AF424" s="7">
        <f>INDEX(환산공식!$AP$16:$AP$301,MATCH('배치점수 계산기'!W424,환산공식!$A$16:$A$301,0))</f>
        <v>4</v>
      </c>
      <c r="AG424" s="7" t="str">
        <f t="shared" si="76"/>
        <v>표점</v>
      </c>
      <c r="AH424" s="7" t="str">
        <f t="shared" si="77"/>
        <v>변표</v>
      </c>
      <c r="BO424" s="210"/>
      <c r="BP424" s="210"/>
      <c r="BQ424" s="210"/>
      <c r="BR424" s="210"/>
      <c r="BS424" s="210"/>
      <c r="BT424" s="210"/>
      <c r="BU424" s="210"/>
      <c r="BV424" s="210"/>
      <c r="BW424" s="210"/>
      <c r="BX424" s="210"/>
      <c r="BY424" s="210"/>
      <c r="BZ424" s="210"/>
      <c r="CA424" s="210"/>
      <c r="CB424" s="210"/>
      <c r="CC424" s="210"/>
      <c r="EM424" s="120"/>
      <c r="ET424" s="210"/>
      <c r="EU424" s="210"/>
      <c r="EV424" s="210"/>
      <c r="EW424" s="210"/>
      <c r="EX424" s="210"/>
      <c r="EY424" s="210"/>
      <c r="EZ424" s="210"/>
      <c r="FA424" s="210"/>
      <c r="FB424" s="210"/>
      <c r="FC424" s="210"/>
      <c r="FD424" s="210"/>
      <c r="FE424" s="210"/>
      <c r="FF424" s="210"/>
      <c r="FG424" s="210"/>
      <c r="FH424" s="210"/>
      <c r="HR424" s="120"/>
      <c r="HY424" s="210"/>
      <c r="HZ424" s="210"/>
      <c r="IA424" s="210"/>
      <c r="IB424" s="210"/>
      <c r="IC424" s="210"/>
      <c r="ID424" s="210"/>
      <c r="IE424" s="210"/>
      <c r="IF424" s="210"/>
      <c r="IG424" s="210"/>
      <c r="IH424" s="210"/>
      <c r="II424" s="210"/>
      <c r="IJ424" s="210"/>
      <c r="IK424" s="210"/>
      <c r="IL424" s="210"/>
      <c r="IM424" s="210"/>
      <c r="KW424" s="120"/>
      <c r="LD424" s="210"/>
      <c r="LE424" s="210"/>
      <c r="LF424" s="210"/>
      <c r="LG424" s="210"/>
      <c r="LH424" s="210"/>
      <c r="LI424" s="210"/>
      <c r="LJ424" s="210"/>
      <c r="LK424" s="210"/>
      <c r="LL424" s="210"/>
      <c r="LM424" s="210"/>
      <c r="LN424" s="210"/>
      <c r="LO424" s="210"/>
      <c r="LP424" s="210"/>
      <c r="LQ424" s="210"/>
      <c r="LR424" s="210"/>
      <c r="OB424" s="120"/>
      <c r="OI424" s="210"/>
      <c r="OJ424" s="210"/>
      <c r="OK424" s="210"/>
      <c r="OL424" s="210"/>
      <c r="OM424" s="210"/>
      <c r="ON424" s="210"/>
      <c r="OO424" s="210"/>
      <c r="OP424" s="210"/>
      <c r="OQ424" s="210"/>
      <c r="OR424" s="210"/>
      <c r="OS424" s="210"/>
      <c r="OT424" s="210"/>
      <c r="OU424" s="210"/>
      <c r="OV424" s="210"/>
      <c r="OW424" s="210"/>
      <c r="RG424" s="120"/>
    </row>
    <row r="425" spans="1:475" x14ac:dyDescent="0.3">
      <c r="A425" s="7">
        <v>46</v>
      </c>
      <c r="B425" s="7">
        <v>415</v>
      </c>
      <c r="C425" s="7" t="s">
        <v>346</v>
      </c>
      <c r="D425" s="7" t="s">
        <v>708</v>
      </c>
      <c r="E425" s="7" t="s">
        <v>262</v>
      </c>
      <c r="F425" s="7" t="s">
        <v>275</v>
      </c>
      <c r="G425" s="41" t="str">
        <f t="shared" si="69"/>
        <v>X</v>
      </c>
      <c r="H425" s="41">
        <f>INDEX(환산공식!CI$16:CI$301,MATCH('배치점수 계산기'!$W425,환산공식!$A$16:$A$301,0))</f>
        <v>200</v>
      </c>
      <c r="I425" s="41" t="str">
        <f>CONCATENATE(ROUND(INDEX(환산공식!CJ$16:CJ$301,MATCH('배치점수 계산기'!$W425,환산공식!$A$16:$A$301,0)),1),"%")</f>
        <v>100%</v>
      </c>
      <c r="J425" s="41">
        <f>INDEX(환산공식!CK$16:CK$301,MATCH('배치점수 계산기'!$W425,환산공식!$A$16:$A$301,0))</f>
        <v>200</v>
      </c>
      <c r="K425" s="7">
        <f>INDEX(환산공식!$EF$16:$EF$301,MATCH('배치점수 계산기'!W425,환산공식!$A$16:$A$301,0))</f>
        <v>0</v>
      </c>
      <c r="L425" s="41" t="str">
        <f t="shared" si="67"/>
        <v>1% 이하</v>
      </c>
      <c r="M425" s="7">
        <v>894.28915815640948</v>
      </c>
      <c r="N425" s="7">
        <v>892.98249999999996</v>
      </c>
      <c r="O425" s="7">
        <v>890.89690118951069</v>
      </c>
      <c r="P425" s="7">
        <v>888.40549334058164</v>
      </c>
      <c r="Q425" s="7">
        <v>882.93525831272325</v>
      </c>
      <c r="R425" s="7">
        <f t="shared" si="68"/>
        <v>6</v>
      </c>
      <c r="T425" s="7">
        <f>COUNTIF($C$11:C425,C425)</f>
        <v>176</v>
      </c>
      <c r="U425" s="7" t="str">
        <f t="shared" si="70"/>
        <v>나176</v>
      </c>
      <c r="V425" s="7" t="str">
        <f>INDEX(환산공식!$C$16:$C$301,MATCH('배치점수 계산기'!W425,환산공식!$A$16:$A$301,0))</f>
        <v>건국 통합2</v>
      </c>
      <c r="W425" s="7">
        <f t="shared" si="71"/>
        <v>46</v>
      </c>
      <c r="X425" s="7">
        <f t="shared" si="72"/>
        <v>1</v>
      </c>
      <c r="Y425" s="7">
        <f>IFERROR(INDEX(환산공식!Q$16:Q$200,MATCH($A425,환산공식!$A$16:$A$200,0)),"")</f>
        <v>1.25</v>
      </c>
      <c r="Z425" s="7">
        <f>IFERROR(INDEX(환산공식!R$16:R$200,MATCH($A425,환산공식!$A$16:$A$200,0)),"")</f>
        <v>1.5</v>
      </c>
      <c r="AA425" s="7">
        <f>IFERROR(INDEX(환산공식!U$16:U$200,MATCH($A425,환산공식!$A$16:$A$200,0)),"")</f>
        <v>1.25</v>
      </c>
      <c r="AB425" s="7">
        <f t="shared" si="73"/>
        <v>0.3125</v>
      </c>
      <c r="AC425" s="7">
        <f t="shared" si="74"/>
        <v>0.375</v>
      </c>
      <c r="AD425" s="7">
        <f t="shared" si="75"/>
        <v>0.3125</v>
      </c>
      <c r="AE425" s="7">
        <f>INDEX(환산공식!$AF$16:$AF$301,MATCH('배치점수 계산기'!W425,환산공식!$A$16:$A$301,0))</f>
        <v>1</v>
      </c>
      <c r="AF425" s="7">
        <f>INDEX(환산공식!$AP$16:$AP$301,MATCH('배치점수 계산기'!W425,환산공식!$A$16:$A$301,0))</f>
        <v>4</v>
      </c>
      <c r="AG425" s="7" t="str">
        <f t="shared" si="76"/>
        <v>표점</v>
      </c>
      <c r="AH425" s="7" t="str">
        <f t="shared" si="77"/>
        <v>변표</v>
      </c>
      <c r="BO425" s="210"/>
      <c r="BP425" s="210"/>
      <c r="BQ425" s="210"/>
      <c r="BR425" s="210"/>
      <c r="BS425" s="210"/>
      <c r="BT425" s="210"/>
      <c r="BU425" s="210"/>
      <c r="BV425" s="210"/>
      <c r="BW425" s="210"/>
      <c r="BX425" s="210"/>
      <c r="BY425" s="210"/>
      <c r="BZ425" s="210"/>
      <c r="CA425" s="210"/>
      <c r="CB425" s="210"/>
      <c r="CC425" s="210"/>
      <c r="EM425" s="120"/>
      <c r="ET425" s="210"/>
      <c r="EU425" s="210"/>
      <c r="EV425" s="210"/>
      <c r="EW425" s="210"/>
      <c r="EX425" s="210"/>
      <c r="EY425" s="210"/>
      <c r="EZ425" s="210"/>
      <c r="FA425" s="210"/>
      <c r="FB425" s="210"/>
      <c r="FC425" s="210"/>
      <c r="FD425" s="210"/>
      <c r="FE425" s="210"/>
      <c r="FF425" s="210"/>
      <c r="FG425" s="210"/>
      <c r="FH425" s="210"/>
      <c r="HR425" s="120"/>
      <c r="HY425" s="210"/>
      <c r="HZ425" s="210"/>
      <c r="IA425" s="210"/>
      <c r="IB425" s="210"/>
      <c r="IC425" s="210"/>
      <c r="ID425" s="210"/>
      <c r="IE425" s="210"/>
      <c r="IF425" s="210"/>
      <c r="IG425" s="210"/>
      <c r="IH425" s="210"/>
      <c r="II425" s="210"/>
      <c r="IJ425" s="210"/>
      <c r="IK425" s="210"/>
      <c r="IL425" s="210"/>
      <c r="IM425" s="210"/>
      <c r="KW425" s="120"/>
      <c r="LD425" s="210"/>
      <c r="LE425" s="210"/>
      <c r="LF425" s="210"/>
      <c r="LG425" s="210"/>
      <c r="LH425" s="210"/>
      <c r="LI425" s="210"/>
      <c r="LJ425" s="210"/>
      <c r="LK425" s="210"/>
      <c r="LL425" s="210"/>
      <c r="LM425" s="210"/>
      <c r="LN425" s="210"/>
      <c r="LO425" s="210"/>
      <c r="LP425" s="210"/>
      <c r="LQ425" s="210"/>
      <c r="LR425" s="210"/>
      <c r="OB425" s="120"/>
      <c r="OI425" s="210"/>
      <c r="OJ425" s="210"/>
      <c r="OK425" s="210"/>
      <c r="OL425" s="210"/>
      <c r="OM425" s="210"/>
      <c r="ON425" s="210"/>
      <c r="OO425" s="210"/>
      <c r="OP425" s="210"/>
      <c r="OQ425" s="210"/>
      <c r="OR425" s="210"/>
      <c r="OS425" s="210"/>
      <c r="OT425" s="210"/>
      <c r="OU425" s="210"/>
      <c r="OV425" s="210"/>
      <c r="OW425" s="210"/>
      <c r="RG425" s="120"/>
    </row>
    <row r="426" spans="1:475" x14ac:dyDescent="0.3">
      <c r="A426" s="7">
        <v>46</v>
      </c>
      <c r="B426" s="7">
        <v>416</v>
      </c>
      <c r="C426" s="7" t="s">
        <v>346</v>
      </c>
      <c r="D426" s="7" t="s">
        <v>708</v>
      </c>
      <c r="E426" s="7" t="s">
        <v>793</v>
      </c>
      <c r="F426" s="7" t="s">
        <v>275</v>
      </c>
      <c r="G426" s="41" t="str">
        <f t="shared" si="69"/>
        <v>X</v>
      </c>
      <c r="H426" s="41">
        <f>INDEX(환산공식!CI$16:CI$301,MATCH('배치점수 계산기'!$W426,환산공식!$A$16:$A$301,0))</f>
        <v>200</v>
      </c>
      <c r="I426" s="41" t="str">
        <f>CONCATENATE(ROUND(INDEX(환산공식!CJ$16:CJ$301,MATCH('배치점수 계산기'!$W426,환산공식!$A$16:$A$301,0)),1),"%")</f>
        <v>100%</v>
      </c>
      <c r="J426" s="41">
        <f>INDEX(환산공식!CK$16:CK$301,MATCH('배치점수 계산기'!$W426,환산공식!$A$16:$A$301,0))</f>
        <v>200</v>
      </c>
      <c r="K426" s="7">
        <f>INDEX(환산공식!$EF$16:$EF$301,MATCH('배치점수 계산기'!W426,환산공식!$A$16:$A$301,0))</f>
        <v>0</v>
      </c>
      <c r="L426" s="41" t="str">
        <f t="shared" si="67"/>
        <v>1% 이하</v>
      </c>
      <c r="M426" s="7">
        <v>892.98249999999996</v>
      </c>
      <c r="N426" s="7">
        <v>890.89690118951069</v>
      </c>
      <c r="O426" s="7">
        <v>889.56</v>
      </c>
      <c r="P426" s="7">
        <v>887.34499999999991</v>
      </c>
      <c r="Q426" s="7">
        <v>880.06513266998343</v>
      </c>
      <c r="R426" s="7">
        <f t="shared" si="68"/>
        <v>6</v>
      </c>
      <c r="T426" s="7">
        <f>COUNTIF($C$11:C426,C426)</f>
        <v>177</v>
      </c>
      <c r="U426" s="7" t="str">
        <f t="shared" si="70"/>
        <v>나177</v>
      </c>
      <c r="V426" s="7" t="str">
        <f>INDEX(환산공식!$C$16:$C$301,MATCH('배치점수 계산기'!W426,환산공식!$A$16:$A$301,0))</f>
        <v>건국 통합2</v>
      </c>
      <c r="W426" s="7">
        <f t="shared" si="71"/>
        <v>46</v>
      </c>
      <c r="X426" s="7">
        <f t="shared" si="72"/>
        <v>1</v>
      </c>
      <c r="Y426" s="7">
        <f>IFERROR(INDEX(환산공식!Q$16:Q$200,MATCH($A426,환산공식!$A$16:$A$200,0)),"")</f>
        <v>1.25</v>
      </c>
      <c r="Z426" s="7">
        <f>IFERROR(INDEX(환산공식!R$16:R$200,MATCH($A426,환산공식!$A$16:$A$200,0)),"")</f>
        <v>1.5</v>
      </c>
      <c r="AA426" s="7">
        <f>IFERROR(INDEX(환산공식!U$16:U$200,MATCH($A426,환산공식!$A$16:$A$200,0)),"")</f>
        <v>1.25</v>
      </c>
      <c r="AB426" s="7">
        <f t="shared" si="73"/>
        <v>0.3125</v>
      </c>
      <c r="AC426" s="7">
        <f t="shared" si="74"/>
        <v>0.375</v>
      </c>
      <c r="AD426" s="7">
        <f t="shared" si="75"/>
        <v>0.3125</v>
      </c>
      <c r="AE426" s="7">
        <f>INDEX(환산공식!$AF$16:$AF$301,MATCH('배치점수 계산기'!W426,환산공식!$A$16:$A$301,0))</f>
        <v>1</v>
      </c>
      <c r="AF426" s="7">
        <f>INDEX(환산공식!$AP$16:$AP$301,MATCH('배치점수 계산기'!W426,환산공식!$A$16:$A$301,0))</f>
        <v>4</v>
      </c>
      <c r="AG426" s="7" t="str">
        <f t="shared" si="76"/>
        <v>표점</v>
      </c>
      <c r="AH426" s="7" t="str">
        <f t="shared" si="77"/>
        <v>변표</v>
      </c>
      <c r="BO426" s="210"/>
      <c r="BP426" s="210"/>
      <c r="BQ426" s="210"/>
      <c r="BR426" s="210"/>
      <c r="BS426" s="210"/>
      <c r="BT426" s="210"/>
      <c r="BU426" s="210"/>
      <c r="BV426" s="210"/>
      <c r="BW426" s="210"/>
      <c r="BX426" s="210"/>
      <c r="BY426" s="210"/>
      <c r="BZ426" s="210"/>
      <c r="CA426" s="210"/>
      <c r="CB426" s="210"/>
      <c r="CC426" s="210"/>
      <c r="EM426" s="120"/>
      <c r="ET426" s="210"/>
      <c r="EU426" s="210"/>
      <c r="EV426" s="210"/>
      <c r="EW426" s="210"/>
      <c r="EX426" s="210"/>
      <c r="EY426" s="210"/>
      <c r="EZ426" s="210"/>
      <c r="FA426" s="210"/>
      <c r="FB426" s="210"/>
      <c r="FC426" s="210"/>
      <c r="FD426" s="210"/>
      <c r="FE426" s="210"/>
      <c r="FF426" s="210"/>
      <c r="FG426" s="210"/>
      <c r="FH426" s="210"/>
      <c r="HR426" s="120"/>
      <c r="HY426" s="210"/>
      <c r="HZ426" s="210"/>
      <c r="IA426" s="210"/>
      <c r="IB426" s="210"/>
      <c r="IC426" s="210"/>
      <c r="ID426" s="210"/>
      <c r="IE426" s="210"/>
      <c r="IF426" s="210"/>
      <c r="IG426" s="210"/>
      <c r="IH426" s="210"/>
      <c r="II426" s="210"/>
      <c r="IJ426" s="210"/>
      <c r="IK426" s="210"/>
      <c r="IL426" s="210"/>
      <c r="IM426" s="210"/>
      <c r="KW426" s="120"/>
      <c r="LD426" s="210"/>
      <c r="LE426" s="210"/>
      <c r="LF426" s="210"/>
      <c r="LG426" s="210"/>
      <c r="LH426" s="210"/>
      <c r="LI426" s="210"/>
      <c r="LJ426" s="210"/>
      <c r="LK426" s="210"/>
      <c r="LL426" s="210"/>
      <c r="LM426" s="210"/>
      <c r="LN426" s="210"/>
      <c r="LO426" s="210"/>
      <c r="LP426" s="210"/>
      <c r="LQ426" s="210"/>
      <c r="LR426" s="210"/>
      <c r="OB426" s="120"/>
      <c r="OI426" s="210"/>
      <c r="OJ426" s="210"/>
      <c r="OK426" s="210"/>
      <c r="OL426" s="210"/>
      <c r="OM426" s="210"/>
      <c r="ON426" s="210"/>
      <c r="OO426" s="210"/>
      <c r="OP426" s="210"/>
      <c r="OQ426" s="210"/>
      <c r="OR426" s="210"/>
      <c r="OS426" s="210"/>
      <c r="OT426" s="210"/>
      <c r="OU426" s="210"/>
      <c r="OV426" s="210"/>
      <c r="OW426" s="210"/>
      <c r="RG426" s="120"/>
    </row>
    <row r="427" spans="1:475" x14ac:dyDescent="0.3">
      <c r="A427" s="7">
        <v>46</v>
      </c>
      <c r="B427" s="7">
        <v>417</v>
      </c>
      <c r="C427" s="7" t="s">
        <v>346</v>
      </c>
      <c r="D427" s="7" t="s">
        <v>708</v>
      </c>
      <c r="E427" s="7" t="s">
        <v>452</v>
      </c>
      <c r="F427" s="7" t="s">
        <v>275</v>
      </c>
      <c r="G427" s="41" t="str">
        <f t="shared" si="69"/>
        <v>X</v>
      </c>
      <c r="H427" s="41">
        <f>INDEX(환산공식!CI$16:CI$301,MATCH('배치점수 계산기'!$W427,환산공식!$A$16:$A$301,0))</f>
        <v>200</v>
      </c>
      <c r="I427" s="41" t="str">
        <f>CONCATENATE(ROUND(INDEX(환산공식!CJ$16:CJ$301,MATCH('배치점수 계산기'!$W427,환산공식!$A$16:$A$301,0)),1),"%")</f>
        <v>100%</v>
      </c>
      <c r="J427" s="41">
        <f>INDEX(환산공식!CK$16:CK$301,MATCH('배치점수 계산기'!$W427,환산공식!$A$16:$A$301,0))</f>
        <v>200</v>
      </c>
      <c r="K427" s="7">
        <f>INDEX(환산공식!$EF$16:$EF$301,MATCH('배치점수 계산기'!W427,환산공식!$A$16:$A$301,0))</f>
        <v>0</v>
      </c>
      <c r="L427" s="41" t="str">
        <f t="shared" si="67"/>
        <v>1% 이하</v>
      </c>
      <c r="M427" s="7">
        <v>892.98249999999996</v>
      </c>
      <c r="N427" s="7">
        <v>890.89690118951069</v>
      </c>
      <c r="O427" s="7">
        <v>889.56</v>
      </c>
      <c r="P427" s="7">
        <v>887.34499999999991</v>
      </c>
      <c r="Q427" s="7">
        <v>880.06513266998343</v>
      </c>
      <c r="R427" s="7">
        <f t="shared" si="68"/>
        <v>6</v>
      </c>
      <c r="T427" s="7">
        <f>COUNTIF($C$11:C427,C427)</f>
        <v>178</v>
      </c>
      <c r="U427" s="7" t="str">
        <f t="shared" si="70"/>
        <v>나178</v>
      </c>
      <c r="V427" s="7" t="str">
        <f>INDEX(환산공식!$C$16:$C$301,MATCH('배치점수 계산기'!W427,환산공식!$A$16:$A$301,0))</f>
        <v>건국 통합2</v>
      </c>
      <c r="W427" s="7">
        <f t="shared" si="71"/>
        <v>46</v>
      </c>
      <c r="X427" s="7">
        <f t="shared" si="72"/>
        <v>1</v>
      </c>
      <c r="Y427" s="7">
        <f>IFERROR(INDEX(환산공식!Q$16:Q$200,MATCH($A427,환산공식!$A$16:$A$200,0)),"")</f>
        <v>1.25</v>
      </c>
      <c r="Z427" s="7">
        <f>IFERROR(INDEX(환산공식!R$16:R$200,MATCH($A427,환산공식!$A$16:$A$200,0)),"")</f>
        <v>1.5</v>
      </c>
      <c r="AA427" s="7">
        <f>IFERROR(INDEX(환산공식!U$16:U$200,MATCH($A427,환산공식!$A$16:$A$200,0)),"")</f>
        <v>1.25</v>
      </c>
      <c r="AB427" s="7">
        <f t="shared" si="73"/>
        <v>0.3125</v>
      </c>
      <c r="AC427" s="7">
        <f t="shared" si="74"/>
        <v>0.375</v>
      </c>
      <c r="AD427" s="7">
        <f t="shared" si="75"/>
        <v>0.3125</v>
      </c>
      <c r="AE427" s="7">
        <f>INDEX(환산공식!$AF$16:$AF$301,MATCH('배치점수 계산기'!W427,환산공식!$A$16:$A$301,0))</f>
        <v>1</v>
      </c>
      <c r="AF427" s="7">
        <f>INDEX(환산공식!$AP$16:$AP$301,MATCH('배치점수 계산기'!W427,환산공식!$A$16:$A$301,0))</f>
        <v>4</v>
      </c>
      <c r="AG427" s="7" t="str">
        <f t="shared" si="76"/>
        <v>표점</v>
      </c>
      <c r="AH427" s="7" t="str">
        <f t="shared" si="77"/>
        <v>변표</v>
      </c>
      <c r="BO427" s="210"/>
      <c r="BP427" s="210"/>
      <c r="BQ427" s="210"/>
      <c r="BR427" s="210"/>
      <c r="BS427" s="210"/>
      <c r="BT427" s="210"/>
      <c r="BU427" s="210"/>
      <c r="BV427" s="210"/>
      <c r="BW427" s="210"/>
      <c r="BX427" s="210"/>
      <c r="BY427" s="210"/>
      <c r="BZ427" s="210"/>
      <c r="CA427" s="210"/>
      <c r="CB427" s="210"/>
      <c r="CC427" s="210"/>
      <c r="EM427" s="120"/>
      <c r="ET427" s="210"/>
      <c r="EU427" s="210"/>
      <c r="EV427" s="210"/>
      <c r="EW427" s="210"/>
      <c r="EX427" s="210"/>
      <c r="EY427" s="210"/>
      <c r="EZ427" s="210"/>
      <c r="FA427" s="210"/>
      <c r="FB427" s="210"/>
      <c r="FC427" s="210"/>
      <c r="FD427" s="210"/>
      <c r="FE427" s="210"/>
      <c r="FF427" s="210"/>
      <c r="FG427" s="210"/>
      <c r="FH427" s="210"/>
      <c r="HR427" s="120"/>
      <c r="HY427" s="210"/>
      <c r="HZ427" s="210"/>
      <c r="IA427" s="210"/>
      <c r="IB427" s="210"/>
      <c r="IC427" s="210"/>
      <c r="ID427" s="210"/>
      <c r="IE427" s="210"/>
      <c r="IF427" s="210"/>
      <c r="IG427" s="210"/>
      <c r="IH427" s="210"/>
      <c r="II427" s="210"/>
      <c r="IJ427" s="210"/>
      <c r="IK427" s="210"/>
      <c r="IL427" s="210"/>
      <c r="IM427" s="210"/>
      <c r="KW427" s="120"/>
      <c r="LD427" s="210"/>
      <c r="LE427" s="210"/>
      <c r="LF427" s="210"/>
      <c r="LG427" s="210"/>
      <c r="LH427" s="210"/>
      <c r="LI427" s="210"/>
      <c r="LJ427" s="210"/>
      <c r="LK427" s="210"/>
      <c r="LL427" s="210"/>
      <c r="LM427" s="210"/>
      <c r="LN427" s="210"/>
      <c r="LO427" s="210"/>
      <c r="LP427" s="210"/>
      <c r="LQ427" s="210"/>
      <c r="LR427" s="210"/>
      <c r="OB427" s="120"/>
      <c r="OI427" s="210"/>
      <c r="OJ427" s="210"/>
      <c r="OK427" s="210"/>
      <c r="OL427" s="210"/>
      <c r="OM427" s="210"/>
      <c r="ON427" s="210"/>
      <c r="OO427" s="210"/>
      <c r="OP427" s="210"/>
      <c r="OQ427" s="210"/>
      <c r="OR427" s="210"/>
      <c r="OS427" s="210"/>
      <c r="OT427" s="210"/>
      <c r="OU427" s="210"/>
      <c r="OV427" s="210"/>
      <c r="OW427" s="210"/>
      <c r="RG427" s="120"/>
    </row>
    <row r="428" spans="1:475" x14ac:dyDescent="0.3">
      <c r="A428" s="7">
        <v>45</v>
      </c>
      <c r="B428" s="7">
        <v>418</v>
      </c>
      <c r="C428" s="7" t="s">
        <v>276</v>
      </c>
      <c r="D428" s="7" t="s">
        <v>708</v>
      </c>
      <c r="E428" s="7" t="s">
        <v>377</v>
      </c>
      <c r="F428" s="7" t="s">
        <v>275</v>
      </c>
      <c r="G428" s="41" t="str">
        <f t="shared" si="69"/>
        <v>X</v>
      </c>
      <c r="H428" s="41">
        <f>INDEX(환산공식!CI$16:CI$301,MATCH('배치점수 계산기'!$W428,환산공식!$A$16:$A$301,0))</f>
        <v>200</v>
      </c>
      <c r="I428" s="41" t="str">
        <f>CONCATENATE(ROUND(INDEX(환산공식!CJ$16:CJ$301,MATCH('배치점수 계산기'!$W428,환산공식!$A$16:$A$301,0)),1),"%")</f>
        <v>100%</v>
      </c>
      <c r="J428" s="41">
        <f>INDEX(환산공식!CK$16:CK$301,MATCH('배치점수 계산기'!$W428,환산공식!$A$16:$A$301,0))</f>
        <v>200</v>
      </c>
      <c r="K428" s="7">
        <f>INDEX(환산공식!$EF$16:$EF$301,MATCH('배치점수 계산기'!W428,환산공식!$A$16:$A$301,0))</f>
        <v>0</v>
      </c>
      <c r="L428" s="41" t="str">
        <f t="shared" si="67"/>
        <v>1% 이하</v>
      </c>
      <c r="M428" s="7">
        <v>894.40749999999991</v>
      </c>
      <c r="N428" s="7">
        <v>892.47147539875641</v>
      </c>
      <c r="O428" s="7">
        <v>891.11</v>
      </c>
      <c r="P428" s="7">
        <v>888.94499999999994</v>
      </c>
      <c r="Q428" s="7">
        <v>881.81561636263132</v>
      </c>
      <c r="R428" s="7">
        <f t="shared" si="68"/>
        <v>6</v>
      </c>
      <c r="T428" s="7">
        <f>COUNTIF($C$11:C428,C428)</f>
        <v>226</v>
      </c>
      <c r="U428" s="7" t="str">
        <f t="shared" si="70"/>
        <v>가226</v>
      </c>
      <c r="V428" s="7" t="str">
        <f>INDEX(환산공식!$C$16:$C$301,MATCH('배치점수 계산기'!W428,환산공식!$A$16:$A$301,0))</f>
        <v>건국 통합1</v>
      </c>
      <c r="W428" s="7">
        <f t="shared" si="71"/>
        <v>45</v>
      </c>
      <c r="X428" s="7">
        <f t="shared" si="72"/>
        <v>1</v>
      </c>
      <c r="Y428" s="7">
        <f>IFERROR(INDEX(환산공식!Q$16:Q$200,MATCH($A428,환산공식!$A$16:$A$200,0)),"")</f>
        <v>1.5</v>
      </c>
      <c r="Z428" s="7">
        <f>IFERROR(INDEX(환산공식!R$16:R$200,MATCH($A428,환산공식!$A$16:$A$200,0)),"")</f>
        <v>1.25</v>
      </c>
      <c r="AA428" s="7">
        <f>IFERROR(INDEX(환산공식!U$16:U$200,MATCH($A428,환산공식!$A$16:$A$200,0)),"")</f>
        <v>1.25</v>
      </c>
      <c r="AB428" s="7">
        <f t="shared" si="73"/>
        <v>0.375</v>
      </c>
      <c r="AC428" s="7">
        <f t="shared" si="74"/>
        <v>0.3125</v>
      </c>
      <c r="AD428" s="7">
        <f t="shared" si="75"/>
        <v>0.3125</v>
      </c>
      <c r="AE428" s="7">
        <f>INDEX(환산공식!$AF$16:$AF$301,MATCH('배치점수 계산기'!W428,환산공식!$A$16:$A$301,0))</f>
        <v>1</v>
      </c>
      <c r="AF428" s="7">
        <f>INDEX(환산공식!$AP$16:$AP$301,MATCH('배치점수 계산기'!W428,환산공식!$A$16:$A$301,0))</f>
        <v>4</v>
      </c>
      <c r="AG428" s="7" t="str">
        <f t="shared" si="76"/>
        <v>표점</v>
      </c>
      <c r="AH428" s="7" t="str">
        <f t="shared" si="77"/>
        <v>변표</v>
      </c>
      <c r="BO428" s="210"/>
      <c r="BP428" s="210"/>
      <c r="BQ428" s="210"/>
      <c r="BR428" s="210"/>
      <c r="BS428" s="210"/>
      <c r="BT428" s="210"/>
      <c r="BU428" s="210"/>
      <c r="BV428" s="210"/>
      <c r="BW428" s="210"/>
      <c r="BX428" s="210"/>
      <c r="BY428" s="210"/>
      <c r="BZ428" s="210"/>
      <c r="CA428" s="210"/>
      <c r="CB428" s="210"/>
      <c r="CC428" s="210"/>
      <c r="EM428" s="120"/>
      <c r="ET428" s="210"/>
      <c r="EU428" s="210"/>
      <c r="EV428" s="210"/>
      <c r="EW428" s="210"/>
      <c r="EX428" s="210"/>
      <c r="EY428" s="210"/>
      <c r="EZ428" s="210"/>
      <c r="FA428" s="210"/>
      <c r="FB428" s="210"/>
      <c r="FC428" s="210"/>
      <c r="FD428" s="210"/>
      <c r="FE428" s="210"/>
      <c r="FF428" s="210"/>
      <c r="FG428" s="210"/>
      <c r="FH428" s="210"/>
      <c r="HR428" s="120"/>
      <c r="HY428" s="210"/>
      <c r="HZ428" s="210"/>
      <c r="IA428" s="210"/>
      <c r="IB428" s="210"/>
      <c r="IC428" s="210"/>
      <c r="ID428" s="210"/>
      <c r="IE428" s="210"/>
      <c r="IF428" s="210"/>
      <c r="IG428" s="210"/>
      <c r="IH428" s="210"/>
      <c r="II428" s="210"/>
      <c r="IJ428" s="210"/>
      <c r="IK428" s="210"/>
      <c r="IL428" s="210"/>
      <c r="IM428" s="210"/>
      <c r="KW428" s="120"/>
      <c r="LD428" s="210"/>
      <c r="LE428" s="210"/>
      <c r="LF428" s="210"/>
      <c r="LG428" s="210"/>
      <c r="LH428" s="210"/>
      <c r="LI428" s="210"/>
      <c r="LJ428" s="210"/>
      <c r="LK428" s="210"/>
      <c r="LL428" s="210"/>
      <c r="LM428" s="210"/>
      <c r="LN428" s="210"/>
      <c r="LO428" s="210"/>
      <c r="LP428" s="210"/>
      <c r="LQ428" s="210"/>
      <c r="LR428" s="210"/>
      <c r="OB428" s="120"/>
      <c r="OI428" s="210"/>
      <c r="OJ428" s="210"/>
      <c r="OK428" s="210"/>
      <c r="OL428" s="210"/>
      <c r="OM428" s="210"/>
      <c r="ON428" s="210"/>
      <c r="OO428" s="210"/>
      <c r="OP428" s="210"/>
      <c r="OQ428" s="210"/>
      <c r="OR428" s="210"/>
      <c r="OS428" s="210"/>
      <c r="OT428" s="210"/>
      <c r="OU428" s="210"/>
      <c r="OV428" s="210"/>
      <c r="OW428" s="210"/>
      <c r="RG428" s="120"/>
    </row>
    <row r="429" spans="1:475" x14ac:dyDescent="0.3">
      <c r="A429" s="7">
        <v>46</v>
      </c>
      <c r="B429" s="7">
        <v>419</v>
      </c>
      <c r="C429" s="7" t="s">
        <v>276</v>
      </c>
      <c r="D429" s="7" t="s">
        <v>708</v>
      </c>
      <c r="E429" s="7" t="s">
        <v>794</v>
      </c>
      <c r="F429" s="7" t="s">
        <v>275</v>
      </c>
      <c r="G429" s="41" t="str">
        <f t="shared" si="69"/>
        <v>X</v>
      </c>
      <c r="H429" s="41">
        <f>INDEX(환산공식!CI$16:CI$301,MATCH('배치점수 계산기'!$W429,환산공식!$A$16:$A$301,0))</f>
        <v>200</v>
      </c>
      <c r="I429" s="41" t="str">
        <f>CONCATENATE(ROUND(INDEX(환산공식!CJ$16:CJ$301,MATCH('배치점수 계산기'!$W429,환산공식!$A$16:$A$301,0)),1),"%")</f>
        <v>100%</v>
      </c>
      <c r="J429" s="41">
        <f>INDEX(환산공식!CK$16:CK$301,MATCH('배치점수 계산기'!$W429,환산공식!$A$16:$A$301,0))</f>
        <v>200</v>
      </c>
      <c r="K429" s="7">
        <f>INDEX(환산공식!$EF$16:$EF$301,MATCH('배치점수 계산기'!W429,환산공식!$A$16:$A$301,0))</f>
        <v>0</v>
      </c>
      <c r="L429" s="41" t="str">
        <f t="shared" si="67"/>
        <v>1% 이하</v>
      </c>
      <c r="M429" s="7">
        <v>891.52814694759581</v>
      </c>
      <c r="N429" s="7">
        <v>890.34695196211089</v>
      </c>
      <c r="O429" s="7">
        <v>889.16949538795438</v>
      </c>
      <c r="P429" s="7">
        <v>886.12963427947591</v>
      </c>
      <c r="Q429" s="7">
        <v>879.48490318118945</v>
      </c>
      <c r="R429" s="7">
        <f t="shared" si="68"/>
        <v>6</v>
      </c>
      <c r="T429" s="7">
        <f>COUNTIF($C$11:C429,C429)</f>
        <v>227</v>
      </c>
      <c r="U429" s="7" t="str">
        <f t="shared" si="70"/>
        <v>가227</v>
      </c>
      <c r="V429" s="7" t="str">
        <f>INDEX(환산공식!$C$16:$C$301,MATCH('배치점수 계산기'!W429,환산공식!$A$16:$A$301,0))</f>
        <v>건국 통합2</v>
      </c>
      <c r="W429" s="7">
        <f t="shared" si="71"/>
        <v>46</v>
      </c>
      <c r="X429" s="7">
        <f t="shared" si="72"/>
        <v>1</v>
      </c>
      <c r="Y429" s="7">
        <f>IFERROR(INDEX(환산공식!Q$16:Q$200,MATCH($A429,환산공식!$A$16:$A$200,0)),"")</f>
        <v>1.25</v>
      </c>
      <c r="Z429" s="7">
        <f>IFERROR(INDEX(환산공식!R$16:R$200,MATCH($A429,환산공식!$A$16:$A$200,0)),"")</f>
        <v>1.5</v>
      </c>
      <c r="AA429" s="7">
        <f>IFERROR(INDEX(환산공식!U$16:U$200,MATCH($A429,환산공식!$A$16:$A$200,0)),"")</f>
        <v>1.25</v>
      </c>
      <c r="AB429" s="7">
        <f t="shared" si="73"/>
        <v>0.3125</v>
      </c>
      <c r="AC429" s="7">
        <f t="shared" si="74"/>
        <v>0.375</v>
      </c>
      <c r="AD429" s="7">
        <f t="shared" si="75"/>
        <v>0.3125</v>
      </c>
      <c r="AE429" s="7">
        <f>INDEX(환산공식!$AF$16:$AF$301,MATCH('배치점수 계산기'!W429,환산공식!$A$16:$A$301,0))</f>
        <v>1</v>
      </c>
      <c r="AF429" s="7">
        <f>INDEX(환산공식!$AP$16:$AP$301,MATCH('배치점수 계산기'!W429,환산공식!$A$16:$A$301,0))</f>
        <v>4</v>
      </c>
      <c r="AG429" s="7" t="str">
        <f t="shared" si="76"/>
        <v>표점</v>
      </c>
      <c r="AH429" s="7" t="str">
        <f t="shared" si="77"/>
        <v>변표</v>
      </c>
      <c r="BO429" s="210"/>
      <c r="BP429" s="210"/>
      <c r="BQ429" s="210"/>
      <c r="BR429" s="210"/>
      <c r="BS429" s="210"/>
      <c r="BT429" s="210"/>
      <c r="BU429" s="210"/>
      <c r="BV429" s="210"/>
      <c r="BW429" s="210"/>
      <c r="BX429" s="210"/>
      <c r="BY429" s="210"/>
      <c r="BZ429" s="210"/>
      <c r="CA429" s="210"/>
      <c r="CB429" s="210"/>
      <c r="CC429" s="210"/>
      <c r="EM429" s="120"/>
      <c r="ET429" s="210"/>
      <c r="EU429" s="210"/>
      <c r="EV429" s="210"/>
      <c r="EW429" s="210"/>
      <c r="EX429" s="210"/>
      <c r="EY429" s="210"/>
      <c r="EZ429" s="210"/>
      <c r="FA429" s="210"/>
      <c r="FB429" s="210"/>
      <c r="FC429" s="210"/>
      <c r="FD429" s="210"/>
      <c r="FE429" s="210"/>
      <c r="FF429" s="210"/>
      <c r="FG429" s="210"/>
      <c r="FH429" s="210"/>
      <c r="HR429" s="120"/>
      <c r="HY429" s="210"/>
      <c r="HZ429" s="210"/>
      <c r="IA429" s="210"/>
      <c r="IB429" s="210"/>
      <c r="IC429" s="210"/>
      <c r="ID429" s="210"/>
      <c r="IE429" s="210"/>
      <c r="IF429" s="210"/>
      <c r="IG429" s="210"/>
      <c r="IH429" s="210"/>
      <c r="II429" s="210"/>
      <c r="IJ429" s="210"/>
      <c r="IK429" s="210"/>
      <c r="IL429" s="210"/>
      <c r="IM429" s="210"/>
      <c r="KW429" s="120"/>
      <c r="LD429" s="210"/>
      <c r="LE429" s="210"/>
      <c r="LF429" s="210"/>
      <c r="LG429" s="210"/>
      <c r="LH429" s="210"/>
      <c r="LI429" s="210"/>
      <c r="LJ429" s="210"/>
      <c r="LK429" s="210"/>
      <c r="LL429" s="210"/>
      <c r="LM429" s="210"/>
      <c r="LN429" s="210"/>
      <c r="LO429" s="210"/>
      <c r="LP429" s="210"/>
      <c r="LQ429" s="210"/>
      <c r="LR429" s="210"/>
      <c r="OB429" s="120"/>
      <c r="OI429" s="210"/>
      <c r="OJ429" s="210"/>
      <c r="OK429" s="210"/>
      <c r="OL429" s="210"/>
      <c r="OM429" s="210"/>
      <c r="ON429" s="210"/>
      <c r="OO429" s="210"/>
      <c r="OP429" s="210"/>
      <c r="OQ429" s="210"/>
      <c r="OR429" s="210"/>
      <c r="OS429" s="210"/>
      <c r="OT429" s="210"/>
      <c r="OU429" s="210"/>
      <c r="OV429" s="210"/>
      <c r="OW429" s="210"/>
      <c r="RG429" s="120"/>
    </row>
    <row r="430" spans="1:475" x14ac:dyDescent="0.3">
      <c r="A430" s="7">
        <v>46</v>
      </c>
      <c r="B430" s="7">
        <v>420</v>
      </c>
      <c r="C430" s="7" t="s">
        <v>276</v>
      </c>
      <c r="D430" s="7" t="s">
        <v>708</v>
      </c>
      <c r="E430" s="7" t="s">
        <v>795</v>
      </c>
      <c r="F430" s="7" t="s">
        <v>275</v>
      </c>
      <c r="G430" s="41" t="str">
        <f t="shared" si="69"/>
        <v>X</v>
      </c>
      <c r="H430" s="41">
        <f>INDEX(환산공식!CI$16:CI$301,MATCH('배치점수 계산기'!$W430,환산공식!$A$16:$A$301,0))</f>
        <v>200</v>
      </c>
      <c r="I430" s="41" t="str">
        <f>CONCATENATE(ROUND(INDEX(환산공식!CJ$16:CJ$301,MATCH('배치점수 계산기'!$W430,환산공식!$A$16:$A$301,0)),1),"%")</f>
        <v>100%</v>
      </c>
      <c r="J430" s="41">
        <f>INDEX(환산공식!CK$16:CK$301,MATCH('배치점수 계산기'!$W430,환산공식!$A$16:$A$301,0))</f>
        <v>200</v>
      </c>
      <c r="K430" s="7">
        <f>INDEX(환산공식!$EF$16:$EF$301,MATCH('배치점수 계산기'!W430,환산공식!$A$16:$A$301,0))</f>
        <v>0</v>
      </c>
      <c r="L430" s="41" t="str">
        <f t="shared" si="67"/>
        <v>1% 이하</v>
      </c>
      <c r="M430" s="7">
        <v>891.52814694759581</v>
      </c>
      <c r="N430" s="7">
        <v>890.34695196211089</v>
      </c>
      <c r="O430" s="7">
        <v>889.16949538795438</v>
      </c>
      <c r="P430" s="7">
        <v>886.12963427947591</v>
      </c>
      <c r="Q430" s="7">
        <v>879.48490318118945</v>
      </c>
      <c r="R430" s="7">
        <f t="shared" si="68"/>
        <v>6</v>
      </c>
      <c r="T430" s="7">
        <f>COUNTIF($C$11:C430,C430)</f>
        <v>228</v>
      </c>
      <c r="U430" s="7" t="str">
        <f t="shared" si="70"/>
        <v>가228</v>
      </c>
      <c r="V430" s="7" t="str">
        <f>INDEX(환산공식!$C$16:$C$301,MATCH('배치점수 계산기'!W430,환산공식!$A$16:$A$301,0))</f>
        <v>건국 통합2</v>
      </c>
      <c r="W430" s="7">
        <f t="shared" si="71"/>
        <v>46</v>
      </c>
      <c r="X430" s="7">
        <f t="shared" si="72"/>
        <v>1</v>
      </c>
      <c r="Y430" s="7">
        <f>IFERROR(INDEX(환산공식!Q$16:Q$200,MATCH($A430,환산공식!$A$16:$A$200,0)),"")</f>
        <v>1.25</v>
      </c>
      <c r="Z430" s="7">
        <f>IFERROR(INDEX(환산공식!R$16:R$200,MATCH($A430,환산공식!$A$16:$A$200,0)),"")</f>
        <v>1.5</v>
      </c>
      <c r="AA430" s="7">
        <f>IFERROR(INDEX(환산공식!U$16:U$200,MATCH($A430,환산공식!$A$16:$A$200,0)),"")</f>
        <v>1.25</v>
      </c>
      <c r="AB430" s="7">
        <f t="shared" si="73"/>
        <v>0.3125</v>
      </c>
      <c r="AC430" s="7">
        <f t="shared" si="74"/>
        <v>0.375</v>
      </c>
      <c r="AD430" s="7">
        <f t="shared" si="75"/>
        <v>0.3125</v>
      </c>
      <c r="AE430" s="7">
        <f>INDEX(환산공식!$AF$16:$AF$301,MATCH('배치점수 계산기'!W430,환산공식!$A$16:$A$301,0))</f>
        <v>1</v>
      </c>
      <c r="AF430" s="7">
        <f>INDEX(환산공식!$AP$16:$AP$301,MATCH('배치점수 계산기'!W430,환산공식!$A$16:$A$301,0))</f>
        <v>4</v>
      </c>
      <c r="AG430" s="7" t="str">
        <f t="shared" si="76"/>
        <v>표점</v>
      </c>
      <c r="AH430" s="7" t="str">
        <f t="shared" si="77"/>
        <v>변표</v>
      </c>
      <c r="BO430" s="210"/>
      <c r="BP430" s="210"/>
      <c r="BQ430" s="210"/>
      <c r="BR430" s="210"/>
      <c r="BS430" s="210"/>
      <c r="BT430" s="210"/>
      <c r="BU430" s="210"/>
      <c r="BV430" s="210"/>
      <c r="BW430" s="210"/>
      <c r="BX430" s="210"/>
      <c r="BY430" s="210"/>
      <c r="BZ430" s="210"/>
      <c r="CA430" s="210"/>
      <c r="CB430" s="210"/>
      <c r="CC430" s="210"/>
      <c r="EM430" s="120"/>
      <c r="ET430" s="210"/>
      <c r="EU430" s="210"/>
      <c r="EV430" s="210"/>
      <c r="EW430" s="210"/>
      <c r="EX430" s="210"/>
      <c r="EY430" s="210"/>
      <c r="EZ430" s="210"/>
      <c r="FA430" s="210"/>
      <c r="FB430" s="210"/>
      <c r="FC430" s="210"/>
      <c r="FD430" s="210"/>
      <c r="FE430" s="210"/>
      <c r="FF430" s="210"/>
      <c r="FG430" s="210"/>
      <c r="FH430" s="210"/>
      <c r="HR430" s="120"/>
      <c r="HY430" s="210"/>
      <c r="HZ430" s="210"/>
      <c r="IA430" s="210"/>
      <c r="IB430" s="210"/>
      <c r="IC430" s="210"/>
      <c r="ID430" s="210"/>
      <c r="IE430" s="210"/>
      <c r="IF430" s="210"/>
      <c r="IG430" s="210"/>
      <c r="IH430" s="210"/>
      <c r="II430" s="210"/>
      <c r="IJ430" s="210"/>
      <c r="IK430" s="210"/>
      <c r="IL430" s="210"/>
      <c r="IM430" s="210"/>
      <c r="KW430" s="120"/>
      <c r="LD430" s="210"/>
      <c r="LE430" s="210"/>
      <c r="LF430" s="210"/>
      <c r="LG430" s="210"/>
      <c r="LH430" s="210"/>
      <c r="LI430" s="210"/>
      <c r="LJ430" s="210"/>
      <c r="LK430" s="210"/>
      <c r="LL430" s="210"/>
      <c r="LM430" s="210"/>
      <c r="LN430" s="210"/>
      <c r="LO430" s="210"/>
      <c r="LP430" s="210"/>
      <c r="LQ430" s="210"/>
      <c r="LR430" s="210"/>
      <c r="OB430" s="120"/>
      <c r="OI430" s="210"/>
      <c r="OJ430" s="210"/>
      <c r="OK430" s="210"/>
      <c r="OL430" s="210"/>
      <c r="OM430" s="210"/>
      <c r="ON430" s="210"/>
      <c r="OO430" s="210"/>
      <c r="OP430" s="210"/>
      <c r="OQ430" s="210"/>
      <c r="OR430" s="210"/>
      <c r="OS430" s="210"/>
      <c r="OT430" s="210"/>
      <c r="OU430" s="210"/>
      <c r="OV430" s="210"/>
      <c r="OW430" s="210"/>
      <c r="RG430" s="120"/>
    </row>
    <row r="431" spans="1:475" x14ac:dyDescent="0.3">
      <c r="A431" s="7">
        <v>46</v>
      </c>
      <c r="B431" s="7">
        <v>421</v>
      </c>
      <c r="C431" s="7" t="s">
        <v>346</v>
      </c>
      <c r="D431" s="7" t="s">
        <v>708</v>
      </c>
      <c r="E431" s="7" t="s">
        <v>261</v>
      </c>
      <c r="F431" s="7" t="s">
        <v>275</v>
      </c>
      <c r="G431" s="41" t="str">
        <f t="shared" si="69"/>
        <v>X</v>
      </c>
      <c r="H431" s="41">
        <f>INDEX(환산공식!CI$16:CI$301,MATCH('배치점수 계산기'!$W431,환산공식!$A$16:$A$301,0))</f>
        <v>200</v>
      </c>
      <c r="I431" s="41" t="str">
        <f>CONCATENATE(ROUND(INDEX(환산공식!CJ$16:CJ$301,MATCH('배치점수 계산기'!$W431,환산공식!$A$16:$A$301,0)),1),"%")</f>
        <v>100%</v>
      </c>
      <c r="J431" s="41">
        <f>INDEX(환산공식!CK$16:CK$301,MATCH('배치점수 계산기'!$W431,환산공식!$A$16:$A$301,0))</f>
        <v>200</v>
      </c>
      <c r="K431" s="7">
        <f>INDEX(환산공식!$EF$16:$EF$301,MATCH('배치점수 계산기'!W431,환산공식!$A$16:$A$301,0))</f>
        <v>0</v>
      </c>
      <c r="L431" s="41" t="str">
        <f t="shared" si="67"/>
        <v>1% 이하</v>
      </c>
      <c r="M431" s="7">
        <v>893.53249999999991</v>
      </c>
      <c r="N431" s="7">
        <v>891.80317224622036</v>
      </c>
      <c r="O431" s="7">
        <v>890.34695196211089</v>
      </c>
      <c r="P431" s="7">
        <v>888.40549334058164</v>
      </c>
      <c r="Q431" s="7">
        <v>882.93525831272325</v>
      </c>
      <c r="R431" s="7">
        <f t="shared" si="68"/>
        <v>6</v>
      </c>
      <c r="T431" s="7">
        <f>COUNTIF($C$11:C431,C431)</f>
        <v>179</v>
      </c>
      <c r="U431" s="7" t="str">
        <f t="shared" si="70"/>
        <v>나179</v>
      </c>
      <c r="V431" s="7" t="str">
        <f>INDEX(환산공식!$C$16:$C$301,MATCH('배치점수 계산기'!W431,환산공식!$A$16:$A$301,0))</f>
        <v>건국 통합2</v>
      </c>
      <c r="W431" s="7">
        <f t="shared" si="71"/>
        <v>46</v>
      </c>
      <c r="X431" s="7">
        <f t="shared" si="72"/>
        <v>1</v>
      </c>
      <c r="Y431" s="7">
        <f>IFERROR(INDEX(환산공식!Q$16:Q$200,MATCH($A431,환산공식!$A$16:$A$200,0)),"")</f>
        <v>1.25</v>
      </c>
      <c r="Z431" s="7">
        <f>IFERROR(INDEX(환산공식!R$16:R$200,MATCH($A431,환산공식!$A$16:$A$200,0)),"")</f>
        <v>1.5</v>
      </c>
      <c r="AA431" s="7">
        <f>IFERROR(INDEX(환산공식!U$16:U$200,MATCH($A431,환산공식!$A$16:$A$200,0)),"")</f>
        <v>1.25</v>
      </c>
      <c r="AB431" s="7">
        <f t="shared" si="73"/>
        <v>0.3125</v>
      </c>
      <c r="AC431" s="7">
        <f t="shared" si="74"/>
        <v>0.375</v>
      </c>
      <c r="AD431" s="7">
        <f t="shared" si="75"/>
        <v>0.3125</v>
      </c>
      <c r="AE431" s="7">
        <f>INDEX(환산공식!$AF$16:$AF$301,MATCH('배치점수 계산기'!W431,환산공식!$A$16:$A$301,0))</f>
        <v>1</v>
      </c>
      <c r="AF431" s="7">
        <f>INDEX(환산공식!$AP$16:$AP$301,MATCH('배치점수 계산기'!W431,환산공식!$A$16:$A$301,0))</f>
        <v>4</v>
      </c>
      <c r="AG431" s="7" t="str">
        <f t="shared" si="76"/>
        <v>표점</v>
      </c>
      <c r="AH431" s="7" t="str">
        <f t="shared" si="77"/>
        <v>변표</v>
      </c>
      <c r="BO431" s="210"/>
      <c r="BP431" s="210"/>
      <c r="BQ431" s="210"/>
      <c r="BR431" s="210"/>
      <c r="BS431" s="210"/>
      <c r="BT431" s="210"/>
      <c r="BU431" s="210"/>
      <c r="BV431" s="210"/>
      <c r="BW431" s="210"/>
      <c r="BX431" s="210"/>
      <c r="BY431" s="210"/>
      <c r="BZ431" s="210"/>
      <c r="CA431" s="210"/>
      <c r="CB431" s="210"/>
      <c r="CC431" s="210"/>
      <c r="EM431" s="120"/>
      <c r="ET431" s="210"/>
      <c r="EU431" s="210"/>
      <c r="EV431" s="210"/>
      <c r="EW431" s="210"/>
      <c r="EX431" s="210"/>
      <c r="EY431" s="210"/>
      <c r="EZ431" s="210"/>
      <c r="FA431" s="210"/>
      <c r="FB431" s="210"/>
      <c r="FC431" s="210"/>
      <c r="FD431" s="210"/>
      <c r="FE431" s="210"/>
      <c r="FF431" s="210"/>
      <c r="FG431" s="210"/>
      <c r="FH431" s="210"/>
      <c r="HR431" s="120"/>
      <c r="HY431" s="210"/>
      <c r="HZ431" s="210"/>
      <c r="IA431" s="210"/>
      <c r="IB431" s="210"/>
      <c r="IC431" s="210"/>
      <c r="ID431" s="210"/>
      <c r="IE431" s="210"/>
      <c r="IF431" s="210"/>
      <c r="IG431" s="210"/>
      <c r="IH431" s="210"/>
      <c r="II431" s="210"/>
      <c r="IJ431" s="210"/>
      <c r="IK431" s="210"/>
      <c r="IL431" s="210"/>
      <c r="IM431" s="210"/>
      <c r="KW431" s="120"/>
      <c r="LD431" s="210"/>
      <c r="LE431" s="210"/>
      <c r="LF431" s="210"/>
      <c r="LG431" s="210"/>
      <c r="LH431" s="210"/>
      <c r="LI431" s="210"/>
      <c r="LJ431" s="210"/>
      <c r="LK431" s="210"/>
      <c r="LL431" s="210"/>
      <c r="LM431" s="210"/>
      <c r="LN431" s="210"/>
      <c r="LO431" s="210"/>
      <c r="LP431" s="210"/>
      <c r="LQ431" s="210"/>
      <c r="LR431" s="210"/>
      <c r="OB431" s="120"/>
      <c r="OI431" s="210"/>
      <c r="OJ431" s="210"/>
      <c r="OK431" s="210"/>
      <c r="OL431" s="210"/>
      <c r="OM431" s="210"/>
      <c r="ON431" s="210"/>
      <c r="OO431" s="210"/>
      <c r="OP431" s="210"/>
      <c r="OQ431" s="210"/>
      <c r="OR431" s="210"/>
      <c r="OS431" s="210"/>
      <c r="OT431" s="210"/>
      <c r="OU431" s="210"/>
      <c r="OV431" s="210"/>
      <c r="OW431" s="210"/>
      <c r="RG431" s="120"/>
    </row>
    <row r="432" spans="1:475" x14ac:dyDescent="0.3">
      <c r="A432" s="7">
        <v>45</v>
      </c>
      <c r="B432" s="7">
        <v>422</v>
      </c>
      <c r="C432" s="7" t="s">
        <v>346</v>
      </c>
      <c r="D432" s="7" t="s">
        <v>708</v>
      </c>
      <c r="E432" s="7" t="s">
        <v>796</v>
      </c>
      <c r="F432" s="7" t="s">
        <v>275</v>
      </c>
      <c r="G432" s="41" t="str">
        <f t="shared" si="69"/>
        <v>X</v>
      </c>
      <c r="H432" s="41">
        <f>INDEX(환산공식!CI$16:CI$301,MATCH('배치점수 계산기'!$W432,환산공식!$A$16:$A$301,0))</f>
        <v>200</v>
      </c>
      <c r="I432" s="41" t="str">
        <f>CONCATENATE(ROUND(INDEX(환산공식!CJ$16:CJ$301,MATCH('배치점수 계산기'!$W432,환산공식!$A$16:$A$301,0)),1),"%")</f>
        <v>100%</v>
      </c>
      <c r="J432" s="41">
        <f>INDEX(환산공식!CK$16:CK$301,MATCH('배치점수 계산기'!$W432,환산공식!$A$16:$A$301,0))</f>
        <v>200</v>
      </c>
      <c r="K432" s="7">
        <f>INDEX(환산공식!$EF$16:$EF$301,MATCH('배치점수 계산기'!W432,환산공식!$A$16:$A$301,0))</f>
        <v>0</v>
      </c>
      <c r="L432" s="41" t="str">
        <f t="shared" si="67"/>
        <v>1% 이하</v>
      </c>
      <c r="M432" s="7">
        <v>892.47147539875641</v>
      </c>
      <c r="N432" s="7">
        <v>891.11</v>
      </c>
      <c r="O432" s="7">
        <v>889.98092144604516</v>
      </c>
      <c r="P432" s="7">
        <v>888.94499999999994</v>
      </c>
      <c r="Q432" s="7">
        <v>881.81561636263132</v>
      </c>
      <c r="R432" s="7">
        <f t="shared" si="68"/>
        <v>6</v>
      </c>
      <c r="T432" s="7">
        <f>COUNTIF($C$11:C432,C432)</f>
        <v>180</v>
      </c>
      <c r="U432" s="7" t="str">
        <f t="shared" si="70"/>
        <v>나180</v>
      </c>
      <c r="V432" s="7" t="str">
        <f>INDEX(환산공식!$C$16:$C$301,MATCH('배치점수 계산기'!W432,환산공식!$A$16:$A$301,0))</f>
        <v>건국 통합1</v>
      </c>
      <c r="W432" s="7">
        <f t="shared" si="71"/>
        <v>45</v>
      </c>
      <c r="X432" s="7">
        <f t="shared" si="72"/>
        <v>1</v>
      </c>
      <c r="Y432" s="7">
        <f>IFERROR(INDEX(환산공식!Q$16:Q$200,MATCH($A432,환산공식!$A$16:$A$200,0)),"")</f>
        <v>1.5</v>
      </c>
      <c r="Z432" s="7">
        <f>IFERROR(INDEX(환산공식!R$16:R$200,MATCH($A432,환산공식!$A$16:$A$200,0)),"")</f>
        <v>1.25</v>
      </c>
      <c r="AA432" s="7">
        <f>IFERROR(INDEX(환산공식!U$16:U$200,MATCH($A432,환산공식!$A$16:$A$200,0)),"")</f>
        <v>1.25</v>
      </c>
      <c r="AB432" s="7">
        <f t="shared" si="73"/>
        <v>0.375</v>
      </c>
      <c r="AC432" s="7">
        <f t="shared" si="74"/>
        <v>0.3125</v>
      </c>
      <c r="AD432" s="7">
        <f t="shared" si="75"/>
        <v>0.3125</v>
      </c>
      <c r="AE432" s="7">
        <f>INDEX(환산공식!$AF$16:$AF$301,MATCH('배치점수 계산기'!W432,환산공식!$A$16:$A$301,0))</f>
        <v>1</v>
      </c>
      <c r="AF432" s="7">
        <f>INDEX(환산공식!$AP$16:$AP$301,MATCH('배치점수 계산기'!W432,환산공식!$A$16:$A$301,0))</f>
        <v>4</v>
      </c>
      <c r="AG432" s="7" t="str">
        <f t="shared" si="76"/>
        <v>표점</v>
      </c>
      <c r="AH432" s="7" t="str">
        <f t="shared" si="77"/>
        <v>변표</v>
      </c>
      <c r="BO432" s="210"/>
      <c r="BP432" s="210"/>
      <c r="BQ432" s="210"/>
      <c r="BR432" s="210"/>
      <c r="BS432" s="210"/>
      <c r="BT432" s="210"/>
      <c r="BU432" s="210"/>
      <c r="BV432" s="210"/>
      <c r="BW432" s="210"/>
      <c r="BX432" s="210"/>
      <c r="BY432" s="210"/>
      <c r="BZ432" s="210"/>
      <c r="CA432" s="210"/>
      <c r="CB432" s="210"/>
      <c r="CC432" s="210"/>
      <c r="EM432" s="120"/>
      <c r="ET432" s="210"/>
      <c r="EU432" s="210"/>
      <c r="EV432" s="210"/>
      <c r="EW432" s="210"/>
      <c r="EX432" s="210"/>
      <c r="EY432" s="210"/>
      <c r="EZ432" s="210"/>
      <c r="FA432" s="210"/>
      <c r="FB432" s="210"/>
      <c r="FC432" s="210"/>
      <c r="FD432" s="210"/>
      <c r="FE432" s="210"/>
      <c r="FF432" s="210"/>
      <c r="FG432" s="210"/>
      <c r="FH432" s="210"/>
      <c r="HR432" s="120"/>
      <c r="HY432" s="210"/>
      <c r="HZ432" s="210"/>
      <c r="IA432" s="210"/>
      <c r="IB432" s="210"/>
      <c r="IC432" s="210"/>
      <c r="ID432" s="210"/>
      <c r="IE432" s="210"/>
      <c r="IF432" s="210"/>
      <c r="IG432" s="210"/>
      <c r="IH432" s="210"/>
      <c r="II432" s="210"/>
      <c r="IJ432" s="210"/>
      <c r="IK432" s="210"/>
      <c r="IL432" s="210"/>
      <c r="IM432" s="210"/>
      <c r="KW432" s="120"/>
      <c r="LD432" s="210"/>
      <c r="LE432" s="210"/>
      <c r="LF432" s="210"/>
      <c r="LG432" s="210"/>
      <c r="LH432" s="210"/>
      <c r="LI432" s="210"/>
      <c r="LJ432" s="210"/>
      <c r="LK432" s="210"/>
      <c r="LL432" s="210"/>
      <c r="LM432" s="210"/>
      <c r="LN432" s="210"/>
      <c r="LO432" s="210"/>
      <c r="LP432" s="210"/>
      <c r="LQ432" s="210"/>
      <c r="LR432" s="210"/>
      <c r="OB432" s="120"/>
      <c r="OI432" s="210"/>
      <c r="OJ432" s="210"/>
      <c r="OK432" s="210"/>
      <c r="OL432" s="210"/>
      <c r="OM432" s="210"/>
      <c r="ON432" s="210"/>
      <c r="OO432" s="210"/>
      <c r="OP432" s="210"/>
      <c r="OQ432" s="210"/>
      <c r="OR432" s="210"/>
      <c r="OS432" s="210"/>
      <c r="OT432" s="210"/>
      <c r="OU432" s="210"/>
      <c r="OV432" s="210"/>
      <c r="OW432" s="210"/>
      <c r="RG432" s="120"/>
    </row>
    <row r="433" spans="1:475" x14ac:dyDescent="0.3">
      <c r="A433" s="7">
        <v>45</v>
      </c>
      <c r="B433" s="7">
        <v>423</v>
      </c>
      <c r="C433" s="7" t="s">
        <v>346</v>
      </c>
      <c r="D433" s="7" t="s">
        <v>708</v>
      </c>
      <c r="E433" s="7" t="s">
        <v>299</v>
      </c>
      <c r="F433" s="7" t="s">
        <v>275</v>
      </c>
      <c r="G433" s="41" t="str">
        <f t="shared" si="69"/>
        <v>X</v>
      </c>
      <c r="H433" s="41">
        <f>INDEX(환산공식!CI$16:CI$301,MATCH('배치점수 계산기'!$W433,환산공식!$A$16:$A$301,0))</f>
        <v>200</v>
      </c>
      <c r="I433" s="41" t="str">
        <f>CONCATENATE(ROUND(INDEX(환산공식!CJ$16:CJ$301,MATCH('배치점수 계산기'!$W433,환산공식!$A$16:$A$301,0)),1),"%")</f>
        <v>100%</v>
      </c>
      <c r="J433" s="41">
        <f>INDEX(환산공식!CK$16:CK$301,MATCH('배치점수 계산기'!$W433,환산공식!$A$16:$A$301,0))</f>
        <v>200</v>
      </c>
      <c r="K433" s="7">
        <f>INDEX(환산공식!$EF$16:$EF$301,MATCH('배치점수 계산기'!W433,환산공식!$A$16:$A$301,0))</f>
        <v>0</v>
      </c>
      <c r="L433" s="41" t="str">
        <f t="shared" si="67"/>
        <v>1% 이하</v>
      </c>
      <c r="M433" s="7">
        <v>891.11</v>
      </c>
      <c r="N433" s="7">
        <v>889.98092144604516</v>
      </c>
      <c r="O433" s="7">
        <v>888.63587626056142</v>
      </c>
      <c r="P433" s="7">
        <v>887.77918395196502</v>
      </c>
      <c r="Q433" s="7">
        <v>881.20942600276624</v>
      </c>
      <c r="R433" s="7">
        <f t="shared" si="68"/>
        <v>6</v>
      </c>
      <c r="T433" s="7">
        <f>COUNTIF($C$11:C433,C433)</f>
        <v>181</v>
      </c>
      <c r="U433" s="7" t="str">
        <f t="shared" si="70"/>
        <v>나181</v>
      </c>
      <c r="V433" s="7" t="str">
        <f>INDEX(환산공식!$C$16:$C$301,MATCH('배치점수 계산기'!W433,환산공식!$A$16:$A$301,0))</f>
        <v>건국 통합1</v>
      </c>
      <c r="W433" s="7">
        <f t="shared" si="71"/>
        <v>45</v>
      </c>
      <c r="X433" s="7">
        <f t="shared" si="72"/>
        <v>1</v>
      </c>
      <c r="Y433" s="7">
        <f>IFERROR(INDEX(환산공식!Q$16:Q$200,MATCH($A433,환산공식!$A$16:$A$200,0)),"")</f>
        <v>1.5</v>
      </c>
      <c r="Z433" s="7">
        <f>IFERROR(INDEX(환산공식!R$16:R$200,MATCH($A433,환산공식!$A$16:$A$200,0)),"")</f>
        <v>1.25</v>
      </c>
      <c r="AA433" s="7">
        <f>IFERROR(INDEX(환산공식!U$16:U$200,MATCH($A433,환산공식!$A$16:$A$200,0)),"")</f>
        <v>1.25</v>
      </c>
      <c r="AB433" s="7">
        <f t="shared" si="73"/>
        <v>0.375</v>
      </c>
      <c r="AC433" s="7">
        <f t="shared" si="74"/>
        <v>0.3125</v>
      </c>
      <c r="AD433" s="7">
        <f t="shared" si="75"/>
        <v>0.3125</v>
      </c>
      <c r="AE433" s="7">
        <f>INDEX(환산공식!$AF$16:$AF$301,MATCH('배치점수 계산기'!W433,환산공식!$A$16:$A$301,0))</f>
        <v>1</v>
      </c>
      <c r="AF433" s="7">
        <f>INDEX(환산공식!$AP$16:$AP$301,MATCH('배치점수 계산기'!W433,환산공식!$A$16:$A$301,0))</f>
        <v>4</v>
      </c>
      <c r="AG433" s="7" t="str">
        <f t="shared" si="76"/>
        <v>표점</v>
      </c>
      <c r="AH433" s="7" t="str">
        <f t="shared" si="77"/>
        <v>변표</v>
      </c>
      <c r="BO433" s="210"/>
      <c r="BP433" s="210"/>
      <c r="BQ433" s="210"/>
      <c r="BR433" s="210"/>
      <c r="BS433" s="210"/>
      <c r="BT433" s="210"/>
      <c r="BU433" s="210"/>
      <c r="BV433" s="210"/>
      <c r="BW433" s="210"/>
      <c r="BX433" s="210"/>
      <c r="BY433" s="210"/>
      <c r="BZ433" s="210"/>
      <c r="CA433" s="210"/>
      <c r="CB433" s="210"/>
      <c r="CC433" s="210"/>
      <c r="EM433" s="120"/>
      <c r="ET433" s="210"/>
      <c r="EU433" s="210"/>
      <c r="EV433" s="210"/>
      <c r="EW433" s="210"/>
      <c r="EX433" s="210"/>
      <c r="EY433" s="210"/>
      <c r="EZ433" s="210"/>
      <c r="FA433" s="210"/>
      <c r="FB433" s="210"/>
      <c r="FC433" s="210"/>
      <c r="FD433" s="210"/>
      <c r="FE433" s="210"/>
      <c r="FF433" s="210"/>
      <c r="FG433" s="210"/>
      <c r="FH433" s="210"/>
      <c r="HR433" s="120"/>
      <c r="HY433" s="210"/>
      <c r="HZ433" s="210"/>
      <c r="IA433" s="210"/>
      <c r="IB433" s="210"/>
      <c r="IC433" s="210"/>
      <c r="ID433" s="210"/>
      <c r="IE433" s="210"/>
      <c r="IF433" s="210"/>
      <c r="IG433" s="210"/>
      <c r="IH433" s="210"/>
      <c r="II433" s="210"/>
      <c r="IJ433" s="210"/>
      <c r="IK433" s="210"/>
      <c r="IL433" s="210"/>
      <c r="IM433" s="210"/>
      <c r="KW433" s="120"/>
      <c r="LD433" s="210"/>
      <c r="LE433" s="210"/>
      <c r="LF433" s="210"/>
      <c r="LG433" s="210"/>
      <c r="LH433" s="210"/>
      <c r="LI433" s="210"/>
      <c r="LJ433" s="210"/>
      <c r="LK433" s="210"/>
      <c r="LL433" s="210"/>
      <c r="LM433" s="210"/>
      <c r="LN433" s="210"/>
      <c r="LO433" s="210"/>
      <c r="LP433" s="210"/>
      <c r="LQ433" s="210"/>
      <c r="LR433" s="210"/>
      <c r="OB433" s="120"/>
      <c r="OI433" s="210"/>
      <c r="OJ433" s="210"/>
      <c r="OK433" s="210"/>
      <c r="OL433" s="210"/>
      <c r="OM433" s="210"/>
      <c r="ON433" s="210"/>
      <c r="OO433" s="210"/>
      <c r="OP433" s="210"/>
      <c r="OQ433" s="210"/>
      <c r="OR433" s="210"/>
      <c r="OS433" s="210"/>
      <c r="OT433" s="210"/>
      <c r="OU433" s="210"/>
      <c r="OV433" s="210"/>
      <c r="OW433" s="210"/>
      <c r="RG433" s="120"/>
    </row>
    <row r="434" spans="1:475" x14ac:dyDescent="0.3">
      <c r="A434" s="7">
        <v>45</v>
      </c>
      <c r="B434" s="7">
        <v>424</v>
      </c>
      <c r="C434" s="7" t="s">
        <v>346</v>
      </c>
      <c r="D434" s="7" t="s">
        <v>708</v>
      </c>
      <c r="E434" s="7" t="s">
        <v>303</v>
      </c>
      <c r="F434" s="7" t="s">
        <v>275</v>
      </c>
      <c r="G434" s="41" t="str">
        <f t="shared" si="69"/>
        <v>X</v>
      </c>
      <c r="H434" s="41">
        <f>INDEX(환산공식!CI$16:CI$301,MATCH('배치점수 계산기'!$W434,환산공식!$A$16:$A$301,0))</f>
        <v>200</v>
      </c>
      <c r="I434" s="41" t="str">
        <f>CONCATENATE(ROUND(INDEX(환산공식!CJ$16:CJ$301,MATCH('배치점수 계산기'!$W434,환산공식!$A$16:$A$301,0)),1),"%")</f>
        <v>100%</v>
      </c>
      <c r="J434" s="41">
        <f>INDEX(환산공식!CK$16:CK$301,MATCH('배치점수 계산기'!$W434,환산공식!$A$16:$A$301,0))</f>
        <v>200</v>
      </c>
      <c r="K434" s="7">
        <f>INDEX(환산공식!$EF$16:$EF$301,MATCH('배치점수 계산기'!W434,환산공식!$A$16:$A$301,0))</f>
        <v>0</v>
      </c>
      <c r="L434" s="41" t="str">
        <f t="shared" si="67"/>
        <v>1% 이하</v>
      </c>
      <c r="M434" s="7">
        <v>890.89405207485765</v>
      </c>
      <c r="N434" s="7">
        <v>889.98092144604516</v>
      </c>
      <c r="O434" s="7">
        <v>888.32913304252986</v>
      </c>
      <c r="P434" s="7">
        <v>887.50420944838879</v>
      </c>
      <c r="Q434" s="7">
        <v>881.20942600276624</v>
      </c>
      <c r="R434" s="7">
        <f t="shared" si="68"/>
        <v>6</v>
      </c>
      <c r="T434" s="7">
        <f>COUNTIF($C$11:C434,C434)</f>
        <v>182</v>
      </c>
      <c r="U434" s="7" t="str">
        <f t="shared" si="70"/>
        <v>나182</v>
      </c>
      <c r="V434" s="7" t="str">
        <f>INDEX(환산공식!$C$16:$C$301,MATCH('배치점수 계산기'!W434,환산공식!$A$16:$A$301,0))</f>
        <v>건국 통합1</v>
      </c>
      <c r="W434" s="7">
        <f t="shared" si="71"/>
        <v>45</v>
      </c>
      <c r="X434" s="7">
        <f t="shared" si="72"/>
        <v>1</v>
      </c>
      <c r="Y434" s="7">
        <f>IFERROR(INDEX(환산공식!Q$16:Q$200,MATCH($A434,환산공식!$A$16:$A$200,0)),"")</f>
        <v>1.5</v>
      </c>
      <c r="Z434" s="7">
        <f>IFERROR(INDEX(환산공식!R$16:R$200,MATCH($A434,환산공식!$A$16:$A$200,0)),"")</f>
        <v>1.25</v>
      </c>
      <c r="AA434" s="7">
        <f>IFERROR(INDEX(환산공식!U$16:U$200,MATCH($A434,환산공식!$A$16:$A$200,0)),"")</f>
        <v>1.25</v>
      </c>
      <c r="AB434" s="7">
        <f t="shared" si="73"/>
        <v>0.375</v>
      </c>
      <c r="AC434" s="7">
        <f t="shared" si="74"/>
        <v>0.3125</v>
      </c>
      <c r="AD434" s="7">
        <f t="shared" si="75"/>
        <v>0.3125</v>
      </c>
      <c r="AE434" s="7">
        <f>INDEX(환산공식!$AF$16:$AF$301,MATCH('배치점수 계산기'!W434,환산공식!$A$16:$A$301,0))</f>
        <v>1</v>
      </c>
      <c r="AF434" s="7">
        <f>INDEX(환산공식!$AP$16:$AP$301,MATCH('배치점수 계산기'!W434,환산공식!$A$16:$A$301,0))</f>
        <v>4</v>
      </c>
      <c r="AG434" s="7" t="str">
        <f t="shared" si="76"/>
        <v>표점</v>
      </c>
      <c r="AH434" s="7" t="str">
        <f t="shared" si="77"/>
        <v>변표</v>
      </c>
      <c r="BO434" s="210"/>
      <c r="BP434" s="210"/>
      <c r="BQ434" s="210"/>
      <c r="BR434" s="210"/>
      <c r="BS434" s="210"/>
      <c r="BT434" s="210"/>
      <c r="BU434" s="210"/>
      <c r="BV434" s="210"/>
      <c r="BW434" s="210"/>
      <c r="BX434" s="210"/>
      <c r="BY434" s="210"/>
      <c r="BZ434" s="210"/>
      <c r="CA434" s="210"/>
      <c r="CB434" s="210"/>
      <c r="CC434" s="210"/>
      <c r="EM434" s="120"/>
      <c r="ET434" s="210"/>
      <c r="EU434" s="210"/>
      <c r="EV434" s="210"/>
      <c r="EW434" s="210"/>
      <c r="EX434" s="210"/>
      <c r="EY434" s="210"/>
      <c r="EZ434" s="210"/>
      <c r="FA434" s="210"/>
      <c r="FB434" s="210"/>
      <c r="FC434" s="210"/>
      <c r="FD434" s="210"/>
      <c r="FE434" s="210"/>
      <c r="FF434" s="210"/>
      <c r="FG434" s="210"/>
      <c r="FH434" s="210"/>
      <c r="HR434" s="120"/>
      <c r="HY434" s="210"/>
      <c r="HZ434" s="210"/>
      <c r="IA434" s="210"/>
      <c r="IB434" s="210"/>
      <c r="IC434" s="210"/>
      <c r="ID434" s="210"/>
      <c r="IE434" s="210"/>
      <c r="IF434" s="210"/>
      <c r="IG434" s="210"/>
      <c r="IH434" s="210"/>
      <c r="II434" s="210"/>
      <c r="IJ434" s="210"/>
      <c r="IK434" s="210"/>
      <c r="IL434" s="210"/>
      <c r="IM434" s="210"/>
      <c r="KW434" s="120"/>
      <c r="LD434" s="210"/>
      <c r="LE434" s="210"/>
      <c r="LF434" s="210"/>
      <c r="LG434" s="210"/>
      <c r="LH434" s="210"/>
      <c r="LI434" s="210"/>
      <c r="LJ434" s="210"/>
      <c r="LK434" s="210"/>
      <c r="LL434" s="210"/>
      <c r="LM434" s="210"/>
      <c r="LN434" s="210"/>
      <c r="LO434" s="210"/>
      <c r="LP434" s="210"/>
      <c r="LQ434" s="210"/>
      <c r="LR434" s="210"/>
      <c r="OB434" s="120"/>
      <c r="OI434" s="210"/>
      <c r="OJ434" s="210"/>
      <c r="OK434" s="210"/>
      <c r="OL434" s="210"/>
      <c r="OM434" s="210"/>
      <c r="ON434" s="210"/>
      <c r="OO434" s="210"/>
      <c r="OP434" s="210"/>
      <c r="OQ434" s="210"/>
      <c r="OR434" s="210"/>
      <c r="OS434" s="210"/>
      <c r="OT434" s="210"/>
      <c r="OU434" s="210"/>
      <c r="OV434" s="210"/>
      <c r="OW434" s="210"/>
      <c r="RG434" s="120"/>
    </row>
    <row r="435" spans="1:475" x14ac:dyDescent="0.3">
      <c r="A435" s="7">
        <v>45</v>
      </c>
      <c r="B435" s="7">
        <v>425</v>
      </c>
      <c r="C435" s="7" t="s">
        <v>346</v>
      </c>
      <c r="D435" s="7" t="s">
        <v>708</v>
      </c>
      <c r="E435" s="7" t="s">
        <v>312</v>
      </c>
      <c r="F435" s="7" t="s">
        <v>275</v>
      </c>
      <c r="G435" s="41" t="str">
        <f t="shared" si="69"/>
        <v>X</v>
      </c>
      <c r="H435" s="41">
        <f>INDEX(환산공식!CI$16:CI$301,MATCH('배치점수 계산기'!$W435,환산공식!$A$16:$A$301,0))</f>
        <v>200</v>
      </c>
      <c r="I435" s="41" t="str">
        <f>CONCATENATE(ROUND(INDEX(환산공식!CJ$16:CJ$301,MATCH('배치점수 계산기'!$W435,환산공식!$A$16:$A$301,0)),1),"%")</f>
        <v>100%</v>
      </c>
      <c r="J435" s="41">
        <f>INDEX(환산공식!CK$16:CK$301,MATCH('배치점수 계산기'!$W435,환산공식!$A$16:$A$301,0))</f>
        <v>200</v>
      </c>
      <c r="K435" s="7">
        <f>INDEX(환산공식!$EF$16:$EF$301,MATCH('배치점수 계산기'!W435,환산공식!$A$16:$A$301,0))</f>
        <v>0</v>
      </c>
      <c r="L435" s="41" t="str">
        <f t="shared" si="67"/>
        <v>1% 이하</v>
      </c>
      <c r="M435" s="7">
        <v>889.98092144604516</v>
      </c>
      <c r="N435" s="7">
        <v>888.94499999999994</v>
      </c>
      <c r="O435" s="7">
        <v>886.92499999999995</v>
      </c>
      <c r="P435" s="7">
        <v>884.66073234405053</v>
      </c>
      <c r="Q435" s="7">
        <v>880.5211114190688</v>
      </c>
      <c r="R435" s="7">
        <f t="shared" si="68"/>
        <v>6</v>
      </c>
      <c r="T435" s="7">
        <f>COUNTIF($C$11:C435,C435)</f>
        <v>183</v>
      </c>
      <c r="U435" s="7" t="str">
        <f t="shared" si="70"/>
        <v>나183</v>
      </c>
      <c r="V435" s="7" t="str">
        <f>INDEX(환산공식!$C$16:$C$301,MATCH('배치점수 계산기'!W435,환산공식!$A$16:$A$301,0))</f>
        <v>건국 통합1</v>
      </c>
      <c r="W435" s="7">
        <f t="shared" si="71"/>
        <v>45</v>
      </c>
      <c r="X435" s="7">
        <f t="shared" si="72"/>
        <v>1</v>
      </c>
      <c r="Y435" s="7">
        <f>IFERROR(INDEX(환산공식!Q$16:Q$200,MATCH($A435,환산공식!$A$16:$A$200,0)),"")</f>
        <v>1.5</v>
      </c>
      <c r="Z435" s="7">
        <f>IFERROR(INDEX(환산공식!R$16:R$200,MATCH($A435,환산공식!$A$16:$A$200,0)),"")</f>
        <v>1.25</v>
      </c>
      <c r="AA435" s="7">
        <f>IFERROR(INDEX(환산공식!U$16:U$200,MATCH($A435,환산공식!$A$16:$A$200,0)),"")</f>
        <v>1.25</v>
      </c>
      <c r="AB435" s="7">
        <f t="shared" si="73"/>
        <v>0.375</v>
      </c>
      <c r="AC435" s="7">
        <f t="shared" si="74"/>
        <v>0.3125</v>
      </c>
      <c r="AD435" s="7">
        <f t="shared" si="75"/>
        <v>0.3125</v>
      </c>
      <c r="AE435" s="7">
        <f>INDEX(환산공식!$AF$16:$AF$301,MATCH('배치점수 계산기'!W435,환산공식!$A$16:$A$301,0))</f>
        <v>1</v>
      </c>
      <c r="AF435" s="7">
        <f>INDEX(환산공식!$AP$16:$AP$301,MATCH('배치점수 계산기'!W435,환산공식!$A$16:$A$301,0))</f>
        <v>4</v>
      </c>
      <c r="AG435" s="7" t="str">
        <f t="shared" si="76"/>
        <v>표점</v>
      </c>
      <c r="AH435" s="7" t="str">
        <f t="shared" si="77"/>
        <v>변표</v>
      </c>
      <c r="BO435" s="210"/>
      <c r="BP435" s="210"/>
      <c r="BQ435" s="210"/>
      <c r="BR435" s="210"/>
      <c r="BS435" s="210"/>
      <c r="BT435" s="210"/>
      <c r="BU435" s="210"/>
      <c r="BV435" s="210"/>
      <c r="BW435" s="210"/>
      <c r="BX435" s="210"/>
      <c r="BY435" s="210"/>
      <c r="BZ435" s="210"/>
      <c r="CA435" s="210"/>
      <c r="CB435" s="210"/>
      <c r="CC435" s="210"/>
      <c r="EM435" s="120"/>
      <c r="ET435" s="210"/>
      <c r="EU435" s="210"/>
      <c r="EV435" s="210"/>
      <c r="EW435" s="210"/>
      <c r="EX435" s="210"/>
      <c r="EY435" s="210"/>
      <c r="EZ435" s="210"/>
      <c r="FA435" s="210"/>
      <c r="FB435" s="210"/>
      <c r="FC435" s="210"/>
      <c r="FD435" s="210"/>
      <c r="FE435" s="210"/>
      <c r="FF435" s="210"/>
      <c r="FG435" s="210"/>
      <c r="FH435" s="210"/>
      <c r="HR435" s="120"/>
      <c r="HY435" s="210"/>
      <c r="HZ435" s="210"/>
      <c r="IA435" s="210"/>
      <c r="IB435" s="210"/>
      <c r="IC435" s="210"/>
      <c r="ID435" s="210"/>
      <c r="IE435" s="210"/>
      <c r="IF435" s="210"/>
      <c r="IG435" s="210"/>
      <c r="IH435" s="210"/>
      <c r="II435" s="210"/>
      <c r="IJ435" s="210"/>
      <c r="IK435" s="210"/>
      <c r="IL435" s="210"/>
      <c r="IM435" s="210"/>
      <c r="KW435" s="120"/>
      <c r="LD435" s="210"/>
      <c r="LE435" s="210"/>
      <c r="LF435" s="210"/>
      <c r="LG435" s="210"/>
      <c r="LH435" s="210"/>
      <c r="LI435" s="210"/>
      <c r="LJ435" s="210"/>
      <c r="LK435" s="210"/>
      <c r="LL435" s="210"/>
      <c r="LM435" s="210"/>
      <c r="LN435" s="210"/>
      <c r="LO435" s="210"/>
      <c r="LP435" s="210"/>
      <c r="LQ435" s="210"/>
      <c r="LR435" s="210"/>
      <c r="OB435" s="120"/>
      <c r="OI435" s="210"/>
      <c r="OJ435" s="210"/>
      <c r="OK435" s="210"/>
      <c r="OL435" s="210"/>
      <c r="OM435" s="210"/>
      <c r="ON435" s="210"/>
      <c r="OO435" s="210"/>
      <c r="OP435" s="210"/>
      <c r="OQ435" s="210"/>
      <c r="OR435" s="210"/>
      <c r="OS435" s="210"/>
      <c r="OT435" s="210"/>
      <c r="OU435" s="210"/>
      <c r="OV435" s="210"/>
      <c r="OW435" s="210"/>
      <c r="RG435" s="120"/>
    </row>
    <row r="436" spans="1:475" x14ac:dyDescent="0.3">
      <c r="A436" s="7">
        <v>45</v>
      </c>
      <c r="B436" s="7">
        <v>426</v>
      </c>
      <c r="C436" s="7" t="s">
        <v>346</v>
      </c>
      <c r="D436" s="7" t="s">
        <v>708</v>
      </c>
      <c r="E436" s="7" t="s">
        <v>351</v>
      </c>
      <c r="F436" s="7" t="s">
        <v>275</v>
      </c>
      <c r="G436" s="41" t="str">
        <f t="shared" si="69"/>
        <v>X</v>
      </c>
      <c r="H436" s="41">
        <f>INDEX(환산공식!CI$16:CI$301,MATCH('배치점수 계산기'!$W436,환산공식!$A$16:$A$301,0))</f>
        <v>200</v>
      </c>
      <c r="I436" s="41" t="str">
        <f>CONCATENATE(ROUND(INDEX(환산공식!CJ$16:CJ$301,MATCH('배치점수 계산기'!$W436,환산공식!$A$16:$A$301,0)),1),"%")</f>
        <v>100%</v>
      </c>
      <c r="J436" s="41">
        <f>INDEX(환산공식!CK$16:CK$301,MATCH('배치점수 계산기'!$W436,환산공식!$A$16:$A$301,0))</f>
        <v>200</v>
      </c>
      <c r="K436" s="7">
        <f>INDEX(환산공식!$EF$16:$EF$301,MATCH('배치점수 계산기'!W436,환산공식!$A$16:$A$301,0))</f>
        <v>0</v>
      </c>
      <c r="L436" s="41" t="str">
        <f t="shared" si="67"/>
        <v>1% 이하</v>
      </c>
      <c r="M436" s="7">
        <v>889.98092144604516</v>
      </c>
      <c r="N436" s="7">
        <v>888.94499999999994</v>
      </c>
      <c r="O436" s="7">
        <v>886.92499999999995</v>
      </c>
      <c r="P436" s="7">
        <v>884.66073234405053</v>
      </c>
      <c r="Q436" s="7">
        <v>880.5211114190688</v>
      </c>
      <c r="R436" s="7">
        <f t="shared" si="68"/>
        <v>6</v>
      </c>
      <c r="T436" s="7">
        <f>COUNTIF($C$11:C436,C436)</f>
        <v>184</v>
      </c>
      <c r="U436" s="7" t="str">
        <f t="shared" si="70"/>
        <v>나184</v>
      </c>
      <c r="V436" s="7" t="str">
        <f>INDEX(환산공식!$C$16:$C$301,MATCH('배치점수 계산기'!W436,환산공식!$A$16:$A$301,0))</f>
        <v>건국 통합1</v>
      </c>
      <c r="W436" s="7">
        <f t="shared" si="71"/>
        <v>45</v>
      </c>
      <c r="X436" s="7">
        <f t="shared" si="72"/>
        <v>1</v>
      </c>
      <c r="Y436" s="7">
        <f>IFERROR(INDEX(환산공식!Q$16:Q$200,MATCH($A436,환산공식!$A$16:$A$200,0)),"")</f>
        <v>1.5</v>
      </c>
      <c r="Z436" s="7">
        <f>IFERROR(INDEX(환산공식!R$16:R$200,MATCH($A436,환산공식!$A$16:$A$200,0)),"")</f>
        <v>1.25</v>
      </c>
      <c r="AA436" s="7">
        <f>IFERROR(INDEX(환산공식!U$16:U$200,MATCH($A436,환산공식!$A$16:$A$200,0)),"")</f>
        <v>1.25</v>
      </c>
      <c r="AB436" s="7">
        <f t="shared" si="73"/>
        <v>0.375</v>
      </c>
      <c r="AC436" s="7">
        <f t="shared" si="74"/>
        <v>0.3125</v>
      </c>
      <c r="AD436" s="7">
        <f t="shared" si="75"/>
        <v>0.3125</v>
      </c>
      <c r="AE436" s="7">
        <f>INDEX(환산공식!$AF$16:$AF$301,MATCH('배치점수 계산기'!W436,환산공식!$A$16:$A$301,0))</f>
        <v>1</v>
      </c>
      <c r="AF436" s="7">
        <f>INDEX(환산공식!$AP$16:$AP$301,MATCH('배치점수 계산기'!W436,환산공식!$A$16:$A$301,0))</f>
        <v>4</v>
      </c>
      <c r="AG436" s="7" t="str">
        <f t="shared" si="76"/>
        <v>표점</v>
      </c>
      <c r="AH436" s="7" t="str">
        <f t="shared" si="77"/>
        <v>변표</v>
      </c>
      <c r="BO436" s="210"/>
      <c r="BP436" s="210"/>
      <c r="BQ436" s="210"/>
      <c r="BR436" s="210"/>
      <c r="BS436" s="210"/>
      <c r="BT436" s="210"/>
      <c r="BU436" s="210"/>
      <c r="BV436" s="210"/>
      <c r="BW436" s="210"/>
      <c r="BX436" s="210"/>
      <c r="BY436" s="210"/>
      <c r="BZ436" s="210"/>
      <c r="CA436" s="210"/>
      <c r="CB436" s="210"/>
      <c r="CC436" s="210"/>
      <c r="EM436" s="120"/>
      <c r="ET436" s="210"/>
      <c r="EU436" s="210"/>
      <c r="EV436" s="210"/>
      <c r="EW436" s="210"/>
      <c r="EX436" s="210"/>
      <c r="EY436" s="210"/>
      <c r="EZ436" s="210"/>
      <c r="FA436" s="210"/>
      <c r="FB436" s="210"/>
      <c r="FC436" s="210"/>
      <c r="FD436" s="210"/>
      <c r="FE436" s="210"/>
      <c r="FF436" s="210"/>
      <c r="FG436" s="210"/>
      <c r="FH436" s="210"/>
      <c r="HR436" s="120"/>
      <c r="HY436" s="210"/>
      <c r="HZ436" s="210"/>
      <c r="IA436" s="210"/>
      <c r="IB436" s="210"/>
      <c r="IC436" s="210"/>
      <c r="ID436" s="210"/>
      <c r="IE436" s="210"/>
      <c r="IF436" s="210"/>
      <c r="IG436" s="210"/>
      <c r="IH436" s="210"/>
      <c r="II436" s="210"/>
      <c r="IJ436" s="210"/>
      <c r="IK436" s="210"/>
      <c r="IL436" s="210"/>
      <c r="IM436" s="210"/>
      <c r="KW436" s="120"/>
      <c r="LD436" s="210"/>
      <c r="LE436" s="210"/>
      <c r="LF436" s="210"/>
      <c r="LG436" s="210"/>
      <c r="LH436" s="210"/>
      <c r="LI436" s="210"/>
      <c r="LJ436" s="210"/>
      <c r="LK436" s="210"/>
      <c r="LL436" s="210"/>
      <c r="LM436" s="210"/>
      <c r="LN436" s="210"/>
      <c r="LO436" s="210"/>
      <c r="LP436" s="210"/>
      <c r="LQ436" s="210"/>
      <c r="LR436" s="210"/>
      <c r="OB436" s="120"/>
      <c r="OI436" s="210"/>
      <c r="OJ436" s="210"/>
      <c r="OK436" s="210"/>
      <c r="OL436" s="210"/>
      <c r="OM436" s="210"/>
      <c r="ON436" s="210"/>
      <c r="OO436" s="210"/>
      <c r="OP436" s="210"/>
      <c r="OQ436" s="210"/>
      <c r="OR436" s="210"/>
      <c r="OS436" s="210"/>
      <c r="OT436" s="210"/>
      <c r="OU436" s="210"/>
      <c r="OV436" s="210"/>
      <c r="OW436" s="210"/>
      <c r="RG436" s="120"/>
    </row>
    <row r="437" spans="1:475" x14ac:dyDescent="0.3">
      <c r="A437" s="7">
        <v>45</v>
      </c>
      <c r="B437" s="7">
        <v>427</v>
      </c>
      <c r="C437" s="7" t="s">
        <v>276</v>
      </c>
      <c r="D437" s="7" t="s">
        <v>708</v>
      </c>
      <c r="E437" s="7" t="s">
        <v>797</v>
      </c>
      <c r="F437" s="7" t="s">
        <v>275</v>
      </c>
      <c r="G437" s="41" t="str">
        <f t="shared" si="69"/>
        <v>X</v>
      </c>
      <c r="H437" s="41">
        <f>INDEX(환산공식!CI$16:CI$301,MATCH('배치점수 계산기'!$W437,환산공식!$A$16:$A$301,0))</f>
        <v>200</v>
      </c>
      <c r="I437" s="41" t="str">
        <f>CONCATENATE(ROUND(INDEX(환산공식!CJ$16:CJ$301,MATCH('배치점수 계산기'!$W437,환산공식!$A$16:$A$301,0)),1),"%")</f>
        <v>100%</v>
      </c>
      <c r="J437" s="41">
        <f>INDEX(환산공식!CK$16:CK$301,MATCH('배치점수 계산기'!$W437,환산공식!$A$16:$A$301,0))</f>
        <v>200</v>
      </c>
      <c r="K437" s="7">
        <f>INDEX(환산공식!$EF$16:$EF$301,MATCH('배치점수 계산기'!W437,환산공식!$A$16:$A$301,0))</f>
        <v>0</v>
      </c>
      <c r="L437" s="41" t="str">
        <f t="shared" si="67"/>
        <v>1% 이하</v>
      </c>
      <c r="M437" s="7">
        <v>889.98092144604516</v>
      </c>
      <c r="N437" s="7">
        <v>888.94499999999994</v>
      </c>
      <c r="O437" s="7">
        <v>884.66073234405053</v>
      </c>
      <c r="P437" s="7">
        <v>882.53499999999997</v>
      </c>
      <c r="Q437" s="7">
        <v>879.81500000000005</v>
      </c>
      <c r="R437" s="7">
        <f t="shared" si="68"/>
        <v>6</v>
      </c>
      <c r="T437" s="7">
        <f>COUNTIF($C$11:C437,C437)</f>
        <v>229</v>
      </c>
      <c r="U437" s="7" t="str">
        <f t="shared" si="70"/>
        <v>가229</v>
      </c>
      <c r="V437" s="7" t="str">
        <f>INDEX(환산공식!$C$16:$C$301,MATCH('배치점수 계산기'!W437,환산공식!$A$16:$A$301,0))</f>
        <v>건국 통합1</v>
      </c>
      <c r="W437" s="7">
        <f t="shared" si="71"/>
        <v>45</v>
      </c>
      <c r="X437" s="7">
        <f t="shared" si="72"/>
        <v>1</v>
      </c>
      <c r="Y437" s="7">
        <f>IFERROR(INDEX(환산공식!Q$16:Q$200,MATCH($A437,환산공식!$A$16:$A$200,0)),"")</f>
        <v>1.5</v>
      </c>
      <c r="Z437" s="7">
        <f>IFERROR(INDEX(환산공식!R$16:R$200,MATCH($A437,환산공식!$A$16:$A$200,0)),"")</f>
        <v>1.25</v>
      </c>
      <c r="AA437" s="7">
        <f>IFERROR(INDEX(환산공식!U$16:U$200,MATCH($A437,환산공식!$A$16:$A$200,0)),"")</f>
        <v>1.25</v>
      </c>
      <c r="AB437" s="7">
        <f t="shared" si="73"/>
        <v>0.375</v>
      </c>
      <c r="AC437" s="7">
        <f t="shared" si="74"/>
        <v>0.3125</v>
      </c>
      <c r="AD437" s="7">
        <f t="shared" si="75"/>
        <v>0.3125</v>
      </c>
      <c r="AE437" s="7">
        <f>INDEX(환산공식!$AF$16:$AF$301,MATCH('배치점수 계산기'!W437,환산공식!$A$16:$A$301,0))</f>
        <v>1</v>
      </c>
      <c r="AF437" s="7">
        <f>INDEX(환산공식!$AP$16:$AP$301,MATCH('배치점수 계산기'!W437,환산공식!$A$16:$A$301,0))</f>
        <v>4</v>
      </c>
      <c r="AG437" s="7" t="str">
        <f t="shared" si="76"/>
        <v>표점</v>
      </c>
      <c r="AH437" s="7" t="str">
        <f t="shared" si="77"/>
        <v>변표</v>
      </c>
      <c r="BO437" s="210"/>
      <c r="BP437" s="210"/>
      <c r="BQ437" s="210"/>
      <c r="BR437" s="210"/>
      <c r="BS437" s="210"/>
      <c r="BT437" s="210"/>
      <c r="BU437" s="210"/>
      <c r="BV437" s="210"/>
      <c r="BW437" s="210"/>
      <c r="BX437" s="210"/>
      <c r="BY437" s="210"/>
      <c r="BZ437" s="210"/>
      <c r="CA437" s="210"/>
      <c r="CB437" s="210"/>
      <c r="CC437" s="210"/>
      <c r="EM437" s="120"/>
      <c r="ET437" s="210"/>
      <c r="EU437" s="210"/>
      <c r="EV437" s="210"/>
      <c r="EW437" s="210"/>
      <c r="EX437" s="210"/>
      <c r="EY437" s="210"/>
      <c r="EZ437" s="210"/>
      <c r="FA437" s="210"/>
      <c r="FB437" s="210"/>
      <c r="FC437" s="210"/>
      <c r="FD437" s="210"/>
      <c r="FE437" s="210"/>
      <c r="FF437" s="210"/>
      <c r="FG437" s="210"/>
      <c r="FH437" s="210"/>
      <c r="HR437" s="120"/>
      <c r="HY437" s="210"/>
      <c r="HZ437" s="210"/>
      <c r="IA437" s="210"/>
      <c r="IB437" s="210"/>
      <c r="IC437" s="210"/>
      <c r="ID437" s="210"/>
      <c r="IE437" s="210"/>
      <c r="IF437" s="210"/>
      <c r="IG437" s="210"/>
      <c r="IH437" s="210"/>
      <c r="II437" s="210"/>
      <c r="IJ437" s="210"/>
      <c r="IK437" s="210"/>
      <c r="IL437" s="210"/>
      <c r="IM437" s="210"/>
      <c r="KW437" s="120"/>
      <c r="LD437" s="210"/>
      <c r="LE437" s="210"/>
      <c r="LF437" s="210"/>
      <c r="LG437" s="210"/>
      <c r="LH437" s="210"/>
      <c r="LI437" s="210"/>
      <c r="LJ437" s="210"/>
      <c r="LK437" s="210"/>
      <c r="LL437" s="210"/>
      <c r="LM437" s="210"/>
      <c r="LN437" s="210"/>
      <c r="LO437" s="210"/>
      <c r="LP437" s="210"/>
      <c r="LQ437" s="210"/>
      <c r="LR437" s="210"/>
      <c r="OB437" s="120"/>
      <c r="OI437" s="210"/>
      <c r="OJ437" s="210"/>
      <c r="OK437" s="210"/>
      <c r="OL437" s="210"/>
      <c r="OM437" s="210"/>
      <c r="ON437" s="210"/>
      <c r="OO437" s="210"/>
      <c r="OP437" s="210"/>
      <c r="OQ437" s="210"/>
      <c r="OR437" s="210"/>
      <c r="OS437" s="210"/>
      <c r="OT437" s="210"/>
      <c r="OU437" s="210"/>
      <c r="OV437" s="210"/>
      <c r="OW437" s="210"/>
      <c r="RG437" s="120"/>
    </row>
    <row r="438" spans="1:475" x14ac:dyDescent="0.3">
      <c r="A438" s="7">
        <v>45</v>
      </c>
      <c r="B438" s="7">
        <v>428</v>
      </c>
      <c r="C438" s="7" t="s">
        <v>346</v>
      </c>
      <c r="D438" s="7" t="s">
        <v>708</v>
      </c>
      <c r="E438" s="7" t="s">
        <v>798</v>
      </c>
      <c r="F438" s="7" t="s">
        <v>275</v>
      </c>
      <c r="G438" s="41" t="str">
        <f t="shared" si="69"/>
        <v>X</v>
      </c>
      <c r="H438" s="41">
        <f>INDEX(환산공식!CI$16:CI$301,MATCH('배치점수 계산기'!$W438,환산공식!$A$16:$A$301,0))</f>
        <v>200</v>
      </c>
      <c r="I438" s="41" t="str">
        <f>CONCATENATE(ROUND(INDEX(환산공식!CJ$16:CJ$301,MATCH('배치점수 계산기'!$W438,환산공식!$A$16:$A$301,0)),1),"%")</f>
        <v>100%</v>
      </c>
      <c r="J438" s="41">
        <f>INDEX(환산공식!CK$16:CK$301,MATCH('배치점수 계산기'!$W438,환산공식!$A$16:$A$301,0))</f>
        <v>200</v>
      </c>
      <c r="K438" s="7">
        <f>INDEX(환산공식!$EF$16:$EF$301,MATCH('배치점수 계산기'!W438,환산공식!$A$16:$A$301,0))</f>
        <v>0</v>
      </c>
      <c r="L438" s="41" t="str">
        <f t="shared" si="67"/>
        <v>1% 이하</v>
      </c>
      <c r="M438" s="7">
        <v>895.66489720505228</v>
      </c>
      <c r="N438" s="7">
        <v>894.40749999999991</v>
      </c>
      <c r="O438" s="7">
        <v>892.47147539875641</v>
      </c>
      <c r="P438" s="7">
        <v>889.98092144604516</v>
      </c>
      <c r="Q438" s="7">
        <v>882.53499999999997</v>
      </c>
      <c r="R438" s="7">
        <f t="shared" si="68"/>
        <v>6</v>
      </c>
      <c r="T438" s="7">
        <f>COUNTIF($C$11:C438,C438)</f>
        <v>185</v>
      </c>
      <c r="U438" s="7" t="str">
        <f t="shared" si="70"/>
        <v>나185</v>
      </c>
      <c r="V438" s="7" t="str">
        <f>INDEX(환산공식!$C$16:$C$301,MATCH('배치점수 계산기'!W438,환산공식!$A$16:$A$301,0))</f>
        <v>건국 통합1</v>
      </c>
      <c r="W438" s="7">
        <f t="shared" si="71"/>
        <v>45</v>
      </c>
      <c r="X438" s="7">
        <f t="shared" si="72"/>
        <v>1</v>
      </c>
      <c r="Y438" s="7">
        <f>IFERROR(INDEX(환산공식!Q$16:Q$200,MATCH($A438,환산공식!$A$16:$A$200,0)),"")</f>
        <v>1.5</v>
      </c>
      <c r="Z438" s="7">
        <f>IFERROR(INDEX(환산공식!R$16:R$200,MATCH($A438,환산공식!$A$16:$A$200,0)),"")</f>
        <v>1.25</v>
      </c>
      <c r="AA438" s="7">
        <f>IFERROR(INDEX(환산공식!U$16:U$200,MATCH($A438,환산공식!$A$16:$A$200,0)),"")</f>
        <v>1.25</v>
      </c>
      <c r="AB438" s="7">
        <f t="shared" si="73"/>
        <v>0.375</v>
      </c>
      <c r="AC438" s="7">
        <f t="shared" si="74"/>
        <v>0.3125</v>
      </c>
      <c r="AD438" s="7">
        <f t="shared" si="75"/>
        <v>0.3125</v>
      </c>
      <c r="AE438" s="7">
        <f>INDEX(환산공식!$AF$16:$AF$301,MATCH('배치점수 계산기'!W438,환산공식!$A$16:$A$301,0))</f>
        <v>1</v>
      </c>
      <c r="AF438" s="7">
        <f>INDEX(환산공식!$AP$16:$AP$301,MATCH('배치점수 계산기'!W438,환산공식!$A$16:$A$301,0))</f>
        <v>4</v>
      </c>
      <c r="AG438" s="7" t="str">
        <f t="shared" si="76"/>
        <v>표점</v>
      </c>
      <c r="AH438" s="7" t="str">
        <f t="shared" si="77"/>
        <v>변표</v>
      </c>
      <c r="BO438" s="210"/>
      <c r="BP438" s="210"/>
      <c r="BQ438" s="210"/>
      <c r="BR438" s="210"/>
      <c r="BS438" s="210"/>
      <c r="BT438" s="210"/>
      <c r="BU438" s="210"/>
      <c r="BV438" s="210"/>
      <c r="BW438" s="210"/>
      <c r="BX438" s="210"/>
      <c r="BY438" s="210"/>
      <c r="BZ438" s="210"/>
      <c r="CA438" s="210"/>
      <c r="CB438" s="210"/>
      <c r="CC438" s="210"/>
      <c r="EM438" s="120"/>
      <c r="ET438" s="210"/>
      <c r="EU438" s="210"/>
      <c r="EV438" s="210"/>
      <c r="EW438" s="210"/>
      <c r="EX438" s="210"/>
      <c r="EY438" s="210"/>
      <c r="EZ438" s="210"/>
      <c r="FA438" s="210"/>
      <c r="FB438" s="210"/>
      <c r="FC438" s="210"/>
      <c r="FD438" s="210"/>
      <c r="FE438" s="210"/>
      <c r="FF438" s="210"/>
      <c r="FG438" s="210"/>
      <c r="FH438" s="210"/>
      <c r="HR438" s="120"/>
      <c r="HY438" s="210"/>
      <c r="HZ438" s="210"/>
      <c r="IA438" s="210"/>
      <c r="IB438" s="210"/>
      <c r="IC438" s="210"/>
      <c r="ID438" s="210"/>
      <c r="IE438" s="210"/>
      <c r="IF438" s="210"/>
      <c r="IG438" s="210"/>
      <c r="IH438" s="210"/>
      <c r="II438" s="210"/>
      <c r="IJ438" s="210"/>
      <c r="IK438" s="210"/>
      <c r="IL438" s="210"/>
      <c r="IM438" s="210"/>
      <c r="KW438" s="120"/>
      <c r="LD438" s="210"/>
      <c r="LE438" s="210"/>
      <c r="LF438" s="210"/>
      <c r="LG438" s="210"/>
      <c r="LH438" s="210"/>
      <c r="LI438" s="210"/>
      <c r="LJ438" s="210"/>
      <c r="LK438" s="210"/>
      <c r="LL438" s="210"/>
      <c r="LM438" s="210"/>
      <c r="LN438" s="210"/>
      <c r="LO438" s="210"/>
      <c r="LP438" s="210"/>
      <c r="LQ438" s="210"/>
      <c r="LR438" s="210"/>
      <c r="OB438" s="120"/>
      <c r="OI438" s="210"/>
      <c r="OJ438" s="210"/>
      <c r="OK438" s="210"/>
      <c r="OL438" s="210"/>
      <c r="OM438" s="210"/>
      <c r="ON438" s="210"/>
      <c r="OO438" s="210"/>
      <c r="OP438" s="210"/>
      <c r="OQ438" s="210"/>
      <c r="OR438" s="210"/>
      <c r="OS438" s="210"/>
      <c r="OT438" s="210"/>
      <c r="OU438" s="210"/>
      <c r="OV438" s="210"/>
      <c r="OW438" s="210"/>
      <c r="RG438" s="120"/>
    </row>
    <row r="439" spans="1:475" x14ac:dyDescent="0.3">
      <c r="A439" s="7">
        <v>46</v>
      </c>
      <c r="B439" s="7">
        <v>429</v>
      </c>
      <c r="C439" s="7" t="s">
        <v>346</v>
      </c>
      <c r="D439" s="7" t="s">
        <v>708</v>
      </c>
      <c r="E439" s="7" t="s">
        <v>799</v>
      </c>
      <c r="F439" s="7" t="s">
        <v>275</v>
      </c>
      <c r="G439" s="41" t="str">
        <f t="shared" si="69"/>
        <v>X</v>
      </c>
      <c r="H439" s="41">
        <f>INDEX(환산공식!CI$16:CI$301,MATCH('배치점수 계산기'!$W439,환산공식!$A$16:$A$301,0))</f>
        <v>200</v>
      </c>
      <c r="I439" s="41" t="str">
        <f>CONCATENATE(ROUND(INDEX(환산공식!CJ$16:CJ$301,MATCH('배치점수 계산기'!$W439,환산공식!$A$16:$A$301,0)),1),"%")</f>
        <v>100%</v>
      </c>
      <c r="J439" s="41">
        <f>INDEX(환산공식!CK$16:CK$301,MATCH('배치점수 계산기'!$W439,환산공식!$A$16:$A$301,0))</f>
        <v>200</v>
      </c>
      <c r="K439" s="7">
        <f>INDEX(환산공식!$EF$16:$EF$301,MATCH('배치점수 계산기'!W439,환산공식!$A$16:$A$301,0))</f>
        <v>0</v>
      </c>
      <c r="L439" s="41" t="str">
        <f t="shared" si="67"/>
        <v>1% 이하</v>
      </c>
      <c r="M439" s="7">
        <v>891.52814694759581</v>
      </c>
      <c r="N439" s="7">
        <v>890.34695196211089</v>
      </c>
      <c r="O439" s="7">
        <v>889.08055374592834</v>
      </c>
      <c r="P439" s="7">
        <v>886.12963427947591</v>
      </c>
      <c r="Q439" s="7">
        <v>882.93525831272325</v>
      </c>
      <c r="R439" s="7">
        <f t="shared" si="68"/>
        <v>6</v>
      </c>
      <c r="T439" s="7">
        <f>COUNTIF($C$11:C439,C439)</f>
        <v>186</v>
      </c>
      <c r="U439" s="7" t="str">
        <f t="shared" si="70"/>
        <v>나186</v>
      </c>
      <c r="V439" s="7" t="str">
        <f>INDEX(환산공식!$C$16:$C$301,MATCH('배치점수 계산기'!W439,환산공식!$A$16:$A$301,0))</f>
        <v>건국 통합2</v>
      </c>
      <c r="W439" s="7">
        <f t="shared" si="71"/>
        <v>46</v>
      </c>
      <c r="X439" s="7">
        <f t="shared" si="72"/>
        <v>1</v>
      </c>
      <c r="Y439" s="7">
        <f>IFERROR(INDEX(환산공식!Q$16:Q$200,MATCH($A439,환산공식!$A$16:$A$200,0)),"")</f>
        <v>1.25</v>
      </c>
      <c r="Z439" s="7">
        <f>IFERROR(INDEX(환산공식!R$16:R$200,MATCH($A439,환산공식!$A$16:$A$200,0)),"")</f>
        <v>1.5</v>
      </c>
      <c r="AA439" s="7">
        <f>IFERROR(INDEX(환산공식!U$16:U$200,MATCH($A439,환산공식!$A$16:$A$200,0)),"")</f>
        <v>1.25</v>
      </c>
      <c r="AB439" s="7">
        <f t="shared" si="73"/>
        <v>0.3125</v>
      </c>
      <c r="AC439" s="7">
        <f t="shared" si="74"/>
        <v>0.375</v>
      </c>
      <c r="AD439" s="7">
        <f t="shared" si="75"/>
        <v>0.3125</v>
      </c>
      <c r="AE439" s="7">
        <f>INDEX(환산공식!$AF$16:$AF$301,MATCH('배치점수 계산기'!W439,환산공식!$A$16:$A$301,0))</f>
        <v>1</v>
      </c>
      <c r="AF439" s="7">
        <f>INDEX(환산공식!$AP$16:$AP$301,MATCH('배치점수 계산기'!W439,환산공식!$A$16:$A$301,0))</f>
        <v>4</v>
      </c>
      <c r="AG439" s="7" t="str">
        <f t="shared" si="76"/>
        <v>표점</v>
      </c>
      <c r="AH439" s="7" t="str">
        <f t="shared" si="77"/>
        <v>변표</v>
      </c>
      <c r="BO439" s="210"/>
      <c r="BP439" s="210"/>
      <c r="BQ439" s="210"/>
      <c r="BR439" s="210"/>
      <c r="BS439" s="210"/>
      <c r="BT439" s="210"/>
      <c r="BU439" s="210"/>
      <c r="BV439" s="210"/>
      <c r="BW439" s="210"/>
      <c r="BX439" s="210"/>
      <c r="BY439" s="210"/>
      <c r="BZ439" s="210"/>
      <c r="CA439" s="210"/>
      <c r="CB439" s="210"/>
      <c r="CC439" s="210"/>
      <c r="EM439" s="120"/>
      <c r="ET439" s="210"/>
      <c r="EU439" s="210"/>
      <c r="EV439" s="210"/>
      <c r="EW439" s="210"/>
      <c r="EX439" s="210"/>
      <c r="EY439" s="210"/>
      <c r="EZ439" s="210"/>
      <c r="FA439" s="210"/>
      <c r="FB439" s="210"/>
      <c r="FC439" s="210"/>
      <c r="FD439" s="210"/>
      <c r="FE439" s="210"/>
      <c r="FF439" s="210"/>
      <c r="FG439" s="210"/>
      <c r="FH439" s="210"/>
      <c r="HR439" s="120"/>
      <c r="HY439" s="210"/>
      <c r="HZ439" s="210"/>
      <c r="IA439" s="210"/>
      <c r="IB439" s="210"/>
      <c r="IC439" s="210"/>
      <c r="ID439" s="210"/>
      <c r="IE439" s="210"/>
      <c r="IF439" s="210"/>
      <c r="IG439" s="210"/>
      <c r="IH439" s="210"/>
      <c r="II439" s="210"/>
      <c r="IJ439" s="210"/>
      <c r="IK439" s="210"/>
      <c r="IL439" s="210"/>
      <c r="IM439" s="210"/>
      <c r="KW439" s="120"/>
      <c r="LD439" s="210"/>
      <c r="LE439" s="210"/>
      <c r="LF439" s="210"/>
      <c r="LG439" s="210"/>
      <c r="LH439" s="210"/>
      <c r="LI439" s="210"/>
      <c r="LJ439" s="210"/>
      <c r="LK439" s="210"/>
      <c r="LL439" s="210"/>
      <c r="LM439" s="210"/>
      <c r="LN439" s="210"/>
      <c r="LO439" s="210"/>
      <c r="LP439" s="210"/>
      <c r="LQ439" s="210"/>
      <c r="LR439" s="210"/>
      <c r="OB439" s="120"/>
      <c r="OI439" s="210"/>
      <c r="OJ439" s="210"/>
      <c r="OK439" s="210"/>
      <c r="OL439" s="210"/>
      <c r="OM439" s="210"/>
      <c r="ON439" s="210"/>
      <c r="OO439" s="210"/>
      <c r="OP439" s="210"/>
      <c r="OQ439" s="210"/>
      <c r="OR439" s="210"/>
      <c r="OS439" s="210"/>
      <c r="OT439" s="210"/>
      <c r="OU439" s="210"/>
      <c r="OV439" s="210"/>
      <c r="OW439" s="210"/>
      <c r="RG439" s="120"/>
    </row>
    <row r="440" spans="1:475" x14ac:dyDescent="0.3">
      <c r="A440" s="7">
        <v>45</v>
      </c>
      <c r="B440" s="7">
        <v>430</v>
      </c>
      <c r="C440" s="7" t="s">
        <v>346</v>
      </c>
      <c r="D440" s="7" t="s">
        <v>708</v>
      </c>
      <c r="E440" s="7" t="s">
        <v>372</v>
      </c>
      <c r="F440" s="7" t="s">
        <v>275</v>
      </c>
      <c r="G440" s="41" t="str">
        <f t="shared" si="69"/>
        <v>X</v>
      </c>
      <c r="H440" s="41">
        <f>INDEX(환산공식!CI$16:CI$301,MATCH('배치점수 계산기'!$W440,환산공식!$A$16:$A$301,0))</f>
        <v>200</v>
      </c>
      <c r="I440" s="41" t="str">
        <f>CONCATENATE(ROUND(INDEX(환산공식!CJ$16:CJ$301,MATCH('배치점수 계산기'!$W440,환산공식!$A$16:$A$301,0)),1),"%")</f>
        <v>100%</v>
      </c>
      <c r="J440" s="41">
        <f>INDEX(환산공식!CK$16:CK$301,MATCH('배치점수 계산기'!$W440,환산공식!$A$16:$A$301,0))</f>
        <v>200</v>
      </c>
      <c r="K440" s="7">
        <f>INDEX(환산공식!$EF$16:$EF$301,MATCH('배치점수 계산기'!W440,환산공식!$A$16:$A$301,0))</f>
        <v>0</v>
      </c>
      <c r="L440" s="41" t="str">
        <f t="shared" si="67"/>
        <v>1% 이하</v>
      </c>
      <c r="M440" s="7">
        <v>889.98092144604516</v>
      </c>
      <c r="N440" s="7">
        <v>888.94499999999994</v>
      </c>
      <c r="O440" s="7">
        <v>886.92499999999995</v>
      </c>
      <c r="P440" s="7">
        <v>884.66073234405053</v>
      </c>
      <c r="Q440" s="7">
        <v>880.5211114190688</v>
      </c>
      <c r="R440" s="7">
        <f t="shared" si="68"/>
        <v>6</v>
      </c>
      <c r="T440" s="7">
        <f>COUNTIF($C$11:C440,C440)</f>
        <v>187</v>
      </c>
      <c r="U440" s="7" t="str">
        <f t="shared" si="70"/>
        <v>나187</v>
      </c>
      <c r="V440" s="7" t="str">
        <f>INDEX(환산공식!$C$16:$C$301,MATCH('배치점수 계산기'!W440,환산공식!$A$16:$A$301,0))</f>
        <v>건국 통합1</v>
      </c>
      <c r="W440" s="7">
        <f t="shared" si="71"/>
        <v>45</v>
      </c>
      <c r="X440" s="7">
        <f t="shared" si="72"/>
        <v>1</v>
      </c>
      <c r="Y440" s="7">
        <f>IFERROR(INDEX(환산공식!Q$16:Q$200,MATCH($A440,환산공식!$A$16:$A$200,0)),"")</f>
        <v>1.5</v>
      </c>
      <c r="Z440" s="7">
        <f>IFERROR(INDEX(환산공식!R$16:R$200,MATCH($A440,환산공식!$A$16:$A$200,0)),"")</f>
        <v>1.25</v>
      </c>
      <c r="AA440" s="7">
        <f>IFERROR(INDEX(환산공식!U$16:U$200,MATCH($A440,환산공식!$A$16:$A$200,0)),"")</f>
        <v>1.25</v>
      </c>
      <c r="AB440" s="7">
        <f t="shared" si="73"/>
        <v>0.375</v>
      </c>
      <c r="AC440" s="7">
        <f t="shared" si="74"/>
        <v>0.3125</v>
      </c>
      <c r="AD440" s="7">
        <f t="shared" si="75"/>
        <v>0.3125</v>
      </c>
      <c r="AE440" s="7">
        <f>INDEX(환산공식!$AF$16:$AF$301,MATCH('배치점수 계산기'!W440,환산공식!$A$16:$A$301,0))</f>
        <v>1</v>
      </c>
      <c r="AF440" s="7">
        <f>INDEX(환산공식!$AP$16:$AP$301,MATCH('배치점수 계산기'!W440,환산공식!$A$16:$A$301,0))</f>
        <v>4</v>
      </c>
      <c r="AG440" s="7" t="str">
        <f t="shared" si="76"/>
        <v>표점</v>
      </c>
      <c r="AH440" s="7" t="str">
        <f t="shared" si="77"/>
        <v>변표</v>
      </c>
      <c r="BO440" s="210"/>
      <c r="BP440" s="210"/>
      <c r="BQ440" s="210"/>
      <c r="BR440" s="210"/>
      <c r="BS440" s="210"/>
      <c r="BT440" s="210"/>
      <c r="BU440" s="210"/>
      <c r="BV440" s="210"/>
      <c r="BW440" s="210"/>
      <c r="BX440" s="210"/>
      <c r="BY440" s="210"/>
      <c r="BZ440" s="210"/>
      <c r="CA440" s="210"/>
      <c r="CB440" s="210"/>
      <c r="CC440" s="210"/>
      <c r="EM440" s="120"/>
      <c r="ET440" s="210"/>
      <c r="EU440" s="210"/>
      <c r="EV440" s="210"/>
      <c r="EW440" s="210"/>
      <c r="EX440" s="210"/>
      <c r="EY440" s="210"/>
      <c r="EZ440" s="210"/>
      <c r="FA440" s="210"/>
      <c r="FB440" s="210"/>
      <c r="FC440" s="210"/>
      <c r="FD440" s="210"/>
      <c r="FE440" s="210"/>
      <c r="FF440" s="210"/>
      <c r="FG440" s="210"/>
      <c r="FH440" s="210"/>
      <c r="HR440" s="120"/>
      <c r="HY440" s="210"/>
      <c r="HZ440" s="210"/>
      <c r="IA440" s="210"/>
      <c r="IB440" s="210"/>
      <c r="IC440" s="210"/>
      <c r="ID440" s="210"/>
      <c r="IE440" s="210"/>
      <c r="IF440" s="210"/>
      <c r="IG440" s="210"/>
      <c r="IH440" s="210"/>
      <c r="II440" s="210"/>
      <c r="IJ440" s="210"/>
      <c r="IK440" s="210"/>
      <c r="IL440" s="210"/>
      <c r="IM440" s="210"/>
      <c r="KW440" s="120"/>
      <c r="LD440" s="210"/>
      <c r="LE440" s="210"/>
      <c r="LF440" s="210"/>
      <c r="LG440" s="210"/>
      <c r="LH440" s="210"/>
      <c r="LI440" s="210"/>
      <c r="LJ440" s="210"/>
      <c r="LK440" s="210"/>
      <c r="LL440" s="210"/>
      <c r="LM440" s="210"/>
      <c r="LN440" s="210"/>
      <c r="LO440" s="210"/>
      <c r="LP440" s="210"/>
      <c r="LQ440" s="210"/>
      <c r="LR440" s="210"/>
      <c r="OB440" s="120"/>
      <c r="OI440" s="210"/>
      <c r="OJ440" s="210"/>
      <c r="OK440" s="210"/>
      <c r="OL440" s="210"/>
      <c r="OM440" s="210"/>
      <c r="ON440" s="210"/>
      <c r="OO440" s="210"/>
      <c r="OP440" s="210"/>
      <c r="OQ440" s="210"/>
      <c r="OR440" s="210"/>
      <c r="OS440" s="210"/>
      <c r="OT440" s="210"/>
      <c r="OU440" s="210"/>
      <c r="OV440" s="210"/>
      <c r="OW440" s="210"/>
      <c r="RG440" s="120"/>
    </row>
    <row r="441" spans="1:475" x14ac:dyDescent="0.3">
      <c r="A441" s="7">
        <v>45</v>
      </c>
      <c r="B441" s="7">
        <v>431</v>
      </c>
      <c r="C441" s="7" t="s">
        <v>346</v>
      </c>
      <c r="D441" s="7" t="s">
        <v>708</v>
      </c>
      <c r="E441" s="7" t="s">
        <v>307</v>
      </c>
      <c r="F441" s="7" t="s">
        <v>275</v>
      </c>
      <c r="G441" s="41" t="str">
        <f t="shared" si="69"/>
        <v>X</v>
      </c>
      <c r="H441" s="41">
        <f>INDEX(환산공식!CI$16:CI$301,MATCH('배치점수 계산기'!$W441,환산공식!$A$16:$A$301,0))</f>
        <v>200</v>
      </c>
      <c r="I441" s="41" t="str">
        <f>CONCATENATE(ROUND(INDEX(환산공식!CJ$16:CJ$301,MATCH('배치점수 계산기'!$W441,환산공식!$A$16:$A$301,0)),1),"%")</f>
        <v>100%</v>
      </c>
      <c r="J441" s="41">
        <f>INDEX(환산공식!CK$16:CK$301,MATCH('배치점수 계산기'!$W441,환산공식!$A$16:$A$301,0))</f>
        <v>200</v>
      </c>
      <c r="K441" s="7">
        <f>INDEX(환산공식!$EF$16:$EF$301,MATCH('배치점수 계산기'!W441,환산공식!$A$16:$A$301,0))</f>
        <v>0</v>
      </c>
      <c r="L441" s="41" t="str">
        <f t="shared" si="67"/>
        <v>1% 이하</v>
      </c>
      <c r="M441" s="7">
        <v>889.98092144604516</v>
      </c>
      <c r="N441" s="7">
        <v>888.94499999999994</v>
      </c>
      <c r="O441" s="7">
        <v>887.14081465281561</v>
      </c>
      <c r="P441" s="7">
        <v>885.58999999999992</v>
      </c>
      <c r="Q441" s="7">
        <v>881.20942600276624</v>
      </c>
      <c r="R441" s="7">
        <f t="shared" si="68"/>
        <v>6</v>
      </c>
      <c r="T441" s="7">
        <f>COUNTIF($C$11:C441,C441)</f>
        <v>188</v>
      </c>
      <c r="U441" s="7" t="str">
        <f t="shared" si="70"/>
        <v>나188</v>
      </c>
      <c r="V441" s="7" t="str">
        <f>INDEX(환산공식!$C$16:$C$301,MATCH('배치점수 계산기'!W441,환산공식!$A$16:$A$301,0))</f>
        <v>건국 통합1</v>
      </c>
      <c r="W441" s="7">
        <f t="shared" si="71"/>
        <v>45</v>
      </c>
      <c r="X441" s="7">
        <f t="shared" si="72"/>
        <v>1</v>
      </c>
      <c r="Y441" s="7">
        <f>IFERROR(INDEX(환산공식!Q$16:Q$200,MATCH($A441,환산공식!$A$16:$A$200,0)),"")</f>
        <v>1.5</v>
      </c>
      <c r="Z441" s="7">
        <f>IFERROR(INDEX(환산공식!R$16:R$200,MATCH($A441,환산공식!$A$16:$A$200,0)),"")</f>
        <v>1.25</v>
      </c>
      <c r="AA441" s="7">
        <f>IFERROR(INDEX(환산공식!U$16:U$200,MATCH($A441,환산공식!$A$16:$A$200,0)),"")</f>
        <v>1.25</v>
      </c>
      <c r="AB441" s="7">
        <f t="shared" si="73"/>
        <v>0.375</v>
      </c>
      <c r="AC441" s="7">
        <f t="shared" si="74"/>
        <v>0.3125</v>
      </c>
      <c r="AD441" s="7">
        <f t="shared" si="75"/>
        <v>0.3125</v>
      </c>
      <c r="AE441" s="7">
        <f>INDEX(환산공식!$AF$16:$AF$301,MATCH('배치점수 계산기'!W441,환산공식!$A$16:$A$301,0))</f>
        <v>1</v>
      </c>
      <c r="AF441" s="7">
        <f>INDEX(환산공식!$AP$16:$AP$301,MATCH('배치점수 계산기'!W441,환산공식!$A$16:$A$301,0))</f>
        <v>4</v>
      </c>
      <c r="AG441" s="7" t="str">
        <f t="shared" si="76"/>
        <v>표점</v>
      </c>
      <c r="AH441" s="7" t="str">
        <f t="shared" si="77"/>
        <v>변표</v>
      </c>
      <c r="BO441" s="210"/>
      <c r="BP441" s="210"/>
      <c r="BQ441" s="210"/>
      <c r="BR441" s="210"/>
      <c r="BS441" s="210"/>
      <c r="BT441" s="210"/>
      <c r="BU441" s="210"/>
      <c r="BV441" s="210"/>
      <c r="BW441" s="210"/>
      <c r="BX441" s="210"/>
      <c r="BY441" s="210"/>
      <c r="BZ441" s="210"/>
      <c r="CA441" s="210"/>
      <c r="CB441" s="210"/>
      <c r="CC441" s="210"/>
      <c r="EM441" s="120"/>
      <c r="ET441" s="210"/>
      <c r="EU441" s="210"/>
      <c r="EV441" s="210"/>
      <c r="EW441" s="210"/>
      <c r="EX441" s="210"/>
      <c r="EY441" s="210"/>
      <c r="EZ441" s="210"/>
      <c r="FA441" s="210"/>
      <c r="FB441" s="210"/>
      <c r="FC441" s="210"/>
      <c r="FD441" s="210"/>
      <c r="FE441" s="210"/>
      <c r="FF441" s="210"/>
      <c r="FG441" s="210"/>
      <c r="FH441" s="210"/>
      <c r="HR441" s="120"/>
      <c r="HY441" s="210"/>
      <c r="HZ441" s="210"/>
      <c r="IA441" s="210"/>
      <c r="IB441" s="210"/>
      <c r="IC441" s="210"/>
      <c r="ID441" s="210"/>
      <c r="IE441" s="210"/>
      <c r="IF441" s="210"/>
      <c r="IG441" s="210"/>
      <c r="IH441" s="210"/>
      <c r="II441" s="210"/>
      <c r="IJ441" s="210"/>
      <c r="IK441" s="210"/>
      <c r="IL441" s="210"/>
      <c r="IM441" s="210"/>
      <c r="KW441" s="120"/>
      <c r="LD441" s="210"/>
      <c r="LE441" s="210"/>
      <c r="LF441" s="210"/>
      <c r="LG441" s="210"/>
      <c r="LH441" s="210"/>
      <c r="LI441" s="210"/>
      <c r="LJ441" s="210"/>
      <c r="LK441" s="210"/>
      <c r="LL441" s="210"/>
      <c r="LM441" s="210"/>
      <c r="LN441" s="210"/>
      <c r="LO441" s="210"/>
      <c r="LP441" s="210"/>
      <c r="LQ441" s="210"/>
      <c r="LR441" s="210"/>
      <c r="OB441" s="120"/>
      <c r="OI441" s="210"/>
      <c r="OJ441" s="210"/>
      <c r="OK441" s="210"/>
      <c r="OL441" s="210"/>
      <c r="OM441" s="210"/>
      <c r="ON441" s="210"/>
      <c r="OO441" s="210"/>
      <c r="OP441" s="210"/>
      <c r="OQ441" s="210"/>
      <c r="OR441" s="210"/>
      <c r="OS441" s="210"/>
      <c r="OT441" s="210"/>
      <c r="OU441" s="210"/>
      <c r="OV441" s="210"/>
      <c r="OW441" s="210"/>
      <c r="RG441" s="120"/>
    </row>
    <row r="442" spans="1:475" x14ac:dyDescent="0.3">
      <c r="A442" s="7">
        <v>45</v>
      </c>
      <c r="B442" s="7">
        <v>432</v>
      </c>
      <c r="C442" s="7" t="s">
        <v>346</v>
      </c>
      <c r="D442" s="7" t="s">
        <v>708</v>
      </c>
      <c r="E442" s="7" t="s">
        <v>309</v>
      </c>
      <c r="F442" s="7" t="s">
        <v>275</v>
      </c>
      <c r="G442" s="41" t="str">
        <f t="shared" si="69"/>
        <v>X</v>
      </c>
      <c r="H442" s="41">
        <f>INDEX(환산공식!CI$16:CI$301,MATCH('배치점수 계산기'!$W442,환산공식!$A$16:$A$301,0))</f>
        <v>200</v>
      </c>
      <c r="I442" s="41" t="str">
        <f>CONCATENATE(ROUND(INDEX(환산공식!CJ$16:CJ$301,MATCH('배치점수 계산기'!$W442,환산공식!$A$16:$A$301,0)),1),"%")</f>
        <v>100%</v>
      </c>
      <c r="J442" s="41">
        <f>INDEX(환산공식!CK$16:CK$301,MATCH('배치점수 계산기'!$W442,환산공식!$A$16:$A$301,0))</f>
        <v>200</v>
      </c>
      <c r="K442" s="7">
        <f>INDEX(환산공식!$EF$16:$EF$301,MATCH('배치점수 계산기'!W442,환산공식!$A$16:$A$301,0))</f>
        <v>0</v>
      </c>
      <c r="L442" s="41" t="str">
        <f t="shared" si="67"/>
        <v>1% 이하</v>
      </c>
      <c r="M442" s="7">
        <v>889.98092144604516</v>
      </c>
      <c r="N442" s="7">
        <v>888.94499999999994</v>
      </c>
      <c r="O442" s="7">
        <v>886.00927143248418</v>
      </c>
      <c r="P442" s="7">
        <v>884.66073234405053</v>
      </c>
      <c r="Q442" s="7">
        <v>880.5211114190688</v>
      </c>
      <c r="R442" s="7">
        <f t="shared" si="68"/>
        <v>6</v>
      </c>
      <c r="T442" s="7">
        <f>COUNTIF($C$11:C442,C442)</f>
        <v>189</v>
      </c>
      <c r="U442" s="7" t="str">
        <f t="shared" si="70"/>
        <v>나189</v>
      </c>
      <c r="V442" s="7" t="str">
        <f>INDEX(환산공식!$C$16:$C$301,MATCH('배치점수 계산기'!W442,환산공식!$A$16:$A$301,0))</f>
        <v>건국 통합1</v>
      </c>
      <c r="W442" s="7">
        <f t="shared" si="71"/>
        <v>45</v>
      </c>
      <c r="X442" s="7">
        <f t="shared" si="72"/>
        <v>1</v>
      </c>
      <c r="Y442" s="7">
        <f>IFERROR(INDEX(환산공식!Q$16:Q$200,MATCH($A442,환산공식!$A$16:$A$200,0)),"")</f>
        <v>1.5</v>
      </c>
      <c r="Z442" s="7">
        <f>IFERROR(INDEX(환산공식!R$16:R$200,MATCH($A442,환산공식!$A$16:$A$200,0)),"")</f>
        <v>1.25</v>
      </c>
      <c r="AA442" s="7">
        <f>IFERROR(INDEX(환산공식!U$16:U$200,MATCH($A442,환산공식!$A$16:$A$200,0)),"")</f>
        <v>1.25</v>
      </c>
      <c r="AB442" s="7">
        <f t="shared" si="73"/>
        <v>0.375</v>
      </c>
      <c r="AC442" s="7">
        <f t="shared" si="74"/>
        <v>0.3125</v>
      </c>
      <c r="AD442" s="7">
        <f t="shared" si="75"/>
        <v>0.3125</v>
      </c>
      <c r="AE442" s="7">
        <f>INDEX(환산공식!$AF$16:$AF$301,MATCH('배치점수 계산기'!W442,환산공식!$A$16:$A$301,0))</f>
        <v>1</v>
      </c>
      <c r="AF442" s="7">
        <f>INDEX(환산공식!$AP$16:$AP$301,MATCH('배치점수 계산기'!W442,환산공식!$A$16:$A$301,0))</f>
        <v>4</v>
      </c>
      <c r="AG442" s="7" t="str">
        <f t="shared" si="76"/>
        <v>표점</v>
      </c>
      <c r="AH442" s="7" t="str">
        <f t="shared" si="77"/>
        <v>변표</v>
      </c>
      <c r="BO442" s="210"/>
      <c r="BP442" s="210"/>
      <c r="BQ442" s="210"/>
      <c r="BR442" s="210"/>
      <c r="BS442" s="210"/>
      <c r="BT442" s="210"/>
      <c r="BU442" s="210"/>
      <c r="BV442" s="210"/>
      <c r="BW442" s="210"/>
      <c r="BX442" s="210"/>
      <c r="BY442" s="210"/>
      <c r="BZ442" s="210"/>
      <c r="CA442" s="210"/>
      <c r="CB442" s="210"/>
      <c r="CC442" s="210"/>
      <c r="EM442" s="120"/>
      <c r="ET442" s="210"/>
      <c r="EU442" s="210"/>
      <c r="EV442" s="210"/>
      <c r="EW442" s="210"/>
      <c r="EX442" s="210"/>
      <c r="EY442" s="210"/>
      <c r="EZ442" s="210"/>
      <c r="FA442" s="210"/>
      <c r="FB442" s="210"/>
      <c r="FC442" s="210"/>
      <c r="FD442" s="210"/>
      <c r="FE442" s="210"/>
      <c r="FF442" s="210"/>
      <c r="FG442" s="210"/>
      <c r="FH442" s="210"/>
      <c r="HR442" s="120"/>
      <c r="HY442" s="210"/>
      <c r="HZ442" s="210"/>
      <c r="IA442" s="210"/>
      <c r="IB442" s="210"/>
      <c r="IC442" s="210"/>
      <c r="ID442" s="210"/>
      <c r="IE442" s="210"/>
      <c r="IF442" s="210"/>
      <c r="IG442" s="210"/>
      <c r="IH442" s="210"/>
      <c r="II442" s="210"/>
      <c r="IJ442" s="210"/>
      <c r="IK442" s="210"/>
      <c r="IL442" s="210"/>
      <c r="IM442" s="210"/>
      <c r="KW442" s="120"/>
      <c r="LD442" s="210"/>
      <c r="LE442" s="210"/>
      <c r="LF442" s="210"/>
      <c r="LG442" s="210"/>
      <c r="LH442" s="210"/>
      <c r="LI442" s="210"/>
      <c r="LJ442" s="210"/>
      <c r="LK442" s="210"/>
      <c r="LL442" s="210"/>
      <c r="LM442" s="210"/>
      <c r="LN442" s="210"/>
      <c r="LO442" s="210"/>
      <c r="LP442" s="210"/>
      <c r="LQ442" s="210"/>
      <c r="LR442" s="210"/>
      <c r="OB442" s="120"/>
      <c r="OI442" s="210"/>
      <c r="OJ442" s="210"/>
      <c r="OK442" s="210"/>
      <c r="OL442" s="210"/>
      <c r="OM442" s="210"/>
      <c r="ON442" s="210"/>
      <c r="OO442" s="210"/>
      <c r="OP442" s="210"/>
      <c r="OQ442" s="210"/>
      <c r="OR442" s="210"/>
      <c r="OS442" s="210"/>
      <c r="OT442" s="210"/>
      <c r="OU442" s="210"/>
      <c r="OV442" s="210"/>
      <c r="OW442" s="210"/>
      <c r="RG442" s="120"/>
    </row>
    <row r="443" spans="1:475" x14ac:dyDescent="0.3">
      <c r="A443" s="7">
        <v>45</v>
      </c>
      <c r="B443" s="7">
        <v>433</v>
      </c>
      <c r="C443" s="7" t="s">
        <v>276</v>
      </c>
      <c r="D443" s="7" t="s">
        <v>708</v>
      </c>
      <c r="E443" s="7" t="s">
        <v>800</v>
      </c>
      <c r="F443" s="7" t="s">
        <v>275</v>
      </c>
      <c r="G443" s="41" t="str">
        <f t="shared" si="69"/>
        <v>X</v>
      </c>
      <c r="H443" s="41">
        <f>INDEX(환산공식!CI$16:CI$301,MATCH('배치점수 계산기'!$W443,환산공식!$A$16:$A$301,0))</f>
        <v>200</v>
      </c>
      <c r="I443" s="41" t="str">
        <f>CONCATENATE(ROUND(INDEX(환산공식!CJ$16:CJ$301,MATCH('배치점수 계산기'!$W443,환산공식!$A$16:$A$301,0)),1),"%")</f>
        <v>100%</v>
      </c>
      <c r="J443" s="41">
        <f>INDEX(환산공식!CK$16:CK$301,MATCH('배치점수 계산기'!$W443,환산공식!$A$16:$A$301,0))</f>
        <v>200</v>
      </c>
      <c r="K443" s="7">
        <f>INDEX(환산공식!$EF$16:$EF$301,MATCH('배치점수 계산기'!W443,환산공식!$A$16:$A$301,0))</f>
        <v>0</v>
      </c>
      <c r="L443" s="41" t="str">
        <f t="shared" si="67"/>
        <v>1% 이하</v>
      </c>
      <c r="M443" s="7">
        <v>889.98092144604516</v>
      </c>
      <c r="N443" s="7">
        <v>888.94499999999994</v>
      </c>
      <c r="O443" s="7">
        <v>886.00927143248418</v>
      </c>
      <c r="P443" s="7">
        <v>882.53499999999997</v>
      </c>
      <c r="Q443" s="7">
        <v>880.5211114190688</v>
      </c>
      <c r="R443" s="7">
        <f t="shared" si="68"/>
        <v>6</v>
      </c>
      <c r="T443" s="7">
        <f>COUNTIF($C$11:C443,C443)</f>
        <v>230</v>
      </c>
      <c r="U443" s="7" t="str">
        <f t="shared" si="70"/>
        <v>가230</v>
      </c>
      <c r="V443" s="7" t="str">
        <f>INDEX(환산공식!$C$16:$C$301,MATCH('배치점수 계산기'!W443,환산공식!$A$16:$A$301,0))</f>
        <v>건국 통합1</v>
      </c>
      <c r="W443" s="7">
        <f t="shared" si="71"/>
        <v>45</v>
      </c>
      <c r="X443" s="7">
        <f t="shared" si="72"/>
        <v>1</v>
      </c>
      <c r="Y443" s="7">
        <f>IFERROR(INDEX(환산공식!Q$16:Q$200,MATCH($A443,환산공식!$A$16:$A$200,0)),"")</f>
        <v>1.5</v>
      </c>
      <c r="Z443" s="7">
        <f>IFERROR(INDEX(환산공식!R$16:R$200,MATCH($A443,환산공식!$A$16:$A$200,0)),"")</f>
        <v>1.25</v>
      </c>
      <c r="AA443" s="7">
        <f>IFERROR(INDEX(환산공식!U$16:U$200,MATCH($A443,환산공식!$A$16:$A$200,0)),"")</f>
        <v>1.25</v>
      </c>
      <c r="AB443" s="7">
        <f t="shared" si="73"/>
        <v>0.375</v>
      </c>
      <c r="AC443" s="7">
        <f t="shared" si="74"/>
        <v>0.3125</v>
      </c>
      <c r="AD443" s="7">
        <f t="shared" si="75"/>
        <v>0.3125</v>
      </c>
      <c r="AE443" s="7">
        <f>INDEX(환산공식!$AF$16:$AF$301,MATCH('배치점수 계산기'!W443,환산공식!$A$16:$A$301,0))</f>
        <v>1</v>
      </c>
      <c r="AF443" s="7">
        <f>INDEX(환산공식!$AP$16:$AP$301,MATCH('배치점수 계산기'!W443,환산공식!$A$16:$A$301,0))</f>
        <v>4</v>
      </c>
      <c r="AG443" s="7" t="str">
        <f t="shared" si="76"/>
        <v>표점</v>
      </c>
      <c r="AH443" s="7" t="str">
        <f t="shared" si="77"/>
        <v>변표</v>
      </c>
      <c r="BO443" s="210"/>
      <c r="BP443" s="210"/>
      <c r="BQ443" s="210"/>
      <c r="BR443" s="210"/>
      <c r="BS443" s="210"/>
      <c r="BT443" s="210"/>
      <c r="BU443" s="210"/>
      <c r="BV443" s="210"/>
      <c r="BW443" s="210"/>
      <c r="BX443" s="210"/>
      <c r="BY443" s="210"/>
      <c r="BZ443" s="210"/>
      <c r="CA443" s="210"/>
      <c r="CB443" s="210"/>
      <c r="CC443" s="210"/>
      <c r="EM443" s="120"/>
      <c r="ET443" s="210"/>
      <c r="EU443" s="210"/>
      <c r="EV443" s="210"/>
      <c r="EW443" s="210"/>
      <c r="EX443" s="210"/>
      <c r="EY443" s="210"/>
      <c r="EZ443" s="210"/>
      <c r="FA443" s="210"/>
      <c r="FB443" s="210"/>
      <c r="FC443" s="210"/>
      <c r="FD443" s="210"/>
      <c r="FE443" s="210"/>
      <c r="FF443" s="210"/>
      <c r="FG443" s="210"/>
      <c r="FH443" s="210"/>
      <c r="HR443" s="120"/>
      <c r="HY443" s="210"/>
      <c r="HZ443" s="210"/>
      <c r="IA443" s="210"/>
      <c r="IB443" s="210"/>
      <c r="IC443" s="210"/>
      <c r="ID443" s="210"/>
      <c r="IE443" s="210"/>
      <c r="IF443" s="210"/>
      <c r="IG443" s="210"/>
      <c r="IH443" s="210"/>
      <c r="II443" s="210"/>
      <c r="IJ443" s="210"/>
      <c r="IK443" s="210"/>
      <c r="IL443" s="210"/>
      <c r="IM443" s="210"/>
      <c r="KW443" s="120"/>
      <c r="LD443" s="210"/>
      <c r="LE443" s="210"/>
      <c r="LF443" s="210"/>
      <c r="LG443" s="210"/>
      <c r="LH443" s="210"/>
      <c r="LI443" s="210"/>
      <c r="LJ443" s="210"/>
      <c r="LK443" s="210"/>
      <c r="LL443" s="210"/>
      <c r="LM443" s="210"/>
      <c r="LN443" s="210"/>
      <c r="LO443" s="210"/>
      <c r="LP443" s="210"/>
      <c r="LQ443" s="210"/>
      <c r="LR443" s="210"/>
      <c r="OB443" s="120"/>
      <c r="OI443" s="210"/>
      <c r="OJ443" s="210"/>
      <c r="OK443" s="210"/>
      <c r="OL443" s="210"/>
      <c r="OM443" s="210"/>
      <c r="ON443" s="210"/>
      <c r="OO443" s="210"/>
      <c r="OP443" s="210"/>
      <c r="OQ443" s="210"/>
      <c r="OR443" s="210"/>
      <c r="OS443" s="210"/>
      <c r="OT443" s="210"/>
      <c r="OU443" s="210"/>
      <c r="OV443" s="210"/>
      <c r="OW443" s="210"/>
      <c r="RG443" s="120"/>
    </row>
    <row r="444" spans="1:475" x14ac:dyDescent="0.3">
      <c r="A444" s="7">
        <v>45</v>
      </c>
      <c r="B444" s="7">
        <v>434</v>
      </c>
      <c r="C444" s="7" t="s">
        <v>346</v>
      </c>
      <c r="D444" s="7" t="s">
        <v>708</v>
      </c>
      <c r="E444" s="7" t="s">
        <v>742</v>
      </c>
      <c r="F444" s="7" t="s">
        <v>275</v>
      </c>
      <c r="G444" s="41" t="str">
        <f t="shared" si="69"/>
        <v>X</v>
      </c>
      <c r="H444" s="41">
        <f>INDEX(환산공식!CI$16:CI$301,MATCH('배치점수 계산기'!$W444,환산공식!$A$16:$A$301,0))</f>
        <v>200</v>
      </c>
      <c r="I444" s="41" t="str">
        <f>CONCATENATE(ROUND(INDEX(환산공식!CJ$16:CJ$301,MATCH('배치점수 계산기'!$W444,환산공식!$A$16:$A$301,0)),1),"%")</f>
        <v>100%</v>
      </c>
      <c r="J444" s="41">
        <f>INDEX(환산공식!CK$16:CK$301,MATCH('배치점수 계산기'!$W444,환산공식!$A$16:$A$301,0))</f>
        <v>200</v>
      </c>
      <c r="K444" s="7">
        <f>INDEX(환산공식!$EF$16:$EF$301,MATCH('배치점수 계산기'!W444,환산공식!$A$16:$A$301,0))</f>
        <v>0</v>
      </c>
      <c r="L444" s="41" t="str">
        <f t="shared" si="67"/>
        <v>1% 이하</v>
      </c>
      <c r="M444" s="7">
        <v>889.98092144604516</v>
      </c>
      <c r="N444" s="7">
        <v>888.94499999999994</v>
      </c>
      <c r="O444" s="7">
        <v>885.31499999999994</v>
      </c>
      <c r="P444" s="7">
        <v>882.53499999999997</v>
      </c>
      <c r="Q444" s="7">
        <v>880.5211114190688</v>
      </c>
      <c r="R444" s="7">
        <f t="shared" si="68"/>
        <v>6</v>
      </c>
      <c r="T444" s="7">
        <f>COUNTIF($C$11:C444,C444)</f>
        <v>190</v>
      </c>
      <c r="U444" s="7" t="str">
        <f t="shared" si="70"/>
        <v>나190</v>
      </c>
      <c r="V444" s="7" t="str">
        <f>INDEX(환산공식!$C$16:$C$301,MATCH('배치점수 계산기'!W444,환산공식!$A$16:$A$301,0))</f>
        <v>건국 통합1</v>
      </c>
      <c r="W444" s="7">
        <f t="shared" si="71"/>
        <v>45</v>
      </c>
      <c r="X444" s="7">
        <f t="shared" si="72"/>
        <v>1</v>
      </c>
      <c r="Y444" s="7">
        <f>IFERROR(INDEX(환산공식!Q$16:Q$200,MATCH($A444,환산공식!$A$16:$A$200,0)),"")</f>
        <v>1.5</v>
      </c>
      <c r="Z444" s="7">
        <f>IFERROR(INDEX(환산공식!R$16:R$200,MATCH($A444,환산공식!$A$16:$A$200,0)),"")</f>
        <v>1.25</v>
      </c>
      <c r="AA444" s="7">
        <f>IFERROR(INDEX(환산공식!U$16:U$200,MATCH($A444,환산공식!$A$16:$A$200,0)),"")</f>
        <v>1.25</v>
      </c>
      <c r="AB444" s="7">
        <f t="shared" si="73"/>
        <v>0.375</v>
      </c>
      <c r="AC444" s="7">
        <f t="shared" si="74"/>
        <v>0.3125</v>
      </c>
      <c r="AD444" s="7">
        <f t="shared" si="75"/>
        <v>0.3125</v>
      </c>
      <c r="AE444" s="7">
        <f>INDEX(환산공식!$AF$16:$AF$301,MATCH('배치점수 계산기'!W444,환산공식!$A$16:$A$301,0))</f>
        <v>1</v>
      </c>
      <c r="AF444" s="7">
        <f>INDEX(환산공식!$AP$16:$AP$301,MATCH('배치점수 계산기'!W444,환산공식!$A$16:$A$301,0))</f>
        <v>4</v>
      </c>
      <c r="AG444" s="7" t="str">
        <f t="shared" si="76"/>
        <v>표점</v>
      </c>
      <c r="AH444" s="7" t="str">
        <f t="shared" si="77"/>
        <v>변표</v>
      </c>
      <c r="BO444" s="210"/>
      <c r="BP444" s="210"/>
      <c r="BQ444" s="210"/>
      <c r="BR444" s="210"/>
      <c r="BS444" s="210"/>
      <c r="BT444" s="210"/>
      <c r="BU444" s="210"/>
      <c r="BV444" s="210"/>
      <c r="BW444" s="210"/>
      <c r="BX444" s="210"/>
      <c r="BY444" s="210"/>
      <c r="BZ444" s="210"/>
      <c r="CA444" s="210"/>
      <c r="CB444" s="210"/>
      <c r="CC444" s="210"/>
      <c r="EM444" s="120"/>
      <c r="ET444" s="210"/>
      <c r="EU444" s="210"/>
      <c r="EV444" s="210"/>
      <c r="EW444" s="210"/>
      <c r="EX444" s="210"/>
      <c r="EY444" s="210"/>
      <c r="EZ444" s="210"/>
      <c r="FA444" s="210"/>
      <c r="FB444" s="210"/>
      <c r="FC444" s="210"/>
      <c r="FD444" s="210"/>
      <c r="FE444" s="210"/>
      <c r="FF444" s="210"/>
      <c r="FG444" s="210"/>
      <c r="FH444" s="210"/>
      <c r="HR444" s="120"/>
      <c r="HY444" s="210"/>
      <c r="HZ444" s="210"/>
      <c r="IA444" s="210"/>
      <c r="IB444" s="210"/>
      <c r="IC444" s="210"/>
      <c r="ID444" s="210"/>
      <c r="IE444" s="210"/>
      <c r="IF444" s="210"/>
      <c r="IG444" s="210"/>
      <c r="IH444" s="210"/>
      <c r="II444" s="210"/>
      <c r="IJ444" s="210"/>
      <c r="IK444" s="210"/>
      <c r="IL444" s="210"/>
      <c r="IM444" s="210"/>
      <c r="KW444" s="120"/>
      <c r="LD444" s="210"/>
      <c r="LE444" s="210"/>
      <c r="LF444" s="210"/>
      <c r="LG444" s="210"/>
      <c r="LH444" s="210"/>
      <c r="LI444" s="210"/>
      <c r="LJ444" s="210"/>
      <c r="LK444" s="210"/>
      <c r="LL444" s="210"/>
      <c r="LM444" s="210"/>
      <c r="LN444" s="210"/>
      <c r="LO444" s="210"/>
      <c r="LP444" s="210"/>
      <c r="LQ444" s="210"/>
      <c r="LR444" s="210"/>
      <c r="OB444" s="120"/>
      <c r="OI444" s="210"/>
      <c r="OJ444" s="210"/>
      <c r="OK444" s="210"/>
      <c r="OL444" s="210"/>
      <c r="OM444" s="210"/>
      <c r="ON444" s="210"/>
      <c r="OO444" s="210"/>
      <c r="OP444" s="210"/>
      <c r="OQ444" s="210"/>
      <c r="OR444" s="210"/>
      <c r="OS444" s="210"/>
      <c r="OT444" s="210"/>
      <c r="OU444" s="210"/>
      <c r="OV444" s="210"/>
      <c r="OW444" s="210"/>
      <c r="RG444" s="120"/>
    </row>
    <row r="445" spans="1:475" x14ac:dyDescent="0.3">
      <c r="A445" s="7">
        <v>48</v>
      </c>
      <c r="B445" s="7">
        <v>435</v>
      </c>
      <c r="C445" s="7" t="s">
        <v>346</v>
      </c>
      <c r="D445" s="7" t="s">
        <v>801</v>
      </c>
      <c r="E445" s="7" t="s">
        <v>288</v>
      </c>
      <c r="F445" s="7" t="s">
        <v>274</v>
      </c>
      <c r="G445" s="41" t="str">
        <f t="shared" si="69"/>
        <v>X</v>
      </c>
      <c r="H445" s="41">
        <f>INDEX(환산공식!CI$16:CI$301,MATCH('배치점수 계산기'!$W445,환산공식!$A$16:$A$301,0))</f>
        <v>200</v>
      </c>
      <c r="I445" s="41" t="str">
        <f>CONCATENATE(ROUND(INDEX(환산공식!CJ$16:CJ$301,MATCH('배치점수 계산기'!$W445,환산공식!$A$16:$A$301,0)),1),"%")</f>
        <v>100%</v>
      </c>
      <c r="J445" s="41">
        <f>INDEX(환산공식!CK$16:CK$301,MATCH('배치점수 계산기'!$W445,환산공식!$A$16:$A$301,0))</f>
        <v>50</v>
      </c>
      <c r="K445" s="7">
        <f>INDEX(환산공식!$EF$16:$EF$301,MATCH('배치점수 계산기'!W445,환산공식!$A$16:$A$301,0))</f>
        <v>0</v>
      </c>
      <c r="L445" s="41" t="str">
        <f t="shared" si="67"/>
        <v>1% 이하</v>
      </c>
      <c r="M445" s="7">
        <v>714.21100000000001</v>
      </c>
      <c r="N445" s="7">
        <v>713.57900000000006</v>
      </c>
      <c r="O445" s="7">
        <v>712.98000000000013</v>
      </c>
      <c r="P445" s="7">
        <v>711.32400000000007</v>
      </c>
      <c r="Q445" s="7">
        <v>710.20342102396523</v>
      </c>
      <c r="R445" s="7">
        <f t="shared" si="68"/>
        <v>6</v>
      </c>
      <c r="T445" s="7">
        <f>COUNTIF($C$11:C445,C445)</f>
        <v>191</v>
      </c>
      <c r="U445" s="7" t="str">
        <f t="shared" si="70"/>
        <v>나191</v>
      </c>
      <c r="V445" s="7" t="str">
        <f>INDEX(환산공식!$C$16:$C$301,MATCH('배치점수 계산기'!W445,환산공식!$A$16:$A$301,0))</f>
        <v>동국 자연</v>
      </c>
      <c r="W445" s="7">
        <f t="shared" si="71"/>
        <v>48</v>
      </c>
      <c r="X445" s="7">
        <f t="shared" si="72"/>
        <v>1</v>
      </c>
      <c r="Y445" s="7">
        <f>IFERROR(INDEX(환산공식!Q$16:Q$200,MATCH($A445,환산공식!$A$16:$A$200,0)),"")</f>
        <v>1.25</v>
      </c>
      <c r="Z445" s="7">
        <f>IFERROR(INDEX(환산공식!R$16:R$200,MATCH($A445,환산공식!$A$16:$A$200,0)),"")</f>
        <v>1.5</v>
      </c>
      <c r="AA445" s="7">
        <f>IFERROR(INDEX(환산공식!U$16:U$200,MATCH($A445,환산공식!$A$16:$A$200,0)),"")</f>
        <v>1</v>
      </c>
      <c r="AB445" s="7">
        <f t="shared" si="73"/>
        <v>0.33333333333333331</v>
      </c>
      <c r="AC445" s="7">
        <f t="shared" si="74"/>
        <v>0.4</v>
      </c>
      <c r="AD445" s="7">
        <f t="shared" si="75"/>
        <v>0.26666666666666666</v>
      </c>
      <c r="AE445" s="7">
        <f>INDEX(환산공식!$AF$16:$AF$301,MATCH('배치점수 계산기'!W445,환산공식!$A$16:$A$301,0))</f>
        <v>1</v>
      </c>
      <c r="AF445" s="7">
        <f>INDEX(환산공식!$AP$16:$AP$301,MATCH('배치점수 계산기'!W445,환산공식!$A$16:$A$301,0))</f>
        <v>4</v>
      </c>
      <c r="AG445" s="7" t="str">
        <f t="shared" si="76"/>
        <v>표점</v>
      </c>
      <c r="AH445" s="7" t="str">
        <f t="shared" si="77"/>
        <v>변표</v>
      </c>
      <c r="BO445" s="210"/>
      <c r="BP445" s="210"/>
      <c r="BQ445" s="210"/>
      <c r="BR445" s="210"/>
      <c r="BS445" s="210"/>
      <c r="BT445" s="210"/>
      <c r="BU445" s="210"/>
      <c r="BV445" s="210"/>
      <c r="BW445" s="210"/>
      <c r="BX445" s="210"/>
      <c r="BY445" s="210"/>
      <c r="BZ445" s="210"/>
      <c r="CA445" s="210"/>
      <c r="CB445" s="210"/>
      <c r="CC445" s="210"/>
      <c r="EM445" s="120"/>
      <c r="ET445" s="210"/>
      <c r="EU445" s="210"/>
      <c r="EV445" s="210"/>
      <c r="EW445" s="210"/>
      <c r="EX445" s="210"/>
      <c r="EY445" s="210"/>
      <c r="EZ445" s="210"/>
      <c r="FA445" s="210"/>
      <c r="FB445" s="210"/>
      <c r="FC445" s="210"/>
      <c r="FD445" s="210"/>
      <c r="FE445" s="210"/>
      <c r="FF445" s="210"/>
      <c r="FG445" s="210"/>
      <c r="FH445" s="210"/>
      <c r="HR445" s="120"/>
      <c r="HY445" s="210"/>
      <c r="HZ445" s="210"/>
      <c r="IA445" s="210"/>
      <c r="IB445" s="210"/>
      <c r="IC445" s="210"/>
      <c r="ID445" s="210"/>
      <c r="IE445" s="210"/>
      <c r="IF445" s="210"/>
      <c r="IG445" s="210"/>
      <c r="IH445" s="210"/>
      <c r="II445" s="210"/>
      <c r="IJ445" s="210"/>
      <c r="IK445" s="210"/>
      <c r="IL445" s="210"/>
      <c r="IM445" s="210"/>
      <c r="KW445" s="120"/>
      <c r="LD445" s="210"/>
      <c r="LE445" s="210"/>
      <c r="LF445" s="210"/>
      <c r="LG445" s="210"/>
      <c r="LH445" s="210"/>
      <c r="LI445" s="210"/>
      <c r="LJ445" s="210"/>
      <c r="LK445" s="210"/>
      <c r="LL445" s="210"/>
      <c r="LM445" s="210"/>
      <c r="LN445" s="210"/>
      <c r="LO445" s="210"/>
      <c r="LP445" s="210"/>
      <c r="LQ445" s="210"/>
      <c r="LR445" s="210"/>
      <c r="OB445" s="120"/>
      <c r="OI445" s="210"/>
      <c r="OJ445" s="210"/>
      <c r="OK445" s="210"/>
      <c r="OL445" s="210"/>
      <c r="OM445" s="210"/>
      <c r="ON445" s="210"/>
      <c r="OO445" s="210"/>
      <c r="OP445" s="210"/>
      <c r="OQ445" s="210"/>
      <c r="OR445" s="210"/>
      <c r="OS445" s="210"/>
      <c r="OT445" s="210"/>
      <c r="OU445" s="210"/>
      <c r="OV445" s="210"/>
      <c r="OW445" s="210"/>
      <c r="RG445" s="120"/>
    </row>
    <row r="446" spans="1:475" x14ac:dyDescent="0.3">
      <c r="A446" s="7">
        <v>48</v>
      </c>
      <c r="B446" s="7">
        <v>436</v>
      </c>
      <c r="C446" s="7" t="s">
        <v>346</v>
      </c>
      <c r="D446" s="7" t="s">
        <v>801</v>
      </c>
      <c r="E446" s="7" t="s">
        <v>802</v>
      </c>
      <c r="F446" s="7" t="s">
        <v>274</v>
      </c>
      <c r="G446" s="41" t="str">
        <f t="shared" si="69"/>
        <v>X</v>
      </c>
      <c r="H446" s="41">
        <f>INDEX(환산공식!CI$16:CI$301,MATCH('배치점수 계산기'!$W446,환산공식!$A$16:$A$301,0))</f>
        <v>200</v>
      </c>
      <c r="I446" s="41" t="str">
        <f>CONCATENATE(ROUND(INDEX(환산공식!CJ$16:CJ$301,MATCH('배치점수 계산기'!$W446,환산공식!$A$16:$A$301,0)),1),"%")</f>
        <v>100%</v>
      </c>
      <c r="J446" s="41">
        <f>INDEX(환산공식!CK$16:CK$301,MATCH('배치점수 계산기'!$W446,환산공식!$A$16:$A$301,0))</f>
        <v>50</v>
      </c>
      <c r="K446" s="7">
        <f>INDEX(환산공식!$EF$16:$EF$301,MATCH('배치점수 계산기'!W446,환산공식!$A$16:$A$301,0))</f>
        <v>0</v>
      </c>
      <c r="L446" s="41" t="str">
        <f t="shared" si="67"/>
        <v>1% 이하</v>
      </c>
      <c r="M446" s="7">
        <v>712.98000000000013</v>
      </c>
      <c r="N446" s="7">
        <v>712.14060037981562</v>
      </c>
      <c r="O446" s="7">
        <v>710.83143132988857</v>
      </c>
      <c r="P446" s="7">
        <v>709.75038822246461</v>
      </c>
      <c r="Q446" s="7">
        <v>708.55462373530224</v>
      </c>
      <c r="R446" s="7">
        <f t="shared" si="68"/>
        <v>6</v>
      </c>
      <c r="T446" s="7">
        <f>COUNTIF($C$11:C446,C446)</f>
        <v>192</v>
      </c>
      <c r="U446" s="7" t="str">
        <f t="shared" si="70"/>
        <v>나192</v>
      </c>
      <c r="V446" s="7" t="str">
        <f>INDEX(환산공식!$C$16:$C$301,MATCH('배치점수 계산기'!W446,환산공식!$A$16:$A$301,0))</f>
        <v>동국 자연</v>
      </c>
      <c r="W446" s="7">
        <f t="shared" si="71"/>
        <v>48</v>
      </c>
      <c r="X446" s="7">
        <f t="shared" si="72"/>
        <v>1</v>
      </c>
      <c r="Y446" s="7">
        <f>IFERROR(INDEX(환산공식!Q$16:Q$200,MATCH($A446,환산공식!$A$16:$A$200,0)),"")</f>
        <v>1.25</v>
      </c>
      <c r="Z446" s="7">
        <f>IFERROR(INDEX(환산공식!R$16:R$200,MATCH($A446,환산공식!$A$16:$A$200,0)),"")</f>
        <v>1.5</v>
      </c>
      <c r="AA446" s="7">
        <f>IFERROR(INDEX(환산공식!U$16:U$200,MATCH($A446,환산공식!$A$16:$A$200,0)),"")</f>
        <v>1</v>
      </c>
      <c r="AB446" s="7">
        <f t="shared" si="73"/>
        <v>0.33333333333333331</v>
      </c>
      <c r="AC446" s="7">
        <f t="shared" si="74"/>
        <v>0.4</v>
      </c>
      <c r="AD446" s="7">
        <f t="shared" si="75"/>
        <v>0.26666666666666666</v>
      </c>
      <c r="AE446" s="7">
        <f>INDEX(환산공식!$AF$16:$AF$301,MATCH('배치점수 계산기'!W446,환산공식!$A$16:$A$301,0))</f>
        <v>1</v>
      </c>
      <c r="AF446" s="7">
        <f>INDEX(환산공식!$AP$16:$AP$301,MATCH('배치점수 계산기'!W446,환산공식!$A$16:$A$301,0))</f>
        <v>4</v>
      </c>
      <c r="AG446" s="7" t="str">
        <f t="shared" si="76"/>
        <v>표점</v>
      </c>
      <c r="AH446" s="7" t="str">
        <f t="shared" si="77"/>
        <v>변표</v>
      </c>
      <c r="BO446" s="210"/>
      <c r="BP446" s="210"/>
      <c r="BQ446" s="210"/>
      <c r="BR446" s="210"/>
      <c r="BS446" s="210"/>
      <c r="BT446" s="210"/>
      <c r="BU446" s="210"/>
      <c r="BV446" s="210"/>
      <c r="BW446" s="210"/>
      <c r="BX446" s="210"/>
      <c r="BY446" s="210"/>
      <c r="BZ446" s="210"/>
      <c r="CA446" s="210"/>
      <c r="CB446" s="210"/>
      <c r="CC446" s="210"/>
      <c r="EM446" s="120"/>
      <c r="ET446" s="210"/>
      <c r="EU446" s="210"/>
      <c r="EV446" s="210"/>
      <c r="EW446" s="210"/>
      <c r="EX446" s="210"/>
      <c r="EY446" s="210"/>
      <c r="EZ446" s="210"/>
      <c r="FA446" s="210"/>
      <c r="FB446" s="210"/>
      <c r="FC446" s="210"/>
      <c r="FD446" s="210"/>
      <c r="FE446" s="210"/>
      <c r="FF446" s="210"/>
      <c r="FG446" s="210"/>
      <c r="FH446" s="210"/>
      <c r="HR446" s="120"/>
      <c r="HY446" s="210"/>
      <c r="HZ446" s="210"/>
      <c r="IA446" s="210"/>
      <c r="IB446" s="210"/>
      <c r="IC446" s="210"/>
      <c r="ID446" s="210"/>
      <c r="IE446" s="210"/>
      <c r="IF446" s="210"/>
      <c r="IG446" s="210"/>
      <c r="IH446" s="210"/>
      <c r="II446" s="210"/>
      <c r="IJ446" s="210"/>
      <c r="IK446" s="210"/>
      <c r="IL446" s="210"/>
      <c r="IM446" s="210"/>
      <c r="KW446" s="120"/>
      <c r="LD446" s="210"/>
      <c r="LE446" s="210"/>
      <c r="LF446" s="210"/>
      <c r="LG446" s="210"/>
      <c r="LH446" s="210"/>
      <c r="LI446" s="210"/>
      <c r="LJ446" s="210"/>
      <c r="LK446" s="210"/>
      <c r="LL446" s="210"/>
      <c r="LM446" s="210"/>
      <c r="LN446" s="210"/>
      <c r="LO446" s="210"/>
      <c r="LP446" s="210"/>
      <c r="LQ446" s="210"/>
      <c r="LR446" s="210"/>
      <c r="OB446" s="120"/>
      <c r="OI446" s="210"/>
      <c r="OJ446" s="210"/>
      <c r="OK446" s="210"/>
      <c r="OL446" s="210"/>
      <c r="OM446" s="210"/>
      <c r="ON446" s="210"/>
      <c r="OO446" s="210"/>
      <c r="OP446" s="210"/>
      <c r="OQ446" s="210"/>
      <c r="OR446" s="210"/>
      <c r="OS446" s="210"/>
      <c r="OT446" s="210"/>
      <c r="OU446" s="210"/>
      <c r="OV446" s="210"/>
      <c r="OW446" s="210"/>
      <c r="RG446" s="120"/>
    </row>
    <row r="447" spans="1:475" x14ac:dyDescent="0.3">
      <c r="A447" s="7">
        <v>48</v>
      </c>
      <c r="B447" s="7">
        <v>437</v>
      </c>
      <c r="C447" s="7" t="s">
        <v>276</v>
      </c>
      <c r="D447" s="7" t="s">
        <v>801</v>
      </c>
      <c r="E447" s="7" t="s">
        <v>256</v>
      </c>
      <c r="F447" s="7" t="s">
        <v>274</v>
      </c>
      <c r="G447" s="41" t="str">
        <f t="shared" si="69"/>
        <v>X</v>
      </c>
      <c r="H447" s="41">
        <f>INDEX(환산공식!CI$16:CI$301,MATCH('배치점수 계산기'!$W447,환산공식!$A$16:$A$301,0))</f>
        <v>200</v>
      </c>
      <c r="I447" s="41" t="str">
        <f>CONCATENATE(ROUND(INDEX(환산공식!CJ$16:CJ$301,MATCH('배치점수 계산기'!$W447,환산공식!$A$16:$A$301,0)),1),"%")</f>
        <v>100%</v>
      </c>
      <c r="J447" s="41">
        <f>INDEX(환산공식!CK$16:CK$301,MATCH('배치점수 계산기'!$W447,환산공식!$A$16:$A$301,0))</f>
        <v>50</v>
      </c>
      <c r="K447" s="7">
        <f>INDEX(환산공식!$EF$16:$EF$301,MATCH('배치점수 계산기'!W447,환산공식!$A$16:$A$301,0))</f>
        <v>0</v>
      </c>
      <c r="L447" s="41" t="str">
        <f t="shared" si="67"/>
        <v>1% 이하</v>
      </c>
      <c r="M447" s="7">
        <v>711.32400000000007</v>
      </c>
      <c r="N447" s="7">
        <v>710.20342102396523</v>
      </c>
      <c r="O447" s="7">
        <v>709.09</v>
      </c>
      <c r="P447" s="7">
        <v>708.3370000000001</v>
      </c>
      <c r="Q447" s="7">
        <v>707.37765834932827</v>
      </c>
      <c r="R447" s="7">
        <f t="shared" si="68"/>
        <v>6</v>
      </c>
      <c r="T447" s="7">
        <f>COUNTIF($C$11:C447,C447)</f>
        <v>231</v>
      </c>
      <c r="U447" s="7" t="str">
        <f t="shared" si="70"/>
        <v>가231</v>
      </c>
      <c r="V447" s="7" t="str">
        <f>INDEX(환산공식!$C$16:$C$301,MATCH('배치점수 계산기'!W447,환산공식!$A$16:$A$301,0))</f>
        <v>동국 자연</v>
      </c>
      <c r="W447" s="7">
        <f t="shared" si="71"/>
        <v>48</v>
      </c>
      <c r="X447" s="7">
        <f t="shared" si="72"/>
        <v>1</v>
      </c>
      <c r="Y447" s="7">
        <f>IFERROR(INDEX(환산공식!Q$16:Q$200,MATCH($A447,환산공식!$A$16:$A$200,0)),"")</f>
        <v>1.25</v>
      </c>
      <c r="Z447" s="7">
        <f>IFERROR(INDEX(환산공식!R$16:R$200,MATCH($A447,환산공식!$A$16:$A$200,0)),"")</f>
        <v>1.5</v>
      </c>
      <c r="AA447" s="7">
        <f>IFERROR(INDEX(환산공식!U$16:U$200,MATCH($A447,환산공식!$A$16:$A$200,0)),"")</f>
        <v>1</v>
      </c>
      <c r="AB447" s="7">
        <f t="shared" si="73"/>
        <v>0.33333333333333331</v>
      </c>
      <c r="AC447" s="7">
        <f t="shared" si="74"/>
        <v>0.4</v>
      </c>
      <c r="AD447" s="7">
        <f t="shared" si="75"/>
        <v>0.26666666666666666</v>
      </c>
      <c r="AE447" s="7">
        <f>INDEX(환산공식!$AF$16:$AF$301,MATCH('배치점수 계산기'!W447,환산공식!$A$16:$A$301,0))</f>
        <v>1</v>
      </c>
      <c r="AF447" s="7">
        <f>INDEX(환산공식!$AP$16:$AP$301,MATCH('배치점수 계산기'!W447,환산공식!$A$16:$A$301,0))</f>
        <v>4</v>
      </c>
      <c r="AG447" s="7" t="str">
        <f t="shared" si="76"/>
        <v>표점</v>
      </c>
      <c r="AH447" s="7" t="str">
        <f t="shared" si="77"/>
        <v>변표</v>
      </c>
      <c r="BO447" s="210"/>
      <c r="BP447" s="210"/>
      <c r="BQ447" s="210"/>
      <c r="BR447" s="210"/>
      <c r="BS447" s="210"/>
      <c r="BT447" s="210"/>
      <c r="BU447" s="210"/>
      <c r="BV447" s="210"/>
      <c r="BW447" s="210"/>
      <c r="BX447" s="210"/>
      <c r="BY447" s="210"/>
      <c r="BZ447" s="210"/>
      <c r="CA447" s="210"/>
      <c r="CB447" s="210"/>
      <c r="CC447" s="210"/>
      <c r="EM447" s="120"/>
      <c r="ET447" s="210"/>
      <c r="EU447" s="210"/>
      <c r="EV447" s="210"/>
      <c r="EW447" s="210"/>
      <c r="EX447" s="210"/>
      <c r="EY447" s="210"/>
      <c r="EZ447" s="210"/>
      <c r="FA447" s="210"/>
      <c r="FB447" s="210"/>
      <c r="FC447" s="210"/>
      <c r="FD447" s="210"/>
      <c r="FE447" s="210"/>
      <c r="FF447" s="210"/>
      <c r="FG447" s="210"/>
      <c r="FH447" s="210"/>
      <c r="HR447" s="120"/>
      <c r="HY447" s="210"/>
      <c r="HZ447" s="210"/>
      <c r="IA447" s="210"/>
      <c r="IB447" s="210"/>
      <c r="IC447" s="210"/>
      <c r="ID447" s="210"/>
      <c r="IE447" s="210"/>
      <c r="IF447" s="210"/>
      <c r="IG447" s="210"/>
      <c r="IH447" s="210"/>
      <c r="II447" s="210"/>
      <c r="IJ447" s="210"/>
      <c r="IK447" s="210"/>
      <c r="IL447" s="210"/>
      <c r="IM447" s="210"/>
      <c r="KW447" s="120"/>
      <c r="LD447" s="210"/>
      <c r="LE447" s="210"/>
      <c r="LF447" s="210"/>
      <c r="LG447" s="210"/>
      <c r="LH447" s="210"/>
      <c r="LI447" s="210"/>
      <c r="LJ447" s="210"/>
      <c r="LK447" s="210"/>
      <c r="LL447" s="210"/>
      <c r="LM447" s="210"/>
      <c r="LN447" s="210"/>
      <c r="LO447" s="210"/>
      <c r="LP447" s="210"/>
      <c r="LQ447" s="210"/>
      <c r="LR447" s="210"/>
      <c r="OB447" s="120"/>
      <c r="OI447" s="210"/>
      <c r="OJ447" s="210"/>
      <c r="OK447" s="210"/>
      <c r="OL447" s="210"/>
      <c r="OM447" s="210"/>
      <c r="ON447" s="210"/>
      <c r="OO447" s="210"/>
      <c r="OP447" s="210"/>
      <c r="OQ447" s="210"/>
      <c r="OR447" s="210"/>
      <c r="OS447" s="210"/>
      <c r="OT447" s="210"/>
      <c r="OU447" s="210"/>
      <c r="OV447" s="210"/>
      <c r="OW447" s="210"/>
      <c r="RG447" s="120"/>
    </row>
    <row r="448" spans="1:475" x14ac:dyDescent="0.3">
      <c r="A448" s="7">
        <v>48</v>
      </c>
      <c r="B448" s="7">
        <v>438</v>
      </c>
      <c r="C448" s="7" t="s">
        <v>276</v>
      </c>
      <c r="D448" s="7" t="s">
        <v>801</v>
      </c>
      <c r="E448" s="7" t="s">
        <v>803</v>
      </c>
      <c r="F448" s="7" t="s">
        <v>274</v>
      </c>
      <c r="G448" s="41" t="str">
        <f t="shared" si="69"/>
        <v>X</v>
      </c>
      <c r="H448" s="41">
        <f>INDEX(환산공식!CI$16:CI$301,MATCH('배치점수 계산기'!$W448,환산공식!$A$16:$A$301,0))</f>
        <v>200</v>
      </c>
      <c r="I448" s="41" t="str">
        <f>CONCATENATE(ROUND(INDEX(환산공식!CJ$16:CJ$301,MATCH('배치점수 계산기'!$W448,환산공식!$A$16:$A$301,0)),1),"%")</f>
        <v>100%</v>
      </c>
      <c r="J448" s="41">
        <f>INDEX(환산공식!CK$16:CK$301,MATCH('배치점수 계산기'!$W448,환산공식!$A$16:$A$301,0))</f>
        <v>50</v>
      </c>
      <c r="K448" s="7">
        <f>INDEX(환산공식!$EF$16:$EF$301,MATCH('배치점수 계산기'!W448,환산공식!$A$16:$A$301,0))</f>
        <v>0</v>
      </c>
      <c r="L448" s="41" t="str">
        <f t="shared" si="67"/>
        <v>1% 이하</v>
      </c>
      <c r="M448" s="7">
        <v>712.98000000000013</v>
      </c>
      <c r="N448" s="7">
        <v>712.14060037981562</v>
      </c>
      <c r="O448" s="7">
        <v>710.83143132988857</v>
      </c>
      <c r="P448" s="7">
        <v>709.96799999999996</v>
      </c>
      <c r="Q448" s="7">
        <v>708.55462373530224</v>
      </c>
      <c r="R448" s="7">
        <f t="shared" si="68"/>
        <v>6</v>
      </c>
      <c r="T448" s="7">
        <f>COUNTIF($C$11:C448,C448)</f>
        <v>232</v>
      </c>
      <c r="U448" s="7" t="str">
        <f t="shared" si="70"/>
        <v>가232</v>
      </c>
      <c r="V448" s="7" t="str">
        <f>INDEX(환산공식!$C$16:$C$301,MATCH('배치점수 계산기'!W448,환산공식!$A$16:$A$301,0))</f>
        <v>동국 자연</v>
      </c>
      <c r="W448" s="7">
        <f t="shared" si="71"/>
        <v>48</v>
      </c>
      <c r="X448" s="7">
        <f t="shared" si="72"/>
        <v>1</v>
      </c>
      <c r="Y448" s="7">
        <f>IFERROR(INDEX(환산공식!Q$16:Q$200,MATCH($A448,환산공식!$A$16:$A$200,0)),"")</f>
        <v>1.25</v>
      </c>
      <c r="Z448" s="7">
        <f>IFERROR(INDEX(환산공식!R$16:R$200,MATCH($A448,환산공식!$A$16:$A$200,0)),"")</f>
        <v>1.5</v>
      </c>
      <c r="AA448" s="7">
        <f>IFERROR(INDEX(환산공식!U$16:U$200,MATCH($A448,환산공식!$A$16:$A$200,0)),"")</f>
        <v>1</v>
      </c>
      <c r="AB448" s="7">
        <f t="shared" si="73"/>
        <v>0.33333333333333331</v>
      </c>
      <c r="AC448" s="7">
        <f t="shared" si="74"/>
        <v>0.4</v>
      </c>
      <c r="AD448" s="7">
        <f t="shared" si="75"/>
        <v>0.26666666666666666</v>
      </c>
      <c r="AE448" s="7">
        <f>INDEX(환산공식!$AF$16:$AF$301,MATCH('배치점수 계산기'!W448,환산공식!$A$16:$A$301,0))</f>
        <v>1</v>
      </c>
      <c r="AF448" s="7">
        <f>INDEX(환산공식!$AP$16:$AP$301,MATCH('배치점수 계산기'!W448,환산공식!$A$16:$A$301,0))</f>
        <v>4</v>
      </c>
      <c r="AG448" s="7" t="str">
        <f t="shared" si="76"/>
        <v>표점</v>
      </c>
      <c r="AH448" s="7" t="str">
        <f t="shared" si="77"/>
        <v>변표</v>
      </c>
      <c r="BO448" s="210"/>
      <c r="BP448" s="210"/>
      <c r="BQ448" s="210"/>
      <c r="BR448" s="210"/>
      <c r="BS448" s="210"/>
      <c r="BT448" s="210"/>
      <c r="BU448" s="210"/>
      <c r="BV448" s="210"/>
      <c r="BW448" s="210"/>
      <c r="BX448" s="210"/>
      <c r="BY448" s="210"/>
      <c r="BZ448" s="210"/>
      <c r="CA448" s="210"/>
      <c r="CB448" s="210"/>
      <c r="CC448" s="210"/>
      <c r="EM448" s="120"/>
      <c r="ET448" s="210"/>
      <c r="EU448" s="210"/>
      <c r="EV448" s="210"/>
      <c r="EW448" s="210"/>
      <c r="EX448" s="210"/>
      <c r="EY448" s="210"/>
      <c r="EZ448" s="210"/>
      <c r="FA448" s="210"/>
      <c r="FB448" s="210"/>
      <c r="FC448" s="210"/>
      <c r="FD448" s="210"/>
      <c r="FE448" s="210"/>
      <c r="FF448" s="210"/>
      <c r="FG448" s="210"/>
      <c r="FH448" s="210"/>
      <c r="HR448" s="120"/>
      <c r="HY448" s="210"/>
      <c r="HZ448" s="210"/>
      <c r="IA448" s="210"/>
      <c r="IB448" s="210"/>
      <c r="IC448" s="210"/>
      <c r="ID448" s="210"/>
      <c r="IE448" s="210"/>
      <c r="IF448" s="210"/>
      <c r="IG448" s="210"/>
      <c r="IH448" s="210"/>
      <c r="II448" s="210"/>
      <c r="IJ448" s="210"/>
      <c r="IK448" s="210"/>
      <c r="IL448" s="210"/>
      <c r="IM448" s="210"/>
      <c r="KW448" s="120"/>
      <c r="LD448" s="210"/>
      <c r="LE448" s="210"/>
      <c r="LF448" s="210"/>
      <c r="LG448" s="210"/>
      <c r="LH448" s="210"/>
      <c r="LI448" s="210"/>
      <c r="LJ448" s="210"/>
      <c r="LK448" s="210"/>
      <c r="LL448" s="210"/>
      <c r="LM448" s="210"/>
      <c r="LN448" s="210"/>
      <c r="LO448" s="210"/>
      <c r="LP448" s="210"/>
      <c r="LQ448" s="210"/>
      <c r="LR448" s="210"/>
      <c r="OB448" s="120"/>
      <c r="OI448" s="210"/>
      <c r="OJ448" s="210"/>
      <c r="OK448" s="210"/>
      <c r="OL448" s="210"/>
      <c r="OM448" s="210"/>
      <c r="ON448" s="210"/>
      <c r="OO448" s="210"/>
      <c r="OP448" s="210"/>
      <c r="OQ448" s="210"/>
      <c r="OR448" s="210"/>
      <c r="OS448" s="210"/>
      <c r="OT448" s="210"/>
      <c r="OU448" s="210"/>
      <c r="OV448" s="210"/>
      <c r="OW448" s="210"/>
      <c r="RG448" s="120"/>
    </row>
    <row r="449" spans="1:475" x14ac:dyDescent="0.3">
      <c r="A449" s="7">
        <v>48</v>
      </c>
      <c r="B449" s="7">
        <v>439</v>
      </c>
      <c r="C449" s="7" t="s">
        <v>276</v>
      </c>
      <c r="D449" s="7" t="s">
        <v>801</v>
      </c>
      <c r="E449" s="7" t="s">
        <v>804</v>
      </c>
      <c r="F449" s="7" t="s">
        <v>274</v>
      </c>
      <c r="G449" s="41" t="str">
        <f t="shared" si="69"/>
        <v>X</v>
      </c>
      <c r="H449" s="41">
        <f>INDEX(환산공식!CI$16:CI$301,MATCH('배치점수 계산기'!$W449,환산공식!$A$16:$A$301,0))</f>
        <v>200</v>
      </c>
      <c r="I449" s="41" t="str">
        <f>CONCATENATE(ROUND(INDEX(환산공식!CJ$16:CJ$301,MATCH('배치점수 계산기'!$W449,환산공식!$A$16:$A$301,0)),1),"%")</f>
        <v>100%</v>
      </c>
      <c r="J449" s="41">
        <f>INDEX(환산공식!CK$16:CK$301,MATCH('배치점수 계산기'!$W449,환산공식!$A$16:$A$301,0))</f>
        <v>50</v>
      </c>
      <c r="K449" s="7">
        <f>INDEX(환산공식!$EF$16:$EF$301,MATCH('배치점수 계산기'!W449,환산공식!$A$16:$A$301,0))</f>
        <v>0</v>
      </c>
      <c r="L449" s="41" t="str">
        <f t="shared" si="67"/>
        <v>1% 이하</v>
      </c>
      <c r="M449" s="7">
        <v>712.98000000000013</v>
      </c>
      <c r="N449" s="7">
        <v>712.14060037981562</v>
      </c>
      <c r="O449" s="7">
        <v>710.83143132988857</v>
      </c>
      <c r="P449" s="7">
        <v>709.96799999999996</v>
      </c>
      <c r="Q449" s="7">
        <v>707.85900000000015</v>
      </c>
      <c r="R449" s="7">
        <f t="shared" si="68"/>
        <v>6</v>
      </c>
      <c r="T449" s="7">
        <f>COUNTIF($C$11:C449,C449)</f>
        <v>233</v>
      </c>
      <c r="U449" s="7" t="str">
        <f t="shared" si="70"/>
        <v>가233</v>
      </c>
      <c r="V449" s="7" t="str">
        <f>INDEX(환산공식!$C$16:$C$301,MATCH('배치점수 계산기'!W449,환산공식!$A$16:$A$301,0))</f>
        <v>동국 자연</v>
      </c>
      <c r="W449" s="7">
        <f t="shared" si="71"/>
        <v>48</v>
      </c>
      <c r="X449" s="7">
        <f t="shared" si="72"/>
        <v>1</v>
      </c>
      <c r="Y449" s="7">
        <f>IFERROR(INDEX(환산공식!Q$16:Q$200,MATCH($A449,환산공식!$A$16:$A$200,0)),"")</f>
        <v>1.25</v>
      </c>
      <c r="Z449" s="7">
        <f>IFERROR(INDEX(환산공식!R$16:R$200,MATCH($A449,환산공식!$A$16:$A$200,0)),"")</f>
        <v>1.5</v>
      </c>
      <c r="AA449" s="7">
        <f>IFERROR(INDEX(환산공식!U$16:U$200,MATCH($A449,환산공식!$A$16:$A$200,0)),"")</f>
        <v>1</v>
      </c>
      <c r="AB449" s="7">
        <f t="shared" si="73"/>
        <v>0.33333333333333331</v>
      </c>
      <c r="AC449" s="7">
        <f t="shared" si="74"/>
        <v>0.4</v>
      </c>
      <c r="AD449" s="7">
        <f t="shared" si="75"/>
        <v>0.26666666666666666</v>
      </c>
      <c r="AE449" s="7">
        <f>INDEX(환산공식!$AF$16:$AF$301,MATCH('배치점수 계산기'!W449,환산공식!$A$16:$A$301,0))</f>
        <v>1</v>
      </c>
      <c r="AF449" s="7">
        <f>INDEX(환산공식!$AP$16:$AP$301,MATCH('배치점수 계산기'!W449,환산공식!$A$16:$A$301,0))</f>
        <v>4</v>
      </c>
      <c r="AG449" s="7" t="str">
        <f t="shared" si="76"/>
        <v>표점</v>
      </c>
      <c r="AH449" s="7" t="str">
        <f t="shared" si="77"/>
        <v>변표</v>
      </c>
      <c r="BO449" s="210"/>
      <c r="BP449" s="210"/>
      <c r="BQ449" s="210"/>
      <c r="BR449" s="210"/>
      <c r="BS449" s="210"/>
      <c r="BT449" s="210"/>
      <c r="BU449" s="210"/>
      <c r="BV449" s="210"/>
      <c r="BW449" s="210"/>
      <c r="BX449" s="210"/>
      <c r="BY449" s="210"/>
      <c r="BZ449" s="210"/>
      <c r="CA449" s="210"/>
      <c r="CB449" s="210"/>
      <c r="CC449" s="210"/>
      <c r="EM449" s="120"/>
      <c r="ET449" s="210"/>
      <c r="EU449" s="210"/>
      <c r="EV449" s="210"/>
      <c r="EW449" s="210"/>
      <c r="EX449" s="210"/>
      <c r="EY449" s="210"/>
      <c r="EZ449" s="210"/>
      <c r="FA449" s="210"/>
      <c r="FB449" s="210"/>
      <c r="FC449" s="210"/>
      <c r="FD449" s="210"/>
      <c r="FE449" s="210"/>
      <c r="FF449" s="210"/>
      <c r="FG449" s="210"/>
      <c r="FH449" s="210"/>
      <c r="HR449" s="120"/>
      <c r="HY449" s="210"/>
      <c r="HZ449" s="210"/>
      <c r="IA449" s="210"/>
      <c r="IB449" s="210"/>
      <c r="IC449" s="210"/>
      <c r="ID449" s="210"/>
      <c r="IE449" s="210"/>
      <c r="IF449" s="210"/>
      <c r="IG449" s="210"/>
      <c r="IH449" s="210"/>
      <c r="II449" s="210"/>
      <c r="IJ449" s="210"/>
      <c r="IK449" s="210"/>
      <c r="IL449" s="210"/>
      <c r="IM449" s="210"/>
      <c r="KW449" s="120"/>
      <c r="LD449" s="210"/>
      <c r="LE449" s="210"/>
      <c r="LF449" s="210"/>
      <c r="LG449" s="210"/>
      <c r="LH449" s="210"/>
      <c r="LI449" s="210"/>
      <c r="LJ449" s="210"/>
      <c r="LK449" s="210"/>
      <c r="LL449" s="210"/>
      <c r="LM449" s="210"/>
      <c r="LN449" s="210"/>
      <c r="LO449" s="210"/>
      <c r="LP449" s="210"/>
      <c r="LQ449" s="210"/>
      <c r="LR449" s="210"/>
      <c r="OB449" s="120"/>
      <c r="OI449" s="210"/>
      <c r="OJ449" s="210"/>
      <c r="OK449" s="210"/>
      <c r="OL449" s="210"/>
      <c r="OM449" s="210"/>
      <c r="ON449" s="210"/>
      <c r="OO449" s="210"/>
      <c r="OP449" s="210"/>
      <c r="OQ449" s="210"/>
      <c r="OR449" s="210"/>
      <c r="OS449" s="210"/>
      <c r="OT449" s="210"/>
      <c r="OU449" s="210"/>
      <c r="OV449" s="210"/>
      <c r="OW449" s="210"/>
      <c r="RG449" s="120"/>
    </row>
    <row r="450" spans="1:475" x14ac:dyDescent="0.3">
      <c r="A450" s="7">
        <v>48</v>
      </c>
      <c r="B450" s="7">
        <v>440</v>
      </c>
      <c r="C450" s="7" t="s">
        <v>276</v>
      </c>
      <c r="D450" s="7" t="s">
        <v>801</v>
      </c>
      <c r="E450" s="7" t="s">
        <v>281</v>
      </c>
      <c r="F450" s="7" t="s">
        <v>274</v>
      </c>
      <c r="G450" s="41" t="str">
        <f t="shared" si="69"/>
        <v>X</v>
      </c>
      <c r="H450" s="41">
        <f>INDEX(환산공식!CI$16:CI$301,MATCH('배치점수 계산기'!$W450,환산공식!$A$16:$A$301,0))</f>
        <v>200</v>
      </c>
      <c r="I450" s="41" t="str">
        <f>CONCATENATE(ROUND(INDEX(환산공식!CJ$16:CJ$301,MATCH('배치점수 계산기'!$W450,환산공식!$A$16:$A$301,0)),1),"%")</f>
        <v>100%</v>
      </c>
      <c r="J450" s="41">
        <f>INDEX(환산공식!CK$16:CK$301,MATCH('배치점수 계산기'!$W450,환산공식!$A$16:$A$301,0))</f>
        <v>50</v>
      </c>
      <c r="K450" s="7">
        <f>INDEX(환산공식!$EF$16:$EF$301,MATCH('배치점수 계산기'!W450,환산공식!$A$16:$A$301,0))</f>
        <v>0</v>
      </c>
      <c r="L450" s="41" t="str">
        <f t="shared" si="67"/>
        <v>1% 이하</v>
      </c>
      <c r="M450" s="7">
        <v>712.98000000000013</v>
      </c>
      <c r="N450" s="7">
        <v>712.14060037981562</v>
      </c>
      <c r="O450" s="7">
        <v>710.83143132988857</v>
      </c>
      <c r="P450" s="7">
        <v>709.96799999999996</v>
      </c>
      <c r="Q450" s="7">
        <v>708.55462373530224</v>
      </c>
      <c r="R450" s="7">
        <f t="shared" si="68"/>
        <v>6</v>
      </c>
      <c r="T450" s="7">
        <f>COUNTIF($C$11:C450,C450)</f>
        <v>234</v>
      </c>
      <c r="U450" s="7" t="str">
        <f t="shared" si="70"/>
        <v>가234</v>
      </c>
      <c r="V450" s="7" t="str">
        <f>INDEX(환산공식!$C$16:$C$301,MATCH('배치점수 계산기'!W450,환산공식!$A$16:$A$301,0))</f>
        <v>동국 자연</v>
      </c>
      <c r="W450" s="7">
        <f t="shared" si="71"/>
        <v>48</v>
      </c>
      <c r="X450" s="7">
        <f t="shared" si="72"/>
        <v>1</v>
      </c>
      <c r="Y450" s="7">
        <f>IFERROR(INDEX(환산공식!Q$16:Q$200,MATCH($A450,환산공식!$A$16:$A$200,0)),"")</f>
        <v>1.25</v>
      </c>
      <c r="Z450" s="7">
        <f>IFERROR(INDEX(환산공식!R$16:R$200,MATCH($A450,환산공식!$A$16:$A$200,0)),"")</f>
        <v>1.5</v>
      </c>
      <c r="AA450" s="7">
        <f>IFERROR(INDEX(환산공식!U$16:U$200,MATCH($A450,환산공식!$A$16:$A$200,0)),"")</f>
        <v>1</v>
      </c>
      <c r="AB450" s="7">
        <f t="shared" si="73"/>
        <v>0.33333333333333331</v>
      </c>
      <c r="AC450" s="7">
        <f t="shared" si="74"/>
        <v>0.4</v>
      </c>
      <c r="AD450" s="7">
        <f t="shared" si="75"/>
        <v>0.26666666666666666</v>
      </c>
      <c r="AE450" s="7">
        <f>INDEX(환산공식!$AF$16:$AF$301,MATCH('배치점수 계산기'!W450,환산공식!$A$16:$A$301,0))</f>
        <v>1</v>
      </c>
      <c r="AF450" s="7">
        <f>INDEX(환산공식!$AP$16:$AP$301,MATCH('배치점수 계산기'!W450,환산공식!$A$16:$A$301,0))</f>
        <v>4</v>
      </c>
      <c r="AG450" s="7" t="str">
        <f t="shared" si="76"/>
        <v>표점</v>
      </c>
      <c r="AH450" s="7" t="str">
        <f t="shared" si="77"/>
        <v>변표</v>
      </c>
      <c r="BO450" s="210"/>
      <c r="BP450" s="210"/>
      <c r="BQ450" s="210"/>
      <c r="BR450" s="210"/>
      <c r="BS450" s="210"/>
      <c r="BT450" s="210"/>
      <c r="BU450" s="210"/>
      <c r="BV450" s="210"/>
      <c r="BW450" s="210"/>
      <c r="BX450" s="210"/>
      <c r="BY450" s="210"/>
      <c r="BZ450" s="210"/>
      <c r="CA450" s="210"/>
      <c r="CB450" s="210"/>
      <c r="CC450" s="210"/>
      <c r="EM450" s="120"/>
      <c r="ET450" s="210"/>
      <c r="EU450" s="210"/>
      <c r="EV450" s="210"/>
      <c r="EW450" s="210"/>
      <c r="EX450" s="210"/>
      <c r="EY450" s="210"/>
      <c r="EZ450" s="210"/>
      <c r="FA450" s="210"/>
      <c r="FB450" s="210"/>
      <c r="FC450" s="210"/>
      <c r="FD450" s="210"/>
      <c r="FE450" s="210"/>
      <c r="FF450" s="210"/>
      <c r="FG450" s="210"/>
      <c r="FH450" s="210"/>
      <c r="HR450" s="120"/>
      <c r="HY450" s="210"/>
      <c r="HZ450" s="210"/>
      <c r="IA450" s="210"/>
      <c r="IB450" s="210"/>
      <c r="IC450" s="210"/>
      <c r="ID450" s="210"/>
      <c r="IE450" s="210"/>
      <c r="IF450" s="210"/>
      <c r="IG450" s="210"/>
      <c r="IH450" s="210"/>
      <c r="II450" s="210"/>
      <c r="IJ450" s="210"/>
      <c r="IK450" s="210"/>
      <c r="IL450" s="210"/>
      <c r="IM450" s="210"/>
      <c r="KW450" s="120"/>
      <c r="LD450" s="210"/>
      <c r="LE450" s="210"/>
      <c r="LF450" s="210"/>
      <c r="LG450" s="210"/>
      <c r="LH450" s="210"/>
      <c r="LI450" s="210"/>
      <c r="LJ450" s="210"/>
      <c r="LK450" s="210"/>
      <c r="LL450" s="210"/>
      <c r="LM450" s="210"/>
      <c r="LN450" s="210"/>
      <c r="LO450" s="210"/>
      <c r="LP450" s="210"/>
      <c r="LQ450" s="210"/>
      <c r="LR450" s="210"/>
      <c r="OB450" s="120"/>
      <c r="OI450" s="210"/>
      <c r="OJ450" s="210"/>
      <c r="OK450" s="210"/>
      <c r="OL450" s="210"/>
      <c r="OM450" s="210"/>
      <c r="ON450" s="210"/>
      <c r="OO450" s="210"/>
      <c r="OP450" s="210"/>
      <c r="OQ450" s="210"/>
      <c r="OR450" s="210"/>
      <c r="OS450" s="210"/>
      <c r="OT450" s="210"/>
      <c r="OU450" s="210"/>
      <c r="OV450" s="210"/>
      <c r="OW450" s="210"/>
      <c r="RG450" s="120"/>
    </row>
    <row r="451" spans="1:475" x14ac:dyDescent="0.3">
      <c r="A451" s="7">
        <v>48</v>
      </c>
      <c r="B451" s="7">
        <v>441</v>
      </c>
      <c r="C451" s="7" t="s">
        <v>276</v>
      </c>
      <c r="D451" s="7" t="s">
        <v>801</v>
      </c>
      <c r="E451" s="7" t="s">
        <v>255</v>
      </c>
      <c r="F451" s="7" t="s">
        <v>274</v>
      </c>
      <c r="G451" s="41" t="str">
        <f t="shared" si="69"/>
        <v>X</v>
      </c>
      <c r="H451" s="41">
        <f>INDEX(환산공식!CI$16:CI$301,MATCH('배치점수 계산기'!$W451,환산공식!$A$16:$A$301,0))</f>
        <v>200</v>
      </c>
      <c r="I451" s="41" t="str">
        <f>CONCATENATE(ROUND(INDEX(환산공식!CJ$16:CJ$301,MATCH('배치점수 계산기'!$W451,환산공식!$A$16:$A$301,0)),1),"%")</f>
        <v>100%</v>
      </c>
      <c r="J451" s="41">
        <f>INDEX(환산공식!CK$16:CK$301,MATCH('배치점수 계산기'!$W451,환산공식!$A$16:$A$301,0))</f>
        <v>50</v>
      </c>
      <c r="K451" s="7">
        <f>INDEX(환산공식!$EF$16:$EF$301,MATCH('배치점수 계산기'!W451,환산공식!$A$16:$A$301,0))</f>
        <v>0</v>
      </c>
      <c r="L451" s="41" t="str">
        <f t="shared" si="67"/>
        <v>1% 이하</v>
      </c>
      <c r="M451" s="7">
        <v>712.14060037981562</v>
      </c>
      <c r="N451" s="7">
        <v>710.83143132988857</v>
      </c>
      <c r="O451" s="7">
        <v>709.75038822246461</v>
      </c>
      <c r="P451" s="7">
        <v>708.81500000000005</v>
      </c>
      <c r="Q451" s="7">
        <v>707.85900000000015</v>
      </c>
      <c r="R451" s="7">
        <f t="shared" si="68"/>
        <v>6</v>
      </c>
      <c r="T451" s="7">
        <f>COUNTIF($C$11:C451,C451)</f>
        <v>235</v>
      </c>
      <c r="U451" s="7" t="str">
        <f t="shared" si="70"/>
        <v>가235</v>
      </c>
      <c r="V451" s="7" t="str">
        <f>INDEX(환산공식!$C$16:$C$301,MATCH('배치점수 계산기'!W451,환산공식!$A$16:$A$301,0))</f>
        <v>동국 자연</v>
      </c>
      <c r="W451" s="7">
        <f t="shared" si="71"/>
        <v>48</v>
      </c>
      <c r="X451" s="7">
        <f t="shared" si="72"/>
        <v>1</v>
      </c>
      <c r="Y451" s="7">
        <f>IFERROR(INDEX(환산공식!Q$16:Q$200,MATCH($A451,환산공식!$A$16:$A$200,0)),"")</f>
        <v>1.25</v>
      </c>
      <c r="Z451" s="7">
        <f>IFERROR(INDEX(환산공식!R$16:R$200,MATCH($A451,환산공식!$A$16:$A$200,0)),"")</f>
        <v>1.5</v>
      </c>
      <c r="AA451" s="7">
        <f>IFERROR(INDEX(환산공식!U$16:U$200,MATCH($A451,환산공식!$A$16:$A$200,0)),"")</f>
        <v>1</v>
      </c>
      <c r="AB451" s="7">
        <f t="shared" si="73"/>
        <v>0.33333333333333331</v>
      </c>
      <c r="AC451" s="7">
        <f t="shared" si="74"/>
        <v>0.4</v>
      </c>
      <c r="AD451" s="7">
        <f t="shared" si="75"/>
        <v>0.26666666666666666</v>
      </c>
      <c r="AE451" s="7">
        <f>INDEX(환산공식!$AF$16:$AF$301,MATCH('배치점수 계산기'!W451,환산공식!$A$16:$A$301,0))</f>
        <v>1</v>
      </c>
      <c r="AF451" s="7">
        <f>INDEX(환산공식!$AP$16:$AP$301,MATCH('배치점수 계산기'!W451,환산공식!$A$16:$A$301,0))</f>
        <v>4</v>
      </c>
      <c r="AG451" s="7" t="str">
        <f t="shared" si="76"/>
        <v>표점</v>
      </c>
      <c r="AH451" s="7" t="str">
        <f t="shared" si="77"/>
        <v>변표</v>
      </c>
      <c r="BO451" s="210"/>
      <c r="BP451" s="210"/>
      <c r="BQ451" s="210"/>
      <c r="BR451" s="210"/>
      <c r="BS451" s="210"/>
      <c r="BT451" s="210"/>
      <c r="BU451" s="210"/>
      <c r="BV451" s="210"/>
      <c r="BW451" s="210"/>
      <c r="BX451" s="210"/>
      <c r="BY451" s="210"/>
      <c r="BZ451" s="210"/>
      <c r="CA451" s="210"/>
      <c r="CB451" s="210"/>
      <c r="CC451" s="210"/>
      <c r="EM451" s="120"/>
      <c r="ET451" s="210"/>
      <c r="EU451" s="210"/>
      <c r="EV451" s="210"/>
      <c r="EW451" s="210"/>
      <c r="EX451" s="210"/>
      <c r="EY451" s="210"/>
      <c r="EZ451" s="210"/>
      <c r="FA451" s="210"/>
      <c r="FB451" s="210"/>
      <c r="FC451" s="210"/>
      <c r="FD451" s="210"/>
      <c r="FE451" s="210"/>
      <c r="FF451" s="210"/>
      <c r="FG451" s="210"/>
      <c r="FH451" s="210"/>
      <c r="HR451" s="120"/>
      <c r="HY451" s="210"/>
      <c r="HZ451" s="210"/>
      <c r="IA451" s="210"/>
      <c r="IB451" s="210"/>
      <c r="IC451" s="210"/>
      <c r="ID451" s="210"/>
      <c r="IE451" s="210"/>
      <c r="IF451" s="210"/>
      <c r="IG451" s="210"/>
      <c r="IH451" s="210"/>
      <c r="II451" s="210"/>
      <c r="IJ451" s="210"/>
      <c r="IK451" s="210"/>
      <c r="IL451" s="210"/>
      <c r="IM451" s="210"/>
      <c r="KW451" s="120"/>
      <c r="LD451" s="210"/>
      <c r="LE451" s="210"/>
      <c r="LF451" s="210"/>
      <c r="LG451" s="210"/>
      <c r="LH451" s="210"/>
      <c r="LI451" s="210"/>
      <c r="LJ451" s="210"/>
      <c r="LK451" s="210"/>
      <c r="LL451" s="210"/>
      <c r="LM451" s="210"/>
      <c r="LN451" s="210"/>
      <c r="LO451" s="210"/>
      <c r="LP451" s="210"/>
      <c r="LQ451" s="210"/>
      <c r="LR451" s="210"/>
      <c r="OB451" s="120"/>
      <c r="OI451" s="210"/>
      <c r="OJ451" s="210"/>
      <c r="OK451" s="210"/>
      <c r="OL451" s="210"/>
      <c r="OM451" s="210"/>
      <c r="ON451" s="210"/>
      <c r="OO451" s="210"/>
      <c r="OP451" s="210"/>
      <c r="OQ451" s="210"/>
      <c r="OR451" s="210"/>
      <c r="OS451" s="210"/>
      <c r="OT451" s="210"/>
      <c r="OU451" s="210"/>
      <c r="OV451" s="210"/>
      <c r="OW451" s="210"/>
      <c r="RG451" s="120"/>
    </row>
    <row r="452" spans="1:475" x14ac:dyDescent="0.3">
      <c r="A452" s="7">
        <v>48</v>
      </c>
      <c r="B452" s="7">
        <v>442</v>
      </c>
      <c r="C452" s="7" t="s">
        <v>276</v>
      </c>
      <c r="D452" s="7" t="s">
        <v>801</v>
      </c>
      <c r="E452" s="7" t="s">
        <v>805</v>
      </c>
      <c r="F452" s="7" t="s">
        <v>274</v>
      </c>
      <c r="G452" s="41" t="str">
        <f t="shared" si="69"/>
        <v>X</v>
      </c>
      <c r="H452" s="41">
        <f>INDEX(환산공식!CI$16:CI$301,MATCH('배치점수 계산기'!$W452,환산공식!$A$16:$A$301,0))</f>
        <v>200</v>
      </c>
      <c r="I452" s="41" t="str">
        <f>CONCATENATE(ROUND(INDEX(환산공식!CJ$16:CJ$301,MATCH('배치점수 계산기'!$W452,환산공식!$A$16:$A$301,0)),1),"%")</f>
        <v>100%</v>
      </c>
      <c r="J452" s="41">
        <f>INDEX(환산공식!CK$16:CK$301,MATCH('배치점수 계산기'!$W452,환산공식!$A$16:$A$301,0))</f>
        <v>50</v>
      </c>
      <c r="K452" s="7">
        <f>INDEX(환산공식!$EF$16:$EF$301,MATCH('배치점수 계산기'!W452,환산공식!$A$16:$A$301,0))</f>
        <v>0</v>
      </c>
      <c r="L452" s="41" t="str">
        <f t="shared" si="67"/>
        <v>1% 이하</v>
      </c>
      <c r="M452" s="7">
        <v>711.32400000000007</v>
      </c>
      <c r="N452" s="7">
        <v>710.20342102396523</v>
      </c>
      <c r="O452" s="7">
        <v>709.09</v>
      </c>
      <c r="P452" s="7">
        <v>707.85900000000015</v>
      </c>
      <c r="Q452" s="7">
        <v>706.7673819978047</v>
      </c>
      <c r="R452" s="7">
        <f t="shared" si="68"/>
        <v>6</v>
      </c>
      <c r="T452" s="7">
        <f>COUNTIF($C$11:C452,C452)</f>
        <v>236</v>
      </c>
      <c r="U452" s="7" t="str">
        <f t="shared" si="70"/>
        <v>가236</v>
      </c>
      <c r="V452" s="7" t="str">
        <f>INDEX(환산공식!$C$16:$C$301,MATCH('배치점수 계산기'!W452,환산공식!$A$16:$A$301,0))</f>
        <v>동국 자연</v>
      </c>
      <c r="W452" s="7">
        <f t="shared" si="71"/>
        <v>48</v>
      </c>
      <c r="X452" s="7">
        <f t="shared" si="72"/>
        <v>1</v>
      </c>
      <c r="Y452" s="7">
        <f>IFERROR(INDEX(환산공식!Q$16:Q$200,MATCH($A452,환산공식!$A$16:$A$200,0)),"")</f>
        <v>1.25</v>
      </c>
      <c r="Z452" s="7">
        <f>IFERROR(INDEX(환산공식!R$16:R$200,MATCH($A452,환산공식!$A$16:$A$200,0)),"")</f>
        <v>1.5</v>
      </c>
      <c r="AA452" s="7">
        <f>IFERROR(INDEX(환산공식!U$16:U$200,MATCH($A452,환산공식!$A$16:$A$200,0)),"")</f>
        <v>1</v>
      </c>
      <c r="AB452" s="7">
        <f t="shared" si="73"/>
        <v>0.33333333333333331</v>
      </c>
      <c r="AC452" s="7">
        <f t="shared" si="74"/>
        <v>0.4</v>
      </c>
      <c r="AD452" s="7">
        <f t="shared" si="75"/>
        <v>0.26666666666666666</v>
      </c>
      <c r="AE452" s="7">
        <f>INDEX(환산공식!$AF$16:$AF$301,MATCH('배치점수 계산기'!W452,환산공식!$A$16:$A$301,0))</f>
        <v>1</v>
      </c>
      <c r="AF452" s="7">
        <f>INDEX(환산공식!$AP$16:$AP$301,MATCH('배치점수 계산기'!W452,환산공식!$A$16:$A$301,0))</f>
        <v>4</v>
      </c>
      <c r="AG452" s="7" t="str">
        <f t="shared" si="76"/>
        <v>표점</v>
      </c>
      <c r="AH452" s="7" t="str">
        <f t="shared" si="77"/>
        <v>변표</v>
      </c>
      <c r="BO452" s="210"/>
      <c r="BP452" s="210"/>
      <c r="BQ452" s="210"/>
      <c r="BR452" s="210"/>
      <c r="BS452" s="210"/>
      <c r="BT452" s="210"/>
      <c r="BU452" s="210"/>
      <c r="BV452" s="210"/>
      <c r="BW452" s="210"/>
      <c r="BX452" s="210"/>
      <c r="BY452" s="210"/>
      <c r="BZ452" s="210"/>
      <c r="CA452" s="210"/>
      <c r="CB452" s="210"/>
      <c r="CC452" s="210"/>
      <c r="EM452" s="120"/>
      <c r="ET452" s="210"/>
      <c r="EU452" s="210"/>
      <c r="EV452" s="210"/>
      <c r="EW452" s="210"/>
      <c r="EX452" s="210"/>
      <c r="EY452" s="210"/>
      <c r="EZ452" s="210"/>
      <c r="FA452" s="210"/>
      <c r="FB452" s="210"/>
      <c r="FC452" s="210"/>
      <c r="FD452" s="210"/>
      <c r="FE452" s="210"/>
      <c r="FF452" s="210"/>
      <c r="FG452" s="210"/>
      <c r="FH452" s="210"/>
      <c r="HR452" s="120"/>
      <c r="HY452" s="210"/>
      <c r="HZ452" s="210"/>
      <c r="IA452" s="210"/>
      <c r="IB452" s="210"/>
      <c r="IC452" s="210"/>
      <c r="ID452" s="210"/>
      <c r="IE452" s="210"/>
      <c r="IF452" s="210"/>
      <c r="IG452" s="210"/>
      <c r="IH452" s="210"/>
      <c r="II452" s="210"/>
      <c r="IJ452" s="210"/>
      <c r="IK452" s="210"/>
      <c r="IL452" s="210"/>
      <c r="IM452" s="210"/>
      <c r="KW452" s="120"/>
      <c r="LD452" s="210"/>
      <c r="LE452" s="210"/>
      <c r="LF452" s="210"/>
      <c r="LG452" s="210"/>
      <c r="LH452" s="210"/>
      <c r="LI452" s="210"/>
      <c r="LJ452" s="210"/>
      <c r="LK452" s="210"/>
      <c r="LL452" s="210"/>
      <c r="LM452" s="210"/>
      <c r="LN452" s="210"/>
      <c r="LO452" s="210"/>
      <c r="LP452" s="210"/>
      <c r="LQ452" s="210"/>
      <c r="LR452" s="210"/>
      <c r="OB452" s="120"/>
      <c r="OI452" s="210"/>
      <c r="OJ452" s="210"/>
      <c r="OK452" s="210"/>
      <c r="OL452" s="210"/>
      <c r="OM452" s="210"/>
      <c r="ON452" s="210"/>
      <c r="OO452" s="210"/>
      <c r="OP452" s="210"/>
      <c r="OQ452" s="210"/>
      <c r="OR452" s="210"/>
      <c r="OS452" s="210"/>
      <c r="OT452" s="210"/>
      <c r="OU452" s="210"/>
      <c r="OV452" s="210"/>
      <c r="OW452" s="210"/>
      <c r="RG452" s="120"/>
    </row>
    <row r="453" spans="1:475" x14ac:dyDescent="0.3">
      <c r="A453" s="7">
        <v>48</v>
      </c>
      <c r="B453" s="7">
        <v>443</v>
      </c>
      <c r="C453" s="7" t="s">
        <v>346</v>
      </c>
      <c r="D453" s="7" t="s">
        <v>801</v>
      </c>
      <c r="E453" s="7" t="s">
        <v>806</v>
      </c>
      <c r="F453" s="7" t="s">
        <v>274</v>
      </c>
      <c r="G453" s="41" t="str">
        <f t="shared" si="69"/>
        <v>X</v>
      </c>
      <c r="H453" s="41">
        <f>INDEX(환산공식!CI$16:CI$301,MATCH('배치점수 계산기'!$W453,환산공식!$A$16:$A$301,0))</f>
        <v>200</v>
      </c>
      <c r="I453" s="41" t="str">
        <f>CONCATENATE(ROUND(INDEX(환산공식!CJ$16:CJ$301,MATCH('배치점수 계산기'!$W453,환산공식!$A$16:$A$301,0)),1),"%")</f>
        <v>100%</v>
      </c>
      <c r="J453" s="41">
        <f>INDEX(환산공식!CK$16:CK$301,MATCH('배치점수 계산기'!$W453,환산공식!$A$16:$A$301,0))</f>
        <v>50</v>
      </c>
      <c r="K453" s="7">
        <f>INDEX(환산공식!$EF$16:$EF$301,MATCH('배치점수 계산기'!W453,환산공식!$A$16:$A$301,0))</f>
        <v>0</v>
      </c>
      <c r="L453" s="41" t="str">
        <f t="shared" si="67"/>
        <v>1% 이하</v>
      </c>
      <c r="M453" s="7">
        <v>711.32400000000007</v>
      </c>
      <c r="N453" s="7">
        <v>710.20342102396523</v>
      </c>
      <c r="O453" s="7">
        <v>709.09</v>
      </c>
      <c r="P453" s="7">
        <v>707.85900000000015</v>
      </c>
      <c r="Q453" s="7">
        <v>706.7673819978047</v>
      </c>
      <c r="R453" s="7">
        <f t="shared" si="68"/>
        <v>6</v>
      </c>
      <c r="T453" s="7">
        <f>COUNTIF($C$11:C453,C453)</f>
        <v>193</v>
      </c>
      <c r="U453" s="7" t="str">
        <f t="shared" si="70"/>
        <v>나193</v>
      </c>
      <c r="V453" s="7" t="str">
        <f>INDEX(환산공식!$C$16:$C$301,MATCH('배치점수 계산기'!W453,환산공식!$A$16:$A$301,0))</f>
        <v>동국 자연</v>
      </c>
      <c r="W453" s="7">
        <f t="shared" si="71"/>
        <v>48</v>
      </c>
      <c r="X453" s="7">
        <f t="shared" si="72"/>
        <v>1</v>
      </c>
      <c r="Y453" s="7">
        <f>IFERROR(INDEX(환산공식!Q$16:Q$200,MATCH($A453,환산공식!$A$16:$A$200,0)),"")</f>
        <v>1.25</v>
      </c>
      <c r="Z453" s="7">
        <f>IFERROR(INDEX(환산공식!R$16:R$200,MATCH($A453,환산공식!$A$16:$A$200,0)),"")</f>
        <v>1.5</v>
      </c>
      <c r="AA453" s="7">
        <f>IFERROR(INDEX(환산공식!U$16:U$200,MATCH($A453,환산공식!$A$16:$A$200,0)),"")</f>
        <v>1</v>
      </c>
      <c r="AB453" s="7">
        <f t="shared" si="73"/>
        <v>0.33333333333333331</v>
      </c>
      <c r="AC453" s="7">
        <f t="shared" si="74"/>
        <v>0.4</v>
      </c>
      <c r="AD453" s="7">
        <f t="shared" si="75"/>
        <v>0.26666666666666666</v>
      </c>
      <c r="AE453" s="7">
        <f>INDEX(환산공식!$AF$16:$AF$301,MATCH('배치점수 계산기'!W453,환산공식!$A$16:$A$301,0))</f>
        <v>1</v>
      </c>
      <c r="AF453" s="7">
        <f>INDEX(환산공식!$AP$16:$AP$301,MATCH('배치점수 계산기'!W453,환산공식!$A$16:$A$301,0))</f>
        <v>4</v>
      </c>
      <c r="AG453" s="7" t="str">
        <f t="shared" si="76"/>
        <v>표점</v>
      </c>
      <c r="AH453" s="7" t="str">
        <f t="shared" si="77"/>
        <v>변표</v>
      </c>
      <c r="BO453" s="210"/>
      <c r="BP453" s="210"/>
      <c r="BQ453" s="210"/>
      <c r="BR453" s="210"/>
      <c r="BS453" s="210"/>
      <c r="BT453" s="210"/>
      <c r="BU453" s="210"/>
      <c r="BV453" s="210"/>
      <c r="BW453" s="210"/>
      <c r="BX453" s="210"/>
      <c r="BY453" s="210"/>
      <c r="BZ453" s="210"/>
      <c r="CA453" s="210"/>
      <c r="CB453" s="210"/>
      <c r="CC453" s="210"/>
      <c r="EM453" s="120"/>
      <c r="ET453" s="210"/>
      <c r="EU453" s="210"/>
      <c r="EV453" s="210"/>
      <c r="EW453" s="210"/>
      <c r="EX453" s="210"/>
      <c r="EY453" s="210"/>
      <c r="EZ453" s="210"/>
      <c r="FA453" s="210"/>
      <c r="FB453" s="210"/>
      <c r="FC453" s="210"/>
      <c r="FD453" s="210"/>
      <c r="FE453" s="210"/>
      <c r="FF453" s="210"/>
      <c r="FG453" s="210"/>
      <c r="FH453" s="210"/>
      <c r="HR453" s="120"/>
      <c r="HY453" s="210"/>
      <c r="HZ453" s="210"/>
      <c r="IA453" s="210"/>
      <c r="IB453" s="210"/>
      <c r="IC453" s="210"/>
      <c r="ID453" s="210"/>
      <c r="IE453" s="210"/>
      <c r="IF453" s="210"/>
      <c r="IG453" s="210"/>
      <c r="IH453" s="210"/>
      <c r="II453" s="210"/>
      <c r="IJ453" s="210"/>
      <c r="IK453" s="210"/>
      <c r="IL453" s="210"/>
      <c r="IM453" s="210"/>
      <c r="KW453" s="120"/>
      <c r="LD453" s="210"/>
      <c r="LE453" s="210"/>
      <c r="LF453" s="210"/>
      <c r="LG453" s="210"/>
      <c r="LH453" s="210"/>
      <c r="LI453" s="210"/>
      <c r="LJ453" s="210"/>
      <c r="LK453" s="210"/>
      <c r="LL453" s="210"/>
      <c r="LM453" s="210"/>
      <c r="LN453" s="210"/>
      <c r="LO453" s="210"/>
      <c r="LP453" s="210"/>
      <c r="LQ453" s="210"/>
      <c r="LR453" s="210"/>
      <c r="OB453" s="120"/>
      <c r="OI453" s="210"/>
      <c r="OJ453" s="210"/>
      <c r="OK453" s="210"/>
      <c r="OL453" s="210"/>
      <c r="OM453" s="210"/>
      <c r="ON453" s="210"/>
      <c r="OO453" s="210"/>
      <c r="OP453" s="210"/>
      <c r="OQ453" s="210"/>
      <c r="OR453" s="210"/>
      <c r="OS453" s="210"/>
      <c r="OT453" s="210"/>
      <c r="OU453" s="210"/>
      <c r="OV453" s="210"/>
      <c r="OW453" s="210"/>
      <c r="RG453" s="120"/>
    </row>
    <row r="454" spans="1:475" x14ac:dyDescent="0.3">
      <c r="A454" s="7">
        <v>48</v>
      </c>
      <c r="B454" s="7">
        <v>444</v>
      </c>
      <c r="C454" s="7" t="s">
        <v>346</v>
      </c>
      <c r="D454" s="7" t="s">
        <v>801</v>
      </c>
      <c r="E454" s="7" t="s">
        <v>292</v>
      </c>
      <c r="F454" s="7" t="s">
        <v>274</v>
      </c>
      <c r="G454" s="41" t="str">
        <f t="shared" si="69"/>
        <v>X</v>
      </c>
      <c r="H454" s="41">
        <f>INDEX(환산공식!CI$16:CI$301,MATCH('배치점수 계산기'!$W454,환산공식!$A$16:$A$301,0))</f>
        <v>200</v>
      </c>
      <c r="I454" s="41" t="str">
        <f>CONCATENATE(ROUND(INDEX(환산공식!CJ$16:CJ$301,MATCH('배치점수 계산기'!$W454,환산공식!$A$16:$A$301,0)),1),"%")</f>
        <v>100%</v>
      </c>
      <c r="J454" s="41">
        <f>INDEX(환산공식!CK$16:CK$301,MATCH('배치점수 계산기'!$W454,환산공식!$A$16:$A$301,0))</f>
        <v>50</v>
      </c>
      <c r="K454" s="7">
        <f>INDEX(환산공식!$EF$16:$EF$301,MATCH('배치점수 계산기'!W454,환산공식!$A$16:$A$301,0))</f>
        <v>0</v>
      </c>
      <c r="L454" s="41" t="str">
        <f t="shared" si="67"/>
        <v>1% 이하</v>
      </c>
      <c r="M454" s="7">
        <v>712.98000000000013</v>
      </c>
      <c r="N454" s="7">
        <v>711.32400000000007</v>
      </c>
      <c r="O454" s="7">
        <v>709.09</v>
      </c>
      <c r="P454" s="7">
        <v>708.3370000000001</v>
      </c>
      <c r="Q454" s="7">
        <v>707.37765834932827</v>
      </c>
      <c r="R454" s="7">
        <f t="shared" si="68"/>
        <v>6</v>
      </c>
      <c r="T454" s="7">
        <f>COUNTIF($C$11:C454,C454)</f>
        <v>194</v>
      </c>
      <c r="U454" s="7" t="str">
        <f t="shared" si="70"/>
        <v>나194</v>
      </c>
      <c r="V454" s="7" t="str">
        <f>INDEX(환산공식!$C$16:$C$301,MATCH('배치점수 계산기'!W454,환산공식!$A$16:$A$301,0))</f>
        <v>동국 자연</v>
      </c>
      <c r="W454" s="7">
        <f t="shared" si="71"/>
        <v>48</v>
      </c>
      <c r="X454" s="7">
        <f t="shared" si="72"/>
        <v>1</v>
      </c>
      <c r="Y454" s="7">
        <f>IFERROR(INDEX(환산공식!Q$16:Q$200,MATCH($A454,환산공식!$A$16:$A$200,0)),"")</f>
        <v>1.25</v>
      </c>
      <c r="Z454" s="7">
        <f>IFERROR(INDEX(환산공식!R$16:R$200,MATCH($A454,환산공식!$A$16:$A$200,0)),"")</f>
        <v>1.5</v>
      </c>
      <c r="AA454" s="7">
        <f>IFERROR(INDEX(환산공식!U$16:U$200,MATCH($A454,환산공식!$A$16:$A$200,0)),"")</f>
        <v>1</v>
      </c>
      <c r="AB454" s="7">
        <f t="shared" si="73"/>
        <v>0.33333333333333331</v>
      </c>
      <c r="AC454" s="7">
        <f t="shared" si="74"/>
        <v>0.4</v>
      </c>
      <c r="AD454" s="7">
        <f t="shared" si="75"/>
        <v>0.26666666666666666</v>
      </c>
      <c r="AE454" s="7">
        <f>INDEX(환산공식!$AF$16:$AF$301,MATCH('배치점수 계산기'!W454,환산공식!$A$16:$A$301,0))</f>
        <v>1</v>
      </c>
      <c r="AF454" s="7">
        <f>INDEX(환산공식!$AP$16:$AP$301,MATCH('배치점수 계산기'!W454,환산공식!$A$16:$A$301,0))</f>
        <v>4</v>
      </c>
      <c r="AG454" s="7" t="str">
        <f t="shared" si="76"/>
        <v>표점</v>
      </c>
      <c r="AH454" s="7" t="str">
        <f t="shared" si="77"/>
        <v>변표</v>
      </c>
      <c r="BO454" s="210"/>
      <c r="BP454" s="210"/>
      <c r="BQ454" s="210"/>
      <c r="BR454" s="210"/>
      <c r="BS454" s="210"/>
      <c r="BT454" s="210"/>
      <c r="BU454" s="210"/>
      <c r="BV454" s="210"/>
      <c r="BW454" s="210"/>
      <c r="BX454" s="210"/>
      <c r="BY454" s="210"/>
      <c r="BZ454" s="210"/>
      <c r="CA454" s="210"/>
      <c r="CB454" s="210"/>
      <c r="CC454" s="210"/>
      <c r="EM454" s="120"/>
      <c r="ET454" s="210"/>
      <c r="EU454" s="210"/>
      <c r="EV454" s="210"/>
      <c r="EW454" s="210"/>
      <c r="EX454" s="210"/>
      <c r="EY454" s="210"/>
      <c r="EZ454" s="210"/>
      <c r="FA454" s="210"/>
      <c r="FB454" s="210"/>
      <c r="FC454" s="210"/>
      <c r="FD454" s="210"/>
      <c r="FE454" s="210"/>
      <c r="FF454" s="210"/>
      <c r="FG454" s="210"/>
      <c r="FH454" s="210"/>
      <c r="HR454" s="120"/>
      <c r="HY454" s="210"/>
      <c r="HZ454" s="210"/>
      <c r="IA454" s="210"/>
      <c r="IB454" s="210"/>
      <c r="IC454" s="210"/>
      <c r="ID454" s="210"/>
      <c r="IE454" s="210"/>
      <c r="IF454" s="210"/>
      <c r="IG454" s="210"/>
      <c r="IH454" s="210"/>
      <c r="II454" s="210"/>
      <c r="IJ454" s="210"/>
      <c r="IK454" s="210"/>
      <c r="IL454" s="210"/>
      <c r="IM454" s="210"/>
      <c r="KW454" s="120"/>
      <c r="LD454" s="210"/>
      <c r="LE454" s="210"/>
      <c r="LF454" s="210"/>
      <c r="LG454" s="210"/>
      <c r="LH454" s="210"/>
      <c r="LI454" s="210"/>
      <c r="LJ454" s="210"/>
      <c r="LK454" s="210"/>
      <c r="LL454" s="210"/>
      <c r="LM454" s="210"/>
      <c r="LN454" s="210"/>
      <c r="LO454" s="210"/>
      <c r="LP454" s="210"/>
      <c r="LQ454" s="210"/>
      <c r="LR454" s="210"/>
      <c r="OB454" s="120"/>
      <c r="OI454" s="210"/>
      <c r="OJ454" s="210"/>
      <c r="OK454" s="210"/>
      <c r="OL454" s="210"/>
      <c r="OM454" s="210"/>
      <c r="ON454" s="210"/>
      <c r="OO454" s="210"/>
      <c r="OP454" s="210"/>
      <c r="OQ454" s="210"/>
      <c r="OR454" s="210"/>
      <c r="OS454" s="210"/>
      <c r="OT454" s="210"/>
      <c r="OU454" s="210"/>
      <c r="OV454" s="210"/>
      <c r="OW454" s="210"/>
      <c r="RG454" s="120"/>
    </row>
    <row r="455" spans="1:475" x14ac:dyDescent="0.3">
      <c r="A455" s="7">
        <v>48</v>
      </c>
      <c r="B455" s="7">
        <v>445</v>
      </c>
      <c r="C455" s="7" t="s">
        <v>276</v>
      </c>
      <c r="D455" s="7" t="s">
        <v>801</v>
      </c>
      <c r="E455" s="7" t="s">
        <v>807</v>
      </c>
      <c r="F455" s="7" t="s">
        <v>274</v>
      </c>
      <c r="G455" s="41" t="str">
        <f t="shared" si="69"/>
        <v>X</v>
      </c>
      <c r="H455" s="41">
        <f>INDEX(환산공식!CI$16:CI$301,MATCH('배치점수 계산기'!$W455,환산공식!$A$16:$A$301,0))</f>
        <v>200</v>
      </c>
      <c r="I455" s="41" t="str">
        <f>CONCATENATE(ROUND(INDEX(환산공식!CJ$16:CJ$301,MATCH('배치점수 계산기'!$W455,환산공식!$A$16:$A$301,0)),1),"%")</f>
        <v>100%</v>
      </c>
      <c r="J455" s="41">
        <f>INDEX(환산공식!CK$16:CK$301,MATCH('배치점수 계산기'!$W455,환산공식!$A$16:$A$301,0))</f>
        <v>50</v>
      </c>
      <c r="K455" s="7">
        <f>INDEX(환산공식!$EF$16:$EF$301,MATCH('배치점수 계산기'!W455,환산공식!$A$16:$A$301,0))</f>
        <v>0</v>
      </c>
      <c r="L455" s="41" t="str">
        <f t="shared" si="67"/>
        <v>1% 이하</v>
      </c>
      <c r="M455" s="7">
        <v>712.14060037981562</v>
      </c>
      <c r="N455" s="7">
        <v>710.83143132988857</v>
      </c>
      <c r="O455" s="7">
        <v>709.09</v>
      </c>
      <c r="P455" s="7">
        <v>707.85900000000015</v>
      </c>
      <c r="Q455" s="7">
        <v>706.7673819978047</v>
      </c>
      <c r="R455" s="7">
        <f t="shared" si="68"/>
        <v>6</v>
      </c>
      <c r="T455" s="7">
        <f>COUNTIF($C$11:C455,C455)</f>
        <v>237</v>
      </c>
      <c r="U455" s="7" t="str">
        <f t="shared" si="70"/>
        <v>가237</v>
      </c>
      <c r="V455" s="7" t="str">
        <f>INDEX(환산공식!$C$16:$C$301,MATCH('배치점수 계산기'!W455,환산공식!$A$16:$A$301,0))</f>
        <v>동국 자연</v>
      </c>
      <c r="W455" s="7">
        <f t="shared" si="71"/>
        <v>48</v>
      </c>
      <c r="X455" s="7">
        <f t="shared" si="72"/>
        <v>1</v>
      </c>
      <c r="Y455" s="7">
        <f>IFERROR(INDEX(환산공식!Q$16:Q$200,MATCH($A455,환산공식!$A$16:$A$200,0)),"")</f>
        <v>1.25</v>
      </c>
      <c r="Z455" s="7">
        <f>IFERROR(INDEX(환산공식!R$16:R$200,MATCH($A455,환산공식!$A$16:$A$200,0)),"")</f>
        <v>1.5</v>
      </c>
      <c r="AA455" s="7">
        <f>IFERROR(INDEX(환산공식!U$16:U$200,MATCH($A455,환산공식!$A$16:$A$200,0)),"")</f>
        <v>1</v>
      </c>
      <c r="AB455" s="7">
        <f t="shared" si="73"/>
        <v>0.33333333333333331</v>
      </c>
      <c r="AC455" s="7">
        <f t="shared" si="74"/>
        <v>0.4</v>
      </c>
      <c r="AD455" s="7">
        <f t="shared" si="75"/>
        <v>0.26666666666666666</v>
      </c>
      <c r="AE455" s="7">
        <f>INDEX(환산공식!$AF$16:$AF$301,MATCH('배치점수 계산기'!W455,환산공식!$A$16:$A$301,0))</f>
        <v>1</v>
      </c>
      <c r="AF455" s="7">
        <f>INDEX(환산공식!$AP$16:$AP$301,MATCH('배치점수 계산기'!W455,환산공식!$A$16:$A$301,0))</f>
        <v>4</v>
      </c>
      <c r="AG455" s="7" t="str">
        <f t="shared" si="76"/>
        <v>표점</v>
      </c>
      <c r="AH455" s="7" t="str">
        <f t="shared" si="77"/>
        <v>변표</v>
      </c>
      <c r="BO455" s="210"/>
      <c r="BP455" s="210"/>
      <c r="BQ455" s="210"/>
      <c r="BR455" s="210"/>
      <c r="BS455" s="210"/>
      <c r="BT455" s="210"/>
      <c r="BU455" s="210"/>
      <c r="BV455" s="210"/>
      <c r="BW455" s="210"/>
      <c r="BX455" s="210"/>
      <c r="BY455" s="210"/>
      <c r="BZ455" s="210"/>
      <c r="CA455" s="210"/>
      <c r="CB455" s="210"/>
      <c r="CC455" s="210"/>
      <c r="EM455" s="120"/>
      <c r="ET455" s="210"/>
      <c r="EU455" s="210"/>
      <c r="EV455" s="210"/>
      <c r="EW455" s="210"/>
      <c r="EX455" s="210"/>
      <c r="EY455" s="210"/>
      <c r="EZ455" s="210"/>
      <c r="FA455" s="210"/>
      <c r="FB455" s="210"/>
      <c r="FC455" s="210"/>
      <c r="FD455" s="210"/>
      <c r="FE455" s="210"/>
      <c r="FF455" s="210"/>
      <c r="FG455" s="210"/>
      <c r="FH455" s="210"/>
      <c r="HR455" s="120"/>
      <c r="HY455" s="210"/>
      <c r="HZ455" s="210"/>
      <c r="IA455" s="210"/>
      <c r="IB455" s="210"/>
      <c r="IC455" s="210"/>
      <c r="ID455" s="210"/>
      <c r="IE455" s="210"/>
      <c r="IF455" s="210"/>
      <c r="IG455" s="210"/>
      <c r="IH455" s="210"/>
      <c r="II455" s="210"/>
      <c r="IJ455" s="210"/>
      <c r="IK455" s="210"/>
      <c r="IL455" s="210"/>
      <c r="IM455" s="210"/>
      <c r="KW455" s="120"/>
      <c r="LD455" s="210"/>
      <c r="LE455" s="210"/>
      <c r="LF455" s="210"/>
      <c r="LG455" s="210"/>
      <c r="LH455" s="210"/>
      <c r="LI455" s="210"/>
      <c r="LJ455" s="210"/>
      <c r="LK455" s="210"/>
      <c r="LL455" s="210"/>
      <c r="LM455" s="210"/>
      <c r="LN455" s="210"/>
      <c r="LO455" s="210"/>
      <c r="LP455" s="210"/>
      <c r="LQ455" s="210"/>
      <c r="LR455" s="210"/>
      <c r="OB455" s="120"/>
      <c r="OI455" s="210"/>
      <c r="OJ455" s="210"/>
      <c r="OK455" s="210"/>
      <c r="OL455" s="210"/>
      <c r="OM455" s="210"/>
      <c r="ON455" s="210"/>
      <c r="OO455" s="210"/>
      <c r="OP455" s="210"/>
      <c r="OQ455" s="210"/>
      <c r="OR455" s="210"/>
      <c r="OS455" s="210"/>
      <c r="OT455" s="210"/>
      <c r="OU455" s="210"/>
      <c r="OV455" s="210"/>
      <c r="OW455" s="210"/>
      <c r="RG455" s="120"/>
    </row>
    <row r="456" spans="1:475" x14ac:dyDescent="0.3">
      <c r="A456" s="7">
        <v>48</v>
      </c>
      <c r="B456" s="7">
        <v>446</v>
      </c>
      <c r="C456" s="7" t="s">
        <v>346</v>
      </c>
      <c r="D456" s="7" t="s">
        <v>801</v>
      </c>
      <c r="E456" s="7" t="s">
        <v>808</v>
      </c>
      <c r="F456" s="7" t="s">
        <v>274</v>
      </c>
      <c r="G456" s="41" t="str">
        <f t="shared" si="69"/>
        <v>X</v>
      </c>
      <c r="H456" s="41">
        <f>INDEX(환산공식!CI$16:CI$301,MATCH('배치점수 계산기'!$W456,환산공식!$A$16:$A$301,0))</f>
        <v>200</v>
      </c>
      <c r="I456" s="41" t="str">
        <f>CONCATENATE(ROUND(INDEX(환산공식!CJ$16:CJ$301,MATCH('배치점수 계산기'!$W456,환산공식!$A$16:$A$301,0)),1),"%")</f>
        <v>100%</v>
      </c>
      <c r="J456" s="41">
        <f>INDEX(환산공식!CK$16:CK$301,MATCH('배치점수 계산기'!$W456,환산공식!$A$16:$A$301,0))</f>
        <v>50</v>
      </c>
      <c r="K456" s="7">
        <f>INDEX(환산공식!$EF$16:$EF$301,MATCH('배치점수 계산기'!W456,환산공식!$A$16:$A$301,0))</f>
        <v>0</v>
      </c>
      <c r="L456" s="41" t="str">
        <f t="shared" si="67"/>
        <v>1% 이하</v>
      </c>
      <c r="M456" s="7">
        <v>711.32400000000007</v>
      </c>
      <c r="N456" s="7">
        <v>710.20342102396523</v>
      </c>
      <c r="O456" s="7">
        <v>709.09</v>
      </c>
      <c r="P456" s="7">
        <v>707.85900000000015</v>
      </c>
      <c r="Q456" s="7">
        <v>706.7673819978047</v>
      </c>
      <c r="R456" s="7">
        <f t="shared" si="68"/>
        <v>6</v>
      </c>
      <c r="T456" s="7">
        <f>COUNTIF($C$11:C456,C456)</f>
        <v>195</v>
      </c>
      <c r="U456" s="7" t="str">
        <f t="shared" si="70"/>
        <v>나195</v>
      </c>
      <c r="V456" s="7" t="str">
        <f>INDEX(환산공식!$C$16:$C$301,MATCH('배치점수 계산기'!W456,환산공식!$A$16:$A$301,0))</f>
        <v>동국 자연</v>
      </c>
      <c r="W456" s="7">
        <f t="shared" si="71"/>
        <v>48</v>
      </c>
      <c r="X456" s="7">
        <f t="shared" si="72"/>
        <v>1</v>
      </c>
      <c r="Y456" s="7">
        <f>IFERROR(INDEX(환산공식!Q$16:Q$200,MATCH($A456,환산공식!$A$16:$A$200,0)),"")</f>
        <v>1.25</v>
      </c>
      <c r="Z456" s="7">
        <f>IFERROR(INDEX(환산공식!R$16:R$200,MATCH($A456,환산공식!$A$16:$A$200,0)),"")</f>
        <v>1.5</v>
      </c>
      <c r="AA456" s="7">
        <f>IFERROR(INDEX(환산공식!U$16:U$200,MATCH($A456,환산공식!$A$16:$A$200,0)),"")</f>
        <v>1</v>
      </c>
      <c r="AB456" s="7">
        <f t="shared" si="73"/>
        <v>0.33333333333333331</v>
      </c>
      <c r="AC456" s="7">
        <f t="shared" si="74"/>
        <v>0.4</v>
      </c>
      <c r="AD456" s="7">
        <f t="shared" si="75"/>
        <v>0.26666666666666666</v>
      </c>
      <c r="AE456" s="7">
        <f>INDEX(환산공식!$AF$16:$AF$301,MATCH('배치점수 계산기'!W456,환산공식!$A$16:$A$301,0))</f>
        <v>1</v>
      </c>
      <c r="AF456" s="7">
        <f>INDEX(환산공식!$AP$16:$AP$301,MATCH('배치점수 계산기'!W456,환산공식!$A$16:$A$301,0))</f>
        <v>4</v>
      </c>
      <c r="AG456" s="7" t="str">
        <f t="shared" si="76"/>
        <v>표점</v>
      </c>
      <c r="AH456" s="7" t="str">
        <f t="shared" si="77"/>
        <v>변표</v>
      </c>
      <c r="BO456" s="210"/>
      <c r="BP456" s="210"/>
      <c r="BQ456" s="210"/>
      <c r="BR456" s="210"/>
      <c r="BS456" s="210"/>
      <c r="BT456" s="210"/>
      <c r="BU456" s="210"/>
      <c r="BV456" s="210"/>
      <c r="BW456" s="210"/>
      <c r="BX456" s="210"/>
      <c r="BY456" s="210"/>
      <c r="BZ456" s="210"/>
      <c r="CA456" s="210"/>
      <c r="CB456" s="210"/>
      <c r="CC456" s="210"/>
      <c r="EM456" s="120"/>
      <c r="ET456" s="210"/>
      <c r="EU456" s="210"/>
      <c r="EV456" s="210"/>
      <c r="EW456" s="210"/>
      <c r="EX456" s="210"/>
      <c r="EY456" s="210"/>
      <c r="EZ456" s="210"/>
      <c r="FA456" s="210"/>
      <c r="FB456" s="210"/>
      <c r="FC456" s="210"/>
      <c r="FD456" s="210"/>
      <c r="FE456" s="210"/>
      <c r="FF456" s="210"/>
      <c r="FG456" s="210"/>
      <c r="FH456" s="210"/>
      <c r="HR456" s="120"/>
      <c r="HY456" s="210"/>
      <c r="HZ456" s="210"/>
      <c r="IA456" s="210"/>
      <c r="IB456" s="210"/>
      <c r="IC456" s="210"/>
      <c r="ID456" s="210"/>
      <c r="IE456" s="210"/>
      <c r="IF456" s="210"/>
      <c r="IG456" s="210"/>
      <c r="IH456" s="210"/>
      <c r="II456" s="210"/>
      <c r="IJ456" s="210"/>
      <c r="IK456" s="210"/>
      <c r="IL456" s="210"/>
      <c r="IM456" s="210"/>
      <c r="KW456" s="120"/>
      <c r="LD456" s="210"/>
      <c r="LE456" s="210"/>
      <c r="LF456" s="210"/>
      <c r="LG456" s="210"/>
      <c r="LH456" s="210"/>
      <c r="LI456" s="210"/>
      <c r="LJ456" s="210"/>
      <c r="LK456" s="210"/>
      <c r="LL456" s="210"/>
      <c r="LM456" s="210"/>
      <c r="LN456" s="210"/>
      <c r="LO456" s="210"/>
      <c r="LP456" s="210"/>
      <c r="LQ456" s="210"/>
      <c r="LR456" s="210"/>
      <c r="OB456" s="120"/>
      <c r="OI456" s="210"/>
      <c r="OJ456" s="210"/>
      <c r="OK456" s="210"/>
      <c r="OL456" s="210"/>
      <c r="OM456" s="210"/>
      <c r="ON456" s="210"/>
      <c r="OO456" s="210"/>
      <c r="OP456" s="210"/>
      <c r="OQ456" s="210"/>
      <c r="OR456" s="210"/>
      <c r="OS456" s="210"/>
      <c r="OT456" s="210"/>
      <c r="OU456" s="210"/>
      <c r="OV456" s="210"/>
      <c r="OW456" s="210"/>
      <c r="RG456" s="120"/>
    </row>
    <row r="457" spans="1:475" x14ac:dyDescent="0.3">
      <c r="A457" s="7">
        <v>48</v>
      </c>
      <c r="B457" s="7">
        <v>447</v>
      </c>
      <c r="C457" s="7" t="s">
        <v>346</v>
      </c>
      <c r="D457" s="7" t="s">
        <v>801</v>
      </c>
      <c r="E457" s="7" t="s">
        <v>358</v>
      </c>
      <c r="F457" s="7" t="s">
        <v>274</v>
      </c>
      <c r="G457" s="41" t="str">
        <f t="shared" si="69"/>
        <v>X</v>
      </c>
      <c r="H457" s="41">
        <f>INDEX(환산공식!CI$16:CI$301,MATCH('배치점수 계산기'!$W457,환산공식!$A$16:$A$301,0))</f>
        <v>200</v>
      </c>
      <c r="I457" s="41" t="str">
        <f>CONCATENATE(ROUND(INDEX(환산공식!CJ$16:CJ$301,MATCH('배치점수 계산기'!$W457,환산공식!$A$16:$A$301,0)),1),"%")</f>
        <v>100%</v>
      </c>
      <c r="J457" s="41">
        <f>INDEX(환산공식!CK$16:CK$301,MATCH('배치점수 계산기'!$W457,환산공식!$A$16:$A$301,0))</f>
        <v>50</v>
      </c>
      <c r="K457" s="7">
        <f>INDEX(환산공식!$EF$16:$EF$301,MATCH('배치점수 계산기'!W457,환산공식!$A$16:$A$301,0))</f>
        <v>0</v>
      </c>
      <c r="L457" s="41" t="str">
        <f t="shared" si="67"/>
        <v>1% 이하</v>
      </c>
      <c r="M457" s="7">
        <v>711.32400000000007</v>
      </c>
      <c r="N457" s="7">
        <v>710.20342102396523</v>
      </c>
      <c r="O457" s="7">
        <v>709.09</v>
      </c>
      <c r="P457" s="7">
        <v>707.85900000000015</v>
      </c>
      <c r="Q457" s="7">
        <v>706.7673819978047</v>
      </c>
      <c r="R457" s="7">
        <f t="shared" si="68"/>
        <v>6</v>
      </c>
      <c r="T457" s="7">
        <f>COUNTIF($C$11:C457,C457)</f>
        <v>196</v>
      </c>
      <c r="U457" s="7" t="str">
        <f t="shared" si="70"/>
        <v>나196</v>
      </c>
      <c r="V457" s="7" t="str">
        <f>INDEX(환산공식!$C$16:$C$301,MATCH('배치점수 계산기'!W457,환산공식!$A$16:$A$301,0))</f>
        <v>동국 자연</v>
      </c>
      <c r="W457" s="7">
        <f t="shared" si="71"/>
        <v>48</v>
      </c>
      <c r="X457" s="7">
        <f t="shared" si="72"/>
        <v>1</v>
      </c>
      <c r="Y457" s="7">
        <f>IFERROR(INDEX(환산공식!Q$16:Q$200,MATCH($A457,환산공식!$A$16:$A$200,0)),"")</f>
        <v>1.25</v>
      </c>
      <c r="Z457" s="7">
        <f>IFERROR(INDEX(환산공식!R$16:R$200,MATCH($A457,환산공식!$A$16:$A$200,0)),"")</f>
        <v>1.5</v>
      </c>
      <c r="AA457" s="7">
        <f>IFERROR(INDEX(환산공식!U$16:U$200,MATCH($A457,환산공식!$A$16:$A$200,0)),"")</f>
        <v>1</v>
      </c>
      <c r="AB457" s="7">
        <f t="shared" si="73"/>
        <v>0.33333333333333331</v>
      </c>
      <c r="AC457" s="7">
        <f t="shared" si="74"/>
        <v>0.4</v>
      </c>
      <c r="AD457" s="7">
        <f t="shared" si="75"/>
        <v>0.26666666666666666</v>
      </c>
      <c r="AE457" s="7">
        <f>INDEX(환산공식!$AF$16:$AF$301,MATCH('배치점수 계산기'!W457,환산공식!$A$16:$A$301,0))</f>
        <v>1</v>
      </c>
      <c r="AF457" s="7">
        <f>INDEX(환산공식!$AP$16:$AP$301,MATCH('배치점수 계산기'!W457,환산공식!$A$16:$A$301,0))</f>
        <v>4</v>
      </c>
      <c r="AG457" s="7" t="str">
        <f t="shared" si="76"/>
        <v>표점</v>
      </c>
      <c r="AH457" s="7" t="str">
        <f t="shared" si="77"/>
        <v>변표</v>
      </c>
      <c r="BO457" s="210"/>
      <c r="BP457" s="210"/>
      <c r="BQ457" s="210"/>
      <c r="BR457" s="210"/>
      <c r="BS457" s="210"/>
      <c r="BT457" s="210"/>
      <c r="BU457" s="210"/>
      <c r="BV457" s="210"/>
      <c r="BW457" s="210"/>
      <c r="BX457" s="210"/>
      <c r="BY457" s="210"/>
      <c r="BZ457" s="210"/>
      <c r="CA457" s="210"/>
      <c r="CB457" s="210"/>
      <c r="CC457" s="210"/>
      <c r="EM457" s="120"/>
      <c r="ET457" s="210"/>
      <c r="EU457" s="210"/>
      <c r="EV457" s="210"/>
      <c r="EW457" s="210"/>
      <c r="EX457" s="210"/>
      <c r="EY457" s="210"/>
      <c r="EZ457" s="210"/>
      <c r="FA457" s="210"/>
      <c r="FB457" s="210"/>
      <c r="FC457" s="210"/>
      <c r="FD457" s="210"/>
      <c r="FE457" s="210"/>
      <c r="FF457" s="210"/>
      <c r="FG457" s="210"/>
      <c r="FH457" s="210"/>
      <c r="HR457" s="120"/>
      <c r="HY457" s="210"/>
      <c r="HZ457" s="210"/>
      <c r="IA457" s="210"/>
      <c r="IB457" s="210"/>
      <c r="IC457" s="210"/>
      <c r="ID457" s="210"/>
      <c r="IE457" s="210"/>
      <c r="IF457" s="210"/>
      <c r="IG457" s="210"/>
      <c r="IH457" s="210"/>
      <c r="II457" s="210"/>
      <c r="IJ457" s="210"/>
      <c r="IK457" s="210"/>
      <c r="IL457" s="210"/>
      <c r="IM457" s="210"/>
      <c r="KW457" s="120"/>
      <c r="LD457" s="210"/>
      <c r="LE457" s="210"/>
      <c r="LF457" s="210"/>
      <c r="LG457" s="210"/>
      <c r="LH457" s="210"/>
      <c r="LI457" s="210"/>
      <c r="LJ457" s="210"/>
      <c r="LK457" s="210"/>
      <c r="LL457" s="210"/>
      <c r="LM457" s="210"/>
      <c r="LN457" s="210"/>
      <c r="LO457" s="210"/>
      <c r="LP457" s="210"/>
      <c r="LQ457" s="210"/>
      <c r="LR457" s="210"/>
      <c r="OB457" s="120"/>
      <c r="OI457" s="210"/>
      <c r="OJ457" s="210"/>
      <c r="OK457" s="210"/>
      <c r="OL457" s="210"/>
      <c r="OM457" s="210"/>
      <c r="ON457" s="210"/>
      <c r="OO457" s="210"/>
      <c r="OP457" s="210"/>
      <c r="OQ457" s="210"/>
      <c r="OR457" s="210"/>
      <c r="OS457" s="210"/>
      <c r="OT457" s="210"/>
      <c r="OU457" s="210"/>
      <c r="OV457" s="210"/>
      <c r="OW457" s="210"/>
      <c r="RG457" s="120"/>
    </row>
    <row r="458" spans="1:475" x14ac:dyDescent="0.3">
      <c r="A458" s="7">
        <v>48</v>
      </c>
      <c r="B458" s="7">
        <v>448</v>
      </c>
      <c r="C458" s="7" t="s">
        <v>346</v>
      </c>
      <c r="D458" s="7" t="s">
        <v>801</v>
      </c>
      <c r="E458" s="7" t="s">
        <v>278</v>
      </c>
      <c r="F458" s="7" t="s">
        <v>274</v>
      </c>
      <c r="G458" s="41" t="str">
        <f t="shared" si="69"/>
        <v>X</v>
      </c>
      <c r="H458" s="41">
        <f>INDEX(환산공식!CI$16:CI$301,MATCH('배치점수 계산기'!$W458,환산공식!$A$16:$A$301,0))</f>
        <v>200</v>
      </c>
      <c r="I458" s="41" t="str">
        <f>CONCATENATE(ROUND(INDEX(환산공식!CJ$16:CJ$301,MATCH('배치점수 계산기'!$W458,환산공식!$A$16:$A$301,0)),1),"%")</f>
        <v>100%</v>
      </c>
      <c r="J458" s="41">
        <f>INDEX(환산공식!CK$16:CK$301,MATCH('배치점수 계산기'!$W458,환산공식!$A$16:$A$301,0))</f>
        <v>50</v>
      </c>
      <c r="K458" s="7">
        <f>INDEX(환산공식!$EF$16:$EF$301,MATCH('배치점수 계산기'!W458,환산공식!$A$16:$A$301,0))</f>
        <v>0</v>
      </c>
      <c r="L458" s="41" t="str">
        <f t="shared" si="67"/>
        <v>1% 이하</v>
      </c>
      <c r="M458" s="7">
        <v>714.6110000000001</v>
      </c>
      <c r="N458" s="7">
        <v>714.00238789843331</v>
      </c>
      <c r="O458" s="7">
        <v>713.21699999999998</v>
      </c>
      <c r="P458" s="7">
        <v>711.64800000000002</v>
      </c>
      <c r="Q458" s="7">
        <v>710.5385946093113</v>
      </c>
      <c r="R458" s="7">
        <f t="shared" si="68"/>
        <v>6</v>
      </c>
      <c r="T458" s="7">
        <f>COUNTIF($C$11:C458,C458)</f>
        <v>197</v>
      </c>
      <c r="U458" s="7" t="str">
        <f t="shared" si="70"/>
        <v>나197</v>
      </c>
      <c r="V458" s="7" t="str">
        <f>INDEX(환산공식!$C$16:$C$301,MATCH('배치점수 계산기'!W458,환산공식!$A$16:$A$301,0))</f>
        <v>동국 자연</v>
      </c>
      <c r="W458" s="7">
        <f t="shared" si="71"/>
        <v>48</v>
      </c>
      <c r="X458" s="7">
        <f t="shared" si="72"/>
        <v>1</v>
      </c>
      <c r="Y458" s="7">
        <f>IFERROR(INDEX(환산공식!Q$16:Q$200,MATCH($A458,환산공식!$A$16:$A$200,0)),"")</f>
        <v>1.25</v>
      </c>
      <c r="Z458" s="7">
        <f>IFERROR(INDEX(환산공식!R$16:R$200,MATCH($A458,환산공식!$A$16:$A$200,0)),"")</f>
        <v>1.5</v>
      </c>
      <c r="AA458" s="7">
        <f>IFERROR(INDEX(환산공식!U$16:U$200,MATCH($A458,환산공식!$A$16:$A$200,0)),"")</f>
        <v>1</v>
      </c>
      <c r="AB458" s="7">
        <f t="shared" si="73"/>
        <v>0.33333333333333331</v>
      </c>
      <c r="AC458" s="7">
        <f t="shared" si="74"/>
        <v>0.4</v>
      </c>
      <c r="AD458" s="7">
        <f t="shared" si="75"/>
        <v>0.26666666666666666</v>
      </c>
      <c r="AE458" s="7">
        <f>INDEX(환산공식!$AF$16:$AF$301,MATCH('배치점수 계산기'!W458,환산공식!$A$16:$A$301,0))</f>
        <v>1</v>
      </c>
      <c r="AF458" s="7">
        <f>INDEX(환산공식!$AP$16:$AP$301,MATCH('배치점수 계산기'!W458,환산공식!$A$16:$A$301,0))</f>
        <v>4</v>
      </c>
      <c r="AG458" s="7" t="str">
        <f t="shared" si="76"/>
        <v>표점</v>
      </c>
      <c r="AH458" s="7" t="str">
        <f t="shared" si="77"/>
        <v>변표</v>
      </c>
      <c r="BO458" s="210"/>
      <c r="BP458" s="210"/>
      <c r="BQ458" s="210"/>
      <c r="BR458" s="210"/>
      <c r="BS458" s="210"/>
      <c r="BT458" s="210"/>
      <c r="BU458" s="210"/>
      <c r="BV458" s="210"/>
      <c r="BW458" s="210"/>
      <c r="BX458" s="210"/>
      <c r="BY458" s="210"/>
      <c r="BZ458" s="210"/>
      <c r="CA458" s="210"/>
      <c r="CB458" s="210"/>
      <c r="CC458" s="210"/>
      <c r="EM458" s="120"/>
      <c r="ET458" s="210"/>
      <c r="EU458" s="210"/>
      <c r="EV458" s="210"/>
      <c r="EW458" s="210"/>
      <c r="EX458" s="210"/>
      <c r="EY458" s="210"/>
      <c r="EZ458" s="210"/>
      <c r="FA458" s="210"/>
      <c r="FB458" s="210"/>
      <c r="FC458" s="210"/>
      <c r="FD458" s="210"/>
      <c r="FE458" s="210"/>
      <c r="FF458" s="210"/>
      <c r="FG458" s="210"/>
      <c r="FH458" s="210"/>
      <c r="HR458" s="120"/>
      <c r="HY458" s="210"/>
      <c r="HZ458" s="210"/>
      <c r="IA458" s="210"/>
      <c r="IB458" s="210"/>
      <c r="IC458" s="210"/>
      <c r="ID458" s="210"/>
      <c r="IE458" s="210"/>
      <c r="IF458" s="210"/>
      <c r="IG458" s="210"/>
      <c r="IH458" s="210"/>
      <c r="II458" s="210"/>
      <c r="IJ458" s="210"/>
      <c r="IK458" s="210"/>
      <c r="IL458" s="210"/>
      <c r="IM458" s="210"/>
      <c r="KW458" s="120"/>
      <c r="LD458" s="210"/>
      <c r="LE458" s="210"/>
      <c r="LF458" s="210"/>
      <c r="LG458" s="210"/>
      <c r="LH458" s="210"/>
      <c r="LI458" s="210"/>
      <c r="LJ458" s="210"/>
      <c r="LK458" s="210"/>
      <c r="LL458" s="210"/>
      <c r="LM458" s="210"/>
      <c r="LN458" s="210"/>
      <c r="LO458" s="210"/>
      <c r="LP458" s="210"/>
      <c r="LQ458" s="210"/>
      <c r="LR458" s="210"/>
      <c r="OB458" s="120"/>
      <c r="OI458" s="210"/>
      <c r="OJ458" s="210"/>
      <c r="OK458" s="210"/>
      <c r="OL458" s="210"/>
      <c r="OM458" s="210"/>
      <c r="ON458" s="210"/>
      <c r="OO458" s="210"/>
      <c r="OP458" s="210"/>
      <c r="OQ458" s="210"/>
      <c r="OR458" s="210"/>
      <c r="OS458" s="210"/>
      <c r="OT458" s="210"/>
      <c r="OU458" s="210"/>
      <c r="OV458" s="210"/>
      <c r="OW458" s="210"/>
      <c r="RG458" s="120"/>
    </row>
    <row r="459" spans="1:475" x14ac:dyDescent="0.3">
      <c r="A459" s="7">
        <v>48</v>
      </c>
      <c r="B459" s="7">
        <v>449</v>
      </c>
      <c r="C459" s="7" t="s">
        <v>276</v>
      </c>
      <c r="D459" s="7" t="s">
        <v>801</v>
      </c>
      <c r="E459" s="7" t="s">
        <v>809</v>
      </c>
      <c r="F459" s="7" t="s">
        <v>274</v>
      </c>
      <c r="G459" s="41" t="str">
        <f t="shared" si="69"/>
        <v>X</v>
      </c>
      <c r="H459" s="41">
        <f>INDEX(환산공식!CI$16:CI$301,MATCH('배치점수 계산기'!$W459,환산공식!$A$16:$A$301,0))</f>
        <v>200</v>
      </c>
      <c r="I459" s="41" t="str">
        <f>CONCATENATE(ROUND(INDEX(환산공식!CJ$16:CJ$301,MATCH('배치점수 계산기'!$W459,환산공식!$A$16:$A$301,0)),1),"%")</f>
        <v>100%</v>
      </c>
      <c r="J459" s="41">
        <f>INDEX(환산공식!CK$16:CK$301,MATCH('배치점수 계산기'!$W459,환산공식!$A$16:$A$301,0))</f>
        <v>50</v>
      </c>
      <c r="K459" s="7">
        <f>INDEX(환산공식!$EF$16:$EF$301,MATCH('배치점수 계산기'!W459,환산공식!$A$16:$A$301,0))</f>
        <v>0</v>
      </c>
      <c r="L459" s="41" t="str">
        <f t="shared" ref="L459:L522" si="78">IF(K459&gt;M459,"90% 이상",IF(K459&gt;N459,CONCATENATE(ROUND(((K459-N459)/(M459-N459))*20+70,0),"%"),IF(K459&gt;O459,CONCATENATE(ROUND(((K459-O459)/(N459-O459))*30+40,0),"%"),IF(K459&gt;P459,CONCATENATE(ROUND(((K459-P459)/(O459-P459))*30+10,0),"%"),IF(K459&gt;Q459,CONCATENATE(ROUND(((K459-Q459)/(P459-Q459))*9+1,0),"%"),"1% 이하")))))</f>
        <v>1% 이하</v>
      </c>
      <c r="M459" s="7">
        <v>711.32400000000007</v>
      </c>
      <c r="N459" s="7">
        <v>710.20342102396523</v>
      </c>
      <c r="O459" s="7">
        <v>709.09</v>
      </c>
      <c r="P459" s="7">
        <v>707.85900000000015</v>
      </c>
      <c r="Q459" s="7">
        <v>706.7673819978047</v>
      </c>
      <c r="R459" s="7">
        <f t="shared" ref="R459:R522" si="79">IF(K459&gt;M459,1,IF(K459&gt;N459,2,IF(K459&gt;O459,3,IF(K459&gt;P459,4,IF(K459&gt;=Q459,5,IF(K459&lt;Q459,6))))))</f>
        <v>6</v>
      </c>
      <c r="T459" s="7">
        <f>COUNTIF($C$11:C459,C459)</f>
        <v>238</v>
      </c>
      <c r="U459" s="7" t="str">
        <f t="shared" si="70"/>
        <v>가238</v>
      </c>
      <c r="V459" s="7" t="str">
        <f>INDEX(환산공식!$C$16:$C$301,MATCH('배치점수 계산기'!W459,환산공식!$A$16:$A$301,0))</f>
        <v>동국 자연</v>
      </c>
      <c r="W459" s="7">
        <f t="shared" si="71"/>
        <v>48</v>
      </c>
      <c r="X459" s="7">
        <f t="shared" si="72"/>
        <v>1</v>
      </c>
      <c r="Y459" s="7">
        <f>IFERROR(INDEX(환산공식!Q$16:Q$200,MATCH($A459,환산공식!$A$16:$A$200,0)),"")</f>
        <v>1.25</v>
      </c>
      <c r="Z459" s="7">
        <f>IFERROR(INDEX(환산공식!R$16:R$200,MATCH($A459,환산공식!$A$16:$A$200,0)),"")</f>
        <v>1.5</v>
      </c>
      <c r="AA459" s="7">
        <f>IFERROR(INDEX(환산공식!U$16:U$200,MATCH($A459,환산공식!$A$16:$A$200,0)),"")</f>
        <v>1</v>
      </c>
      <c r="AB459" s="7">
        <f t="shared" si="73"/>
        <v>0.33333333333333331</v>
      </c>
      <c r="AC459" s="7">
        <f t="shared" si="74"/>
        <v>0.4</v>
      </c>
      <c r="AD459" s="7">
        <f t="shared" si="75"/>
        <v>0.26666666666666666</v>
      </c>
      <c r="AE459" s="7">
        <f>INDEX(환산공식!$AF$16:$AF$301,MATCH('배치점수 계산기'!W459,환산공식!$A$16:$A$301,0))</f>
        <v>1</v>
      </c>
      <c r="AF459" s="7">
        <f>INDEX(환산공식!$AP$16:$AP$301,MATCH('배치점수 계산기'!W459,환산공식!$A$16:$A$301,0))</f>
        <v>4</v>
      </c>
      <c r="AG459" s="7" t="str">
        <f t="shared" si="76"/>
        <v>표점</v>
      </c>
      <c r="AH459" s="7" t="str">
        <f t="shared" si="77"/>
        <v>변표</v>
      </c>
      <c r="BO459" s="210"/>
      <c r="BP459" s="210"/>
      <c r="BQ459" s="210"/>
      <c r="BR459" s="210"/>
      <c r="BS459" s="210"/>
      <c r="BT459" s="210"/>
      <c r="BU459" s="210"/>
      <c r="BV459" s="210"/>
      <c r="BW459" s="210"/>
      <c r="BX459" s="210"/>
      <c r="BY459" s="210"/>
      <c r="BZ459" s="210"/>
      <c r="CA459" s="210"/>
      <c r="CB459" s="210"/>
      <c r="CC459" s="210"/>
      <c r="EM459" s="120"/>
      <c r="ET459" s="210"/>
      <c r="EU459" s="210"/>
      <c r="EV459" s="210"/>
      <c r="EW459" s="210"/>
      <c r="EX459" s="210"/>
      <c r="EY459" s="210"/>
      <c r="EZ459" s="210"/>
      <c r="FA459" s="210"/>
      <c r="FB459" s="210"/>
      <c r="FC459" s="210"/>
      <c r="FD459" s="210"/>
      <c r="FE459" s="210"/>
      <c r="FF459" s="210"/>
      <c r="FG459" s="210"/>
      <c r="FH459" s="210"/>
      <c r="HR459" s="120"/>
      <c r="HY459" s="210"/>
      <c r="HZ459" s="210"/>
      <c r="IA459" s="210"/>
      <c r="IB459" s="210"/>
      <c r="IC459" s="210"/>
      <c r="ID459" s="210"/>
      <c r="IE459" s="210"/>
      <c r="IF459" s="210"/>
      <c r="IG459" s="210"/>
      <c r="IH459" s="210"/>
      <c r="II459" s="210"/>
      <c r="IJ459" s="210"/>
      <c r="IK459" s="210"/>
      <c r="IL459" s="210"/>
      <c r="IM459" s="210"/>
      <c r="KW459" s="120"/>
      <c r="LD459" s="210"/>
      <c r="LE459" s="210"/>
      <c r="LF459" s="210"/>
      <c r="LG459" s="210"/>
      <c r="LH459" s="210"/>
      <c r="LI459" s="210"/>
      <c r="LJ459" s="210"/>
      <c r="LK459" s="210"/>
      <c r="LL459" s="210"/>
      <c r="LM459" s="210"/>
      <c r="LN459" s="210"/>
      <c r="LO459" s="210"/>
      <c r="LP459" s="210"/>
      <c r="LQ459" s="210"/>
      <c r="LR459" s="210"/>
      <c r="OB459" s="120"/>
      <c r="OI459" s="210"/>
      <c r="OJ459" s="210"/>
      <c r="OK459" s="210"/>
      <c r="OL459" s="210"/>
      <c r="OM459" s="210"/>
      <c r="ON459" s="210"/>
      <c r="OO459" s="210"/>
      <c r="OP459" s="210"/>
      <c r="OQ459" s="210"/>
      <c r="OR459" s="210"/>
      <c r="OS459" s="210"/>
      <c r="OT459" s="210"/>
      <c r="OU459" s="210"/>
      <c r="OV459" s="210"/>
      <c r="OW459" s="210"/>
      <c r="RG459" s="120"/>
    </row>
    <row r="460" spans="1:475" x14ac:dyDescent="0.3">
      <c r="A460" s="7">
        <v>48</v>
      </c>
      <c r="B460" s="7">
        <v>450</v>
      </c>
      <c r="C460" s="7" t="s">
        <v>276</v>
      </c>
      <c r="D460" s="7" t="s">
        <v>801</v>
      </c>
      <c r="E460" s="7" t="s">
        <v>810</v>
      </c>
      <c r="F460" s="7" t="s">
        <v>274</v>
      </c>
      <c r="G460" s="41" t="str">
        <f t="shared" ref="G460:G523" si="80">IFERROR(IF(BJ460=0,"X","O"),"")</f>
        <v>X</v>
      </c>
      <c r="H460" s="41">
        <f>INDEX(환산공식!CI$16:CI$301,MATCH('배치점수 계산기'!$W460,환산공식!$A$16:$A$301,0))</f>
        <v>200</v>
      </c>
      <c r="I460" s="41" t="str">
        <f>CONCATENATE(ROUND(INDEX(환산공식!CJ$16:CJ$301,MATCH('배치점수 계산기'!$W460,환산공식!$A$16:$A$301,0)),1),"%")</f>
        <v>100%</v>
      </c>
      <c r="J460" s="41">
        <f>INDEX(환산공식!CK$16:CK$301,MATCH('배치점수 계산기'!$W460,환산공식!$A$16:$A$301,0))</f>
        <v>50</v>
      </c>
      <c r="K460" s="7">
        <f>INDEX(환산공식!$EF$16:$EF$301,MATCH('배치점수 계산기'!W460,환산공식!$A$16:$A$301,0))</f>
        <v>0</v>
      </c>
      <c r="L460" s="41" t="str">
        <f t="shared" si="78"/>
        <v>1% 이하</v>
      </c>
      <c r="M460" s="7">
        <v>712.98000000000013</v>
      </c>
      <c r="N460" s="7">
        <v>712.14060037981562</v>
      </c>
      <c r="O460" s="7">
        <v>710.83143132988857</v>
      </c>
      <c r="P460" s="7">
        <v>709.96799999999996</v>
      </c>
      <c r="Q460" s="7">
        <v>708.55462373530224</v>
      </c>
      <c r="R460" s="7">
        <f t="shared" si="79"/>
        <v>6</v>
      </c>
      <c r="T460" s="7">
        <f>COUNTIF($C$11:C460,C460)</f>
        <v>239</v>
      </c>
      <c r="U460" s="7" t="str">
        <f t="shared" ref="U460:U523" si="81">CONCATENATE(C460,T460)</f>
        <v>가239</v>
      </c>
      <c r="V460" s="7" t="str">
        <f>INDEX(환산공식!$C$16:$C$301,MATCH('배치점수 계산기'!W460,환산공식!$A$16:$A$301,0))</f>
        <v>동국 자연</v>
      </c>
      <c r="W460" s="7">
        <f t="shared" ref="W460:W523" si="82">A460</f>
        <v>48</v>
      </c>
      <c r="X460" s="7">
        <f t="shared" ref="X460:X523" si="83">IF(OR(D460=0,D460=""),"",IF(LEFT(D460,1)=LEFT(V460,1),1,2))</f>
        <v>1</v>
      </c>
      <c r="Y460" s="7">
        <f>IFERROR(INDEX(환산공식!Q$16:Q$200,MATCH($A460,환산공식!$A$16:$A$200,0)),"")</f>
        <v>1.25</v>
      </c>
      <c r="Z460" s="7">
        <f>IFERROR(INDEX(환산공식!R$16:R$200,MATCH($A460,환산공식!$A$16:$A$200,0)),"")</f>
        <v>1.5</v>
      </c>
      <c r="AA460" s="7">
        <f>IFERROR(INDEX(환산공식!U$16:U$200,MATCH($A460,환산공식!$A$16:$A$200,0)),"")</f>
        <v>1</v>
      </c>
      <c r="AB460" s="7">
        <f t="shared" ref="AB460:AB523" si="84">Y460/($Y460+$Z460+$AA460)</f>
        <v>0.33333333333333331</v>
      </c>
      <c r="AC460" s="7">
        <f t="shared" ref="AC460:AC523" si="85">Z460/($Y460+$Z460+$AA460)</f>
        <v>0.4</v>
      </c>
      <c r="AD460" s="7">
        <f t="shared" ref="AD460:AD523" si="86">AA460/($Y460+$Z460+$AA460)</f>
        <v>0.26666666666666666</v>
      </c>
      <c r="AE460" s="7">
        <f>INDEX(환산공식!$AF$16:$AF$301,MATCH('배치점수 계산기'!W460,환산공식!$A$16:$A$301,0))</f>
        <v>1</v>
      </c>
      <c r="AF460" s="7">
        <f>INDEX(환산공식!$AP$16:$AP$301,MATCH('배치점수 계산기'!W460,환산공식!$A$16:$A$301,0))</f>
        <v>4</v>
      </c>
      <c r="AG460" s="7" t="str">
        <f t="shared" ref="AG460:AG523" si="87">IF(AE460=1,"표점",IF(AE460=12,"표점/만점",IF(AE460=2,"백분위")))</f>
        <v>표점</v>
      </c>
      <c r="AH460" s="7" t="str">
        <f t="shared" ref="AH460:AH523" si="88">IF(AF460=1,"표점",IF(AF460=12,"표점/만점",IF(AF460=2,"백분위",IF(AF460=4,"변표",IF(AF460=42,"변표/만점")))))</f>
        <v>변표</v>
      </c>
      <c r="BO460" s="210"/>
      <c r="BP460" s="210"/>
      <c r="BQ460" s="210"/>
      <c r="BR460" s="210"/>
      <c r="BS460" s="210"/>
      <c r="BT460" s="210"/>
      <c r="BU460" s="210"/>
      <c r="BV460" s="210"/>
      <c r="BW460" s="210"/>
      <c r="BX460" s="210"/>
      <c r="BY460" s="210"/>
      <c r="BZ460" s="210"/>
      <c r="CA460" s="210"/>
      <c r="CB460" s="210"/>
      <c r="CC460" s="210"/>
      <c r="EM460" s="120"/>
      <c r="ET460" s="210"/>
      <c r="EU460" s="210"/>
      <c r="EV460" s="210"/>
      <c r="EW460" s="210"/>
      <c r="EX460" s="210"/>
      <c r="EY460" s="210"/>
      <c r="EZ460" s="210"/>
      <c r="FA460" s="210"/>
      <c r="FB460" s="210"/>
      <c r="FC460" s="210"/>
      <c r="FD460" s="210"/>
      <c r="FE460" s="210"/>
      <c r="FF460" s="210"/>
      <c r="FG460" s="210"/>
      <c r="FH460" s="210"/>
      <c r="HR460" s="120"/>
      <c r="HY460" s="210"/>
      <c r="HZ460" s="210"/>
      <c r="IA460" s="210"/>
      <c r="IB460" s="210"/>
      <c r="IC460" s="210"/>
      <c r="ID460" s="210"/>
      <c r="IE460" s="210"/>
      <c r="IF460" s="210"/>
      <c r="IG460" s="210"/>
      <c r="IH460" s="210"/>
      <c r="II460" s="210"/>
      <c r="IJ460" s="210"/>
      <c r="IK460" s="210"/>
      <c r="IL460" s="210"/>
      <c r="IM460" s="210"/>
      <c r="KW460" s="120"/>
      <c r="LD460" s="210"/>
      <c r="LE460" s="210"/>
      <c r="LF460" s="210"/>
      <c r="LG460" s="210"/>
      <c r="LH460" s="210"/>
      <c r="LI460" s="210"/>
      <c r="LJ460" s="210"/>
      <c r="LK460" s="210"/>
      <c r="LL460" s="210"/>
      <c r="LM460" s="210"/>
      <c r="LN460" s="210"/>
      <c r="LO460" s="210"/>
      <c r="LP460" s="210"/>
      <c r="LQ460" s="210"/>
      <c r="LR460" s="210"/>
      <c r="OB460" s="120"/>
      <c r="OI460" s="210"/>
      <c r="OJ460" s="210"/>
      <c r="OK460" s="210"/>
      <c r="OL460" s="210"/>
      <c r="OM460" s="210"/>
      <c r="ON460" s="210"/>
      <c r="OO460" s="210"/>
      <c r="OP460" s="210"/>
      <c r="OQ460" s="210"/>
      <c r="OR460" s="210"/>
      <c r="OS460" s="210"/>
      <c r="OT460" s="210"/>
      <c r="OU460" s="210"/>
      <c r="OV460" s="210"/>
      <c r="OW460" s="210"/>
      <c r="RG460" s="120"/>
    </row>
    <row r="461" spans="1:475" x14ac:dyDescent="0.3">
      <c r="A461" s="7">
        <v>49</v>
      </c>
      <c r="B461" s="7">
        <v>451</v>
      </c>
      <c r="C461" s="7" t="s">
        <v>276</v>
      </c>
      <c r="D461" s="7" t="s">
        <v>801</v>
      </c>
      <c r="E461" s="7" t="s">
        <v>811</v>
      </c>
      <c r="F461" s="7" t="s">
        <v>275</v>
      </c>
      <c r="G461" s="41" t="str">
        <f t="shared" si="80"/>
        <v>X</v>
      </c>
      <c r="H461" s="41">
        <f>INDEX(환산공식!CI$16:CI$301,MATCH('배치점수 계산기'!$W461,환산공식!$A$16:$A$301,0))</f>
        <v>200</v>
      </c>
      <c r="I461" s="41" t="str">
        <f>CONCATENATE(ROUND(INDEX(환산공식!CJ$16:CJ$301,MATCH('배치점수 계산기'!$W461,환산공식!$A$16:$A$301,0)),1),"%")</f>
        <v>100%</v>
      </c>
      <c r="J461" s="41">
        <f>INDEX(환산공식!CK$16:CK$301,MATCH('배치점수 계산기'!$W461,환산공식!$A$16:$A$301,0))</f>
        <v>50</v>
      </c>
      <c r="K461" s="7">
        <f>INDEX(환산공식!$EF$16:$EF$301,MATCH('배치점수 계산기'!W461,환산공식!$A$16:$A$301,0))</f>
        <v>0</v>
      </c>
      <c r="L461" s="41" t="str">
        <f t="shared" si="78"/>
        <v>1% 이하</v>
      </c>
      <c r="M461" s="7">
        <v>717.89827611140879</v>
      </c>
      <c r="N461" s="7">
        <v>716.98200000000008</v>
      </c>
      <c r="O461" s="7">
        <v>714.30000000000007</v>
      </c>
      <c r="P461" s="7">
        <v>711.71299999999997</v>
      </c>
      <c r="Q461" s="7">
        <v>706.8992714324844</v>
      </c>
      <c r="R461" s="7">
        <f t="shared" si="79"/>
        <v>6</v>
      </c>
      <c r="T461" s="7">
        <f>COUNTIF($C$11:C461,C461)</f>
        <v>240</v>
      </c>
      <c r="U461" s="7" t="str">
        <f t="shared" si="81"/>
        <v>가240</v>
      </c>
      <c r="V461" s="7" t="str">
        <f>INDEX(환산공식!$C$16:$C$301,MATCH('배치점수 계산기'!W461,환산공식!$A$16:$A$301,0))</f>
        <v>동국 통합</v>
      </c>
      <c r="W461" s="7">
        <f t="shared" si="82"/>
        <v>49</v>
      </c>
      <c r="X461" s="7">
        <f t="shared" si="83"/>
        <v>1</v>
      </c>
      <c r="Y461" s="7">
        <f>IFERROR(INDEX(환산공식!Q$16:Q$200,MATCH($A461,환산공식!$A$16:$A$200,0)),"")</f>
        <v>1.5</v>
      </c>
      <c r="Z461" s="7">
        <f>IFERROR(INDEX(환산공식!R$16:R$200,MATCH($A461,환산공식!$A$16:$A$200,0)),"")</f>
        <v>1.25</v>
      </c>
      <c r="AA461" s="7">
        <f>IFERROR(INDEX(환산공식!U$16:U$200,MATCH($A461,환산공식!$A$16:$A$200,0)),"")</f>
        <v>1</v>
      </c>
      <c r="AB461" s="7">
        <f t="shared" si="84"/>
        <v>0.4</v>
      </c>
      <c r="AC461" s="7">
        <f t="shared" si="85"/>
        <v>0.33333333333333331</v>
      </c>
      <c r="AD461" s="7">
        <f t="shared" si="86"/>
        <v>0.26666666666666666</v>
      </c>
      <c r="AE461" s="7">
        <f>INDEX(환산공식!$AF$16:$AF$301,MATCH('배치점수 계산기'!W461,환산공식!$A$16:$A$301,0))</f>
        <v>1</v>
      </c>
      <c r="AF461" s="7">
        <f>INDEX(환산공식!$AP$16:$AP$301,MATCH('배치점수 계산기'!W461,환산공식!$A$16:$A$301,0))</f>
        <v>4</v>
      </c>
      <c r="AG461" s="7" t="str">
        <f t="shared" si="87"/>
        <v>표점</v>
      </c>
      <c r="AH461" s="7" t="str">
        <f t="shared" si="88"/>
        <v>변표</v>
      </c>
      <c r="BO461" s="210"/>
      <c r="BP461" s="210"/>
      <c r="BQ461" s="210"/>
      <c r="BR461" s="210"/>
      <c r="BS461" s="210"/>
      <c r="BT461" s="210"/>
      <c r="BU461" s="210"/>
      <c r="BV461" s="210"/>
      <c r="BW461" s="210"/>
      <c r="BX461" s="210"/>
      <c r="BY461" s="210"/>
      <c r="BZ461" s="210"/>
      <c r="CA461" s="210"/>
      <c r="CB461" s="210"/>
      <c r="CC461" s="210"/>
      <c r="EM461" s="120"/>
      <c r="ET461" s="210"/>
      <c r="EU461" s="210"/>
      <c r="EV461" s="210"/>
      <c r="EW461" s="210"/>
      <c r="EX461" s="210"/>
      <c r="EY461" s="210"/>
      <c r="EZ461" s="210"/>
      <c r="FA461" s="210"/>
      <c r="FB461" s="210"/>
      <c r="FC461" s="210"/>
      <c r="FD461" s="210"/>
      <c r="FE461" s="210"/>
      <c r="FF461" s="210"/>
      <c r="FG461" s="210"/>
      <c r="FH461" s="210"/>
      <c r="HR461" s="120"/>
      <c r="HY461" s="210"/>
      <c r="HZ461" s="210"/>
      <c r="IA461" s="210"/>
      <c r="IB461" s="210"/>
      <c r="IC461" s="210"/>
      <c r="ID461" s="210"/>
      <c r="IE461" s="210"/>
      <c r="IF461" s="210"/>
      <c r="IG461" s="210"/>
      <c r="IH461" s="210"/>
      <c r="II461" s="210"/>
      <c r="IJ461" s="210"/>
      <c r="IK461" s="210"/>
      <c r="IL461" s="210"/>
      <c r="IM461" s="210"/>
      <c r="KW461" s="120"/>
      <c r="LD461" s="210"/>
      <c r="LE461" s="210"/>
      <c r="LF461" s="210"/>
      <c r="LG461" s="210"/>
      <c r="LH461" s="210"/>
      <c r="LI461" s="210"/>
      <c r="LJ461" s="210"/>
      <c r="LK461" s="210"/>
      <c r="LL461" s="210"/>
      <c r="LM461" s="210"/>
      <c r="LN461" s="210"/>
      <c r="LO461" s="210"/>
      <c r="LP461" s="210"/>
      <c r="LQ461" s="210"/>
      <c r="LR461" s="210"/>
      <c r="OB461" s="120"/>
      <c r="OI461" s="210"/>
      <c r="OJ461" s="210"/>
      <c r="OK461" s="210"/>
      <c r="OL461" s="210"/>
      <c r="OM461" s="210"/>
      <c r="ON461" s="210"/>
      <c r="OO461" s="210"/>
      <c r="OP461" s="210"/>
      <c r="OQ461" s="210"/>
      <c r="OR461" s="210"/>
      <c r="OS461" s="210"/>
      <c r="OT461" s="210"/>
      <c r="OU461" s="210"/>
      <c r="OV461" s="210"/>
      <c r="OW461" s="210"/>
      <c r="RG461" s="120"/>
    </row>
    <row r="462" spans="1:475" x14ac:dyDescent="0.3">
      <c r="A462" s="7">
        <v>49</v>
      </c>
      <c r="B462" s="7">
        <v>452</v>
      </c>
      <c r="C462" s="7" t="s">
        <v>346</v>
      </c>
      <c r="D462" s="7" t="s">
        <v>801</v>
      </c>
      <c r="E462" s="7" t="s">
        <v>307</v>
      </c>
      <c r="F462" s="7" t="s">
        <v>275</v>
      </c>
      <c r="G462" s="41" t="str">
        <f t="shared" si="80"/>
        <v>X</v>
      </c>
      <c r="H462" s="41">
        <f>INDEX(환산공식!CI$16:CI$301,MATCH('배치점수 계산기'!$W462,환산공식!$A$16:$A$301,0))</f>
        <v>200</v>
      </c>
      <c r="I462" s="41" t="str">
        <f>CONCATENATE(ROUND(INDEX(환산공식!CJ$16:CJ$301,MATCH('배치점수 계산기'!$W462,환산공식!$A$16:$A$301,0)),1),"%")</f>
        <v>100%</v>
      </c>
      <c r="J462" s="41">
        <f>INDEX(환산공식!CK$16:CK$301,MATCH('배치점수 계산기'!$W462,환산공식!$A$16:$A$301,0))</f>
        <v>50</v>
      </c>
      <c r="K462" s="7">
        <f>INDEX(환산공식!$EF$16:$EF$301,MATCH('배치점수 계산기'!W462,환산공식!$A$16:$A$301,0))</f>
        <v>0</v>
      </c>
      <c r="L462" s="41" t="str">
        <f t="shared" si="78"/>
        <v>1% 이하</v>
      </c>
      <c r="M462" s="7">
        <v>705.78200000000004</v>
      </c>
      <c r="N462" s="7">
        <v>704.00866979051807</v>
      </c>
      <c r="O462" s="7">
        <v>702.09442600276634</v>
      </c>
      <c r="P462" s="7">
        <v>700.75200000000007</v>
      </c>
      <c r="Q462" s="7">
        <v>697.32039698071014</v>
      </c>
      <c r="R462" s="7">
        <f t="shared" si="79"/>
        <v>6</v>
      </c>
      <c r="T462" s="7">
        <f>COUNTIF($C$11:C462,C462)</f>
        <v>198</v>
      </c>
      <c r="U462" s="7" t="str">
        <f t="shared" si="81"/>
        <v>나198</v>
      </c>
      <c r="V462" s="7" t="str">
        <f>INDEX(환산공식!$C$16:$C$301,MATCH('배치점수 계산기'!W462,환산공식!$A$16:$A$301,0))</f>
        <v>동국 통합</v>
      </c>
      <c r="W462" s="7">
        <f t="shared" si="82"/>
        <v>49</v>
      </c>
      <c r="X462" s="7">
        <f t="shared" si="83"/>
        <v>1</v>
      </c>
      <c r="Y462" s="7">
        <f>IFERROR(INDEX(환산공식!Q$16:Q$200,MATCH($A462,환산공식!$A$16:$A$200,0)),"")</f>
        <v>1.5</v>
      </c>
      <c r="Z462" s="7">
        <f>IFERROR(INDEX(환산공식!R$16:R$200,MATCH($A462,환산공식!$A$16:$A$200,0)),"")</f>
        <v>1.25</v>
      </c>
      <c r="AA462" s="7">
        <f>IFERROR(INDEX(환산공식!U$16:U$200,MATCH($A462,환산공식!$A$16:$A$200,0)),"")</f>
        <v>1</v>
      </c>
      <c r="AB462" s="7">
        <f t="shared" si="84"/>
        <v>0.4</v>
      </c>
      <c r="AC462" s="7">
        <f t="shared" si="85"/>
        <v>0.33333333333333331</v>
      </c>
      <c r="AD462" s="7">
        <f t="shared" si="86"/>
        <v>0.26666666666666666</v>
      </c>
      <c r="AE462" s="7">
        <f>INDEX(환산공식!$AF$16:$AF$301,MATCH('배치점수 계산기'!W462,환산공식!$A$16:$A$301,0))</f>
        <v>1</v>
      </c>
      <c r="AF462" s="7">
        <f>INDEX(환산공식!$AP$16:$AP$301,MATCH('배치점수 계산기'!W462,환산공식!$A$16:$A$301,0))</f>
        <v>4</v>
      </c>
      <c r="AG462" s="7" t="str">
        <f t="shared" si="87"/>
        <v>표점</v>
      </c>
      <c r="AH462" s="7" t="str">
        <f t="shared" si="88"/>
        <v>변표</v>
      </c>
      <c r="BO462" s="210"/>
      <c r="BP462" s="210"/>
      <c r="BQ462" s="210"/>
      <c r="BR462" s="210"/>
      <c r="BS462" s="210"/>
      <c r="BT462" s="210"/>
      <c r="BU462" s="210"/>
      <c r="BV462" s="210"/>
      <c r="BW462" s="210"/>
      <c r="BX462" s="210"/>
      <c r="BY462" s="210"/>
      <c r="BZ462" s="210"/>
      <c r="CA462" s="210"/>
      <c r="CB462" s="210"/>
      <c r="CC462" s="210"/>
      <c r="EM462" s="120"/>
      <c r="ET462" s="210"/>
      <c r="EU462" s="210"/>
      <c r="EV462" s="210"/>
      <c r="EW462" s="210"/>
      <c r="EX462" s="210"/>
      <c r="EY462" s="210"/>
      <c r="EZ462" s="210"/>
      <c r="FA462" s="210"/>
      <c r="FB462" s="210"/>
      <c r="FC462" s="210"/>
      <c r="FD462" s="210"/>
      <c r="FE462" s="210"/>
      <c r="FF462" s="210"/>
      <c r="FG462" s="210"/>
      <c r="FH462" s="210"/>
      <c r="HR462" s="120"/>
      <c r="HY462" s="210"/>
      <c r="HZ462" s="210"/>
      <c r="IA462" s="210"/>
      <c r="IB462" s="210"/>
      <c r="IC462" s="210"/>
      <c r="ID462" s="210"/>
      <c r="IE462" s="210"/>
      <c r="IF462" s="210"/>
      <c r="IG462" s="210"/>
      <c r="IH462" s="210"/>
      <c r="II462" s="210"/>
      <c r="IJ462" s="210"/>
      <c r="IK462" s="210"/>
      <c r="IL462" s="210"/>
      <c r="IM462" s="210"/>
      <c r="KW462" s="120"/>
      <c r="LD462" s="210"/>
      <c r="LE462" s="210"/>
      <c r="LF462" s="210"/>
      <c r="LG462" s="210"/>
      <c r="LH462" s="210"/>
      <c r="LI462" s="210"/>
      <c r="LJ462" s="210"/>
      <c r="LK462" s="210"/>
      <c r="LL462" s="210"/>
      <c r="LM462" s="210"/>
      <c r="LN462" s="210"/>
      <c r="LO462" s="210"/>
      <c r="LP462" s="210"/>
      <c r="LQ462" s="210"/>
      <c r="LR462" s="210"/>
      <c r="OB462" s="120"/>
      <c r="OI462" s="210"/>
      <c r="OJ462" s="210"/>
      <c r="OK462" s="210"/>
      <c r="OL462" s="210"/>
      <c r="OM462" s="210"/>
      <c r="ON462" s="210"/>
      <c r="OO462" s="210"/>
      <c r="OP462" s="210"/>
      <c r="OQ462" s="210"/>
      <c r="OR462" s="210"/>
      <c r="OS462" s="210"/>
      <c r="OT462" s="210"/>
      <c r="OU462" s="210"/>
      <c r="OV462" s="210"/>
      <c r="OW462" s="210"/>
      <c r="RG462" s="120"/>
    </row>
    <row r="463" spans="1:475" x14ac:dyDescent="0.3">
      <c r="A463" s="7">
        <v>49</v>
      </c>
      <c r="B463" s="7">
        <v>453</v>
      </c>
      <c r="C463" s="7" t="s">
        <v>346</v>
      </c>
      <c r="D463" s="7" t="s">
        <v>801</v>
      </c>
      <c r="E463" s="7" t="s">
        <v>264</v>
      </c>
      <c r="F463" s="7" t="s">
        <v>275</v>
      </c>
      <c r="G463" s="41" t="str">
        <f t="shared" si="80"/>
        <v>X</v>
      </c>
      <c r="H463" s="41">
        <f>INDEX(환산공식!CI$16:CI$301,MATCH('배치점수 계산기'!$W463,환산공식!$A$16:$A$301,0))</f>
        <v>200</v>
      </c>
      <c r="I463" s="41" t="str">
        <f>CONCATENATE(ROUND(INDEX(환산공식!CJ$16:CJ$301,MATCH('배치점수 계산기'!$W463,환산공식!$A$16:$A$301,0)),1),"%")</f>
        <v>100%</v>
      </c>
      <c r="J463" s="41">
        <f>INDEX(환산공식!CK$16:CK$301,MATCH('배치점수 계산기'!$W463,환산공식!$A$16:$A$301,0))</f>
        <v>50</v>
      </c>
      <c r="K463" s="7">
        <f>INDEX(환산공식!$EF$16:$EF$301,MATCH('배치점수 계산기'!W463,환산공식!$A$16:$A$301,0))</f>
        <v>0</v>
      </c>
      <c r="L463" s="41" t="str">
        <f t="shared" si="78"/>
        <v>1% 이하</v>
      </c>
      <c r="M463" s="7">
        <v>707.21500000000003</v>
      </c>
      <c r="N463" s="7">
        <v>705.78200000000004</v>
      </c>
      <c r="O463" s="7">
        <v>704.00866979051807</v>
      </c>
      <c r="P463" s="7">
        <v>701.36755570953437</v>
      </c>
      <c r="Q463" s="7">
        <v>698.2589999999999</v>
      </c>
      <c r="R463" s="7">
        <f t="shared" si="79"/>
        <v>6</v>
      </c>
      <c r="T463" s="7">
        <f>COUNTIF($C$11:C463,C463)</f>
        <v>199</v>
      </c>
      <c r="U463" s="7" t="str">
        <f t="shared" si="81"/>
        <v>나199</v>
      </c>
      <c r="V463" s="7" t="str">
        <f>INDEX(환산공식!$C$16:$C$301,MATCH('배치점수 계산기'!W463,환산공식!$A$16:$A$301,0))</f>
        <v>동국 통합</v>
      </c>
      <c r="W463" s="7">
        <f t="shared" si="82"/>
        <v>49</v>
      </c>
      <c r="X463" s="7">
        <f t="shared" si="83"/>
        <v>1</v>
      </c>
      <c r="Y463" s="7">
        <f>IFERROR(INDEX(환산공식!Q$16:Q$200,MATCH($A463,환산공식!$A$16:$A$200,0)),"")</f>
        <v>1.5</v>
      </c>
      <c r="Z463" s="7">
        <f>IFERROR(INDEX(환산공식!R$16:R$200,MATCH($A463,환산공식!$A$16:$A$200,0)),"")</f>
        <v>1.25</v>
      </c>
      <c r="AA463" s="7">
        <f>IFERROR(INDEX(환산공식!U$16:U$200,MATCH($A463,환산공식!$A$16:$A$200,0)),"")</f>
        <v>1</v>
      </c>
      <c r="AB463" s="7">
        <f t="shared" si="84"/>
        <v>0.4</v>
      </c>
      <c r="AC463" s="7">
        <f t="shared" si="85"/>
        <v>0.33333333333333331</v>
      </c>
      <c r="AD463" s="7">
        <f t="shared" si="86"/>
        <v>0.26666666666666666</v>
      </c>
      <c r="AE463" s="7">
        <f>INDEX(환산공식!$AF$16:$AF$301,MATCH('배치점수 계산기'!W463,환산공식!$A$16:$A$301,0))</f>
        <v>1</v>
      </c>
      <c r="AF463" s="7">
        <f>INDEX(환산공식!$AP$16:$AP$301,MATCH('배치점수 계산기'!W463,환산공식!$A$16:$A$301,0))</f>
        <v>4</v>
      </c>
      <c r="AG463" s="7" t="str">
        <f t="shared" si="87"/>
        <v>표점</v>
      </c>
      <c r="AH463" s="7" t="str">
        <f t="shared" si="88"/>
        <v>변표</v>
      </c>
      <c r="BO463" s="210"/>
      <c r="BP463" s="210"/>
      <c r="BQ463" s="210"/>
      <c r="BR463" s="210"/>
      <c r="BS463" s="210"/>
      <c r="BT463" s="210"/>
      <c r="BU463" s="210"/>
      <c r="BV463" s="210"/>
      <c r="BW463" s="210"/>
      <c r="BX463" s="210"/>
      <c r="BY463" s="210"/>
      <c r="BZ463" s="210"/>
      <c r="CA463" s="210"/>
      <c r="CB463" s="210"/>
      <c r="CC463" s="210"/>
      <c r="EM463" s="120"/>
      <c r="ET463" s="210"/>
      <c r="EU463" s="210"/>
      <c r="EV463" s="210"/>
      <c r="EW463" s="210"/>
      <c r="EX463" s="210"/>
      <c r="EY463" s="210"/>
      <c r="EZ463" s="210"/>
      <c r="FA463" s="210"/>
      <c r="FB463" s="210"/>
      <c r="FC463" s="210"/>
      <c r="FD463" s="210"/>
      <c r="FE463" s="210"/>
      <c r="FF463" s="210"/>
      <c r="FG463" s="210"/>
      <c r="FH463" s="210"/>
      <c r="HR463" s="120"/>
      <c r="HY463" s="210"/>
      <c r="HZ463" s="210"/>
      <c r="IA463" s="210"/>
      <c r="IB463" s="210"/>
      <c r="IC463" s="210"/>
      <c r="ID463" s="210"/>
      <c r="IE463" s="210"/>
      <c r="IF463" s="210"/>
      <c r="IG463" s="210"/>
      <c r="IH463" s="210"/>
      <c r="II463" s="210"/>
      <c r="IJ463" s="210"/>
      <c r="IK463" s="210"/>
      <c r="IL463" s="210"/>
      <c r="IM463" s="210"/>
      <c r="KW463" s="120"/>
      <c r="LD463" s="210"/>
      <c r="LE463" s="210"/>
      <c r="LF463" s="210"/>
      <c r="LG463" s="210"/>
      <c r="LH463" s="210"/>
      <c r="LI463" s="210"/>
      <c r="LJ463" s="210"/>
      <c r="LK463" s="210"/>
      <c r="LL463" s="210"/>
      <c r="LM463" s="210"/>
      <c r="LN463" s="210"/>
      <c r="LO463" s="210"/>
      <c r="LP463" s="210"/>
      <c r="LQ463" s="210"/>
      <c r="LR463" s="210"/>
      <c r="OB463" s="120"/>
      <c r="OI463" s="210"/>
      <c r="OJ463" s="210"/>
      <c r="OK463" s="210"/>
      <c r="OL463" s="210"/>
      <c r="OM463" s="210"/>
      <c r="ON463" s="210"/>
      <c r="OO463" s="210"/>
      <c r="OP463" s="210"/>
      <c r="OQ463" s="210"/>
      <c r="OR463" s="210"/>
      <c r="OS463" s="210"/>
      <c r="OT463" s="210"/>
      <c r="OU463" s="210"/>
      <c r="OV463" s="210"/>
      <c r="OW463" s="210"/>
      <c r="RG463" s="120"/>
    </row>
    <row r="464" spans="1:475" x14ac:dyDescent="0.3">
      <c r="A464" s="7">
        <v>49</v>
      </c>
      <c r="B464" s="7">
        <v>454</v>
      </c>
      <c r="C464" s="7" t="s">
        <v>346</v>
      </c>
      <c r="D464" s="7" t="s">
        <v>801</v>
      </c>
      <c r="E464" s="7" t="s">
        <v>812</v>
      </c>
      <c r="F464" s="7" t="s">
        <v>275</v>
      </c>
      <c r="G464" s="41" t="str">
        <f t="shared" si="80"/>
        <v>X</v>
      </c>
      <c r="H464" s="41">
        <f>INDEX(환산공식!CI$16:CI$301,MATCH('배치점수 계산기'!$W464,환산공식!$A$16:$A$301,0))</f>
        <v>200</v>
      </c>
      <c r="I464" s="41" t="str">
        <f>CONCATENATE(ROUND(INDEX(환산공식!CJ$16:CJ$301,MATCH('배치점수 계산기'!$W464,환산공식!$A$16:$A$301,0)),1),"%")</f>
        <v>100%</v>
      </c>
      <c r="J464" s="41">
        <f>INDEX(환산공식!CK$16:CK$301,MATCH('배치점수 계산기'!$W464,환산공식!$A$16:$A$301,0))</f>
        <v>50</v>
      </c>
      <c r="K464" s="7">
        <f>INDEX(환산공식!$EF$16:$EF$301,MATCH('배치점수 계산기'!W464,환산공식!$A$16:$A$301,0))</f>
        <v>0</v>
      </c>
      <c r="L464" s="41" t="str">
        <f t="shared" si="78"/>
        <v>1% 이하</v>
      </c>
      <c r="M464" s="7">
        <v>707.21500000000003</v>
      </c>
      <c r="N464" s="7">
        <v>705.78200000000004</v>
      </c>
      <c r="O464" s="7">
        <v>704.00866979051807</v>
      </c>
      <c r="P464" s="7">
        <v>701.36755570953437</v>
      </c>
      <c r="Q464" s="7">
        <v>699.50352712100141</v>
      </c>
      <c r="R464" s="7">
        <f t="shared" si="79"/>
        <v>6</v>
      </c>
      <c r="T464" s="7">
        <f>COUNTIF($C$11:C464,C464)</f>
        <v>200</v>
      </c>
      <c r="U464" s="7" t="str">
        <f t="shared" si="81"/>
        <v>나200</v>
      </c>
      <c r="V464" s="7" t="str">
        <f>INDEX(환산공식!$C$16:$C$301,MATCH('배치점수 계산기'!W464,환산공식!$A$16:$A$301,0))</f>
        <v>동국 통합</v>
      </c>
      <c r="W464" s="7">
        <f t="shared" si="82"/>
        <v>49</v>
      </c>
      <c r="X464" s="7">
        <f t="shared" si="83"/>
        <v>1</v>
      </c>
      <c r="Y464" s="7">
        <f>IFERROR(INDEX(환산공식!Q$16:Q$200,MATCH($A464,환산공식!$A$16:$A$200,0)),"")</f>
        <v>1.5</v>
      </c>
      <c r="Z464" s="7">
        <f>IFERROR(INDEX(환산공식!R$16:R$200,MATCH($A464,환산공식!$A$16:$A$200,0)),"")</f>
        <v>1.25</v>
      </c>
      <c r="AA464" s="7">
        <f>IFERROR(INDEX(환산공식!U$16:U$200,MATCH($A464,환산공식!$A$16:$A$200,0)),"")</f>
        <v>1</v>
      </c>
      <c r="AB464" s="7">
        <f t="shared" si="84"/>
        <v>0.4</v>
      </c>
      <c r="AC464" s="7">
        <f t="shared" si="85"/>
        <v>0.33333333333333331</v>
      </c>
      <c r="AD464" s="7">
        <f t="shared" si="86"/>
        <v>0.26666666666666666</v>
      </c>
      <c r="AE464" s="7">
        <f>INDEX(환산공식!$AF$16:$AF$301,MATCH('배치점수 계산기'!W464,환산공식!$A$16:$A$301,0))</f>
        <v>1</v>
      </c>
      <c r="AF464" s="7">
        <f>INDEX(환산공식!$AP$16:$AP$301,MATCH('배치점수 계산기'!W464,환산공식!$A$16:$A$301,0))</f>
        <v>4</v>
      </c>
      <c r="AG464" s="7" t="str">
        <f t="shared" si="87"/>
        <v>표점</v>
      </c>
      <c r="AH464" s="7" t="str">
        <f t="shared" si="88"/>
        <v>변표</v>
      </c>
      <c r="BO464" s="210"/>
      <c r="BP464" s="210"/>
      <c r="BQ464" s="210"/>
      <c r="BR464" s="210"/>
      <c r="BS464" s="210"/>
      <c r="BT464" s="210"/>
      <c r="BU464" s="210"/>
      <c r="BV464" s="210"/>
      <c r="BW464" s="210"/>
      <c r="BX464" s="210"/>
      <c r="BY464" s="210"/>
      <c r="BZ464" s="210"/>
      <c r="CA464" s="210"/>
      <c r="CB464" s="210"/>
      <c r="CC464" s="210"/>
      <c r="EM464" s="120"/>
      <c r="ET464" s="210"/>
      <c r="EU464" s="210"/>
      <c r="EV464" s="210"/>
      <c r="EW464" s="210"/>
      <c r="EX464" s="210"/>
      <c r="EY464" s="210"/>
      <c r="EZ464" s="210"/>
      <c r="FA464" s="210"/>
      <c r="FB464" s="210"/>
      <c r="FC464" s="210"/>
      <c r="FD464" s="210"/>
      <c r="FE464" s="210"/>
      <c r="FF464" s="210"/>
      <c r="FG464" s="210"/>
      <c r="FH464" s="210"/>
      <c r="HR464" s="120"/>
      <c r="HY464" s="210"/>
      <c r="HZ464" s="210"/>
      <c r="IA464" s="210"/>
      <c r="IB464" s="210"/>
      <c r="IC464" s="210"/>
      <c r="ID464" s="210"/>
      <c r="IE464" s="210"/>
      <c r="IF464" s="210"/>
      <c r="IG464" s="210"/>
      <c r="IH464" s="210"/>
      <c r="II464" s="210"/>
      <c r="IJ464" s="210"/>
      <c r="IK464" s="210"/>
      <c r="IL464" s="210"/>
      <c r="IM464" s="210"/>
      <c r="KW464" s="120"/>
      <c r="LD464" s="210"/>
      <c r="LE464" s="210"/>
      <c r="LF464" s="210"/>
      <c r="LG464" s="210"/>
      <c r="LH464" s="210"/>
      <c r="LI464" s="210"/>
      <c r="LJ464" s="210"/>
      <c r="LK464" s="210"/>
      <c r="LL464" s="210"/>
      <c r="LM464" s="210"/>
      <c r="LN464" s="210"/>
      <c r="LO464" s="210"/>
      <c r="LP464" s="210"/>
      <c r="LQ464" s="210"/>
      <c r="LR464" s="210"/>
      <c r="OB464" s="120"/>
      <c r="OI464" s="210"/>
      <c r="OJ464" s="210"/>
      <c r="OK464" s="210"/>
      <c r="OL464" s="210"/>
      <c r="OM464" s="210"/>
      <c r="ON464" s="210"/>
      <c r="OO464" s="210"/>
      <c r="OP464" s="210"/>
      <c r="OQ464" s="210"/>
      <c r="OR464" s="210"/>
      <c r="OS464" s="210"/>
      <c r="OT464" s="210"/>
      <c r="OU464" s="210"/>
      <c r="OV464" s="210"/>
      <c r="OW464" s="210"/>
      <c r="RG464" s="120"/>
    </row>
    <row r="465" spans="1:475" x14ac:dyDescent="0.3">
      <c r="A465" s="7">
        <v>49</v>
      </c>
      <c r="B465" s="7">
        <v>455</v>
      </c>
      <c r="C465" s="7" t="s">
        <v>346</v>
      </c>
      <c r="D465" s="7" t="s">
        <v>801</v>
      </c>
      <c r="E465" s="7" t="s">
        <v>262</v>
      </c>
      <c r="F465" s="7" t="s">
        <v>275</v>
      </c>
      <c r="G465" s="41" t="str">
        <f t="shared" si="80"/>
        <v>X</v>
      </c>
      <c r="H465" s="41">
        <f>INDEX(환산공식!CI$16:CI$301,MATCH('배치점수 계산기'!$W465,환산공식!$A$16:$A$301,0))</f>
        <v>200</v>
      </c>
      <c r="I465" s="41" t="str">
        <f>CONCATENATE(ROUND(INDEX(환산공식!CJ$16:CJ$301,MATCH('배치점수 계산기'!$W465,환산공식!$A$16:$A$301,0)),1),"%")</f>
        <v>100%</v>
      </c>
      <c r="J465" s="41">
        <f>INDEX(환산공식!CK$16:CK$301,MATCH('배치점수 계산기'!$W465,환산공식!$A$16:$A$301,0))</f>
        <v>50</v>
      </c>
      <c r="K465" s="7">
        <f>INDEX(환산공식!$EF$16:$EF$301,MATCH('배치점수 계산기'!W465,환산공식!$A$16:$A$301,0))</f>
        <v>0</v>
      </c>
      <c r="L465" s="41" t="str">
        <f t="shared" si="78"/>
        <v>1% 이하</v>
      </c>
      <c r="M465" s="7">
        <v>708.14020944838887</v>
      </c>
      <c r="N465" s="7">
        <v>707.21500000000003</v>
      </c>
      <c r="O465" s="7">
        <v>705.78200000000004</v>
      </c>
      <c r="P465" s="7">
        <v>702.09442600276634</v>
      </c>
      <c r="Q465" s="7">
        <v>700.20951819949994</v>
      </c>
      <c r="R465" s="7">
        <f t="shared" si="79"/>
        <v>6</v>
      </c>
      <c r="T465" s="7">
        <f>COUNTIF($C$11:C465,C465)</f>
        <v>201</v>
      </c>
      <c r="U465" s="7" t="str">
        <f t="shared" si="81"/>
        <v>나201</v>
      </c>
      <c r="V465" s="7" t="str">
        <f>INDEX(환산공식!$C$16:$C$301,MATCH('배치점수 계산기'!W465,환산공식!$A$16:$A$301,0))</f>
        <v>동국 통합</v>
      </c>
      <c r="W465" s="7">
        <f t="shared" si="82"/>
        <v>49</v>
      </c>
      <c r="X465" s="7">
        <f t="shared" si="83"/>
        <v>1</v>
      </c>
      <c r="Y465" s="7">
        <f>IFERROR(INDEX(환산공식!Q$16:Q$200,MATCH($A465,환산공식!$A$16:$A$200,0)),"")</f>
        <v>1.5</v>
      </c>
      <c r="Z465" s="7">
        <f>IFERROR(INDEX(환산공식!R$16:R$200,MATCH($A465,환산공식!$A$16:$A$200,0)),"")</f>
        <v>1.25</v>
      </c>
      <c r="AA465" s="7">
        <f>IFERROR(INDEX(환산공식!U$16:U$200,MATCH($A465,환산공식!$A$16:$A$200,0)),"")</f>
        <v>1</v>
      </c>
      <c r="AB465" s="7">
        <f t="shared" si="84"/>
        <v>0.4</v>
      </c>
      <c r="AC465" s="7">
        <f t="shared" si="85"/>
        <v>0.33333333333333331</v>
      </c>
      <c r="AD465" s="7">
        <f t="shared" si="86"/>
        <v>0.26666666666666666</v>
      </c>
      <c r="AE465" s="7">
        <f>INDEX(환산공식!$AF$16:$AF$301,MATCH('배치점수 계산기'!W465,환산공식!$A$16:$A$301,0))</f>
        <v>1</v>
      </c>
      <c r="AF465" s="7">
        <f>INDEX(환산공식!$AP$16:$AP$301,MATCH('배치점수 계산기'!W465,환산공식!$A$16:$A$301,0))</f>
        <v>4</v>
      </c>
      <c r="AG465" s="7" t="str">
        <f t="shared" si="87"/>
        <v>표점</v>
      </c>
      <c r="AH465" s="7" t="str">
        <f t="shared" si="88"/>
        <v>변표</v>
      </c>
      <c r="BO465" s="210"/>
      <c r="BP465" s="210"/>
      <c r="BQ465" s="210"/>
      <c r="BR465" s="210"/>
      <c r="BS465" s="210"/>
      <c r="BT465" s="210"/>
      <c r="BU465" s="210"/>
      <c r="BV465" s="210"/>
      <c r="BW465" s="210"/>
      <c r="BX465" s="210"/>
      <c r="BY465" s="210"/>
      <c r="BZ465" s="210"/>
      <c r="CA465" s="210"/>
      <c r="CB465" s="210"/>
      <c r="CC465" s="210"/>
      <c r="EM465" s="120"/>
      <c r="ET465" s="210"/>
      <c r="EU465" s="210"/>
      <c r="EV465" s="210"/>
      <c r="EW465" s="210"/>
      <c r="EX465" s="210"/>
      <c r="EY465" s="210"/>
      <c r="EZ465" s="210"/>
      <c r="FA465" s="210"/>
      <c r="FB465" s="210"/>
      <c r="FC465" s="210"/>
      <c r="FD465" s="210"/>
      <c r="FE465" s="210"/>
      <c r="FF465" s="210"/>
      <c r="FG465" s="210"/>
      <c r="FH465" s="210"/>
      <c r="HR465" s="120"/>
      <c r="HY465" s="210"/>
      <c r="HZ465" s="210"/>
      <c r="IA465" s="210"/>
      <c r="IB465" s="210"/>
      <c r="IC465" s="210"/>
      <c r="ID465" s="210"/>
      <c r="IE465" s="210"/>
      <c r="IF465" s="210"/>
      <c r="IG465" s="210"/>
      <c r="IH465" s="210"/>
      <c r="II465" s="210"/>
      <c r="IJ465" s="210"/>
      <c r="IK465" s="210"/>
      <c r="IL465" s="210"/>
      <c r="IM465" s="210"/>
      <c r="KW465" s="120"/>
      <c r="LD465" s="210"/>
      <c r="LE465" s="210"/>
      <c r="LF465" s="210"/>
      <c r="LG465" s="210"/>
      <c r="LH465" s="210"/>
      <c r="LI465" s="210"/>
      <c r="LJ465" s="210"/>
      <c r="LK465" s="210"/>
      <c r="LL465" s="210"/>
      <c r="LM465" s="210"/>
      <c r="LN465" s="210"/>
      <c r="LO465" s="210"/>
      <c r="LP465" s="210"/>
      <c r="LQ465" s="210"/>
      <c r="LR465" s="210"/>
      <c r="OB465" s="120"/>
      <c r="OI465" s="210"/>
      <c r="OJ465" s="210"/>
      <c r="OK465" s="210"/>
      <c r="OL465" s="210"/>
      <c r="OM465" s="210"/>
      <c r="ON465" s="210"/>
      <c r="OO465" s="210"/>
      <c r="OP465" s="210"/>
      <c r="OQ465" s="210"/>
      <c r="OR465" s="210"/>
      <c r="OS465" s="210"/>
      <c r="OT465" s="210"/>
      <c r="OU465" s="210"/>
      <c r="OV465" s="210"/>
      <c r="OW465" s="210"/>
      <c r="RG465" s="120"/>
    </row>
    <row r="466" spans="1:475" x14ac:dyDescent="0.3">
      <c r="A466" s="7">
        <v>49</v>
      </c>
      <c r="B466" s="7">
        <v>456</v>
      </c>
      <c r="C466" s="7" t="s">
        <v>276</v>
      </c>
      <c r="D466" s="7" t="s">
        <v>801</v>
      </c>
      <c r="E466" s="7" t="s">
        <v>335</v>
      </c>
      <c r="F466" s="7" t="s">
        <v>275</v>
      </c>
      <c r="G466" s="41" t="str">
        <f t="shared" si="80"/>
        <v>X</v>
      </c>
      <c r="H466" s="41">
        <f>INDEX(환산공식!CI$16:CI$301,MATCH('배치점수 계산기'!$W466,환산공식!$A$16:$A$301,0))</f>
        <v>200</v>
      </c>
      <c r="I466" s="41" t="str">
        <f>CONCATENATE(ROUND(INDEX(환산공식!CJ$16:CJ$301,MATCH('배치점수 계산기'!$W466,환산공식!$A$16:$A$301,0)),1),"%")</f>
        <v>100%</v>
      </c>
      <c r="J466" s="41">
        <f>INDEX(환산공식!CK$16:CK$301,MATCH('배치점수 계산기'!$W466,환산공식!$A$16:$A$301,0))</f>
        <v>50</v>
      </c>
      <c r="K466" s="7">
        <f>INDEX(환산공식!$EF$16:$EF$301,MATCH('배치점수 계산기'!W466,환산공식!$A$16:$A$301,0))</f>
        <v>0</v>
      </c>
      <c r="L466" s="41" t="str">
        <f t="shared" si="78"/>
        <v>1% 이하</v>
      </c>
      <c r="M466" s="7">
        <v>708.14020944838887</v>
      </c>
      <c r="N466" s="7">
        <v>707.21500000000003</v>
      </c>
      <c r="O466" s="7">
        <v>705.78200000000004</v>
      </c>
      <c r="P466" s="7">
        <v>702.09442600276634</v>
      </c>
      <c r="Q466" s="7">
        <v>698.93399999999997</v>
      </c>
      <c r="R466" s="7">
        <f t="shared" si="79"/>
        <v>6</v>
      </c>
      <c r="T466" s="7">
        <f>COUNTIF($C$11:C466,C466)</f>
        <v>241</v>
      </c>
      <c r="U466" s="7" t="str">
        <f t="shared" si="81"/>
        <v>가241</v>
      </c>
      <c r="V466" s="7" t="str">
        <f>INDEX(환산공식!$C$16:$C$301,MATCH('배치점수 계산기'!W466,환산공식!$A$16:$A$301,0))</f>
        <v>동국 통합</v>
      </c>
      <c r="W466" s="7">
        <f t="shared" si="82"/>
        <v>49</v>
      </c>
      <c r="X466" s="7">
        <f t="shared" si="83"/>
        <v>1</v>
      </c>
      <c r="Y466" s="7">
        <f>IFERROR(INDEX(환산공식!Q$16:Q$200,MATCH($A466,환산공식!$A$16:$A$200,0)),"")</f>
        <v>1.5</v>
      </c>
      <c r="Z466" s="7">
        <f>IFERROR(INDEX(환산공식!R$16:R$200,MATCH($A466,환산공식!$A$16:$A$200,0)),"")</f>
        <v>1.25</v>
      </c>
      <c r="AA466" s="7">
        <f>IFERROR(INDEX(환산공식!U$16:U$200,MATCH($A466,환산공식!$A$16:$A$200,0)),"")</f>
        <v>1</v>
      </c>
      <c r="AB466" s="7">
        <f t="shared" si="84"/>
        <v>0.4</v>
      </c>
      <c r="AC466" s="7">
        <f t="shared" si="85"/>
        <v>0.33333333333333331</v>
      </c>
      <c r="AD466" s="7">
        <f t="shared" si="86"/>
        <v>0.26666666666666666</v>
      </c>
      <c r="AE466" s="7">
        <f>INDEX(환산공식!$AF$16:$AF$301,MATCH('배치점수 계산기'!W466,환산공식!$A$16:$A$301,0))</f>
        <v>1</v>
      </c>
      <c r="AF466" s="7">
        <f>INDEX(환산공식!$AP$16:$AP$301,MATCH('배치점수 계산기'!W466,환산공식!$A$16:$A$301,0))</f>
        <v>4</v>
      </c>
      <c r="AG466" s="7" t="str">
        <f t="shared" si="87"/>
        <v>표점</v>
      </c>
      <c r="AH466" s="7" t="str">
        <f t="shared" si="88"/>
        <v>변표</v>
      </c>
      <c r="BO466" s="210"/>
      <c r="BP466" s="210"/>
      <c r="BQ466" s="210"/>
      <c r="BR466" s="210"/>
      <c r="BS466" s="210"/>
      <c r="BT466" s="210"/>
      <c r="BU466" s="210"/>
      <c r="BV466" s="210"/>
      <c r="BW466" s="210"/>
      <c r="BX466" s="210"/>
      <c r="BY466" s="210"/>
      <c r="BZ466" s="210"/>
      <c r="CA466" s="210"/>
      <c r="CB466" s="210"/>
      <c r="CC466" s="210"/>
      <c r="EM466" s="120"/>
      <c r="ET466" s="210"/>
      <c r="EU466" s="210"/>
      <c r="EV466" s="210"/>
      <c r="EW466" s="210"/>
      <c r="EX466" s="210"/>
      <c r="EY466" s="210"/>
      <c r="EZ466" s="210"/>
      <c r="FA466" s="210"/>
      <c r="FB466" s="210"/>
      <c r="FC466" s="210"/>
      <c r="FD466" s="210"/>
      <c r="FE466" s="210"/>
      <c r="FF466" s="210"/>
      <c r="FG466" s="210"/>
      <c r="FH466" s="210"/>
      <c r="HR466" s="120"/>
      <c r="HY466" s="210"/>
      <c r="HZ466" s="210"/>
      <c r="IA466" s="210"/>
      <c r="IB466" s="210"/>
      <c r="IC466" s="210"/>
      <c r="ID466" s="210"/>
      <c r="IE466" s="210"/>
      <c r="IF466" s="210"/>
      <c r="IG466" s="210"/>
      <c r="IH466" s="210"/>
      <c r="II466" s="210"/>
      <c r="IJ466" s="210"/>
      <c r="IK466" s="210"/>
      <c r="IL466" s="210"/>
      <c r="IM466" s="210"/>
      <c r="KW466" s="120"/>
      <c r="LD466" s="210"/>
      <c r="LE466" s="210"/>
      <c r="LF466" s="210"/>
      <c r="LG466" s="210"/>
      <c r="LH466" s="210"/>
      <c r="LI466" s="210"/>
      <c r="LJ466" s="210"/>
      <c r="LK466" s="210"/>
      <c r="LL466" s="210"/>
      <c r="LM466" s="210"/>
      <c r="LN466" s="210"/>
      <c r="LO466" s="210"/>
      <c r="LP466" s="210"/>
      <c r="LQ466" s="210"/>
      <c r="LR466" s="210"/>
      <c r="OB466" s="120"/>
      <c r="OI466" s="210"/>
      <c r="OJ466" s="210"/>
      <c r="OK466" s="210"/>
      <c r="OL466" s="210"/>
      <c r="OM466" s="210"/>
      <c r="ON466" s="210"/>
      <c r="OO466" s="210"/>
      <c r="OP466" s="210"/>
      <c r="OQ466" s="210"/>
      <c r="OR466" s="210"/>
      <c r="OS466" s="210"/>
      <c r="OT466" s="210"/>
      <c r="OU466" s="210"/>
      <c r="OV466" s="210"/>
      <c r="OW466" s="210"/>
      <c r="RG466" s="120"/>
    </row>
    <row r="467" spans="1:475" x14ac:dyDescent="0.3">
      <c r="A467" s="7">
        <v>49</v>
      </c>
      <c r="B467" s="7">
        <v>457</v>
      </c>
      <c r="C467" s="7" t="s">
        <v>276</v>
      </c>
      <c r="D467" s="7" t="s">
        <v>801</v>
      </c>
      <c r="E467" s="7" t="s">
        <v>261</v>
      </c>
      <c r="F467" s="7" t="s">
        <v>275</v>
      </c>
      <c r="G467" s="41" t="str">
        <f t="shared" si="80"/>
        <v>X</v>
      </c>
      <c r="H467" s="41">
        <f>INDEX(환산공식!CI$16:CI$301,MATCH('배치점수 계산기'!$W467,환산공식!$A$16:$A$301,0))</f>
        <v>200</v>
      </c>
      <c r="I467" s="41" t="str">
        <f>CONCATENATE(ROUND(INDEX(환산공식!CJ$16:CJ$301,MATCH('배치점수 계산기'!$W467,환산공식!$A$16:$A$301,0)),1),"%")</f>
        <v>100%</v>
      </c>
      <c r="J467" s="41">
        <f>INDEX(환산공식!CK$16:CK$301,MATCH('배치점수 계산기'!$W467,환산공식!$A$16:$A$301,0))</f>
        <v>50</v>
      </c>
      <c r="K467" s="7">
        <f>INDEX(환산공식!$EF$16:$EF$301,MATCH('배치점수 계산기'!W467,환산공식!$A$16:$A$301,0))</f>
        <v>0</v>
      </c>
      <c r="L467" s="41" t="str">
        <f t="shared" si="78"/>
        <v>1% 이하</v>
      </c>
      <c r="M467" s="7">
        <v>708.14020944838887</v>
      </c>
      <c r="N467" s="7">
        <v>707.21500000000003</v>
      </c>
      <c r="O467" s="7">
        <v>705.78200000000004</v>
      </c>
      <c r="P467" s="7">
        <v>702.09442600276634</v>
      </c>
      <c r="Q467" s="7">
        <v>700.20951819949994</v>
      </c>
      <c r="R467" s="7">
        <f t="shared" si="79"/>
        <v>6</v>
      </c>
      <c r="T467" s="7">
        <f>COUNTIF($C$11:C467,C467)</f>
        <v>242</v>
      </c>
      <c r="U467" s="7" t="str">
        <f t="shared" si="81"/>
        <v>가242</v>
      </c>
      <c r="V467" s="7" t="str">
        <f>INDEX(환산공식!$C$16:$C$301,MATCH('배치점수 계산기'!W467,환산공식!$A$16:$A$301,0))</f>
        <v>동국 통합</v>
      </c>
      <c r="W467" s="7">
        <f t="shared" si="82"/>
        <v>49</v>
      </c>
      <c r="X467" s="7">
        <f t="shared" si="83"/>
        <v>1</v>
      </c>
      <c r="Y467" s="7">
        <f>IFERROR(INDEX(환산공식!Q$16:Q$200,MATCH($A467,환산공식!$A$16:$A$200,0)),"")</f>
        <v>1.5</v>
      </c>
      <c r="Z467" s="7">
        <f>IFERROR(INDEX(환산공식!R$16:R$200,MATCH($A467,환산공식!$A$16:$A$200,0)),"")</f>
        <v>1.25</v>
      </c>
      <c r="AA467" s="7">
        <f>IFERROR(INDEX(환산공식!U$16:U$200,MATCH($A467,환산공식!$A$16:$A$200,0)),"")</f>
        <v>1</v>
      </c>
      <c r="AB467" s="7">
        <f t="shared" si="84"/>
        <v>0.4</v>
      </c>
      <c r="AC467" s="7">
        <f t="shared" si="85"/>
        <v>0.33333333333333331</v>
      </c>
      <c r="AD467" s="7">
        <f t="shared" si="86"/>
        <v>0.26666666666666666</v>
      </c>
      <c r="AE467" s="7">
        <f>INDEX(환산공식!$AF$16:$AF$301,MATCH('배치점수 계산기'!W467,환산공식!$A$16:$A$301,0))</f>
        <v>1</v>
      </c>
      <c r="AF467" s="7">
        <f>INDEX(환산공식!$AP$16:$AP$301,MATCH('배치점수 계산기'!W467,환산공식!$A$16:$A$301,0))</f>
        <v>4</v>
      </c>
      <c r="AG467" s="7" t="str">
        <f t="shared" si="87"/>
        <v>표점</v>
      </c>
      <c r="AH467" s="7" t="str">
        <f t="shared" si="88"/>
        <v>변표</v>
      </c>
      <c r="BO467" s="210"/>
      <c r="BP467" s="210"/>
      <c r="BQ467" s="210"/>
      <c r="BR467" s="210"/>
      <c r="BS467" s="210"/>
      <c r="BT467" s="210"/>
      <c r="BU467" s="210"/>
      <c r="BV467" s="210"/>
      <c r="BW467" s="210"/>
      <c r="BX467" s="210"/>
      <c r="BY467" s="210"/>
      <c r="BZ467" s="210"/>
      <c r="CA467" s="210"/>
      <c r="CB467" s="210"/>
      <c r="CC467" s="210"/>
      <c r="EM467" s="120"/>
      <c r="ET467" s="210"/>
      <c r="EU467" s="210"/>
      <c r="EV467" s="210"/>
      <c r="EW467" s="210"/>
      <c r="EX467" s="210"/>
      <c r="EY467" s="210"/>
      <c r="EZ467" s="210"/>
      <c r="FA467" s="210"/>
      <c r="FB467" s="210"/>
      <c r="FC467" s="210"/>
      <c r="FD467" s="210"/>
      <c r="FE467" s="210"/>
      <c r="FF467" s="210"/>
      <c r="FG467" s="210"/>
      <c r="FH467" s="210"/>
      <c r="HR467" s="120"/>
      <c r="HY467" s="210"/>
      <c r="HZ467" s="210"/>
      <c r="IA467" s="210"/>
      <c r="IB467" s="210"/>
      <c r="IC467" s="210"/>
      <c r="ID467" s="210"/>
      <c r="IE467" s="210"/>
      <c r="IF467" s="210"/>
      <c r="IG467" s="210"/>
      <c r="IH467" s="210"/>
      <c r="II467" s="210"/>
      <c r="IJ467" s="210"/>
      <c r="IK467" s="210"/>
      <c r="IL467" s="210"/>
      <c r="IM467" s="210"/>
      <c r="KW467" s="120"/>
      <c r="LD467" s="210"/>
      <c r="LE467" s="210"/>
      <c r="LF467" s="210"/>
      <c r="LG467" s="210"/>
      <c r="LH467" s="210"/>
      <c r="LI467" s="210"/>
      <c r="LJ467" s="210"/>
      <c r="LK467" s="210"/>
      <c r="LL467" s="210"/>
      <c r="LM467" s="210"/>
      <c r="LN467" s="210"/>
      <c r="LO467" s="210"/>
      <c r="LP467" s="210"/>
      <c r="LQ467" s="210"/>
      <c r="LR467" s="210"/>
      <c r="OB467" s="120"/>
      <c r="OI467" s="210"/>
      <c r="OJ467" s="210"/>
      <c r="OK467" s="210"/>
      <c r="OL467" s="210"/>
      <c r="OM467" s="210"/>
      <c r="ON467" s="210"/>
      <c r="OO467" s="210"/>
      <c r="OP467" s="210"/>
      <c r="OQ467" s="210"/>
      <c r="OR467" s="210"/>
      <c r="OS467" s="210"/>
      <c r="OT467" s="210"/>
      <c r="OU467" s="210"/>
      <c r="OV467" s="210"/>
      <c r="OW467" s="210"/>
      <c r="RG467" s="120"/>
    </row>
    <row r="468" spans="1:475" x14ac:dyDescent="0.3">
      <c r="A468" s="7">
        <v>49</v>
      </c>
      <c r="B468" s="7">
        <v>458</v>
      </c>
      <c r="C468" s="7" t="s">
        <v>276</v>
      </c>
      <c r="D468" s="7" t="s">
        <v>801</v>
      </c>
      <c r="E468" s="7" t="s">
        <v>270</v>
      </c>
      <c r="F468" s="7" t="s">
        <v>275</v>
      </c>
      <c r="G468" s="41" t="str">
        <f t="shared" si="80"/>
        <v>X</v>
      </c>
      <c r="H468" s="41">
        <f>INDEX(환산공식!CI$16:CI$301,MATCH('배치점수 계산기'!$W468,환산공식!$A$16:$A$301,0))</f>
        <v>200</v>
      </c>
      <c r="I468" s="41" t="str">
        <f>CONCATENATE(ROUND(INDEX(환산공식!CJ$16:CJ$301,MATCH('배치점수 계산기'!$W468,환산공식!$A$16:$A$301,0)),1),"%")</f>
        <v>100%</v>
      </c>
      <c r="J468" s="41">
        <f>INDEX(환산공식!CK$16:CK$301,MATCH('배치점수 계산기'!$W468,환산공식!$A$16:$A$301,0))</f>
        <v>50</v>
      </c>
      <c r="K468" s="7">
        <f>INDEX(환산공식!$EF$16:$EF$301,MATCH('배치점수 계산기'!W468,환산공식!$A$16:$A$301,0))</f>
        <v>0</v>
      </c>
      <c r="L468" s="41" t="str">
        <f t="shared" si="78"/>
        <v>1% 이하</v>
      </c>
      <c r="M468" s="7">
        <v>705.78200000000004</v>
      </c>
      <c r="N468" s="7">
        <v>704.00866979051807</v>
      </c>
      <c r="O468" s="7">
        <v>702.09442600276634</v>
      </c>
      <c r="P468" s="7">
        <v>700.20951819949994</v>
      </c>
      <c r="Q468" s="7">
        <v>697.32039698071014</v>
      </c>
      <c r="R468" s="7">
        <f t="shared" si="79"/>
        <v>6</v>
      </c>
      <c r="T468" s="7">
        <f>COUNTIF($C$11:C468,C468)</f>
        <v>243</v>
      </c>
      <c r="U468" s="7" t="str">
        <f t="shared" si="81"/>
        <v>가243</v>
      </c>
      <c r="V468" s="7" t="str">
        <f>INDEX(환산공식!$C$16:$C$301,MATCH('배치점수 계산기'!W468,환산공식!$A$16:$A$301,0))</f>
        <v>동국 통합</v>
      </c>
      <c r="W468" s="7">
        <f t="shared" si="82"/>
        <v>49</v>
      </c>
      <c r="X468" s="7">
        <f t="shared" si="83"/>
        <v>1</v>
      </c>
      <c r="Y468" s="7">
        <f>IFERROR(INDEX(환산공식!Q$16:Q$200,MATCH($A468,환산공식!$A$16:$A$200,0)),"")</f>
        <v>1.5</v>
      </c>
      <c r="Z468" s="7">
        <f>IFERROR(INDEX(환산공식!R$16:R$200,MATCH($A468,환산공식!$A$16:$A$200,0)),"")</f>
        <v>1.25</v>
      </c>
      <c r="AA468" s="7">
        <f>IFERROR(INDEX(환산공식!U$16:U$200,MATCH($A468,환산공식!$A$16:$A$200,0)),"")</f>
        <v>1</v>
      </c>
      <c r="AB468" s="7">
        <f t="shared" si="84"/>
        <v>0.4</v>
      </c>
      <c r="AC468" s="7">
        <f t="shared" si="85"/>
        <v>0.33333333333333331</v>
      </c>
      <c r="AD468" s="7">
        <f t="shared" si="86"/>
        <v>0.26666666666666666</v>
      </c>
      <c r="AE468" s="7">
        <f>INDEX(환산공식!$AF$16:$AF$301,MATCH('배치점수 계산기'!W468,환산공식!$A$16:$A$301,0))</f>
        <v>1</v>
      </c>
      <c r="AF468" s="7">
        <f>INDEX(환산공식!$AP$16:$AP$301,MATCH('배치점수 계산기'!W468,환산공식!$A$16:$A$301,0))</f>
        <v>4</v>
      </c>
      <c r="AG468" s="7" t="str">
        <f t="shared" si="87"/>
        <v>표점</v>
      </c>
      <c r="AH468" s="7" t="str">
        <f t="shared" si="88"/>
        <v>변표</v>
      </c>
      <c r="BO468" s="210"/>
      <c r="BP468" s="210"/>
      <c r="BQ468" s="210"/>
      <c r="BR468" s="210"/>
      <c r="BS468" s="210"/>
      <c r="BT468" s="210"/>
      <c r="BU468" s="210"/>
      <c r="BV468" s="210"/>
      <c r="BW468" s="210"/>
      <c r="BX468" s="210"/>
      <c r="BY468" s="210"/>
      <c r="BZ468" s="210"/>
      <c r="CA468" s="210"/>
      <c r="CB468" s="210"/>
      <c r="CC468" s="210"/>
      <c r="EM468" s="120"/>
      <c r="ET468" s="210"/>
      <c r="EU468" s="210"/>
      <c r="EV468" s="210"/>
      <c r="EW468" s="210"/>
      <c r="EX468" s="210"/>
      <c r="EY468" s="210"/>
      <c r="EZ468" s="210"/>
      <c r="FA468" s="210"/>
      <c r="FB468" s="210"/>
      <c r="FC468" s="210"/>
      <c r="FD468" s="210"/>
      <c r="FE468" s="210"/>
      <c r="FF468" s="210"/>
      <c r="FG468" s="210"/>
      <c r="FH468" s="210"/>
      <c r="HR468" s="120"/>
      <c r="HY468" s="210"/>
      <c r="HZ468" s="210"/>
      <c r="IA468" s="210"/>
      <c r="IB468" s="210"/>
      <c r="IC468" s="210"/>
      <c r="ID468" s="210"/>
      <c r="IE468" s="210"/>
      <c r="IF468" s="210"/>
      <c r="IG468" s="210"/>
      <c r="IH468" s="210"/>
      <c r="II468" s="210"/>
      <c r="IJ468" s="210"/>
      <c r="IK468" s="210"/>
      <c r="IL468" s="210"/>
      <c r="IM468" s="210"/>
      <c r="KW468" s="120"/>
      <c r="LD468" s="210"/>
      <c r="LE468" s="210"/>
      <c r="LF468" s="210"/>
      <c r="LG468" s="210"/>
      <c r="LH468" s="210"/>
      <c r="LI468" s="210"/>
      <c r="LJ468" s="210"/>
      <c r="LK468" s="210"/>
      <c r="LL468" s="210"/>
      <c r="LM468" s="210"/>
      <c r="LN468" s="210"/>
      <c r="LO468" s="210"/>
      <c r="LP468" s="210"/>
      <c r="LQ468" s="210"/>
      <c r="LR468" s="210"/>
      <c r="OB468" s="120"/>
      <c r="OI468" s="210"/>
      <c r="OJ468" s="210"/>
      <c r="OK468" s="210"/>
      <c r="OL468" s="210"/>
      <c r="OM468" s="210"/>
      <c r="ON468" s="210"/>
      <c r="OO468" s="210"/>
      <c r="OP468" s="210"/>
      <c r="OQ468" s="210"/>
      <c r="OR468" s="210"/>
      <c r="OS468" s="210"/>
      <c r="OT468" s="210"/>
      <c r="OU468" s="210"/>
      <c r="OV468" s="210"/>
      <c r="OW468" s="210"/>
      <c r="RG468" s="120"/>
    </row>
    <row r="469" spans="1:475" x14ac:dyDescent="0.3">
      <c r="A469" s="7">
        <v>49</v>
      </c>
      <c r="B469" s="7">
        <v>459</v>
      </c>
      <c r="C469" s="7" t="s">
        <v>276</v>
      </c>
      <c r="D469" s="7" t="s">
        <v>801</v>
      </c>
      <c r="E469" s="7" t="s">
        <v>438</v>
      </c>
      <c r="F469" s="7" t="s">
        <v>275</v>
      </c>
      <c r="G469" s="41" t="str">
        <f t="shared" si="80"/>
        <v>X</v>
      </c>
      <c r="H469" s="41">
        <f>INDEX(환산공식!CI$16:CI$301,MATCH('배치점수 계산기'!$W469,환산공식!$A$16:$A$301,0))</f>
        <v>200</v>
      </c>
      <c r="I469" s="41" t="str">
        <f>CONCATENATE(ROUND(INDEX(환산공식!CJ$16:CJ$301,MATCH('배치점수 계산기'!$W469,환산공식!$A$16:$A$301,0)),1),"%")</f>
        <v>100%</v>
      </c>
      <c r="J469" s="41">
        <f>INDEX(환산공식!CK$16:CK$301,MATCH('배치점수 계산기'!$W469,환산공식!$A$16:$A$301,0))</f>
        <v>50</v>
      </c>
      <c r="K469" s="7">
        <f>INDEX(환산공식!$EF$16:$EF$301,MATCH('배치점수 계산기'!W469,환산공식!$A$16:$A$301,0))</f>
        <v>0</v>
      </c>
      <c r="L469" s="41" t="str">
        <f t="shared" si="78"/>
        <v>1% 이하</v>
      </c>
      <c r="M469" s="7">
        <v>705.78200000000004</v>
      </c>
      <c r="N469" s="7">
        <v>704.00866979051807</v>
      </c>
      <c r="O469" s="7">
        <v>702.09442600276634</v>
      </c>
      <c r="P469" s="7">
        <v>700.20951819949994</v>
      </c>
      <c r="Q469" s="7">
        <v>697.32039698071014</v>
      </c>
      <c r="R469" s="7">
        <f t="shared" si="79"/>
        <v>6</v>
      </c>
      <c r="T469" s="7">
        <f>COUNTIF($C$11:C469,C469)</f>
        <v>244</v>
      </c>
      <c r="U469" s="7" t="str">
        <f t="shared" si="81"/>
        <v>가244</v>
      </c>
      <c r="V469" s="7" t="str">
        <f>INDEX(환산공식!$C$16:$C$301,MATCH('배치점수 계산기'!W469,환산공식!$A$16:$A$301,0))</f>
        <v>동국 통합</v>
      </c>
      <c r="W469" s="7">
        <f t="shared" si="82"/>
        <v>49</v>
      </c>
      <c r="X469" s="7">
        <f t="shared" si="83"/>
        <v>1</v>
      </c>
      <c r="Y469" s="7">
        <f>IFERROR(INDEX(환산공식!Q$16:Q$200,MATCH($A469,환산공식!$A$16:$A$200,0)),"")</f>
        <v>1.5</v>
      </c>
      <c r="Z469" s="7">
        <f>IFERROR(INDEX(환산공식!R$16:R$200,MATCH($A469,환산공식!$A$16:$A$200,0)),"")</f>
        <v>1.25</v>
      </c>
      <c r="AA469" s="7">
        <f>IFERROR(INDEX(환산공식!U$16:U$200,MATCH($A469,환산공식!$A$16:$A$200,0)),"")</f>
        <v>1</v>
      </c>
      <c r="AB469" s="7">
        <f t="shared" si="84"/>
        <v>0.4</v>
      </c>
      <c r="AC469" s="7">
        <f t="shared" si="85"/>
        <v>0.33333333333333331</v>
      </c>
      <c r="AD469" s="7">
        <f t="shared" si="86"/>
        <v>0.26666666666666666</v>
      </c>
      <c r="AE469" s="7">
        <f>INDEX(환산공식!$AF$16:$AF$301,MATCH('배치점수 계산기'!W469,환산공식!$A$16:$A$301,0))</f>
        <v>1</v>
      </c>
      <c r="AF469" s="7">
        <f>INDEX(환산공식!$AP$16:$AP$301,MATCH('배치점수 계산기'!W469,환산공식!$A$16:$A$301,0))</f>
        <v>4</v>
      </c>
      <c r="AG469" s="7" t="str">
        <f t="shared" si="87"/>
        <v>표점</v>
      </c>
      <c r="AH469" s="7" t="str">
        <f t="shared" si="88"/>
        <v>변표</v>
      </c>
      <c r="BO469" s="210"/>
      <c r="BP469" s="210"/>
      <c r="BQ469" s="210"/>
      <c r="BR469" s="210"/>
      <c r="BS469" s="210"/>
      <c r="BT469" s="210"/>
      <c r="BU469" s="210"/>
      <c r="BV469" s="210"/>
      <c r="BW469" s="210"/>
      <c r="BX469" s="210"/>
      <c r="BY469" s="210"/>
      <c r="BZ469" s="210"/>
      <c r="CA469" s="210"/>
      <c r="CB469" s="210"/>
      <c r="CC469" s="210"/>
      <c r="EM469" s="120"/>
      <c r="ET469" s="210"/>
      <c r="EU469" s="210"/>
      <c r="EV469" s="210"/>
      <c r="EW469" s="210"/>
      <c r="EX469" s="210"/>
      <c r="EY469" s="210"/>
      <c r="EZ469" s="210"/>
      <c r="FA469" s="210"/>
      <c r="FB469" s="210"/>
      <c r="FC469" s="210"/>
      <c r="FD469" s="210"/>
      <c r="FE469" s="210"/>
      <c r="FF469" s="210"/>
      <c r="FG469" s="210"/>
      <c r="FH469" s="210"/>
      <c r="HR469" s="120"/>
      <c r="HY469" s="210"/>
      <c r="HZ469" s="210"/>
      <c r="IA469" s="210"/>
      <c r="IB469" s="210"/>
      <c r="IC469" s="210"/>
      <c r="ID469" s="210"/>
      <c r="IE469" s="210"/>
      <c r="IF469" s="210"/>
      <c r="IG469" s="210"/>
      <c r="IH469" s="210"/>
      <c r="II469" s="210"/>
      <c r="IJ469" s="210"/>
      <c r="IK469" s="210"/>
      <c r="IL469" s="210"/>
      <c r="IM469" s="210"/>
      <c r="KW469" s="120"/>
      <c r="LD469" s="210"/>
      <c r="LE469" s="210"/>
      <c r="LF469" s="210"/>
      <c r="LG469" s="210"/>
      <c r="LH469" s="210"/>
      <c r="LI469" s="210"/>
      <c r="LJ469" s="210"/>
      <c r="LK469" s="210"/>
      <c r="LL469" s="210"/>
      <c r="LM469" s="210"/>
      <c r="LN469" s="210"/>
      <c r="LO469" s="210"/>
      <c r="LP469" s="210"/>
      <c r="LQ469" s="210"/>
      <c r="LR469" s="210"/>
      <c r="OB469" s="120"/>
      <c r="OI469" s="210"/>
      <c r="OJ469" s="210"/>
      <c r="OK469" s="210"/>
      <c r="OL469" s="210"/>
      <c r="OM469" s="210"/>
      <c r="ON469" s="210"/>
      <c r="OO469" s="210"/>
      <c r="OP469" s="210"/>
      <c r="OQ469" s="210"/>
      <c r="OR469" s="210"/>
      <c r="OS469" s="210"/>
      <c r="OT469" s="210"/>
      <c r="OU469" s="210"/>
      <c r="OV469" s="210"/>
      <c r="OW469" s="210"/>
      <c r="RG469" s="120"/>
    </row>
    <row r="470" spans="1:475" x14ac:dyDescent="0.3">
      <c r="A470" s="7">
        <v>49</v>
      </c>
      <c r="B470" s="7">
        <v>460</v>
      </c>
      <c r="C470" s="7" t="s">
        <v>346</v>
      </c>
      <c r="D470" s="7" t="s">
        <v>801</v>
      </c>
      <c r="E470" s="7" t="s">
        <v>813</v>
      </c>
      <c r="F470" s="7" t="s">
        <v>275</v>
      </c>
      <c r="G470" s="41" t="str">
        <f t="shared" si="80"/>
        <v>X</v>
      </c>
      <c r="H470" s="41">
        <f>INDEX(환산공식!CI$16:CI$301,MATCH('배치점수 계산기'!$W470,환산공식!$A$16:$A$301,0))</f>
        <v>200</v>
      </c>
      <c r="I470" s="41" t="str">
        <f>CONCATENATE(ROUND(INDEX(환산공식!CJ$16:CJ$301,MATCH('배치점수 계산기'!$W470,환산공식!$A$16:$A$301,0)),1),"%")</f>
        <v>100%</v>
      </c>
      <c r="J470" s="41">
        <f>INDEX(환산공식!CK$16:CK$301,MATCH('배치점수 계산기'!$W470,환산공식!$A$16:$A$301,0))</f>
        <v>50</v>
      </c>
      <c r="K470" s="7">
        <f>INDEX(환산공식!$EF$16:$EF$301,MATCH('배치점수 계산기'!W470,환산공식!$A$16:$A$301,0))</f>
        <v>0</v>
      </c>
      <c r="L470" s="41" t="str">
        <f t="shared" si="78"/>
        <v>1% 이하</v>
      </c>
      <c r="M470" s="7">
        <v>705.78200000000004</v>
      </c>
      <c r="N470" s="7">
        <v>704.00866979051807</v>
      </c>
      <c r="O470" s="7">
        <v>702.09442600276634</v>
      </c>
      <c r="P470" s="7">
        <v>700.20951819949994</v>
      </c>
      <c r="Q470" s="7">
        <v>697.32039698071014</v>
      </c>
      <c r="R470" s="7">
        <f t="shared" si="79"/>
        <v>6</v>
      </c>
      <c r="T470" s="7">
        <f>COUNTIF($C$11:C470,C470)</f>
        <v>202</v>
      </c>
      <c r="U470" s="7" t="str">
        <f t="shared" si="81"/>
        <v>나202</v>
      </c>
      <c r="V470" s="7" t="str">
        <f>INDEX(환산공식!$C$16:$C$301,MATCH('배치점수 계산기'!W470,환산공식!$A$16:$A$301,0))</f>
        <v>동국 통합</v>
      </c>
      <c r="W470" s="7">
        <f t="shared" si="82"/>
        <v>49</v>
      </c>
      <c r="X470" s="7">
        <f t="shared" si="83"/>
        <v>1</v>
      </c>
      <c r="Y470" s="7">
        <f>IFERROR(INDEX(환산공식!Q$16:Q$200,MATCH($A470,환산공식!$A$16:$A$200,0)),"")</f>
        <v>1.5</v>
      </c>
      <c r="Z470" s="7">
        <f>IFERROR(INDEX(환산공식!R$16:R$200,MATCH($A470,환산공식!$A$16:$A$200,0)),"")</f>
        <v>1.25</v>
      </c>
      <c r="AA470" s="7">
        <f>IFERROR(INDEX(환산공식!U$16:U$200,MATCH($A470,환산공식!$A$16:$A$200,0)),"")</f>
        <v>1</v>
      </c>
      <c r="AB470" s="7">
        <f t="shared" si="84"/>
        <v>0.4</v>
      </c>
      <c r="AC470" s="7">
        <f t="shared" si="85"/>
        <v>0.33333333333333331</v>
      </c>
      <c r="AD470" s="7">
        <f t="shared" si="86"/>
        <v>0.26666666666666666</v>
      </c>
      <c r="AE470" s="7">
        <f>INDEX(환산공식!$AF$16:$AF$301,MATCH('배치점수 계산기'!W470,환산공식!$A$16:$A$301,0))</f>
        <v>1</v>
      </c>
      <c r="AF470" s="7">
        <f>INDEX(환산공식!$AP$16:$AP$301,MATCH('배치점수 계산기'!W470,환산공식!$A$16:$A$301,0))</f>
        <v>4</v>
      </c>
      <c r="AG470" s="7" t="str">
        <f t="shared" si="87"/>
        <v>표점</v>
      </c>
      <c r="AH470" s="7" t="str">
        <f t="shared" si="88"/>
        <v>변표</v>
      </c>
      <c r="BO470" s="210"/>
      <c r="BP470" s="210"/>
      <c r="BQ470" s="210"/>
      <c r="BR470" s="210"/>
      <c r="BS470" s="210"/>
      <c r="BT470" s="210"/>
      <c r="BU470" s="210"/>
      <c r="BV470" s="210"/>
      <c r="BW470" s="210"/>
      <c r="BX470" s="210"/>
      <c r="BY470" s="210"/>
      <c r="BZ470" s="210"/>
      <c r="CA470" s="210"/>
      <c r="CB470" s="210"/>
      <c r="CC470" s="210"/>
      <c r="EM470" s="120"/>
      <c r="ET470" s="210"/>
      <c r="EU470" s="210"/>
      <c r="EV470" s="210"/>
      <c r="EW470" s="210"/>
      <c r="EX470" s="210"/>
      <c r="EY470" s="210"/>
      <c r="EZ470" s="210"/>
      <c r="FA470" s="210"/>
      <c r="FB470" s="210"/>
      <c r="FC470" s="210"/>
      <c r="FD470" s="210"/>
      <c r="FE470" s="210"/>
      <c r="FF470" s="210"/>
      <c r="FG470" s="210"/>
      <c r="FH470" s="210"/>
      <c r="HR470" s="120"/>
      <c r="HY470" s="210"/>
      <c r="HZ470" s="210"/>
      <c r="IA470" s="210"/>
      <c r="IB470" s="210"/>
      <c r="IC470" s="210"/>
      <c r="ID470" s="210"/>
      <c r="IE470" s="210"/>
      <c r="IF470" s="210"/>
      <c r="IG470" s="210"/>
      <c r="IH470" s="210"/>
      <c r="II470" s="210"/>
      <c r="IJ470" s="210"/>
      <c r="IK470" s="210"/>
      <c r="IL470" s="210"/>
      <c r="IM470" s="210"/>
      <c r="KW470" s="120"/>
      <c r="LD470" s="210"/>
      <c r="LE470" s="210"/>
      <c r="LF470" s="210"/>
      <c r="LG470" s="210"/>
      <c r="LH470" s="210"/>
      <c r="LI470" s="210"/>
      <c r="LJ470" s="210"/>
      <c r="LK470" s="210"/>
      <c r="LL470" s="210"/>
      <c r="LM470" s="210"/>
      <c r="LN470" s="210"/>
      <c r="LO470" s="210"/>
      <c r="LP470" s="210"/>
      <c r="LQ470" s="210"/>
      <c r="LR470" s="210"/>
      <c r="OB470" s="120"/>
      <c r="OI470" s="210"/>
      <c r="OJ470" s="210"/>
      <c r="OK470" s="210"/>
      <c r="OL470" s="210"/>
      <c r="OM470" s="210"/>
      <c r="ON470" s="210"/>
      <c r="OO470" s="210"/>
      <c r="OP470" s="210"/>
      <c r="OQ470" s="210"/>
      <c r="OR470" s="210"/>
      <c r="OS470" s="210"/>
      <c r="OT470" s="210"/>
      <c r="OU470" s="210"/>
      <c r="OV470" s="210"/>
      <c r="OW470" s="210"/>
      <c r="RG470" s="120"/>
    </row>
    <row r="471" spans="1:475" x14ac:dyDescent="0.3">
      <c r="A471" s="7">
        <v>49</v>
      </c>
      <c r="B471" s="7">
        <v>461</v>
      </c>
      <c r="C471" s="7" t="s">
        <v>346</v>
      </c>
      <c r="D471" s="7" t="s">
        <v>801</v>
      </c>
      <c r="E471" s="7" t="s">
        <v>814</v>
      </c>
      <c r="F471" s="7" t="s">
        <v>275</v>
      </c>
      <c r="G471" s="41" t="str">
        <f t="shared" si="80"/>
        <v>X</v>
      </c>
      <c r="H471" s="41">
        <f>INDEX(환산공식!CI$16:CI$301,MATCH('배치점수 계산기'!$W471,환산공식!$A$16:$A$301,0))</f>
        <v>200</v>
      </c>
      <c r="I471" s="41" t="str">
        <f>CONCATENATE(ROUND(INDEX(환산공식!CJ$16:CJ$301,MATCH('배치점수 계산기'!$W471,환산공식!$A$16:$A$301,0)),1),"%")</f>
        <v>100%</v>
      </c>
      <c r="J471" s="41">
        <f>INDEX(환산공식!CK$16:CK$301,MATCH('배치점수 계산기'!$W471,환산공식!$A$16:$A$301,0))</f>
        <v>50</v>
      </c>
      <c r="K471" s="7">
        <f>INDEX(환산공식!$EF$16:$EF$301,MATCH('배치점수 계산기'!W471,환산공식!$A$16:$A$301,0))</f>
        <v>0</v>
      </c>
      <c r="L471" s="41" t="str">
        <f t="shared" si="78"/>
        <v>1% 이하</v>
      </c>
      <c r="M471" s="7">
        <v>706.69927143248435</v>
      </c>
      <c r="N471" s="7">
        <v>704.95100000000002</v>
      </c>
      <c r="O471" s="7">
        <v>702.85242419221208</v>
      </c>
      <c r="P471" s="7">
        <v>700.75200000000007</v>
      </c>
      <c r="Q471" s="7">
        <v>697.89360089310628</v>
      </c>
      <c r="R471" s="7">
        <f t="shared" si="79"/>
        <v>6</v>
      </c>
      <c r="T471" s="7">
        <f>COUNTIF($C$11:C471,C471)</f>
        <v>203</v>
      </c>
      <c r="U471" s="7" t="str">
        <f t="shared" si="81"/>
        <v>나203</v>
      </c>
      <c r="V471" s="7" t="str">
        <f>INDEX(환산공식!$C$16:$C$301,MATCH('배치점수 계산기'!W471,환산공식!$A$16:$A$301,0))</f>
        <v>동국 통합</v>
      </c>
      <c r="W471" s="7">
        <f t="shared" si="82"/>
        <v>49</v>
      </c>
      <c r="X471" s="7">
        <f t="shared" si="83"/>
        <v>1</v>
      </c>
      <c r="Y471" s="7">
        <f>IFERROR(INDEX(환산공식!Q$16:Q$200,MATCH($A471,환산공식!$A$16:$A$200,0)),"")</f>
        <v>1.5</v>
      </c>
      <c r="Z471" s="7">
        <f>IFERROR(INDEX(환산공식!R$16:R$200,MATCH($A471,환산공식!$A$16:$A$200,0)),"")</f>
        <v>1.25</v>
      </c>
      <c r="AA471" s="7">
        <f>IFERROR(INDEX(환산공식!U$16:U$200,MATCH($A471,환산공식!$A$16:$A$200,0)),"")</f>
        <v>1</v>
      </c>
      <c r="AB471" s="7">
        <f t="shared" si="84"/>
        <v>0.4</v>
      </c>
      <c r="AC471" s="7">
        <f t="shared" si="85"/>
        <v>0.33333333333333331</v>
      </c>
      <c r="AD471" s="7">
        <f t="shared" si="86"/>
        <v>0.26666666666666666</v>
      </c>
      <c r="AE471" s="7">
        <f>INDEX(환산공식!$AF$16:$AF$301,MATCH('배치점수 계산기'!W471,환산공식!$A$16:$A$301,0))</f>
        <v>1</v>
      </c>
      <c r="AF471" s="7">
        <f>INDEX(환산공식!$AP$16:$AP$301,MATCH('배치점수 계산기'!W471,환산공식!$A$16:$A$301,0))</f>
        <v>4</v>
      </c>
      <c r="AG471" s="7" t="str">
        <f t="shared" si="87"/>
        <v>표점</v>
      </c>
      <c r="AH471" s="7" t="str">
        <f t="shared" si="88"/>
        <v>변표</v>
      </c>
      <c r="BO471" s="210"/>
      <c r="BP471" s="210"/>
      <c r="BQ471" s="210"/>
      <c r="BR471" s="210"/>
      <c r="BS471" s="210"/>
      <c r="BT471" s="210"/>
      <c r="BU471" s="210"/>
      <c r="BV471" s="210"/>
      <c r="BW471" s="210"/>
      <c r="BX471" s="210"/>
      <c r="BY471" s="210"/>
      <c r="BZ471" s="210"/>
      <c r="CA471" s="210"/>
      <c r="CB471" s="210"/>
      <c r="CC471" s="210"/>
      <c r="EM471" s="120"/>
      <c r="ET471" s="210"/>
      <c r="EU471" s="210"/>
      <c r="EV471" s="210"/>
      <c r="EW471" s="210"/>
      <c r="EX471" s="210"/>
      <c r="EY471" s="210"/>
      <c r="EZ471" s="210"/>
      <c r="FA471" s="210"/>
      <c r="FB471" s="210"/>
      <c r="FC471" s="210"/>
      <c r="FD471" s="210"/>
      <c r="FE471" s="210"/>
      <c r="FF471" s="210"/>
      <c r="FG471" s="210"/>
      <c r="FH471" s="210"/>
      <c r="HR471" s="120"/>
      <c r="HY471" s="210"/>
      <c r="HZ471" s="210"/>
      <c r="IA471" s="210"/>
      <c r="IB471" s="210"/>
      <c r="IC471" s="210"/>
      <c r="ID471" s="210"/>
      <c r="IE471" s="210"/>
      <c r="IF471" s="210"/>
      <c r="IG471" s="210"/>
      <c r="IH471" s="210"/>
      <c r="II471" s="210"/>
      <c r="IJ471" s="210"/>
      <c r="IK471" s="210"/>
      <c r="IL471" s="210"/>
      <c r="IM471" s="210"/>
      <c r="KW471" s="120"/>
      <c r="LD471" s="210"/>
      <c r="LE471" s="210"/>
      <c r="LF471" s="210"/>
      <c r="LG471" s="210"/>
      <c r="LH471" s="210"/>
      <c r="LI471" s="210"/>
      <c r="LJ471" s="210"/>
      <c r="LK471" s="210"/>
      <c r="LL471" s="210"/>
      <c r="LM471" s="210"/>
      <c r="LN471" s="210"/>
      <c r="LO471" s="210"/>
      <c r="LP471" s="210"/>
      <c r="LQ471" s="210"/>
      <c r="LR471" s="210"/>
      <c r="OB471" s="120"/>
      <c r="OI471" s="210"/>
      <c r="OJ471" s="210"/>
      <c r="OK471" s="210"/>
      <c r="OL471" s="210"/>
      <c r="OM471" s="210"/>
      <c r="ON471" s="210"/>
      <c r="OO471" s="210"/>
      <c r="OP471" s="210"/>
      <c r="OQ471" s="210"/>
      <c r="OR471" s="210"/>
      <c r="OS471" s="210"/>
      <c r="OT471" s="210"/>
      <c r="OU471" s="210"/>
      <c r="OV471" s="210"/>
      <c r="OW471" s="210"/>
      <c r="RG471" s="120"/>
    </row>
    <row r="472" spans="1:475" x14ac:dyDescent="0.3">
      <c r="A472" s="7">
        <v>49</v>
      </c>
      <c r="B472" s="7">
        <v>462</v>
      </c>
      <c r="C472" s="7" t="s">
        <v>276</v>
      </c>
      <c r="D472" s="7" t="s">
        <v>801</v>
      </c>
      <c r="E472" s="7" t="s">
        <v>815</v>
      </c>
      <c r="F472" s="7" t="s">
        <v>275</v>
      </c>
      <c r="G472" s="41" t="str">
        <f t="shared" si="80"/>
        <v>X</v>
      </c>
      <c r="H472" s="41">
        <f>INDEX(환산공식!CI$16:CI$301,MATCH('배치점수 계산기'!$W472,환산공식!$A$16:$A$301,0))</f>
        <v>200</v>
      </c>
      <c r="I472" s="41" t="str">
        <f>CONCATENATE(ROUND(INDEX(환산공식!CJ$16:CJ$301,MATCH('배치점수 계산기'!$W472,환산공식!$A$16:$A$301,0)),1),"%")</f>
        <v>100%</v>
      </c>
      <c r="J472" s="41">
        <f>INDEX(환산공식!CK$16:CK$301,MATCH('배치점수 계산기'!$W472,환산공식!$A$16:$A$301,0))</f>
        <v>50</v>
      </c>
      <c r="K472" s="7">
        <f>INDEX(환산공식!$EF$16:$EF$301,MATCH('배치점수 계산기'!W472,환산공식!$A$16:$A$301,0))</f>
        <v>0</v>
      </c>
      <c r="L472" s="41" t="str">
        <f t="shared" si="78"/>
        <v>1% 이하</v>
      </c>
      <c r="M472" s="7">
        <v>705.78200000000004</v>
      </c>
      <c r="N472" s="7">
        <v>704.00866979051807</v>
      </c>
      <c r="O472" s="7">
        <v>702.09442600276634</v>
      </c>
      <c r="P472" s="7">
        <v>700.20951819949994</v>
      </c>
      <c r="Q472" s="7">
        <v>697.32039698071014</v>
      </c>
      <c r="R472" s="7">
        <f t="shared" si="79"/>
        <v>6</v>
      </c>
      <c r="T472" s="7">
        <f>COUNTIF($C$11:C472,C472)</f>
        <v>245</v>
      </c>
      <c r="U472" s="7" t="str">
        <f t="shared" si="81"/>
        <v>가245</v>
      </c>
      <c r="V472" s="7" t="str">
        <f>INDEX(환산공식!$C$16:$C$301,MATCH('배치점수 계산기'!W472,환산공식!$A$16:$A$301,0))</f>
        <v>동국 통합</v>
      </c>
      <c r="W472" s="7">
        <f t="shared" si="82"/>
        <v>49</v>
      </c>
      <c r="X472" s="7">
        <f t="shared" si="83"/>
        <v>1</v>
      </c>
      <c r="Y472" s="7">
        <f>IFERROR(INDEX(환산공식!Q$16:Q$200,MATCH($A472,환산공식!$A$16:$A$200,0)),"")</f>
        <v>1.5</v>
      </c>
      <c r="Z472" s="7">
        <f>IFERROR(INDEX(환산공식!R$16:R$200,MATCH($A472,환산공식!$A$16:$A$200,0)),"")</f>
        <v>1.25</v>
      </c>
      <c r="AA472" s="7">
        <f>IFERROR(INDEX(환산공식!U$16:U$200,MATCH($A472,환산공식!$A$16:$A$200,0)),"")</f>
        <v>1</v>
      </c>
      <c r="AB472" s="7">
        <f t="shared" si="84"/>
        <v>0.4</v>
      </c>
      <c r="AC472" s="7">
        <f t="shared" si="85"/>
        <v>0.33333333333333331</v>
      </c>
      <c r="AD472" s="7">
        <f t="shared" si="86"/>
        <v>0.26666666666666666</v>
      </c>
      <c r="AE472" s="7">
        <f>INDEX(환산공식!$AF$16:$AF$301,MATCH('배치점수 계산기'!W472,환산공식!$A$16:$A$301,0))</f>
        <v>1</v>
      </c>
      <c r="AF472" s="7">
        <f>INDEX(환산공식!$AP$16:$AP$301,MATCH('배치점수 계산기'!W472,환산공식!$A$16:$A$301,0))</f>
        <v>4</v>
      </c>
      <c r="AG472" s="7" t="str">
        <f t="shared" si="87"/>
        <v>표점</v>
      </c>
      <c r="AH472" s="7" t="str">
        <f t="shared" si="88"/>
        <v>변표</v>
      </c>
      <c r="BO472" s="210"/>
      <c r="BP472" s="210"/>
      <c r="BQ472" s="210"/>
      <c r="BR472" s="210"/>
      <c r="BS472" s="210"/>
      <c r="BT472" s="210"/>
      <c r="BU472" s="210"/>
      <c r="BV472" s="210"/>
      <c r="BW472" s="210"/>
      <c r="BX472" s="210"/>
      <c r="BY472" s="210"/>
      <c r="BZ472" s="210"/>
      <c r="CA472" s="210"/>
      <c r="CB472" s="210"/>
      <c r="CC472" s="210"/>
      <c r="EM472" s="120"/>
      <c r="ET472" s="210"/>
      <c r="EU472" s="210"/>
      <c r="EV472" s="210"/>
      <c r="EW472" s="210"/>
      <c r="EX472" s="210"/>
      <c r="EY472" s="210"/>
      <c r="EZ472" s="210"/>
      <c r="FA472" s="210"/>
      <c r="FB472" s="210"/>
      <c r="FC472" s="210"/>
      <c r="FD472" s="210"/>
      <c r="FE472" s="210"/>
      <c r="FF472" s="210"/>
      <c r="FG472" s="210"/>
      <c r="FH472" s="210"/>
      <c r="HR472" s="120"/>
      <c r="HY472" s="210"/>
      <c r="HZ472" s="210"/>
      <c r="IA472" s="210"/>
      <c r="IB472" s="210"/>
      <c r="IC472" s="210"/>
      <c r="ID472" s="210"/>
      <c r="IE472" s="210"/>
      <c r="IF472" s="210"/>
      <c r="IG472" s="210"/>
      <c r="IH472" s="210"/>
      <c r="II472" s="210"/>
      <c r="IJ472" s="210"/>
      <c r="IK472" s="210"/>
      <c r="IL472" s="210"/>
      <c r="IM472" s="210"/>
      <c r="KW472" s="120"/>
      <c r="LD472" s="210"/>
      <c r="LE472" s="210"/>
      <c r="LF472" s="210"/>
      <c r="LG472" s="210"/>
      <c r="LH472" s="210"/>
      <c r="LI472" s="210"/>
      <c r="LJ472" s="210"/>
      <c r="LK472" s="210"/>
      <c r="LL472" s="210"/>
      <c r="LM472" s="210"/>
      <c r="LN472" s="210"/>
      <c r="LO472" s="210"/>
      <c r="LP472" s="210"/>
      <c r="LQ472" s="210"/>
      <c r="LR472" s="210"/>
      <c r="OB472" s="120"/>
      <c r="OI472" s="210"/>
      <c r="OJ472" s="210"/>
      <c r="OK472" s="210"/>
      <c r="OL472" s="210"/>
      <c r="OM472" s="210"/>
      <c r="ON472" s="210"/>
      <c r="OO472" s="210"/>
      <c r="OP472" s="210"/>
      <c r="OQ472" s="210"/>
      <c r="OR472" s="210"/>
      <c r="OS472" s="210"/>
      <c r="OT472" s="210"/>
      <c r="OU472" s="210"/>
      <c r="OV472" s="210"/>
      <c r="OW472" s="210"/>
      <c r="RG472" s="120"/>
    </row>
    <row r="473" spans="1:475" x14ac:dyDescent="0.3">
      <c r="A473" s="7">
        <v>49</v>
      </c>
      <c r="B473" s="7">
        <v>463</v>
      </c>
      <c r="C473" s="7" t="s">
        <v>276</v>
      </c>
      <c r="D473" s="7" t="s">
        <v>801</v>
      </c>
      <c r="E473" s="7" t="s">
        <v>816</v>
      </c>
      <c r="F473" s="7" t="s">
        <v>275</v>
      </c>
      <c r="G473" s="41" t="str">
        <f t="shared" si="80"/>
        <v>X</v>
      </c>
      <c r="H473" s="41">
        <f>INDEX(환산공식!CI$16:CI$301,MATCH('배치점수 계산기'!$W473,환산공식!$A$16:$A$301,0))</f>
        <v>200</v>
      </c>
      <c r="I473" s="41" t="str">
        <f>CONCATENATE(ROUND(INDEX(환산공식!CJ$16:CJ$301,MATCH('배치점수 계산기'!$W473,환산공식!$A$16:$A$301,0)),1),"%")</f>
        <v>100%</v>
      </c>
      <c r="J473" s="41">
        <f>INDEX(환산공식!CK$16:CK$301,MATCH('배치점수 계산기'!$W473,환산공식!$A$16:$A$301,0))</f>
        <v>50</v>
      </c>
      <c r="K473" s="7">
        <f>INDEX(환산공식!$EF$16:$EF$301,MATCH('배치점수 계산기'!W473,환산공식!$A$16:$A$301,0))</f>
        <v>0</v>
      </c>
      <c r="L473" s="41" t="str">
        <f t="shared" si="78"/>
        <v>1% 이하</v>
      </c>
      <c r="M473" s="7">
        <v>704.95100000000002</v>
      </c>
      <c r="N473" s="7">
        <v>704.00866979051807</v>
      </c>
      <c r="O473" s="7">
        <v>702.09442600276634</v>
      </c>
      <c r="P473" s="7">
        <v>699.50352712100141</v>
      </c>
      <c r="Q473" s="7">
        <v>696.77425874125879</v>
      </c>
      <c r="R473" s="7">
        <f t="shared" si="79"/>
        <v>6</v>
      </c>
      <c r="T473" s="7">
        <f>COUNTIF($C$11:C473,C473)</f>
        <v>246</v>
      </c>
      <c r="U473" s="7" t="str">
        <f t="shared" si="81"/>
        <v>가246</v>
      </c>
      <c r="V473" s="7" t="str">
        <f>INDEX(환산공식!$C$16:$C$301,MATCH('배치점수 계산기'!W473,환산공식!$A$16:$A$301,0))</f>
        <v>동국 통합</v>
      </c>
      <c r="W473" s="7">
        <f t="shared" si="82"/>
        <v>49</v>
      </c>
      <c r="X473" s="7">
        <f t="shared" si="83"/>
        <v>1</v>
      </c>
      <c r="Y473" s="7">
        <f>IFERROR(INDEX(환산공식!Q$16:Q$200,MATCH($A473,환산공식!$A$16:$A$200,0)),"")</f>
        <v>1.5</v>
      </c>
      <c r="Z473" s="7">
        <f>IFERROR(INDEX(환산공식!R$16:R$200,MATCH($A473,환산공식!$A$16:$A$200,0)),"")</f>
        <v>1.25</v>
      </c>
      <c r="AA473" s="7">
        <f>IFERROR(INDEX(환산공식!U$16:U$200,MATCH($A473,환산공식!$A$16:$A$200,0)),"")</f>
        <v>1</v>
      </c>
      <c r="AB473" s="7">
        <f t="shared" si="84"/>
        <v>0.4</v>
      </c>
      <c r="AC473" s="7">
        <f t="shared" si="85"/>
        <v>0.33333333333333331</v>
      </c>
      <c r="AD473" s="7">
        <f t="shared" si="86"/>
        <v>0.26666666666666666</v>
      </c>
      <c r="AE473" s="7">
        <f>INDEX(환산공식!$AF$16:$AF$301,MATCH('배치점수 계산기'!W473,환산공식!$A$16:$A$301,0))</f>
        <v>1</v>
      </c>
      <c r="AF473" s="7">
        <f>INDEX(환산공식!$AP$16:$AP$301,MATCH('배치점수 계산기'!W473,환산공식!$A$16:$A$301,0))</f>
        <v>4</v>
      </c>
      <c r="AG473" s="7" t="str">
        <f t="shared" si="87"/>
        <v>표점</v>
      </c>
      <c r="AH473" s="7" t="str">
        <f t="shared" si="88"/>
        <v>변표</v>
      </c>
      <c r="BO473" s="210"/>
      <c r="BP473" s="210"/>
      <c r="BQ473" s="210"/>
      <c r="BR473" s="210"/>
      <c r="BS473" s="210"/>
      <c r="BT473" s="210"/>
      <c r="BU473" s="210"/>
      <c r="BV473" s="210"/>
      <c r="BW473" s="210"/>
      <c r="BX473" s="210"/>
      <c r="BY473" s="210"/>
      <c r="BZ473" s="210"/>
      <c r="CA473" s="210"/>
      <c r="CB473" s="210"/>
      <c r="CC473" s="210"/>
      <c r="EM473" s="120"/>
      <c r="ET473" s="210"/>
      <c r="EU473" s="210"/>
      <c r="EV473" s="210"/>
      <c r="EW473" s="210"/>
      <c r="EX473" s="210"/>
      <c r="EY473" s="210"/>
      <c r="EZ473" s="210"/>
      <c r="FA473" s="210"/>
      <c r="FB473" s="210"/>
      <c r="FC473" s="210"/>
      <c r="FD473" s="210"/>
      <c r="FE473" s="210"/>
      <c r="FF473" s="210"/>
      <c r="FG473" s="210"/>
      <c r="FH473" s="210"/>
      <c r="HR473" s="120"/>
      <c r="HY473" s="210"/>
      <c r="HZ473" s="210"/>
      <c r="IA473" s="210"/>
      <c r="IB473" s="210"/>
      <c r="IC473" s="210"/>
      <c r="ID473" s="210"/>
      <c r="IE473" s="210"/>
      <c r="IF473" s="210"/>
      <c r="IG473" s="210"/>
      <c r="IH473" s="210"/>
      <c r="II473" s="210"/>
      <c r="IJ473" s="210"/>
      <c r="IK473" s="210"/>
      <c r="IL473" s="210"/>
      <c r="IM473" s="210"/>
      <c r="KW473" s="120"/>
      <c r="LD473" s="210"/>
      <c r="LE473" s="210"/>
      <c r="LF473" s="210"/>
      <c r="LG473" s="210"/>
      <c r="LH473" s="210"/>
      <c r="LI473" s="210"/>
      <c r="LJ473" s="210"/>
      <c r="LK473" s="210"/>
      <c r="LL473" s="210"/>
      <c r="LM473" s="210"/>
      <c r="LN473" s="210"/>
      <c r="LO473" s="210"/>
      <c r="LP473" s="210"/>
      <c r="LQ473" s="210"/>
      <c r="LR473" s="210"/>
      <c r="OB473" s="120"/>
      <c r="OI473" s="210"/>
      <c r="OJ473" s="210"/>
      <c r="OK473" s="210"/>
      <c r="OL473" s="210"/>
      <c r="OM473" s="210"/>
      <c r="ON473" s="210"/>
      <c r="OO473" s="210"/>
      <c r="OP473" s="210"/>
      <c r="OQ473" s="210"/>
      <c r="OR473" s="210"/>
      <c r="OS473" s="210"/>
      <c r="OT473" s="210"/>
      <c r="OU473" s="210"/>
      <c r="OV473" s="210"/>
      <c r="OW473" s="210"/>
      <c r="RG473" s="120"/>
    </row>
    <row r="474" spans="1:475" x14ac:dyDescent="0.3">
      <c r="A474" s="7">
        <v>49</v>
      </c>
      <c r="B474" s="7">
        <v>464</v>
      </c>
      <c r="C474" s="7" t="s">
        <v>346</v>
      </c>
      <c r="D474" s="7" t="s">
        <v>801</v>
      </c>
      <c r="E474" s="7" t="s">
        <v>817</v>
      </c>
      <c r="F474" s="7" t="s">
        <v>275</v>
      </c>
      <c r="G474" s="41" t="str">
        <f t="shared" si="80"/>
        <v>X</v>
      </c>
      <c r="H474" s="41">
        <f>INDEX(환산공식!CI$16:CI$301,MATCH('배치점수 계산기'!$W474,환산공식!$A$16:$A$301,0))</f>
        <v>200</v>
      </c>
      <c r="I474" s="41" t="str">
        <f>CONCATENATE(ROUND(INDEX(환산공식!CJ$16:CJ$301,MATCH('배치점수 계산기'!$W474,환산공식!$A$16:$A$301,0)),1),"%")</f>
        <v>100%</v>
      </c>
      <c r="J474" s="41">
        <f>INDEX(환산공식!CK$16:CK$301,MATCH('배치점수 계산기'!$W474,환산공식!$A$16:$A$301,0))</f>
        <v>50</v>
      </c>
      <c r="K474" s="7">
        <f>INDEX(환산공식!$EF$16:$EF$301,MATCH('배치점수 계산기'!W474,환산공식!$A$16:$A$301,0))</f>
        <v>0</v>
      </c>
      <c r="L474" s="41" t="str">
        <f t="shared" si="78"/>
        <v>1% 이하</v>
      </c>
      <c r="M474" s="7">
        <v>704.95100000000002</v>
      </c>
      <c r="N474" s="7">
        <v>702.85242419221208</v>
      </c>
      <c r="O474" s="7">
        <v>701.36755570953437</v>
      </c>
      <c r="P474" s="7">
        <v>699.50352712100141</v>
      </c>
      <c r="Q474" s="7">
        <v>696.77425874125879</v>
      </c>
      <c r="R474" s="7">
        <f t="shared" si="79"/>
        <v>6</v>
      </c>
      <c r="T474" s="7">
        <f>COUNTIF($C$11:C474,C474)</f>
        <v>204</v>
      </c>
      <c r="U474" s="7" t="str">
        <f t="shared" si="81"/>
        <v>나204</v>
      </c>
      <c r="V474" s="7" t="str">
        <f>INDEX(환산공식!$C$16:$C$301,MATCH('배치점수 계산기'!W474,환산공식!$A$16:$A$301,0))</f>
        <v>동국 통합</v>
      </c>
      <c r="W474" s="7">
        <f t="shared" si="82"/>
        <v>49</v>
      </c>
      <c r="X474" s="7">
        <f t="shared" si="83"/>
        <v>1</v>
      </c>
      <c r="Y474" s="7">
        <f>IFERROR(INDEX(환산공식!Q$16:Q$200,MATCH($A474,환산공식!$A$16:$A$200,0)),"")</f>
        <v>1.5</v>
      </c>
      <c r="Z474" s="7">
        <f>IFERROR(INDEX(환산공식!R$16:R$200,MATCH($A474,환산공식!$A$16:$A$200,0)),"")</f>
        <v>1.25</v>
      </c>
      <c r="AA474" s="7">
        <f>IFERROR(INDEX(환산공식!U$16:U$200,MATCH($A474,환산공식!$A$16:$A$200,0)),"")</f>
        <v>1</v>
      </c>
      <c r="AB474" s="7">
        <f t="shared" si="84"/>
        <v>0.4</v>
      </c>
      <c r="AC474" s="7">
        <f t="shared" si="85"/>
        <v>0.33333333333333331</v>
      </c>
      <c r="AD474" s="7">
        <f t="shared" si="86"/>
        <v>0.26666666666666666</v>
      </c>
      <c r="AE474" s="7">
        <f>INDEX(환산공식!$AF$16:$AF$301,MATCH('배치점수 계산기'!W474,환산공식!$A$16:$A$301,0))</f>
        <v>1</v>
      </c>
      <c r="AF474" s="7">
        <f>INDEX(환산공식!$AP$16:$AP$301,MATCH('배치점수 계산기'!W474,환산공식!$A$16:$A$301,0))</f>
        <v>4</v>
      </c>
      <c r="AG474" s="7" t="str">
        <f t="shared" si="87"/>
        <v>표점</v>
      </c>
      <c r="AH474" s="7" t="str">
        <f t="shared" si="88"/>
        <v>변표</v>
      </c>
      <c r="BO474" s="210"/>
      <c r="BP474" s="210"/>
      <c r="BQ474" s="210"/>
      <c r="BR474" s="210"/>
      <c r="BS474" s="210"/>
      <c r="BT474" s="210"/>
      <c r="BU474" s="210"/>
      <c r="BV474" s="210"/>
      <c r="BW474" s="210"/>
      <c r="BX474" s="210"/>
      <c r="BY474" s="210"/>
      <c r="BZ474" s="210"/>
      <c r="CA474" s="210"/>
      <c r="CB474" s="210"/>
      <c r="CC474" s="210"/>
      <c r="EM474" s="120"/>
      <c r="ET474" s="210"/>
      <c r="EU474" s="210"/>
      <c r="EV474" s="210"/>
      <c r="EW474" s="210"/>
      <c r="EX474" s="210"/>
      <c r="EY474" s="210"/>
      <c r="EZ474" s="210"/>
      <c r="FA474" s="210"/>
      <c r="FB474" s="210"/>
      <c r="FC474" s="210"/>
      <c r="FD474" s="210"/>
      <c r="FE474" s="210"/>
      <c r="FF474" s="210"/>
      <c r="FG474" s="210"/>
      <c r="FH474" s="210"/>
      <c r="HR474" s="120"/>
      <c r="HY474" s="210"/>
      <c r="HZ474" s="210"/>
      <c r="IA474" s="210"/>
      <c r="IB474" s="210"/>
      <c r="IC474" s="210"/>
      <c r="ID474" s="210"/>
      <c r="IE474" s="210"/>
      <c r="IF474" s="210"/>
      <c r="IG474" s="210"/>
      <c r="IH474" s="210"/>
      <c r="II474" s="210"/>
      <c r="IJ474" s="210"/>
      <c r="IK474" s="210"/>
      <c r="IL474" s="210"/>
      <c r="IM474" s="210"/>
      <c r="KW474" s="120"/>
      <c r="LD474" s="210"/>
      <c r="LE474" s="210"/>
      <c r="LF474" s="210"/>
      <c r="LG474" s="210"/>
      <c r="LH474" s="210"/>
      <c r="LI474" s="210"/>
      <c r="LJ474" s="210"/>
      <c r="LK474" s="210"/>
      <c r="LL474" s="210"/>
      <c r="LM474" s="210"/>
      <c r="LN474" s="210"/>
      <c r="LO474" s="210"/>
      <c r="LP474" s="210"/>
      <c r="LQ474" s="210"/>
      <c r="LR474" s="210"/>
      <c r="OB474" s="120"/>
      <c r="OI474" s="210"/>
      <c r="OJ474" s="210"/>
      <c r="OK474" s="210"/>
      <c r="OL474" s="210"/>
      <c r="OM474" s="210"/>
      <c r="ON474" s="210"/>
      <c r="OO474" s="210"/>
      <c r="OP474" s="210"/>
      <c r="OQ474" s="210"/>
      <c r="OR474" s="210"/>
      <c r="OS474" s="210"/>
      <c r="OT474" s="210"/>
      <c r="OU474" s="210"/>
      <c r="OV474" s="210"/>
      <c r="OW474" s="210"/>
      <c r="RG474" s="120"/>
    </row>
    <row r="475" spans="1:475" x14ac:dyDescent="0.3">
      <c r="A475" s="7">
        <v>49</v>
      </c>
      <c r="B475" s="7">
        <v>465</v>
      </c>
      <c r="C475" s="7" t="s">
        <v>346</v>
      </c>
      <c r="D475" s="7" t="s">
        <v>801</v>
      </c>
      <c r="E475" s="7" t="s">
        <v>818</v>
      </c>
      <c r="F475" s="7" t="s">
        <v>275</v>
      </c>
      <c r="G475" s="41" t="str">
        <f t="shared" si="80"/>
        <v>X</v>
      </c>
      <c r="H475" s="41">
        <f>INDEX(환산공식!CI$16:CI$301,MATCH('배치점수 계산기'!$W475,환산공식!$A$16:$A$301,0))</f>
        <v>200</v>
      </c>
      <c r="I475" s="41" t="str">
        <f>CONCATENATE(ROUND(INDEX(환산공식!CJ$16:CJ$301,MATCH('배치점수 계산기'!$W475,환산공식!$A$16:$A$301,0)),1),"%")</f>
        <v>100%</v>
      </c>
      <c r="J475" s="41">
        <f>INDEX(환산공식!CK$16:CK$301,MATCH('배치점수 계산기'!$W475,환산공식!$A$16:$A$301,0))</f>
        <v>50</v>
      </c>
      <c r="K475" s="7">
        <f>INDEX(환산공식!$EF$16:$EF$301,MATCH('배치점수 계산기'!W475,환산공식!$A$16:$A$301,0))</f>
        <v>0</v>
      </c>
      <c r="L475" s="41" t="str">
        <f t="shared" si="78"/>
        <v>1% 이하</v>
      </c>
      <c r="M475" s="7">
        <v>705.78200000000004</v>
      </c>
      <c r="N475" s="7">
        <v>704.00866979051807</v>
      </c>
      <c r="O475" s="7">
        <v>702.09442600276634</v>
      </c>
      <c r="P475" s="7">
        <v>700.20951819949994</v>
      </c>
      <c r="Q475" s="7">
        <v>696.77425874125879</v>
      </c>
      <c r="R475" s="7">
        <f t="shared" si="79"/>
        <v>6</v>
      </c>
      <c r="T475" s="7">
        <f>COUNTIF($C$11:C475,C475)</f>
        <v>205</v>
      </c>
      <c r="U475" s="7" t="str">
        <f t="shared" si="81"/>
        <v>나205</v>
      </c>
      <c r="V475" s="7" t="str">
        <f>INDEX(환산공식!$C$16:$C$301,MATCH('배치점수 계산기'!W475,환산공식!$A$16:$A$301,0))</f>
        <v>동국 통합</v>
      </c>
      <c r="W475" s="7">
        <f t="shared" si="82"/>
        <v>49</v>
      </c>
      <c r="X475" s="7">
        <f t="shared" si="83"/>
        <v>1</v>
      </c>
      <c r="Y475" s="7">
        <f>IFERROR(INDEX(환산공식!Q$16:Q$200,MATCH($A475,환산공식!$A$16:$A$200,0)),"")</f>
        <v>1.5</v>
      </c>
      <c r="Z475" s="7">
        <f>IFERROR(INDEX(환산공식!R$16:R$200,MATCH($A475,환산공식!$A$16:$A$200,0)),"")</f>
        <v>1.25</v>
      </c>
      <c r="AA475" s="7">
        <f>IFERROR(INDEX(환산공식!U$16:U$200,MATCH($A475,환산공식!$A$16:$A$200,0)),"")</f>
        <v>1</v>
      </c>
      <c r="AB475" s="7">
        <f t="shared" si="84"/>
        <v>0.4</v>
      </c>
      <c r="AC475" s="7">
        <f t="shared" si="85"/>
        <v>0.33333333333333331</v>
      </c>
      <c r="AD475" s="7">
        <f t="shared" si="86"/>
        <v>0.26666666666666666</v>
      </c>
      <c r="AE475" s="7">
        <f>INDEX(환산공식!$AF$16:$AF$301,MATCH('배치점수 계산기'!W475,환산공식!$A$16:$A$301,0))</f>
        <v>1</v>
      </c>
      <c r="AF475" s="7">
        <f>INDEX(환산공식!$AP$16:$AP$301,MATCH('배치점수 계산기'!W475,환산공식!$A$16:$A$301,0))</f>
        <v>4</v>
      </c>
      <c r="AG475" s="7" t="str">
        <f t="shared" si="87"/>
        <v>표점</v>
      </c>
      <c r="AH475" s="7" t="str">
        <f t="shared" si="88"/>
        <v>변표</v>
      </c>
      <c r="BO475" s="210"/>
      <c r="BP475" s="210"/>
      <c r="BQ475" s="210"/>
      <c r="BR475" s="210"/>
      <c r="BS475" s="210"/>
      <c r="BT475" s="210"/>
      <c r="BU475" s="210"/>
      <c r="BV475" s="210"/>
      <c r="BW475" s="210"/>
      <c r="BX475" s="210"/>
      <c r="BY475" s="210"/>
      <c r="BZ475" s="210"/>
      <c r="CA475" s="210"/>
      <c r="CB475" s="210"/>
      <c r="CC475" s="210"/>
      <c r="EM475" s="120"/>
      <c r="ET475" s="210"/>
      <c r="EU475" s="210"/>
      <c r="EV475" s="210"/>
      <c r="EW475" s="210"/>
      <c r="EX475" s="210"/>
      <c r="EY475" s="210"/>
      <c r="EZ475" s="210"/>
      <c r="FA475" s="210"/>
      <c r="FB475" s="210"/>
      <c r="FC475" s="210"/>
      <c r="FD475" s="210"/>
      <c r="FE475" s="210"/>
      <c r="FF475" s="210"/>
      <c r="FG475" s="210"/>
      <c r="FH475" s="210"/>
      <c r="HR475" s="120"/>
      <c r="HY475" s="210"/>
      <c r="HZ475" s="210"/>
      <c r="IA475" s="210"/>
      <c r="IB475" s="210"/>
      <c r="IC475" s="210"/>
      <c r="ID475" s="210"/>
      <c r="IE475" s="210"/>
      <c r="IF475" s="210"/>
      <c r="IG475" s="210"/>
      <c r="IH475" s="210"/>
      <c r="II475" s="210"/>
      <c r="IJ475" s="210"/>
      <c r="IK475" s="210"/>
      <c r="IL475" s="210"/>
      <c r="IM475" s="210"/>
      <c r="KW475" s="120"/>
      <c r="LD475" s="210"/>
      <c r="LE475" s="210"/>
      <c r="LF475" s="210"/>
      <c r="LG475" s="210"/>
      <c r="LH475" s="210"/>
      <c r="LI475" s="210"/>
      <c r="LJ475" s="210"/>
      <c r="LK475" s="210"/>
      <c r="LL475" s="210"/>
      <c r="LM475" s="210"/>
      <c r="LN475" s="210"/>
      <c r="LO475" s="210"/>
      <c r="LP475" s="210"/>
      <c r="LQ475" s="210"/>
      <c r="LR475" s="210"/>
      <c r="OB475" s="120"/>
      <c r="OI475" s="210"/>
      <c r="OJ475" s="210"/>
      <c r="OK475" s="210"/>
      <c r="OL475" s="210"/>
      <c r="OM475" s="210"/>
      <c r="ON475" s="210"/>
      <c r="OO475" s="210"/>
      <c r="OP475" s="210"/>
      <c r="OQ475" s="210"/>
      <c r="OR475" s="210"/>
      <c r="OS475" s="210"/>
      <c r="OT475" s="210"/>
      <c r="OU475" s="210"/>
      <c r="OV475" s="210"/>
      <c r="OW475" s="210"/>
      <c r="RG475" s="120"/>
    </row>
    <row r="476" spans="1:475" x14ac:dyDescent="0.3">
      <c r="A476" s="7">
        <v>49</v>
      </c>
      <c r="B476" s="7">
        <v>466</v>
      </c>
      <c r="C476" s="7" t="s">
        <v>346</v>
      </c>
      <c r="D476" s="7" t="s">
        <v>801</v>
      </c>
      <c r="E476" s="7" t="s">
        <v>309</v>
      </c>
      <c r="F476" s="7" t="s">
        <v>275</v>
      </c>
      <c r="G476" s="41" t="str">
        <f t="shared" si="80"/>
        <v>X</v>
      </c>
      <c r="H476" s="41">
        <f>INDEX(환산공식!CI$16:CI$301,MATCH('배치점수 계산기'!$W476,환산공식!$A$16:$A$301,0))</f>
        <v>200</v>
      </c>
      <c r="I476" s="41" t="str">
        <f>CONCATENATE(ROUND(INDEX(환산공식!CJ$16:CJ$301,MATCH('배치점수 계산기'!$W476,환산공식!$A$16:$A$301,0)),1),"%")</f>
        <v>100%</v>
      </c>
      <c r="J476" s="41">
        <f>INDEX(환산공식!CK$16:CK$301,MATCH('배치점수 계산기'!$W476,환산공식!$A$16:$A$301,0))</f>
        <v>50</v>
      </c>
      <c r="K476" s="7">
        <f>INDEX(환산공식!$EF$16:$EF$301,MATCH('배치점수 계산기'!W476,환산공식!$A$16:$A$301,0))</f>
        <v>0</v>
      </c>
      <c r="L476" s="41" t="str">
        <f t="shared" si="78"/>
        <v>1% 이하</v>
      </c>
      <c r="M476" s="7">
        <v>704.95100000000002</v>
      </c>
      <c r="N476" s="7">
        <v>704.00866979051807</v>
      </c>
      <c r="O476" s="7">
        <v>702.09442600276634</v>
      </c>
      <c r="P476" s="7">
        <v>699.50352712100141</v>
      </c>
      <c r="Q476" s="7">
        <v>696.20500000000004</v>
      </c>
      <c r="R476" s="7">
        <f t="shared" si="79"/>
        <v>6</v>
      </c>
      <c r="T476" s="7">
        <f>COUNTIF($C$11:C476,C476)</f>
        <v>206</v>
      </c>
      <c r="U476" s="7" t="str">
        <f t="shared" si="81"/>
        <v>나206</v>
      </c>
      <c r="V476" s="7" t="str">
        <f>INDEX(환산공식!$C$16:$C$301,MATCH('배치점수 계산기'!W476,환산공식!$A$16:$A$301,0))</f>
        <v>동국 통합</v>
      </c>
      <c r="W476" s="7">
        <f t="shared" si="82"/>
        <v>49</v>
      </c>
      <c r="X476" s="7">
        <f t="shared" si="83"/>
        <v>1</v>
      </c>
      <c r="Y476" s="7">
        <f>IFERROR(INDEX(환산공식!Q$16:Q$200,MATCH($A476,환산공식!$A$16:$A$200,0)),"")</f>
        <v>1.5</v>
      </c>
      <c r="Z476" s="7">
        <f>IFERROR(INDEX(환산공식!R$16:R$200,MATCH($A476,환산공식!$A$16:$A$200,0)),"")</f>
        <v>1.25</v>
      </c>
      <c r="AA476" s="7">
        <f>IFERROR(INDEX(환산공식!U$16:U$200,MATCH($A476,환산공식!$A$16:$A$200,0)),"")</f>
        <v>1</v>
      </c>
      <c r="AB476" s="7">
        <f t="shared" si="84"/>
        <v>0.4</v>
      </c>
      <c r="AC476" s="7">
        <f t="shared" si="85"/>
        <v>0.33333333333333331</v>
      </c>
      <c r="AD476" s="7">
        <f t="shared" si="86"/>
        <v>0.26666666666666666</v>
      </c>
      <c r="AE476" s="7">
        <f>INDEX(환산공식!$AF$16:$AF$301,MATCH('배치점수 계산기'!W476,환산공식!$A$16:$A$301,0))</f>
        <v>1</v>
      </c>
      <c r="AF476" s="7">
        <f>INDEX(환산공식!$AP$16:$AP$301,MATCH('배치점수 계산기'!W476,환산공식!$A$16:$A$301,0))</f>
        <v>4</v>
      </c>
      <c r="AG476" s="7" t="str">
        <f t="shared" si="87"/>
        <v>표점</v>
      </c>
      <c r="AH476" s="7" t="str">
        <f t="shared" si="88"/>
        <v>변표</v>
      </c>
      <c r="BO476" s="210"/>
      <c r="BP476" s="210"/>
      <c r="BQ476" s="210"/>
      <c r="BR476" s="210"/>
      <c r="BS476" s="210"/>
      <c r="BT476" s="210"/>
      <c r="BU476" s="210"/>
      <c r="BV476" s="210"/>
      <c r="BW476" s="210"/>
      <c r="BX476" s="210"/>
      <c r="BY476" s="210"/>
      <c r="BZ476" s="210"/>
      <c r="CA476" s="210"/>
      <c r="CB476" s="210"/>
      <c r="CC476" s="210"/>
      <c r="EM476" s="120"/>
      <c r="ET476" s="210"/>
      <c r="EU476" s="210"/>
      <c r="EV476" s="210"/>
      <c r="EW476" s="210"/>
      <c r="EX476" s="210"/>
      <c r="EY476" s="210"/>
      <c r="EZ476" s="210"/>
      <c r="FA476" s="210"/>
      <c r="FB476" s="210"/>
      <c r="FC476" s="210"/>
      <c r="FD476" s="210"/>
      <c r="FE476" s="210"/>
      <c r="FF476" s="210"/>
      <c r="FG476" s="210"/>
      <c r="FH476" s="210"/>
      <c r="HR476" s="120"/>
      <c r="HY476" s="210"/>
      <c r="HZ476" s="210"/>
      <c r="IA476" s="210"/>
      <c r="IB476" s="210"/>
      <c r="IC476" s="210"/>
      <c r="ID476" s="210"/>
      <c r="IE476" s="210"/>
      <c r="IF476" s="210"/>
      <c r="IG476" s="210"/>
      <c r="IH476" s="210"/>
      <c r="II476" s="210"/>
      <c r="IJ476" s="210"/>
      <c r="IK476" s="210"/>
      <c r="IL476" s="210"/>
      <c r="IM476" s="210"/>
      <c r="KW476" s="120"/>
      <c r="LD476" s="210"/>
      <c r="LE476" s="210"/>
      <c r="LF476" s="210"/>
      <c r="LG476" s="210"/>
      <c r="LH476" s="210"/>
      <c r="LI476" s="210"/>
      <c r="LJ476" s="210"/>
      <c r="LK476" s="210"/>
      <c r="LL476" s="210"/>
      <c r="LM476" s="210"/>
      <c r="LN476" s="210"/>
      <c r="LO476" s="210"/>
      <c r="LP476" s="210"/>
      <c r="LQ476" s="210"/>
      <c r="LR476" s="210"/>
      <c r="OB476" s="120"/>
      <c r="OI476" s="210"/>
      <c r="OJ476" s="210"/>
      <c r="OK476" s="210"/>
      <c r="OL476" s="210"/>
      <c r="OM476" s="210"/>
      <c r="ON476" s="210"/>
      <c r="OO476" s="210"/>
      <c r="OP476" s="210"/>
      <c r="OQ476" s="210"/>
      <c r="OR476" s="210"/>
      <c r="OS476" s="210"/>
      <c r="OT476" s="210"/>
      <c r="OU476" s="210"/>
      <c r="OV476" s="210"/>
      <c r="OW476" s="210"/>
      <c r="RG476" s="120"/>
    </row>
    <row r="477" spans="1:475" x14ac:dyDescent="0.3">
      <c r="A477" s="7">
        <v>49</v>
      </c>
      <c r="B477" s="7">
        <v>467</v>
      </c>
      <c r="C477" s="7" t="s">
        <v>276</v>
      </c>
      <c r="D477" s="7" t="s">
        <v>801</v>
      </c>
      <c r="E477" s="7" t="s">
        <v>819</v>
      </c>
      <c r="F477" s="7" t="s">
        <v>275</v>
      </c>
      <c r="G477" s="41" t="str">
        <f t="shared" si="80"/>
        <v>X</v>
      </c>
      <c r="H477" s="41">
        <f>INDEX(환산공식!CI$16:CI$301,MATCH('배치점수 계산기'!$W477,환산공식!$A$16:$A$301,0))</f>
        <v>200</v>
      </c>
      <c r="I477" s="41" t="str">
        <f>CONCATENATE(ROUND(INDEX(환산공식!CJ$16:CJ$301,MATCH('배치점수 계산기'!$W477,환산공식!$A$16:$A$301,0)),1),"%")</f>
        <v>100%</v>
      </c>
      <c r="J477" s="41">
        <f>INDEX(환산공식!CK$16:CK$301,MATCH('배치점수 계산기'!$W477,환산공식!$A$16:$A$301,0))</f>
        <v>50</v>
      </c>
      <c r="K477" s="7">
        <f>INDEX(환산공식!$EF$16:$EF$301,MATCH('배치점수 계산기'!W477,환산공식!$A$16:$A$301,0))</f>
        <v>0</v>
      </c>
      <c r="L477" s="41" t="str">
        <f t="shared" si="78"/>
        <v>1% 이하</v>
      </c>
      <c r="M477" s="7">
        <v>705.78200000000004</v>
      </c>
      <c r="N477" s="7">
        <v>704.00866979051807</v>
      </c>
      <c r="O477" s="7">
        <v>702.09442600276634</v>
      </c>
      <c r="P477" s="7">
        <v>700.87700000000007</v>
      </c>
      <c r="Q477" s="7">
        <v>697.89360089310628</v>
      </c>
      <c r="R477" s="7">
        <f t="shared" si="79"/>
        <v>6</v>
      </c>
      <c r="T477" s="7">
        <f>COUNTIF($C$11:C477,C477)</f>
        <v>247</v>
      </c>
      <c r="U477" s="7" t="str">
        <f t="shared" si="81"/>
        <v>가247</v>
      </c>
      <c r="V477" s="7" t="str">
        <f>INDEX(환산공식!$C$16:$C$301,MATCH('배치점수 계산기'!W477,환산공식!$A$16:$A$301,0))</f>
        <v>동국 통합</v>
      </c>
      <c r="W477" s="7">
        <f t="shared" si="82"/>
        <v>49</v>
      </c>
      <c r="X477" s="7">
        <f t="shared" si="83"/>
        <v>1</v>
      </c>
      <c r="Y477" s="7">
        <f>IFERROR(INDEX(환산공식!Q$16:Q$200,MATCH($A477,환산공식!$A$16:$A$200,0)),"")</f>
        <v>1.5</v>
      </c>
      <c r="Z477" s="7">
        <f>IFERROR(INDEX(환산공식!R$16:R$200,MATCH($A477,환산공식!$A$16:$A$200,0)),"")</f>
        <v>1.25</v>
      </c>
      <c r="AA477" s="7">
        <f>IFERROR(INDEX(환산공식!U$16:U$200,MATCH($A477,환산공식!$A$16:$A$200,0)),"")</f>
        <v>1</v>
      </c>
      <c r="AB477" s="7">
        <f t="shared" si="84"/>
        <v>0.4</v>
      </c>
      <c r="AC477" s="7">
        <f t="shared" si="85"/>
        <v>0.33333333333333331</v>
      </c>
      <c r="AD477" s="7">
        <f t="shared" si="86"/>
        <v>0.26666666666666666</v>
      </c>
      <c r="AE477" s="7">
        <f>INDEX(환산공식!$AF$16:$AF$301,MATCH('배치점수 계산기'!W477,환산공식!$A$16:$A$301,0))</f>
        <v>1</v>
      </c>
      <c r="AF477" s="7">
        <f>INDEX(환산공식!$AP$16:$AP$301,MATCH('배치점수 계산기'!W477,환산공식!$A$16:$A$301,0))</f>
        <v>4</v>
      </c>
      <c r="AG477" s="7" t="str">
        <f t="shared" si="87"/>
        <v>표점</v>
      </c>
      <c r="AH477" s="7" t="str">
        <f t="shared" si="88"/>
        <v>변표</v>
      </c>
      <c r="BO477" s="210"/>
      <c r="BP477" s="210"/>
      <c r="BQ477" s="210"/>
      <c r="BR477" s="210"/>
      <c r="BS477" s="210"/>
      <c r="BT477" s="210"/>
      <c r="BU477" s="210"/>
      <c r="BV477" s="210"/>
      <c r="BW477" s="210"/>
      <c r="BX477" s="210"/>
      <c r="BY477" s="210"/>
      <c r="BZ477" s="210"/>
      <c r="CA477" s="210"/>
      <c r="CB477" s="210"/>
      <c r="CC477" s="210"/>
      <c r="EM477" s="120"/>
      <c r="ET477" s="210"/>
      <c r="EU477" s="210"/>
      <c r="EV477" s="210"/>
      <c r="EW477" s="210"/>
      <c r="EX477" s="210"/>
      <c r="EY477" s="210"/>
      <c r="EZ477" s="210"/>
      <c r="FA477" s="210"/>
      <c r="FB477" s="210"/>
      <c r="FC477" s="210"/>
      <c r="FD477" s="210"/>
      <c r="FE477" s="210"/>
      <c r="FF477" s="210"/>
      <c r="FG477" s="210"/>
      <c r="FH477" s="210"/>
      <c r="HR477" s="120"/>
      <c r="HY477" s="210"/>
      <c r="HZ477" s="210"/>
      <c r="IA477" s="210"/>
      <c r="IB477" s="210"/>
      <c r="IC477" s="210"/>
      <c r="ID477" s="210"/>
      <c r="IE477" s="210"/>
      <c r="IF477" s="210"/>
      <c r="IG477" s="210"/>
      <c r="IH477" s="210"/>
      <c r="II477" s="210"/>
      <c r="IJ477" s="210"/>
      <c r="IK477" s="210"/>
      <c r="IL477" s="210"/>
      <c r="IM477" s="210"/>
      <c r="KW477" s="120"/>
      <c r="LD477" s="210"/>
      <c r="LE477" s="210"/>
      <c r="LF477" s="210"/>
      <c r="LG477" s="210"/>
      <c r="LH477" s="210"/>
      <c r="LI477" s="210"/>
      <c r="LJ477" s="210"/>
      <c r="LK477" s="210"/>
      <c r="LL477" s="210"/>
      <c r="LM477" s="210"/>
      <c r="LN477" s="210"/>
      <c r="LO477" s="210"/>
      <c r="LP477" s="210"/>
      <c r="LQ477" s="210"/>
      <c r="LR477" s="210"/>
      <c r="OB477" s="120"/>
      <c r="OI477" s="210"/>
      <c r="OJ477" s="210"/>
      <c r="OK477" s="210"/>
      <c r="OL477" s="210"/>
      <c r="OM477" s="210"/>
      <c r="ON477" s="210"/>
      <c r="OO477" s="210"/>
      <c r="OP477" s="210"/>
      <c r="OQ477" s="210"/>
      <c r="OR477" s="210"/>
      <c r="OS477" s="210"/>
      <c r="OT477" s="210"/>
      <c r="OU477" s="210"/>
      <c r="OV477" s="210"/>
      <c r="OW477" s="210"/>
      <c r="RG477" s="120"/>
    </row>
    <row r="478" spans="1:475" x14ac:dyDescent="0.3">
      <c r="A478" s="7">
        <v>49</v>
      </c>
      <c r="B478" s="7">
        <v>468</v>
      </c>
      <c r="C478" s="7" t="s">
        <v>276</v>
      </c>
      <c r="D478" s="7" t="s">
        <v>801</v>
      </c>
      <c r="E478" s="7" t="s">
        <v>820</v>
      </c>
      <c r="F478" s="7" t="s">
        <v>275</v>
      </c>
      <c r="G478" s="41" t="str">
        <f t="shared" si="80"/>
        <v>X</v>
      </c>
      <c r="H478" s="41">
        <f>INDEX(환산공식!CI$16:CI$301,MATCH('배치점수 계산기'!$W478,환산공식!$A$16:$A$301,0))</f>
        <v>200</v>
      </c>
      <c r="I478" s="41" t="str">
        <f>CONCATENATE(ROUND(INDEX(환산공식!CJ$16:CJ$301,MATCH('배치점수 계산기'!$W478,환산공식!$A$16:$A$301,0)),1),"%")</f>
        <v>100%</v>
      </c>
      <c r="J478" s="41">
        <f>INDEX(환산공식!CK$16:CK$301,MATCH('배치점수 계산기'!$W478,환산공식!$A$16:$A$301,0))</f>
        <v>50</v>
      </c>
      <c r="K478" s="7">
        <f>INDEX(환산공식!$EF$16:$EF$301,MATCH('배치점수 계산기'!W478,환산공식!$A$16:$A$301,0))</f>
        <v>0</v>
      </c>
      <c r="L478" s="41" t="str">
        <f t="shared" si="78"/>
        <v>1% 이하</v>
      </c>
      <c r="M478" s="7">
        <v>704.95100000000002</v>
      </c>
      <c r="N478" s="7">
        <v>702.85242419221208</v>
      </c>
      <c r="O478" s="7">
        <v>701.36755570953437</v>
      </c>
      <c r="P478" s="7">
        <v>699.50352712100141</v>
      </c>
      <c r="Q478" s="7">
        <v>696.77425874125879</v>
      </c>
      <c r="R478" s="7">
        <f t="shared" si="79"/>
        <v>6</v>
      </c>
      <c r="T478" s="7">
        <f>COUNTIF($C$11:C478,C478)</f>
        <v>248</v>
      </c>
      <c r="U478" s="7" t="str">
        <f t="shared" si="81"/>
        <v>가248</v>
      </c>
      <c r="V478" s="7" t="str">
        <f>INDEX(환산공식!$C$16:$C$301,MATCH('배치점수 계산기'!W478,환산공식!$A$16:$A$301,0))</f>
        <v>동국 통합</v>
      </c>
      <c r="W478" s="7">
        <f t="shared" si="82"/>
        <v>49</v>
      </c>
      <c r="X478" s="7">
        <f t="shared" si="83"/>
        <v>1</v>
      </c>
      <c r="Y478" s="7">
        <f>IFERROR(INDEX(환산공식!Q$16:Q$200,MATCH($A478,환산공식!$A$16:$A$200,0)),"")</f>
        <v>1.5</v>
      </c>
      <c r="Z478" s="7">
        <f>IFERROR(INDEX(환산공식!R$16:R$200,MATCH($A478,환산공식!$A$16:$A$200,0)),"")</f>
        <v>1.25</v>
      </c>
      <c r="AA478" s="7">
        <f>IFERROR(INDEX(환산공식!U$16:U$200,MATCH($A478,환산공식!$A$16:$A$200,0)),"")</f>
        <v>1</v>
      </c>
      <c r="AB478" s="7">
        <f t="shared" si="84"/>
        <v>0.4</v>
      </c>
      <c r="AC478" s="7">
        <f t="shared" si="85"/>
        <v>0.33333333333333331</v>
      </c>
      <c r="AD478" s="7">
        <f t="shared" si="86"/>
        <v>0.26666666666666666</v>
      </c>
      <c r="AE478" s="7">
        <f>INDEX(환산공식!$AF$16:$AF$301,MATCH('배치점수 계산기'!W478,환산공식!$A$16:$A$301,0))</f>
        <v>1</v>
      </c>
      <c r="AF478" s="7">
        <f>INDEX(환산공식!$AP$16:$AP$301,MATCH('배치점수 계산기'!W478,환산공식!$A$16:$A$301,0))</f>
        <v>4</v>
      </c>
      <c r="AG478" s="7" t="str">
        <f t="shared" si="87"/>
        <v>표점</v>
      </c>
      <c r="AH478" s="7" t="str">
        <f t="shared" si="88"/>
        <v>변표</v>
      </c>
      <c r="BO478" s="210"/>
      <c r="BP478" s="210"/>
      <c r="BQ478" s="210"/>
      <c r="BR478" s="210"/>
      <c r="BS478" s="210"/>
      <c r="BT478" s="210"/>
      <c r="BU478" s="210"/>
      <c r="BV478" s="210"/>
      <c r="BW478" s="210"/>
      <c r="BX478" s="210"/>
      <c r="BY478" s="210"/>
      <c r="BZ478" s="210"/>
      <c r="CA478" s="210"/>
      <c r="CB478" s="210"/>
      <c r="CC478" s="210"/>
      <c r="EM478" s="120"/>
      <c r="ET478" s="210"/>
      <c r="EU478" s="210"/>
      <c r="EV478" s="210"/>
      <c r="EW478" s="210"/>
      <c r="EX478" s="210"/>
      <c r="EY478" s="210"/>
      <c r="EZ478" s="210"/>
      <c r="FA478" s="210"/>
      <c r="FB478" s="210"/>
      <c r="FC478" s="210"/>
      <c r="FD478" s="210"/>
      <c r="FE478" s="210"/>
      <c r="FF478" s="210"/>
      <c r="FG478" s="210"/>
      <c r="FH478" s="210"/>
      <c r="HR478" s="120"/>
      <c r="HY478" s="210"/>
      <c r="HZ478" s="210"/>
      <c r="IA478" s="210"/>
      <c r="IB478" s="210"/>
      <c r="IC478" s="210"/>
      <c r="ID478" s="210"/>
      <c r="IE478" s="210"/>
      <c r="IF478" s="210"/>
      <c r="IG478" s="210"/>
      <c r="IH478" s="210"/>
      <c r="II478" s="210"/>
      <c r="IJ478" s="210"/>
      <c r="IK478" s="210"/>
      <c r="IL478" s="210"/>
      <c r="IM478" s="210"/>
      <c r="KW478" s="120"/>
      <c r="LD478" s="210"/>
      <c r="LE478" s="210"/>
      <c r="LF478" s="210"/>
      <c r="LG478" s="210"/>
      <c r="LH478" s="210"/>
      <c r="LI478" s="210"/>
      <c r="LJ478" s="210"/>
      <c r="LK478" s="210"/>
      <c r="LL478" s="210"/>
      <c r="LM478" s="210"/>
      <c r="LN478" s="210"/>
      <c r="LO478" s="210"/>
      <c r="LP478" s="210"/>
      <c r="LQ478" s="210"/>
      <c r="LR478" s="210"/>
      <c r="OB478" s="120"/>
      <c r="OI478" s="210"/>
      <c r="OJ478" s="210"/>
      <c r="OK478" s="210"/>
      <c r="OL478" s="210"/>
      <c r="OM478" s="210"/>
      <c r="ON478" s="210"/>
      <c r="OO478" s="210"/>
      <c r="OP478" s="210"/>
      <c r="OQ478" s="210"/>
      <c r="OR478" s="210"/>
      <c r="OS478" s="210"/>
      <c r="OT478" s="210"/>
      <c r="OU478" s="210"/>
      <c r="OV478" s="210"/>
      <c r="OW478" s="210"/>
      <c r="RG478" s="120"/>
    </row>
    <row r="479" spans="1:475" x14ac:dyDescent="0.3">
      <c r="A479" s="7">
        <v>49</v>
      </c>
      <c r="B479" s="7">
        <v>469</v>
      </c>
      <c r="C479" s="7" t="s">
        <v>276</v>
      </c>
      <c r="D479" s="7" t="s">
        <v>801</v>
      </c>
      <c r="E479" s="7" t="s">
        <v>452</v>
      </c>
      <c r="F479" s="7" t="s">
        <v>275</v>
      </c>
      <c r="G479" s="41" t="str">
        <f t="shared" si="80"/>
        <v>X</v>
      </c>
      <c r="H479" s="41">
        <f>INDEX(환산공식!CI$16:CI$301,MATCH('배치점수 계산기'!$W479,환산공식!$A$16:$A$301,0))</f>
        <v>200</v>
      </c>
      <c r="I479" s="41" t="str">
        <f>CONCATENATE(ROUND(INDEX(환산공식!CJ$16:CJ$301,MATCH('배치점수 계산기'!$W479,환산공식!$A$16:$A$301,0)),1),"%")</f>
        <v>100%</v>
      </c>
      <c r="J479" s="41">
        <f>INDEX(환산공식!CK$16:CK$301,MATCH('배치점수 계산기'!$W479,환산공식!$A$16:$A$301,0))</f>
        <v>50</v>
      </c>
      <c r="K479" s="7">
        <f>INDEX(환산공식!$EF$16:$EF$301,MATCH('배치점수 계산기'!W479,환산공식!$A$16:$A$301,0))</f>
        <v>0</v>
      </c>
      <c r="L479" s="41" t="str">
        <f t="shared" si="78"/>
        <v>1% 이하</v>
      </c>
      <c r="M479" s="7">
        <v>705.78200000000004</v>
      </c>
      <c r="N479" s="7">
        <v>704.00866979051807</v>
      </c>
      <c r="O479" s="7">
        <v>702.09442600276634</v>
      </c>
      <c r="P479" s="7">
        <v>700.20951819949994</v>
      </c>
      <c r="Q479" s="7">
        <v>697.89360089310628</v>
      </c>
      <c r="R479" s="7">
        <f t="shared" si="79"/>
        <v>6</v>
      </c>
      <c r="T479" s="7">
        <f>COUNTIF($C$11:C479,C479)</f>
        <v>249</v>
      </c>
      <c r="U479" s="7" t="str">
        <f t="shared" si="81"/>
        <v>가249</v>
      </c>
      <c r="V479" s="7" t="str">
        <f>INDEX(환산공식!$C$16:$C$301,MATCH('배치점수 계산기'!W479,환산공식!$A$16:$A$301,0))</f>
        <v>동국 통합</v>
      </c>
      <c r="W479" s="7">
        <f t="shared" si="82"/>
        <v>49</v>
      </c>
      <c r="X479" s="7">
        <f t="shared" si="83"/>
        <v>1</v>
      </c>
      <c r="Y479" s="7">
        <f>IFERROR(INDEX(환산공식!Q$16:Q$200,MATCH($A479,환산공식!$A$16:$A$200,0)),"")</f>
        <v>1.5</v>
      </c>
      <c r="Z479" s="7">
        <f>IFERROR(INDEX(환산공식!R$16:R$200,MATCH($A479,환산공식!$A$16:$A$200,0)),"")</f>
        <v>1.25</v>
      </c>
      <c r="AA479" s="7">
        <f>IFERROR(INDEX(환산공식!U$16:U$200,MATCH($A479,환산공식!$A$16:$A$200,0)),"")</f>
        <v>1</v>
      </c>
      <c r="AB479" s="7">
        <f t="shared" si="84"/>
        <v>0.4</v>
      </c>
      <c r="AC479" s="7">
        <f t="shared" si="85"/>
        <v>0.33333333333333331</v>
      </c>
      <c r="AD479" s="7">
        <f t="shared" si="86"/>
        <v>0.26666666666666666</v>
      </c>
      <c r="AE479" s="7">
        <f>INDEX(환산공식!$AF$16:$AF$301,MATCH('배치점수 계산기'!W479,환산공식!$A$16:$A$301,0))</f>
        <v>1</v>
      </c>
      <c r="AF479" s="7">
        <f>INDEX(환산공식!$AP$16:$AP$301,MATCH('배치점수 계산기'!W479,환산공식!$A$16:$A$301,0))</f>
        <v>4</v>
      </c>
      <c r="AG479" s="7" t="str">
        <f t="shared" si="87"/>
        <v>표점</v>
      </c>
      <c r="AH479" s="7" t="str">
        <f t="shared" si="88"/>
        <v>변표</v>
      </c>
      <c r="BO479" s="210"/>
      <c r="BP479" s="210"/>
      <c r="BQ479" s="210"/>
      <c r="BR479" s="210"/>
      <c r="BS479" s="210"/>
      <c r="BT479" s="210"/>
      <c r="BU479" s="210"/>
      <c r="BV479" s="210"/>
      <c r="BW479" s="210"/>
      <c r="BX479" s="210"/>
      <c r="BY479" s="210"/>
      <c r="BZ479" s="210"/>
      <c r="CA479" s="210"/>
      <c r="CB479" s="210"/>
      <c r="CC479" s="210"/>
      <c r="EM479" s="120"/>
      <c r="ET479" s="210"/>
      <c r="EU479" s="210"/>
      <c r="EV479" s="210"/>
      <c r="EW479" s="210"/>
      <c r="EX479" s="210"/>
      <c r="EY479" s="210"/>
      <c r="EZ479" s="210"/>
      <c r="FA479" s="210"/>
      <c r="FB479" s="210"/>
      <c r="FC479" s="210"/>
      <c r="FD479" s="210"/>
      <c r="FE479" s="210"/>
      <c r="FF479" s="210"/>
      <c r="FG479" s="210"/>
      <c r="FH479" s="210"/>
      <c r="HR479" s="120"/>
      <c r="HY479" s="210"/>
      <c r="HZ479" s="210"/>
      <c r="IA479" s="210"/>
      <c r="IB479" s="210"/>
      <c r="IC479" s="210"/>
      <c r="ID479" s="210"/>
      <c r="IE479" s="210"/>
      <c r="IF479" s="210"/>
      <c r="IG479" s="210"/>
      <c r="IH479" s="210"/>
      <c r="II479" s="210"/>
      <c r="IJ479" s="210"/>
      <c r="IK479" s="210"/>
      <c r="IL479" s="210"/>
      <c r="IM479" s="210"/>
      <c r="KW479" s="120"/>
      <c r="LD479" s="210"/>
      <c r="LE479" s="210"/>
      <c r="LF479" s="210"/>
      <c r="LG479" s="210"/>
      <c r="LH479" s="210"/>
      <c r="LI479" s="210"/>
      <c r="LJ479" s="210"/>
      <c r="LK479" s="210"/>
      <c r="LL479" s="210"/>
      <c r="LM479" s="210"/>
      <c r="LN479" s="210"/>
      <c r="LO479" s="210"/>
      <c r="LP479" s="210"/>
      <c r="LQ479" s="210"/>
      <c r="LR479" s="210"/>
      <c r="OB479" s="120"/>
      <c r="OI479" s="210"/>
      <c r="OJ479" s="210"/>
      <c r="OK479" s="210"/>
      <c r="OL479" s="210"/>
      <c r="OM479" s="210"/>
      <c r="ON479" s="210"/>
      <c r="OO479" s="210"/>
      <c r="OP479" s="210"/>
      <c r="OQ479" s="210"/>
      <c r="OR479" s="210"/>
      <c r="OS479" s="210"/>
      <c r="OT479" s="210"/>
      <c r="OU479" s="210"/>
      <c r="OV479" s="210"/>
      <c r="OW479" s="210"/>
      <c r="RG479" s="120"/>
    </row>
    <row r="480" spans="1:475" x14ac:dyDescent="0.3">
      <c r="A480" s="7">
        <v>49</v>
      </c>
      <c r="B480" s="7">
        <v>470</v>
      </c>
      <c r="C480" s="7" t="s">
        <v>276</v>
      </c>
      <c r="D480" s="7" t="s">
        <v>801</v>
      </c>
      <c r="E480" s="7" t="s">
        <v>821</v>
      </c>
      <c r="F480" s="7" t="s">
        <v>275</v>
      </c>
      <c r="G480" s="41" t="str">
        <f t="shared" si="80"/>
        <v>X</v>
      </c>
      <c r="H480" s="41">
        <f>INDEX(환산공식!CI$16:CI$301,MATCH('배치점수 계산기'!$W480,환산공식!$A$16:$A$301,0))</f>
        <v>200</v>
      </c>
      <c r="I480" s="41" t="str">
        <f>CONCATENATE(ROUND(INDEX(환산공식!CJ$16:CJ$301,MATCH('배치점수 계산기'!$W480,환산공식!$A$16:$A$301,0)),1),"%")</f>
        <v>100%</v>
      </c>
      <c r="J480" s="41">
        <f>INDEX(환산공식!CK$16:CK$301,MATCH('배치점수 계산기'!$W480,환산공식!$A$16:$A$301,0))</f>
        <v>50</v>
      </c>
      <c r="K480" s="7">
        <f>INDEX(환산공식!$EF$16:$EF$301,MATCH('배치점수 계산기'!W480,환산공식!$A$16:$A$301,0))</f>
        <v>0</v>
      </c>
      <c r="L480" s="41" t="str">
        <f t="shared" si="78"/>
        <v>1% 이하</v>
      </c>
      <c r="M480" s="7">
        <v>708.14020944838887</v>
      </c>
      <c r="N480" s="7">
        <v>707.21500000000003</v>
      </c>
      <c r="O480" s="7">
        <v>705.78200000000004</v>
      </c>
      <c r="P480" s="7">
        <v>702.09442600276634</v>
      </c>
      <c r="Q480" s="7">
        <v>700.20951819949994</v>
      </c>
      <c r="R480" s="7">
        <f t="shared" si="79"/>
        <v>6</v>
      </c>
      <c r="T480" s="7">
        <f>COUNTIF($C$11:C480,C480)</f>
        <v>250</v>
      </c>
      <c r="U480" s="7" t="str">
        <f t="shared" si="81"/>
        <v>가250</v>
      </c>
      <c r="V480" s="7" t="str">
        <f>INDEX(환산공식!$C$16:$C$301,MATCH('배치점수 계산기'!W480,환산공식!$A$16:$A$301,0))</f>
        <v>동국 통합</v>
      </c>
      <c r="W480" s="7">
        <f t="shared" si="82"/>
        <v>49</v>
      </c>
      <c r="X480" s="7">
        <f t="shared" si="83"/>
        <v>1</v>
      </c>
      <c r="Y480" s="7">
        <f>IFERROR(INDEX(환산공식!Q$16:Q$200,MATCH($A480,환산공식!$A$16:$A$200,0)),"")</f>
        <v>1.5</v>
      </c>
      <c r="Z480" s="7">
        <f>IFERROR(INDEX(환산공식!R$16:R$200,MATCH($A480,환산공식!$A$16:$A$200,0)),"")</f>
        <v>1.25</v>
      </c>
      <c r="AA480" s="7">
        <f>IFERROR(INDEX(환산공식!U$16:U$200,MATCH($A480,환산공식!$A$16:$A$200,0)),"")</f>
        <v>1</v>
      </c>
      <c r="AB480" s="7">
        <f t="shared" si="84"/>
        <v>0.4</v>
      </c>
      <c r="AC480" s="7">
        <f t="shared" si="85"/>
        <v>0.33333333333333331</v>
      </c>
      <c r="AD480" s="7">
        <f t="shared" si="86"/>
        <v>0.26666666666666666</v>
      </c>
      <c r="AE480" s="7">
        <f>INDEX(환산공식!$AF$16:$AF$301,MATCH('배치점수 계산기'!W480,환산공식!$A$16:$A$301,0))</f>
        <v>1</v>
      </c>
      <c r="AF480" s="7">
        <f>INDEX(환산공식!$AP$16:$AP$301,MATCH('배치점수 계산기'!W480,환산공식!$A$16:$A$301,0))</f>
        <v>4</v>
      </c>
      <c r="AG480" s="7" t="str">
        <f t="shared" si="87"/>
        <v>표점</v>
      </c>
      <c r="AH480" s="7" t="str">
        <f t="shared" si="88"/>
        <v>변표</v>
      </c>
      <c r="BO480" s="210"/>
      <c r="BP480" s="210"/>
      <c r="BQ480" s="210"/>
      <c r="BR480" s="210"/>
      <c r="BS480" s="210"/>
      <c r="BT480" s="210"/>
      <c r="BU480" s="210"/>
      <c r="BV480" s="210"/>
      <c r="BW480" s="210"/>
      <c r="BX480" s="210"/>
      <c r="BY480" s="210"/>
      <c r="BZ480" s="210"/>
      <c r="CA480" s="210"/>
      <c r="CB480" s="210"/>
      <c r="CC480" s="210"/>
      <c r="EM480" s="120"/>
      <c r="ET480" s="210"/>
      <c r="EU480" s="210"/>
      <c r="EV480" s="210"/>
      <c r="EW480" s="210"/>
      <c r="EX480" s="210"/>
      <c r="EY480" s="210"/>
      <c r="EZ480" s="210"/>
      <c r="FA480" s="210"/>
      <c r="FB480" s="210"/>
      <c r="FC480" s="210"/>
      <c r="FD480" s="210"/>
      <c r="FE480" s="210"/>
      <c r="FF480" s="210"/>
      <c r="FG480" s="210"/>
      <c r="FH480" s="210"/>
      <c r="HR480" s="120"/>
      <c r="HY480" s="210"/>
      <c r="HZ480" s="210"/>
      <c r="IA480" s="210"/>
      <c r="IB480" s="210"/>
      <c r="IC480" s="210"/>
      <c r="ID480" s="210"/>
      <c r="IE480" s="210"/>
      <c r="IF480" s="210"/>
      <c r="IG480" s="210"/>
      <c r="IH480" s="210"/>
      <c r="II480" s="210"/>
      <c r="IJ480" s="210"/>
      <c r="IK480" s="210"/>
      <c r="IL480" s="210"/>
      <c r="IM480" s="210"/>
      <c r="KW480" s="120"/>
      <c r="LD480" s="210"/>
      <c r="LE480" s="210"/>
      <c r="LF480" s="210"/>
      <c r="LG480" s="210"/>
      <c r="LH480" s="210"/>
      <c r="LI480" s="210"/>
      <c r="LJ480" s="210"/>
      <c r="LK480" s="210"/>
      <c r="LL480" s="210"/>
      <c r="LM480" s="210"/>
      <c r="LN480" s="210"/>
      <c r="LO480" s="210"/>
      <c r="LP480" s="210"/>
      <c r="LQ480" s="210"/>
      <c r="LR480" s="210"/>
      <c r="OB480" s="120"/>
      <c r="OI480" s="210"/>
      <c r="OJ480" s="210"/>
      <c r="OK480" s="210"/>
      <c r="OL480" s="210"/>
      <c r="OM480" s="210"/>
      <c r="ON480" s="210"/>
      <c r="OO480" s="210"/>
      <c r="OP480" s="210"/>
      <c r="OQ480" s="210"/>
      <c r="OR480" s="210"/>
      <c r="OS480" s="210"/>
      <c r="OT480" s="210"/>
      <c r="OU480" s="210"/>
      <c r="OV480" s="210"/>
      <c r="OW480" s="210"/>
      <c r="RG480" s="120"/>
    </row>
    <row r="481" spans="1:475" x14ac:dyDescent="0.3">
      <c r="A481" s="7">
        <v>49</v>
      </c>
      <c r="B481" s="7">
        <v>471</v>
      </c>
      <c r="C481" s="7" t="s">
        <v>276</v>
      </c>
      <c r="D481" s="7" t="s">
        <v>801</v>
      </c>
      <c r="E481" s="7" t="s">
        <v>302</v>
      </c>
      <c r="F481" s="7" t="s">
        <v>275</v>
      </c>
      <c r="G481" s="41" t="str">
        <f t="shared" si="80"/>
        <v>X</v>
      </c>
      <c r="H481" s="41">
        <f>INDEX(환산공식!CI$16:CI$301,MATCH('배치점수 계산기'!$W481,환산공식!$A$16:$A$301,0))</f>
        <v>200</v>
      </c>
      <c r="I481" s="41" t="str">
        <f>CONCATENATE(ROUND(INDEX(환산공식!CJ$16:CJ$301,MATCH('배치점수 계산기'!$W481,환산공식!$A$16:$A$301,0)),1),"%")</f>
        <v>100%</v>
      </c>
      <c r="J481" s="41">
        <f>INDEX(환산공식!CK$16:CK$301,MATCH('배치점수 계산기'!$W481,환산공식!$A$16:$A$301,0))</f>
        <v>50</v>
      </c>
      <c r="K481" s="7">
        <f>INDEX(환산공식!$EF$16:$EF$301,MATCH('배치점수 계산기'!W481,환산공식!$A$16:$A$301,0))</f>
        <v>0</v>
      </c>
      <c r="L481" s="41" t="str">
        <f t="shared" si="78"/>
        <v>1% 이하</v>
      </c>
      <c r="M481" s="7">
        <v>705.78200000000004</v>
      </c>
      <c r="N481" s="7">
        <v>704.00866979051807</v>
      </c>
      <c r="O481" s="7">
        <v>702.09442600276634</v>
      </c>
      <c r="P481" s="7">
        <v>700.20951819949994</v>
      </c>
      <c r="Q481" s="7">
        <v>697.32039698071014</v>
      </c>
      <c r="R481" s="7">
        <f t="shared" si="79"/>
        <v>6</v>
      </c>
      <c r="T481" s="7">
        <f>COUNTIF($C$11:C481,C481)</f>
        <v>251</v>
      </c>
      <c r="U481" s="7" t="str">
        <f t="shared" si="81"/>
        <v>가251</v>
      </c>
      <c r="V481" s="7" t="str">
        <f>INDEX(환산공식!$C$16:$C$301,MATCH('배치점수 계산기'!W481,환산공식!$A$16:$A$301,0))</f>
        <v>동국 통합</v>
      </c>
      <c r="W481" s="7">
        <f t="shared" si="82"/>
        <v>49</v>
      </c>
      <c r="X481" s="7">
        <f t="shared" si="83"/>
        <v>1</v>
      </c>
      <c r="Y481" s="7">
        <f>IFERROR(INDEX(환산공식!Q$16:Q$200,MATCH($A481,환산공식!$A$16:$A$200,0)),"")</f>
        <v>1.5</v>
      </c>
      <c r="Z481" s="7">
        <f>IFERROR(INDEX(환산공식!R$16:R$200,MATCH($A481,환산공식!$A$16:$A$200,0)),"")</f>
        <v>1.25</v>
      </c>
      <c r="AA481" s="7">
        <f>IFERROR(INDEX(환산공식!U$16:U$200,MATCH($A481,환산공식!$A$16:$A$200,0)),"")</f>
        <v>1</v>
      </c>
      <c r="AB481" s="7">
        <f t="shared" si="84"/>
        <v>0.4</v>
      </c>
      <c r="AC481" s="7">
        <f t="shared" si="85"/>
        <v>0.33333333333333331</v>
      </c>
      <c r="AD481" s="7">
        <f t="shared" si="86"/>
        <v>0.26666666666666666</v>
      </c>
      <c r="AE481" s="7">
        <f>INDEX(환산공식!$AF$16:$AF$301,MATCH('배치점수 계산기'!W481,환산공식!$A$16:$A$301,0))</f>
        <v>1</v>
      </c>
      <c r="AF481" s="7">
        <f>INDEX(환산공식!$AP$16:$AP$301,MATCH('배치점수 계산기'!W481,환산공식!$A$16:$A$301,0))</f>
        <v>4</v>
      </c>
      <c r="AG481" s="7" t="str">
        <f t="shared" si="87"/>
        <v>표점</v>
      </c>
      <c r="AH481" s="7" t="str">
        <f t="shared" si="88"/>
        <v>변표</v>
      </c>
      <c r="BO481" s="210"/>
      <c r="BP481" s="210"/>
      <c r="BQ481" s="210"/>
      <c r="BR481" s="210"/>
      <c r="BS481" s="210"/>
      <c r="BT481" s="210"/>
      <c r="BU481" s="210"/>
      <c r="BV481" s="210"/>
      <c r="BW481" s="210"/>
      <c r="BX481" s="210"/>
      <c r="BY481" s="210"/>
      <c r="BZ481" s="210"/>
      <c r="CA481" s="210"/>
      <c r="CB481" s="210"/>
      <c r="CC481" s="210"/>
      <c r="EM481" s="120"/>
      <c r="ET481" s="210"/>
      <c r="EU481" s="210"/>
      <c r="EV481" s="210"/>
      <c r="EW481" s="210"/>
      <c r="EX481" s="210"/>
      <c r="EY481" s="210"/>
      <c r="EZ481" s="210"/>
      <c r="FA481" s="210"/>
      <c r="FB481" s="210"/>
      <c r="FC481" s="210"/>
      <c r="FD481" s="210"/>
      <c r="FE481" s="210"/>
      <c r="FF481" s="210"/>
      <c r="FG481" s="210"/>
      <c r="FH481" s="210"/>
      <c r="HR481" s="120"/>
      <c r="HY481" s="210"/>
      <c r="HZ481" s="210"/>
      <c r="IA481" s="210"/>
      <c r="IB481" s="210"/>
      <c r="IC481" s="210"/>
      <c r="ID481" s="210"/>
      <c r="IE481" s="210"/>
      <c r="IF481" s="210"/>
      <c r="IG481" s="210"/>
      <c r="IH481" s="210"/>
      <c r="II481" s="210"/>
      <c r="IJ481" s="210"/>
      <c r="IK481" s="210"/>
      <c r="IL481" s="210"/>
      <c r="IM481" s="210"/>
      <c r="KW481" s="120"/>
      <c r="LD481" s="210"/>
      <c r="LE481" s="210"/>
      <c r="LF481" s="210"/>
      <c r="LG481" s="210"/>
      <c r="LH481" s="210"/>
      <c r="LI481" s="210"/>
      <c r="LJ481" s="210"/>
      <c r="LK481" s="210"/>
      <c r="LL481" s="210"/>
      <c r="LM481" s="210"/>
      <c r="LN481" s="210"/>
      <c r="LO481" s="210"/>
      <c r="LP481" s="210"/>
      <c r="LQ481" s="210"/>
      <c r="LR481" s="210"/>
      <c r="OB481" s="120"/>
      <c r="OI481" s="210"/>
      <c r="OJ481" s="210"/>
      <c r="OK481" s="210"/>
      <c r="OL481" s="210"/>
      <c r="OM481" s="210"/>
      <c r="ON481" s="210"/>
      <c r="OO481" s="210"/>
      <c r="OP481" s="210"/>
      <c r="OQ481" s="210"/>
      <c r="OR481" s="210"/>
      <c r="OS481" s="210"/>
      <c r="OT481" s="210"/>
      <c r="OU481" s="210"/>
      <c r="OV481" s="210"/>
      <c r="OW481" s="210"/>
      <c r="RG481" s="120"/>
    </row>
    <row r="482" spans="1:475" x14ac:dyDescent="0.3">
      <c r="A482" s="7">
        <v>51</v>
      </c>
      <c r="B482" s="7">
        <v>472</v>
      </c>
      <c r="C482" s="7" t="s">
        <v>276</v>
      </c>
      <c r="D482" s="7" t="s">
        <v>801</v>
      </c>
      <c r="E482" s="7" t="s">
        <v>822</v>
      </c>
      <c r="F482" s="7" t="s">
        <v>275</v>
      </c>
      <c r="G482" s="41" t="str">
        <f t="shared" si="80"/>
        <v>X</v>
      </c>
      <c r="H482" s="41">
        <f>INDEX(환산공식!CI$16:CI$301,MATCH('배치점수 계산기'!$W482,환산공식!$A$16:$A$301,0))</f>
        <v>200</v>
      </c>
      <c r="I482" s="41" t="str">
        <f>CONCATENATE(ROUND(INDEX(환산공식!CJ$16:CJ$301,MATCH('배치점수 계산기'!$W482,환산공식!$A$16:$A$301,0)),1),"%")</f>
        <v>100%</v>
      </c>
      <c r="J482" s="41">
        <f>INDEX(환산공식!CK$16:CK$301,MATCH('배치점수 계산기'!$W482,환산공식!$A$16:$A$301,0))</f>
        <v>50</v>
      </c>
      <c r="K482" s="7">
        <f>INDEX(환산공식!$EF$16:$EF$301,MATCH('배치점수 계산기'!W482,환산공식!$A$16:$A$301,0))</f>
        <v>0</v>
      </c>
      <c r="L482" s="41" t="str">
        <f t="shared" si="78"/>
        <v>1% 이하</v>
      </c>
      <c r="M482" s="7">
        <v>710.66360342950475</v>
      </c>
      <c r="N482" s="7">
        <v>709.09</v>
      </c>
      <c r="O482" s="7">
        <v>707.22764262205158</v>
      </c>
      <c r="P482" s="7">
        <v>705.46500000000015</v>
      </c>
      <c r="Q482" s="7">
        <v>702.47500000000014</v>
      </c>
      <c r="R482" s="7">
        <f t="shared" si="79"/>
        <v>6</v>
      </c>
      <c r="T482" s="7">
        <f>COUNTIF($C$11:C482,C482)</f>
        <v>252</v>
      </c>
      <c r="U482" s="7" t="str">
        <f t="shared" si="81"/>
        <v>가252</v>
      </c>
      <c r="V482" s="7" t="str">
        <f>INDEX(환산공식!$C$16:$C$301,MATCH('배치점수 계산기'!W482,환산공식!$A$16:$A$301,0))</f>
        <v>동국 융합</v>
      </c>
      <c r="W482" s="7">
        <f t="shared" si="82"/>
        <v>51</v>
      </c>
      <c r="X482" s="7">
        <f t="shared" si="83"/>
        <v>1</v>
      </c>
      <c r="Y482" s="7">
        <f>IFERROR(INDEX(환산공식!Q$16:Q$200,MATCH($A482,환산공식!$A$16:$A$200,0)),"")</f>
        <v>1.25</v>
      </c>
      <c r="Z482" s="7">
        <f>IFERROR(INDEX(환산공식!R$16:R$200,MATCH($A482,환산공식!$A$16:$A$200,0)),"")</f>
        <v>1.5</v>
      </c>
      <c r="AA482" s="7">
        <f>IFERROR(INDEX(환산공식!U$16:U$200,MATCH($A482,환산공식!$A$16:$A$200,0)),"")</f>
        <v>1</v>
      </c>
      <c r="AB482" s="7">
        <f t="shared" si="84"/>
        <v>0.33333333333333331</v>
      </c>
      <c r="AC482" s="7">
        <f t="shared" si="85"/>
        <v>0.4</v>
      </c>
      <c r="AD482" s="7">
        <f t="shared" si="86"/>
        <v>0.26666666666666666</v>
      </c>
      <c r="AE482" s="7">
        <f>INDEX(환산공식!$AF$16:$AF$301,MATCH('배치점수 계산기'!W482,환산공식!$A$16:$A$301,0))</f>
        <v>1</v>
      </c>
      <c r="AF482" s="7">
        <f>INDEX(환산공식!$AP$16:$AP$301,MATCH('배치점수 계산기'!W482,환산공식!$A$16:$A$301,0))</f>
        <v>4</v>
      </c>
      <c r="AG482" s="7" t="str">
        <f t="shared" si="87"/>
        <v>표점</v>
      </c>
      <c r="AH482" s="7" t="str">
        <f t="shared" si="88"/>
        <v>변표</v>
      </c>
      <c r="BO482" s="210"/>
      <c r="BP482" s="210"/>
      <c r="BQ482" s="210"/>
      <c r="BR482" s="210"/>
      <c r="BS482" s="210"/>
      <c r="BT482" s="210"/>
      <c r="BU482" s="210"/>
      <c r="BV482" s="210"/>
      <c r="BW482" s="210"/>
      <c r="BX482" s="210"/>
      <c r="BY482" s="210"/>
      <c r="BZ482" s="210"/>
      <c r="CA482" s="210"/>
      <c r="CB482" s="210"/>
      <c r="CC482" s="210"/>
      <c r="EM482" s="120"/>
      <c r="ET482" s="210"/>
      <c r="EU482" s="210"/>
      <c r="EV482" s="210"/>
      <c r="EW482" s="210"/>
      <c r="EX482" s="210"/>
      <c r="EY482" s="210"/>
      <c r="EZ482" s="210"/>
      <c r="FA482" s="210"/>
      <c r="FB482" s="210"/>
      <c r="FC482" s="210"/>
      <c r="FD482" s="210"/>
      <c r="FE482" s="210"/>
      <c r="FF482" s="210"/>
      <c r="FG482" s="210"/>
      <c r="FH482" s="210"/>
      <c r="HR482" s="120"/>
      <c r="HY482" s="210"/>
      <c r="HZ482" s="210"/>
      <c r="IA482" s="210"/>
      <c r="IB482" s="210"/>
      <c r="IC482" s="210"/>
      <c r="ID482" s="210"/>
      <c r="IE482" s="210"/>
      <c r="IF482" s="210"/>
      <c r="IG482" s="210"/>
      <c r="IH482" s="210"/>
      <c r="II482" s="210"/>
      <c r="IJ482" s="210"/>
      <c r="IK482" s="210"/>
      <c r="IL482" s="210"/>
      <c r="IM482" s="210"/>
      <c r="KW482" s="120"/>
      <c r="LD482" s="210"/>
      <c r="LE482" s="210"/>
      <c r="LF482" s="210"/>
      <c r="LG482" s="210"/>
      <c r="LH482" s="210"/>
      <c r="LI482" s="210"/>
      <c r="LJ482" s="210"/>
      <c r="LK482" s="210"/>
      <c r="LL482" s="210"/>
      <c r="LM482" s="210"/>
      <c r="LN482" s="210"/>
      <c r="LO482" s="210"/>
      <c r="LP482" s="210"/>
      <c r="LQ482" s="210"/>
      <c r="LR482" s="210"/>
      <c r="OB482" s="120"/>
      <c r="OI482" s="210"/>
      <c r="OJ482" s="210"/>
      <c r="OK482" s="210"/>
      <c r="OL482" s="210"/>
      <c r="OM482" s="210"/>
      <c r="ON482" s="210"/>
      <c r="OO482" s="210"/>
      <c r="OP482" s="210"/>
      <c r="OQ482" s="210"/>
      <c r="OR482" s="210"/>
      <c r="OS482" s="210"/>
      <c r="OT482" s="210"/>
      <c r="OU482" s="210"/>
      <c r="OV482" s="210"/>
      <c r="OW482" s="210"/>
      <c r="RG482" s="120"/>
    </row>
    <row r="483" spans="1:475" x14ac:dyDescent="0.3">
      <c r="A483" s="7">
        <v>49</v>
      </c>
      <c r="B483" s="7">
        <v>473</v>
      </c>
      <c r="C483" s="7" t="s">
        <v>276</v>
      </c>
      <c r="D483" s="7" t="s">
        <v>801</v>
      </c>
      <c r="E483" s="7" t="s">
        <v>823</v>
      </c>
      <c r="F483" s="7" t="s">
        <v>275</v>
      </c>
      <c r="G483" s="41" t="str">
        <f t="shared" si="80"/>
        <v>X</v>
      </c>
      <c r="H483" s="41">
        <f>INDEX(환산공식!CI$16:CI$301,MATCH('배치점수 계산기'!$W483,환산공식!$A$16:$A$301,0))</f>
        <v>200</v>
      </c>
      <c r="I483" s="41" t="str">
        <f>CONCATENATE(ROUND(INDEX(환산공식!CJ$16:CJ$301,MATCH('배치점수 계산기'!$W483,환산공식!$A$16:$A$301,0)),1),"%")</f>
        <v>100%</v>
      </c>
      <c r="J483" s="41">
        <f>INDEX(환산공식!CK$16:CK$301,MATCH('배치점수 계산기'!$W483,환산공식!$A$16:$A$301,0))</f>
        <v>50</v>
      </c>
      <c r="K483" s="7">
        <f>INDEX(환산공식!$EF$16:$EF$301,MATCH('배치점수 계산기'!W483,환산공식!$A$16:$A$301,0))</f>
        <v>0</v>
      </c>
      <c r="L483" s="41" t="str">
        <f t="shared" si="78"/>
        <v>1% 이하</v>
      </c>
      <c r="M483" s="7">
        <v>704.95100000000002</v>
      </c>
      <c r="N483" s="7">
        <v>702.85242419221208</v>
      </c>
      <c r="O483" s="7">
        <v>701.36755570953437</v>
      </c>
      <c r="P483" s="7">
        <v>699.50352712100141</v>
      </c>
      <c r="Q483" s="7">
        <v>696.77425874125879</v>
      </c>
      <c r="R483" s="7">
        <f t="shared" si="79"/>
        <v>6</v>
      </c>
      <c r="T483" s="7">
        <f>COUNTIF($C$11:C483,C483)</f>
        <v>253</v>
      </c>
      <c r="U483" s="7" t="str">
        <f t="shared" si="81"/>
        <v>가253</v>
      </c>
      <c r="V483" s="7" t="str">
        <f>INDEX(환산공식!$C$16:$C$301,MATCH('배치점수 계산기'!W483,환산공식!$A$16:$A$301,0))</f>
        <v>동국 통합</v>
      </c>
      <c r="W483" s="7">
        <f t="shared" si="82"/>
        <v>49</v>
      </c>
      <c r="X483" s="7">
        <f t="shared" si="83"/>
        <v>1</v>
      </c>
      <c r="Y483" s="7">
        <f>IFERROR(INDEX(환산공식!Q$16:Q$200,MATCH($A483,환산공식!$A$16:$A$200,0)),"")</f>
        <v>1.5</v>
      </c>
      <c r="Z483" s="7">
        <f>IFERROR(INDEX(환산공식!R$16:R$200,MATCH($A483,환산공식!$A$16:$A$200,0)),"")</f>
        <v>1.25</v>
      </c>
      <c r="AA483" s="7">
        <f>IFERROR(INDEX(환산공식!U$16:U$200,MATCH($A483,환산공식!$A$16:$A$200,0)),"")</f>
        <v>1</v>
      </c>
      <c r="AB483" s="7">
        <f t="shared" si="84"/>
        <v>0.4</v>
      </c>
      <c r="AC483" s="7">
        <f t="shared" si="85"/>
        <v>0.33333333333333331</v>
      </c>
      <c r="AD483" s="7">
        <f t="shared" si="86"/>
        <v>0.26666666666666666</v>
      </c>
      <c r="AE483" s="7">
        <f>INDEX(환산공식!$AF$16:$AF$301,MATCH('배치점수 계산기'!W483,환산공식!$A$16:$A$301,0))</f>
        <v>1</v>
      </c>
      <c r="AF483" s="7">
        <f>INDEX(환산공식!$AP$16:$AP$301,MATCH('배치점수 계산기'!W483,환산공식!$A$16:$A$301,0))</f>
        <v>4</v>
      </c>
      <c r="AG483" s="7" t="str">
        <f t="shared" si="87"/>
        <v>표점</v>
      </c>
      <c r="AH483" s="7" t="str">
        <f t="shared" si="88"/>
        <v>변표</v>
      </c>
      <c r="BO483" s="210"/>
      <c r="BP483" s="210"/>
      <c r="BQ483" s="210"/>
      <c r="BR483" s="210"/>
      <c r="BS483" s="210"/>
      <c r="BT483" s="210"/>
      <c r="BU483" s="210"/>
      <c r="BV483" s="210"/>
      <c r="BW483" s="210"/>
      <c r="BX483" s="210"/>
      <c r="BY483" s="210"/>
      <c r="BZ483" s="210"/>
      <c r="CA483" s="210"/>
      <c r="CB483" s="210"/>
      <c r="CC483" s="210"/>
      <c r="EM483" s="120"/>
      <c r="ET483" s="210"/>
      <c r="EU483" s="210"/>
      <c r="EV483" s="210"/>
      <c r="EW483" s="210"/>
      <c r="EX483" s="210"/>
      <c r="EY483" s="210"/>
      <c r="EZ483" s="210"/>
      <c r="FA483" s="210"/>
      <c r="FB483" s="210"/>
      <c r="FC483" s="210"/>
      <c r="FD483" s="210"/>
      <c r="FE483" s="210"/>
      <c r="FF483" s="210"/>
      <c r="FG483" s="210"/>
      <c r="FH483" s="210"/>
      <c r="HR483" s="120"/>
      <c r="HY483" s="210"/>
      <c r="HZ483" s="210"/>
      <c r="IA483" s="210"/>
      <c r="IB483" s="210"/>
      <c r="IC483" s="210"/>
      <c r="ID483" s="210"/>
      <c r="IE483" s="210"/>
      <c r="IF483" s="210"/>
      <c r="IG483" s="210"/>
      <c r="IH483" s="210"/>
      <c r="II483" s="210"/>
      <c r="IJ483" s="210"/>
      <c r="IK483" s="210"/>
      <c r="IL483" s="210"/>
      <c r="IM483" s="210"/>
      <c r="KW483" s="120"/>
      <c r="LD483" s="210"/>
      <c r="LE483" s="210"/>
      <c r="LF483" s="210"/>
      <c r="LG483" s="210"/>
      <c r="LH483" s="210"/>
      <c r="LI483" s="210"/>
      <c r="LJ483" s="210"/>
      <c r="LK483" s="210"/>
      <c r="LL483" s="210"/>
      <c r="LM483" s="210"/>
      <c r="LN483" s="210"/>
      <c r="LO483" s="210"/>
      <c r="LP483" s="210"/>
      <c r="LQ483" s="210"/>
      <c r="LR483" s="210"/>
      <c r="OB483" s="120"/>
      <c r="OI483" s="210"/>
      <c r="OJ483" s="210"/>
      <c r="OK483" s="210"/>
      <c r="OL483" s="210"/>
      <c r="OM483" s="210"/>
      <c r="ON483" s="210"/>
      <c r="OO483" s="210"/>
      <c r="OP483" s="210"/>
      <c r="OQ483" s="210"/>
      <c r="OR483" s="210"/>
      <c r="OS483" s="210"/>
      <c r="OT483" s="210"/>
      <c r="OU483" s="210"/>
      <c r="OV483" s="210"/>
      <c r="OW483" s="210"/>
      <c r="RG483" s="120"/>
    </row>
    <row r="484" spans="1:475" x14ac:dyDescent="0.3">
      <c r="A484" s="7">
        <v>49</v>
      </c>
      <c r="B484" s="7">
        <v>474</v>
      </c>
      <c r="C484" s="7" t="s">
        <v>276</v>
      </c>
      <c r="D484" s="7" t="s">
        <v>801</v>
      </c>
      <c r="E484" s="7" t="s">
        <v>824</v>
      </c>
      <c r="F484" s="7" t="s">
        <v>275</v>
      </c>
      <c r="G484" s="41" t="str">
        <f t="shared" si="80"/>
        <v>X</v>
      </c>
      <c r="H484" s="41">
        <f>INDEX(환산공식!CI$16:CI$301,MATCH('배치점수 계산기'!$W484,환산공식!$A$16:$A$301,0))</f>
        <v>200</v>
      </c>
      <c r="I484" s="41" t="str">
        <f>CONCATENATE(ROUND(INDEX(환산공식!CJ$16:CJ$301,MATCH('배치점수 계산기'!$W484,환산공식!$A$16:$A$301,0)),1),"%")</f>
        <v>100%</v>
      </c>
      <c r="J484" s="41">
        <f>INDEX(환산공식!CK$16:CK$301,MATCH('배치점수 계산기'!$W484,환산공식!$A$16:$A$301,0))</f>
        <v>50</v>
      </c>
      <c r="K484" s="7">
        <f>INDEX(환산공식!$EF$16:$EF$301,MATCH('배치점수 계산기'!W484,환산공식!$A$16:$A$301,0))</f>
        <v>0</v>
      </c>
      <c r="L484" s="41" t="str">
        <f t="shared" si="78"/>
        <v>1% 이하</v>
      </c>
      <c r="M484" s="7">
        <v>704.95100000000002</v>
      </c>
      <c r="N484" s="7">
        <v>702.85242419221208</v>
      </c>
      <c r="O484" s="7">
        <v>701.36755570953437</v>
      </c>
      <c r="P484" s="7">
        <v>699.50352712100141</v>
      </c>
      <c r="Q484" s="7">
        <v>696.20500000000004</v>
      </c>
      <c r="R484" s="7">
        <f t="shared" si="79"/>
        <v>6</v>
      </c>
      <c r="T484" s="7">
        <f>COUNTIF($C$11:C484,C484)</f>
        <v>254</v>
      </c>
      <c r="U484" s="7" t="str">
        <f t="shared" si="81"/>
        <v>가254</v>
      </c>
      <c r="V484" s="7" t="str">
        <f>INDEX(환산공식!$C$16:$C$301,MATCH('배치점수 계산기'!W484,환산공식!$A$16:$A$301,0))</f>
        <v>동국 통합</v>
      </c>
      <c r="W484" s="7">
        <f t="shared" si="82"/>
        <v>49</v>
      </c>
      <c r="X484" s="7">
        <f t="shared" si="83"/>
        <v>1</v>
      </c>
      <c r="Y484" s="7">
        <f>IFERROR(INDEX(환산공식!Q$16:Q$200,MATCH($A484,환산공식!$A$16:$A$200,0)),"")</f>
        <v>1.5</v>
      </c>
      <c r="Z484" s="7">
        <f>IFERROR(INDEX(환산공식!R$16:R$200,MATCH($A484,환산공식!$A$16:$A$200,0)),"")</f>
        <v>1.25</v>
      </c>
      <c r="AA484" s="7">
        <f>IFERROR(INDEX(환산공식!U$16:U$200,MATCH($A484,환산공식!$A$16:$A$200,0)),"")</f>
        <v>1</v>
      </c>
      <c r="AB484" s="7">
        <f t="shared" si="84"/>
        <v>0.4</v>
      </c>
      <c r="AC484" s="7">
        <f t="shared" si="85"/>
        <v>0.33333333333333331</v>
      </c>
      <c r="AD484" s="7">
        <f t="shared" si="86"/>
        <v>0.26666666666666666</v>
      </c>
      <c r="AE484" s="7">
        <f>INDEX(환산공식!$AF$16:$AF$301,MATCH('배치점수 계산기'!W484,환산공식!$A$16:$A$301,0))</f>
        <v>1</v>
      </c>
      <c r="AF484" s="7">
        <f>INDEX(환산공식!$AP$16:$AP$301,MATCH('배치점수 계산기'!W484,환산공식!$A$16:$A$301,0))</f>
        <v>4</v>
      </c>
      <c r="AG484" s="7" t="str">
        <f t="shared" si="87"/>
        <v>표점</v>
      </c>
      <c r="AH484" s="7" t="str">
        <f t="shared" si="88"/>
        <v>변표</v>
      </c>
      <c r="BO484" s="210"/>
      <c r="BP484" s="210"/>
      <c r="BQ484" s="210"/>
      <c r="BR484" s="210"/>
      <c r="BS484" s="210"/>
      <c r="BT484" s="210"/>
      <c r="BU484" s="210"/>
      <c r="BV484" s="210"/>
      <c r="BW484" s="210"/>
      <c r="BX484" s="210"/>
      <c r="BY484" s="210"/>
      <c r="BZ484" s="210"/>
      <c r="CA484" s="210"/>
      <c r="CB484" s="210"/>
      <c r="CC484" s="210"/>
      <c r="EM484" s="120"/>
      <c r="ET484" s="210"/>
      <c r="EU484" s="210"/>
      <c r="EV484" s="210"/>
      <c r="EW484" s="210"/>
      <c r="EX484" s="210"/>
      <c r="EY484" s="210"/>
      <c r="EZ484" s="210"/>
      <c r="FA484" s="210"/>
      <c r="FB484" s="210"/>
      <c r="FC484" s="210"/>
      <c r="FD484" s="210"/>
      <c r="FE484" s="210"/>
      <c r="FF484" s="210"/>
      <c r="FG484" s="210"/>
      <c r="FH484" s="210"/>
      <c r="HR484" s="120"/>
      <c r="HY484" s="210"/>
      <c r="HZ484" s="210"/>
      <c r="IA484" s="210"/>
      <c r="IB484" s="210"/>
      <c r="IC484" s="210"/>
      <c r="ID484" s="210"/>
      <c r="IE484" s="210"/>
      <c r="IF484" s="210"/>
      <c r="IG484" s="210"/>
      <c r="IH484" s="210"/>
      <c r="II484" s="210"/>
      <c r="IJ484" s="210"/>
      <c r="IK484" s="210"/>
      <c r="IL484" s="210"/>
      <c r="IM484" s="210"/>
      <c r="KW484" s="120"/>
      <c r="LD484" s="210"/>
      <c r="LE484" s="210"/>
      <c r="LF484" s="210"/>
      <c r="LG484" s="210"/>
      <c r="LH484" s="210"/>
      <c r="LI484" s="210"/>
      <c r="LJ484" s="210"/>
      <c r="LK484" s="210"/>
      <c r="LL484" s="210"/>
      <c r="LM484" s="210"/>
      <c r="LN484" s="210"/>
      <c r="LO484" s="210"/>
      <c r="LP484" s="210"/>
      <c r="LQ484" s="210"/>
      <c r="LR484" s="210"/>
      <c r="OB484" s="120"/>
      <c r="OI484" s="210"/>
      <c r="OJ484" s="210"/>
      <c r="OK484" s="210"/>
      <c r="OL484" s="210"/>
      <c r="OM484" s="210"/>
      <c r="ON484" s="210"/>
      <c r="OO484" s="210"/>
      <c r="OP484" s="210"/>
      <c r="OQ484" s="210"/>
      <c r="OR484" s="210"/>
      <c r="OS484" s="210"/>
      <c r="OT484" s="210"/>
      <c r="OU484" s="210"/>
      <c r="OV484" s="210"/>
      <c r="OW484" s="210"/>
      <c r="RG484" s="120"/>
    </row>
    <row r="485" spans="1:475" x14ac:dyDescent="0.3">
      <c r="A485" s="7">
        <v>49</v>
      </c>
      <c r="B485" s="7">
        <v>475</v>
      </c>
      <c r="C485" s="7" t="s">
        <v>276</v>
      </c>
      <c r="D485" s="7" t="s">
        <v>801</v>
      </c>
      <c r="E485" s="7" t="s">
        <v>421</v>
      </c>
      <c r="F485" s="7" t="s">
        <v>275</v>
      </c>
      <c r="G485" s="41" t="str">
        <f t="shared" si="80"/>
        <v>X</v>
      </c>
      <c r="H485" s="41">
        <f>INDEX(환산공식!CI$16:CI$301,MATCH('배치점수 계산기'!$W485,환산공식!$A$16:$A$301,0))</f>
        <v>200</v>
      </c>
      <c r="I485" s="41" t="str">
        <f>CONCATENATE(ROUND(INDEX(환산공식!CJ$16:CJ$301,MATCH('배치점수 계산기'!$W485,환산공식!$A$16:$A$301,0)),1),"%")</f>
        <v>100%</v>
      </c>
      <c r="J485" s="41">
        <f>INDEX(환산공식!CK$16:CK$301,MATCH('배치점수 계산기'!$W485,환산공식!$A$16:$A$301,0))</f>
        <v>50</v>
      </c>
      <c r="K485" s="7">
        <f>INDEX(환산공식!$EF$16:$EF$301,MATCH('배치점수 계산기'!W485,환산공식!$A$16:$A$301,0))</f>
        <v>0</v>
      </c>
      <c r="L485" s="41" t="str">
        <f t="shared" si="78"/>
        <v>1% 이하</v>
      </c>
      <c r="M485" s="7">
        <v>704.95100000000002</v>
      </c>
      <c r="N485" s="7">
        <v>702.85242419221208</v>
      </c>
      <c r="O485" s="7">
        <v>701.36755570953437</v>
      </c>
      <c r="P485" s="7">
        <v>699.50352712100141</v>
      </c>
      <c r="Q485" s="7">
        <v>697.32039698071014</v>
      </c>
      <c r="R485" s="7">
        <f t="shared" si="79"/>
        <v>6</v>
      </c>
      <c r="T485" s="7">
        <f>COUNTIF($C$11:C485,C485)</f>
        <v>255</v>
      </c>
      <c r="U485" s="7" t="str">
        <f t="shared" si="81"/>
        <v>가255</v>
      </c>
      <c r="V485" s="7" t="str">
        <f>INDEX(환산공식!$C$16:$C$301,MATCH('배치점수 계산기'!W485,환산공식!$A$16:$A$301,0))</f>
        <v>동국 통합</v>
      </c>
      <c r="W485" s="7">
        <f t="shared" si="82"/>
        <v>49</v>
      </c>
      <c r="X485" s="7">
        <f t="shared" si="83"/>
        <v>1</v>
      </c>
      <c r="Y485" s="7">
        <f>IFERROR(INDEX(환산공식!Q$16:Q$200,MATCH($A485,환산공식!$A$16:$A$200,0)),"")</f>
        <v>1.5</v>
      </c>
      <c r="Z485" s="7">
        <f>IFERROR(INDEX(환산공식!R$16:R$200,MATCH($A485,환산공식!$A$16:$A$200,0)),"")</f>
        <v>1.25</v>
      </c>
      <c r="AA485" s="7">
        <f>IFERROR(INDEX(환산공식!U$16:U$200,MATCH($A485,환산공식!$A$16:$A$200,0)),"")</f>
        <v>1</v>
      </c>
      <c r="AB485" s="7">
        <f t="shared" si="84"/>
        <v>0.4</v>
      </c>
      <c r="AC485" s="7">
        <f t="shared" si="85"/>
        <v>0.33333333333333331</v>
      </c>
      <c r="AD485" s="7">
        <f t="shared" si="86"/>
        <v>0.26666666666666666</v>
      </c>
      <c r="AE485" s="7">
        <f>INDEX(환산공식!$AF$16:$AF$301,MATCH('배치점수 계산기'!W485,환산공식!$A$16:$A$301,0))</f>
        <v>1</v>
      </c>
      <c r="AF485" s="7">
        <f>INDEX(환산공식!$AP$16:$AP$301,MATCH('배치점수 계산기'!W485,환산공식!$A$16:$A$301,0))</f>
        <v>4</v>
      </c>
      <c r="AG485" s="7" t="str">
        <f t="shared" si="87"/>
        <v>표점</v>
      </c>
      <c r="AH485" s="7" t="str">
        <f t="shared" si="88"/>
        <v>변표</v>
      </c>
      <c r="BO485" s="210"/>
      <c r="BP485" s="210"/>
      <c r="BQ485" s="210"/>
      <c r="BR485" s="210"/>
      <c r="BS485" s="210"/>
      <c r="BT485" s="210"/>
      <c r="BU485" s="210"/>
      <c r="BV485" s="210"/>
      <c r="BW485" s="210"/>
      <c r="BX485" s="210"/>
      <c r="BY485" s="210"/>
      <c r="BZ485" s="210"/>
      <c r="CA485" s="210"/>
      <c r="CB485" s="210"/>
      <c r="CC485" s="210"/>
      <c r="EM485" s="120"/>
      <c r="ET485" s="210"/>
      <c r="EU485" s="210"/>
      <c r="EV485" s="210"/>
      <c r="EW485" s="210"/>
      <c r="EX485" s="210"/>
      <c r="EY485" s="210"/>
      <c r="EZ485" s="210"/>
      <c r="FA485" s="210"/>
      <c r="FB485" s="210"/>
      <c r="FC485" s="210"/>
      <c r="FD485" s="210"/>
      <c r="FE485" s="210"/>
      <c r="FF485" s="210"/>
      <c r="FG485" s="210"/>
      <c r="FH485" s="210"/>
      <c r="HR485" s="120"/>
      <c r="HY485" s="210"/>
      <c r="HZ485" s="210"/>
      <c r="IA485" s="210"/>
      <c r="IB485" s="210"/>
      <c r="IC485" s="210"/>
      <c r="ID485" s="210"/>
      <c r="IE485" s="210"/>
      <c r="IF485" s="210"/>
      <c r="IG485" s="210"/>
      <c r="IH485" s="210"/>
      <c r="II485" s="210"/>
      <c r="IJ485" s="210"/>
      <c r="IK485" s="210"/>
      <c r="IL485" s="210"/>
      <c r="IM485" s="210"/>
      <c r="KW485" s="120"/>
      <c r="LD485" s="210"/>
      <c r="LE485" s="210"/>
      <c r="LF485" s="210"/>
      <c r="LG485" s="210"/>
      <c r="LH485" s="210"/>
      <c r="LI485" s="210"/>
      <c r="LJ485" s="210"/>
      <c r="LK485" s="210"/>
      <c r="LL485" s="210"/>
      <c r="LM485" s="210"/>
      <c r="LN485" s="210"/>
      <c r="LO485" s="210"/>
      <c r="LP485" s="210"/>
      <c r="LQ485" s="210"/>
      <c r="LR485" s="210"/>
      <c r="OB485" s="120"/>
      <c r="OI485" s="210"/>
      <c r="OJ485" s="210"/>
      <c r="OK485" s="210"/>
      <c r="OL485" s="210"/>
      <c r="OM485" s="210"/>
      <c r="ON485" s="210"/>
      <c r="OO485" s="210"/>
      <c r="OP485" s="210"/>
      <c r="OQ485" s="210"/>
      <c r="OR485" s="210"/>
      <c r="OS485" s="210"/>
      <c r="OT485" s="210"/>
      <c r="OU485" s="210"/>
      <c r="OV485" s="210"/>
      <c r="OW485" s="210"/>
      <c r="RG485" s="120"/>
    </row>
    <row r="486" spans="1:475" x14ac:dyDescent="0.3">
      <c r="A486" s="7">
        <v>49</v>
      </c>
      <c r="B486" s="7">
        <v>476</v>
      </c>
      <c r="C486" s="7" t="s">
        <v>276</v>
      </c>
      <c r="D486" s="7" t="s">
        <v>801</v>
      </c>
      <c r="E486" s="7" t="s">
        <v>825</v>
      </c>
      <c r="F486" s="7" t="s">
        <v>275</v>
      </c>
      <c r="G486" s="41" t="str">
        <f t="shared" si="80"/>
        <v>X</v>
      </c>
      <c r="H486" s="41">
        <f>INDEX(환산공식!CI$16:CI$301,MATCH('배치점수 계산기'!$W486,환산공식!$A$16:$A$301,0))</f>
        <v>200</v>
      </c>
      <c r="I486" s="41" t="str">
        <f>CONCATENATE(ROUND(INDEX(환산공식!CJ$16:CJ$301,MATCH('배치점수 계산기'!$W486,환산공식!$A$16:$A$301,0)),1),"%")</f>
        <v>100%</v>
      </c>
      <c r="J486" s="41">
        <f>INDEX(환산공식!CK$16:CK$301,MATCH('배치점수 계산기'!$W486,환산공식!$A$16:$A$301,0))</f>
        <v>50</v>
      </c>
      <c r="K486" s="7">
        <f>INDEX(환산공식!$EF$16:$EF$301,MATCH('배치점수 계산기'!W486,환산공식!$A$16:$A$301,0))</f>
        <v>0</v>
      </c>
      <c r="L486" s="41" t="str">
        <f t="shared" si="78"/>
        <v>1% 이하</v>
      </c>
      <c r="M486" s="7">
        <v>704.95100000000002</v>
      </c>
      <c r="N486" s="7">
        <v>702.85242419221208</v>
      </c>
      <c r="O486" s="7">
        <v>701.36755570953437</v>
      </c>
      <c r="P486" s="7">
        <v>699.50352712100141</v>
      </c>
      <c r="Q486" s="7">
        <v>696.77425874125879</v>
      </c>
      <c r="R486" s="7">
        <f t="shared" si="79"/>
        <v>6</v>
      </c>
      <c r="T486" s="7">
        <f>COUNTIF($C$11:C486,C486)</f>
        <v>256</v>
      </c>
      <c r="U486" s="7" t="str">
        <f t="shared" si="81"/>
        <v>가256</v>
      </c>
      <c r="V486" s="7" t="str">
        <f>INDEX(환산공식!$C$16:$C$301,MATCH('배치점수 계산기'!W486,환산공식!$A$16:$A$301,0))</f>
        <v>동국 통합</v>
      </c>
      <c r="W486" s="7">
        <f t="shared" si="82"/>
        <v>49</v>
      </c>
      <c r="X486" s="7">
        <f t="shared" si="83"/>
        <v>1</v>
      </c>
      <c r="Y486" s="7">
        <f>IFERROR(INDEX(환산공식!Q$16:Q$200,MATCH($A486,환산공식!$A$16:$A$200,0)),"")</f>
        <v>1.5</v>
      </c>
      <c r="Z486" s="7">
        <f>IFERROR(INDEX(환산공식!R$16:R$200,MATCH($A486,환산공식!$A$16:$A$200,0)),"")</f>
        <v>1.25</v>
      </c>
      <c r="AA486" s="7">
        <f>IFERROR(INDEX(환산공식!U$16:U$200,MATCH($A486,환산공식!$A$16:$A$200,0)),"")</f>
        <v>1</v>
      </c>
      <c r="AB486" s="7">
        <f t="shared" si="84"/>
        <v>0.4</v>
      </c>
      <c r="AC486" s="7">
        <f t="shared" si="85"/>
        <v>0.33333333333333331</v>
      </c>
      <c r="AD486" s="7">
        <f t="shared" si="86"/>
        <v>0.26666666666666666</v>
      </c>
      <c r="AE486" s="7">
        <f>INDEX(환산공식!$AF$16:$AF$301,MATCH('배치점수 계산기'!W486,환산공식!$A$16:$A$301,0))</f>
        <v>1</v>
      </c>
      <c r="AF486" s="7">
        <f>INDEX(환산공식!$AP$16:$AP$301,MATCH('배치점수 계산기'!W486,환산공식!$A$16:$A$301,0))</f>
        <v>4</v>
      </c>
      <c r="AG486" s="7" t="str">
        <f t="shared" si="87"/>
        <v>표점</v>
      </c>
      <c r="AH486" s="7" t="str">
        <f t="shared" si="88"/>
        <v>변표</v>
      </c>
      <c r="BO486" s="210"/>
      <c r="BP486" s="210"/>
      <c r="BQ486" s="210"/>
      <c r="BR486" s="210"/>
      <c r="BS486" s="210"/>
      <c r="BT486" s="210"/>
      <c r="BU486" s="210"/>
      <c r="BV486" s="210"/>
      <c r="BW486" s="210"/>
      <c r="BX486" s="210"/>
      <c r="BY486" s="210"/>
      <c r="BZ486" s="210"/>
      <c r="CA486" s="210"/>
      <c r="CB486" s="210"/>
      <c r="CC486" s="210"/>
      <c r="EM486" s="120"/>
      <c r="ET486" s="210"/>
      <c r="EU486" s="210"/>
      <c r="EV486" s="210"/>
      <c r="EW486" s="210"/>
      <c r="EX486" s="210"/>
      <c r="EY486" s="210"/>
      <c r="EZ486" s="210"/>
      <c r="FA486" s="210"/>
      <c r="FB486" s="210"/>
      <c r="FC486" s="210"/>
      <c r="FD486" s="210"/>
      <c r="FE486" s="210"/>
      <c r="FF486" s="210"/>
      <c r="FG486" s="210"/>
      <c r="FH486" s="210"/>
      <c r="HR486" s="120"/>
      <c r="HY486" s="210"/>
      <c r="HZ486" s="210"/>
      <c r="IA486" s="210"/>
      <c r="IB486" s="210"/>
      <c r="IC486" s="210"/>
      <c r="ID486" s="210"/>
      <c r="IE486" s="210"/>
      <c r="IF486" s="210"/>
      <c r="IG486" s="210"/>
      <c r="IH486" s="210"/>
      <c r="II486" s="210"/>
      <c r="IJ486" s="210"/>
      <c r="IK486" s="210"/>
      <c r="IL486" s="210"/>
      <c r="IM486" s="210"/>
      <c r="KW486" s="120"/>
      <c r="LD486" s="210"/>
      <c r="LE486" s="210"/>
      <c r="LF486" s="210"/>
      <c r="LG486" s="210"/>
      <c r="LH486" s="210"/>
      <c r="LI486" s="210"/>
      <c r="LJ486" s="210"/>
      <c r="LK486" s="210"/>
      <c r="LL486" s="210"/>
      <c r="LM486" s="210"/>
      <c r="LN486" s="210"/>
      <c r="LO486" s="210"/>
      <c r="LP486" s="210"/>
      <c r="LQ486" s="210"/>
      <c r="LR486" s="210"/>
      <c r="OB486" s="120"/>
      <c r="OI486" s="210"/>
      <c r="OJ486" s="210"/>
      <c r="OK486" s="210"/>
      <c r="OL486" s="210"/>
      <c r="OM486" s="210"/>
      <c r="ON486" s="210"/>
      <c r="OO486" s="210"/>
      <c r="OP486" s="210"/>
      <c r="OQ486" s="210"/>
      <c r="OR486" s="210"/>
      <c r="OS486" s="210"/>
      <c r="OT486" s="210"/>
      <c r="OU486" s="210"/>
      <c r="OV486" s="210"/>
      <c r="OW486" s="210"/>
      <c r="RG486" s="120"/>
    </row>
    <row r="487" spans="1:475" x14ac:dyDescent="0.3">
      <c r="A487" s="7">
        <v>50</v>
      </c>
      <c r="B487" s="7">
        <v>477</v>
      </c>
      <c r="C487" s="7" t="s">
        <v>276</v>
      </c>
      <c r="D487" s="7" t="s">
        <v>801</v>
      </c>
      <c r="E487" s="7" t="s">
        <v>368</v>
      </c>
      <c r="F487" s="7" t="s">
        <v>274</v>
      </c>
      <c r="G487" s="41" t="str">
        <f t="shared" si="80"/>
        <v>X</v>
      </c>
      <c r="H487" s="41">
        <f>INDEX(환산공식!CI$16:CI$301,MATCH('배치점수 계산기'!$W487,환산공식!$A$16:$A$301,0))</f>
        <v>200</v>
      </c>
      <c r="I487" s="41" t="str">
        <f>CONCATENATE(ROUND(INDEX(환산공식!CJ$16:CJ$301,MATCH('배치점수 계산기'!$W487,환산공식!$A$16:$A$301,0)),1),"%")</f>
        <v>100%</v>
      </c>
      <c r="J487" s="41">
        <f>INDEX(환산공식!CK$16:CK$301,MATCH('배치점수 계산기'!$W487,환산공식!$A$16:$A$301,0))</f>
        <v>50</v>
      </c>
      <c r="K487" s="7">
        <f>INDEX(환산공식!$EF$16:$EF$301,MATCH('배치점수 계산기'!W487,환산공식!$A$16:$A$301,0))</f>
        <v>0</v>
      </c>
      <c r="L487" s="41" t="str">
        <f t="shared" si="78"/>
        <v>1% 이하</v>
      </c>
      <c r="M487" s="7">
        <v>709.75038822246461</v>
      </c>
      <c r="N487" s="7">
        <v>709.09</v>
      </c>
      <c r="O487" s="7">
        <v>708.46199999999999</v>
      </c>
      <c r="P487" s="7">
        <v>706.7673819978047</v>
      </c>
      <c r="Q487" s="7">
        <v>704.00942478608886</v>
      </c>
      <c r="R487" s="7">
        <f t="shared" si="79"/>
        <v>6</v>
      </c>
      <c r="T487" s="7">
        <f>COUNTIF($C$11:C487,C487)</f>
        <v>257</v>
      </c>
      <c r="U487" s="7" t="str">
        <f t="shared" si="81"/>
        <v>가257</v>
      </c>
      <c r="V487" s="7" t="str">
        <f>INDEX(환산공식!$C$16:$C$301,MATCH('배치점수 계산기'!W487,환산공식!$A$16:$A$301,0))</f>
        <v>동국 바이오</v>
      </c>
      <c r="W487" s="7">
        <f t="shared" si="82"/>
        <v>50</v>
      </c>
      <c r="X487" s="7">
        <f t="shared" si="83"/>
        <v>1</v>
      </c>
      <c r="Y487" s="7">
        <f>IFERROR(INDEX(환산공식!Q$16:Q$200,MATCH($A487,환산공식!$A$16:$A$200,0)),"")</f>
        <v>1.25</v>
      </c>
      <c r="Z487" s="7">
        <f>IFERROR(INDEX(환산공식!R$16:R$200,MATCH($A487,환산공식!$A$16:$A$200,0)),"")</f>
        <v>1.5</v>
      </c>
      <c r="AA487" s="7">
        <f>IFERROR(INDEX(환산공식!U$16:U$200,MATCH($A487,환산공식!$A$16:$A$200,0)),"")</f>
        <v>1</v>
      </c>
      <c r="AB487" s="7">
        <f t="shared" si="84"/>
        <v>0.33333333333333331</v>
      </c>
      <c r="AC487" s="7">
        <f t="shared" si="85"/>
        <v>0.4</v>
      </c>
      <c r="AD487" s="7">
        <f t="shared" si="86"/>
        <v>0.26666666666666666</v>
      </c>
      <c r="AE487" s="7">
        <f>INDEX(환산공식!$AF$16:$AF$301,MATCH('배치점수 계산기'!W487,환산공식!$A$16:$A$301,0))</f>
        <v>1</v>
      </c>
      <c r="AF487" s="7">
        <f>INDEX(환산공식!$AP$16:$AP$301,MATCH('배치점수 계산기'!W487,환산공식!$A$16:$A$301,0))</f>
        <v>4</v>
      </c>
      <c r="AG487" s="7" t="str">
        <f t="shared" si="87"/>
        <v>표점</v>
      </c>
      <c r="AH487" s="7" t="str">
        <f t="shared" si="88"/>
        <v>변표</v>
      </c>
      <c r="BO487" s="210"/>
      <c r="BP487" s="210"/>
      <c r="BQ487" s="210"/>
      <c r="BR487" s="210"/>
      <c r="BS487" s="210"/>
      <c r="BT487" s="210"/>
      <c r="BU487" s="210"/>
      <c r="BV487" s="210"/>
      <c r="BW487" s="210"/>
      <c r="BX487" s="210"/>
      <c r="BY487" s="210"/>
      <c r="BZ487" s="210"/>
      <c r="CA487" s="210"/>
      <c r="CB487" s="210"/>
      <c r="CC487" s="210"/>
      <c r="EM487" s="120"/>
      <c r="ET487" s="210"/>
      <c r="EU487" s="210"/>
      <c r="EV487" s="210"/>
      <c r="EW487" s="210"/>
      <c r="EX487" s="210"/>
      <c r="EY487" s="210"/>
      <c r="EZ487" s="210"/>
      <c r="FA487" s="210"/>
      <c r="FB487" s="210"/>
      <c r="FC487" s="210"/>
      <c r="FD487" s="210"/>
      <c r="FE487" s="210"/>
      <c r="FF487" s="210"/>
      <c r="FG487" s="210"/>
      <c r="FH487" s="210"/>
      <c r="HR487" s="120"/>
      <c r="HY487" s="210"/>
      <c r="HZ487" s="210"/>
      <c r="IA487" s="210"/>
      <c r="IB487" s="210"/>
      <c r="IC487" s="210"/>
      <c r="ID487" s="210"/>
      <c r="IE487" s="210"/>
      <c r="IF487" s="210"/>
      <c r="IG487" s="210"/>
      <c r="IH487" s="210"/>
      <c r="II487" s="210"/>
      <c r="IJ487" s="210"/>
      <c r="IK487" s="210"/>
      <c r="IL487" s="210"/>
      <c r="IM487" s="210"/>
      <c r="KW487" s="120"/>
      <c r="LD487" s="210"/>
      <c r="LE487" s="210"/>
      <c r="LF487" s="210"/>
      <c r="LG487" s="210"/>
      <c r="LH487" s="210"/>
      <c r="LI487" s="210"/>
      <c r="LJ487" s="210"/>
      <c r="LK487" s="210"/>
      <c r="LL487" s="210"/>
      <c r="LM487" s="210"/>
      <c r="LN487" s="210"/>
      <c r="LO487" s="210"/>
      <c r="LP487" s="210"/>
      <c r="LQ487" s="210"/>
      <c r="LR487" s="210"/>
      <c r="OB487" s="120"/>
      <c r="OI487" s="210"/>
      <c r="OJ487" s="210"/>
      <c r="OK487" s="210"/>
      <c r="OL487" s="210"/>
      <c r="OM487" s="210"/>
      <c r="ON487" s="210"/>
      <c r="OO487" s="210"/>
      <c r="OP487" s="210"/>
      <c r="OQ487" s="210"/>
      <c r="OR487" s="210"/>
      <c r="OS487" s="210"/>
      <c r="OT487" s="210"/>
      <c r="OU487" s="210"/>
      <c r="OV487" s="210"/>
      <c r="OW487" s="210"/>
      <c r="RG487" s="120"/>
    </row>
    <row r="488" spans="1:475" x14ac:dyDescent="0.3">
      <c r="A488" s="7">
        <v>50</v>
      </c>
      <c r="B488" s="7">
        <v>478</v>
      </c>
      <c r="C488" s="7" t="s">
        <v>276</v>
      </c>
      <c r="D488" s="7" t="s">
        <v>801</v>
      </c>
      <c r="E488" s="7" t="s">
        <v>826</v>
      </c>
      <c r="F488" s="7" t="s">
        <v>274</v>
      </c>
      <c r="G488" s="41" t="str">
        <f t="shared" si="80"/>
        <v>X</v>
      </c>
      <c r="H488" s="41">
        <f>INDEX(환산공식!CI$16:CI$301,MATCH('배치점수 계산기'!$W488,환산공식!$A$16:$A$301,0))</f>
        <v>200</v>
      </c>
      <c r="I488" s="41" t="str">
        <f>CONCATENATE(ROUND(INDEX(환산공식!CJ$16:CJ$301,MATCH('배치점수 계산기'!$W488,환산공식!$A$16:$A$301,0)),1),"%")</f>
        <v>100%</v>
      </c>
      <c r="J488" s="41">
        <f>INDEX(환산공식!CK$16:CK$301,MATCH('배치점수 계산기'!$W488,환산공식!$A$16:$A$301,0))</f>
        <v>50</v>
      </c>
      <c r="K488" s="7">
        <f>INDEX(환산공식!$EF$16:$EF$301,MATCH('배치점수 계산기'!W488,환산공식!$A$16:$A$301,0))</f>
        <v>0</v>
      </c>
      <c r="L488" s="41" t="str">
        <f t="shared" si="78"/>
        <v>1% 이하</v>
      </c>
      <c r="M488" s="7">
        <v>708.99</v>
      </c>
      <c r="N488" s="7">
        <v>708.45462373530222</v>
      </c>
      <c r="O488" s="7">
        <v>707.75900000000001</v>
      </c>
      <c r="P488" s="7">
        <v>706.66738199780468</v>
      </c>
      <c r="Q488" s="7">
        <v>703.90942478608883</v>
      </c>
      <c r="R488" s="7">
        <f t="shared" si="79"/>
        <v>6</v>
      </c>
      <c r="T488" s="7">
        <f>COUNTIF($C$11:C488,C488)</f>
        <v>258</v>
      </c>
      <c r="U488" s="7" t="str">
        <f t="shared" si="81"/>
        <v>가258</v>
      </c>
      <c r="V488" s="7" t="str">
        <f>INDEX(환산공식!$C$16:$C$301,MATCH('배치점수 계산기'!W488,환산공식!$A$16:$A$301,0))</f>
        <v>동국 바이오</v>
      </c>
      <c r="W488" s="7">
        <f t="shared" si="82"/>
        <v>50</v>
      </c>
      <c r="X488" s="7">
        <f t="shared" si="83"/>
        <v>1</v>
      </c>
      <c r="Y488" s="7">
        <f>IFERROR(INDEX(환산공식!Q$16:Q$200,MATCH($A488,환산공식!$A$16:$A$200,0)),"")</f>
        <v>1.25</v>
      </c>
      <c r="Z488" s="7">
        <f>IFERROR(INDEX(환산공식!R$16:R$200,MATCH($A488,환산공식!$A$16:$A$200,0)),"")</f>
        <v>1.5</v>
      </c>
      <c r="AA488" s="7">
        <f>IFERROR(INDEX(환산공식!U$16:U$200,MATCH($A488,환산공식!$A$16:$A$200,0)),"")</f>
        <v>1</v>
      </c>
      <c r="AB488" s="7">
        <f t="shared" si="84"/>
        <v>0.33333333333333331</v>
      </c>
      <c r="AC488" s="7">
        <f t="shared" si="85"/>
        <v>0.4</v>
      </c>
      <c r="AD488" s="7">
        <f t="shared" si="86"/>
        <v>0.26666666666666666</v>
      </c>
      <c r="AE488" s="7">
        <f>INDEX(환산공식!$AF$16:$AF$301,MATCH('배치점수 계산기'!W488,환산공식!$A$16:$A$301,0))</f>
        <v>1</v>
      </c>
      <c r="AF488" s="7">
        <f>INDEX(환산공식!$AP$16:$AP$301,MATCH('배치점수 계산기'!W488,환산공식!$A$16:$A$301,0))</f>
        <v>4</v>
      </c>
      <c r="AG488" s="7" t="str">
        <f t="shared" si="87"/>
        <v>표점</v>
      </c>
      <c r="AH488" s="7" t="str">
        <f t="shared" si="88"/>
        <v>변표</v>
      </c>
      <c r="BO488" s="210"/>
      <c r="BP488" s="210"/>
      <c r="BQ488" s="210"/>
      <c r="BR488" s="210"/>
      <c r="BS488" s="210"/>
      <c r="BT488" s="210"/>
      <c r="BU488" s="210"/>
      <c r="BV488" s="210"/>
      <c r="BW488" s="210"/>
      <c r="BX488" s="210"/>
      <c r="BY488" s="210"/>
      <c r="BZ488" s="210"/>
      <c r="CA488" s="210"/>
      <c r="CB488" s="210"/>
      <c r="CC488" s="210"/>
      <c r="EM488" s="120"/>
      <c r="ET488" s="210"/>
      <c r="EU488" s="210"/>
      <c r="EV488" s="210"/>
      <c r="EW488" s="210"/>
      <c r="EX488" s="210"/>
      <c r="EY488" s="210"/>
      <c r="EZ488" s="210"/>
      <c r="FA488" s="210"/>
      <c r="FB488" s="210"/>
      <c r="FC488" s="210"/>
      <c r="FD488" s="210"/>
      <c r="FE488" s="210"/>
      <c r="FF488" s="210"/>
      <c r="FG488" s="210"/>
      <c r="FH488" s="210"/>
      <c r="HR488" s="120"/>
      <c r="HY488" s="210"/>
      <c r="HZ488" s="210"/>
      <c r="IA488" s="210"/>
      <c r="IB488" s="210"/>
      <c r="IC488" s="210"/>
      <c r="ID488" s="210"/>
      <c r="IE488" s="210"/>
      <c r="IF488" s="210"/>
      <c r="IG488" s="210"/>
      <c r="IH488" s="210"/>
      <c r="II488" s="210"/>
      <c r="IJ488" s="210"/>
      <c r="IK488" s="210"/>
      <c r="IL488" s="210"/>
      <c r="IM488" s="210"/>
      <c r="KW488" s="120"/>
      <c r="LD488" s="210"/>
      <c r="LE488" s="210"/>
      <c r="LF488" s="210"/>
      <c r="LG488" s="210"/>
      <c r="LH488" s="210"/>
      <c r="LI488" s="210"/>
      <c r="LJ488" s="210"/>
      <c r="LK488" s="210"/>
      <c r="LL488" s="210"/>
      <c r="LM488" s="210"/>
      <c r="LN488" s="210"/>
      <c r="LO488" s="210"/>
      <c r="LP488" s="210"/>
      <c r="LQ488" s="210"/>
      <c r="LR488" s="210"/>
      <c r="OB488" s="120"/>
      <c r="OI488" s="210"/>
      <c r="OJ488" s="210"/>
      <c r="OK488" s="210"/>
      <c r="OL488" s="210"/>
      <c r="OM488" s="210"/>
      <c r="ON488" s="210"/>
      <c r="OO488" s="210"/>
      <c r="OP488" s="210"/>
      <c r="OQ488" s="210"/>
      <c r="OR488" s="210"/>
      <c r="OS488" s="210"/>
      <c r="OT488" s="210"/>
      <c r="OU488" s="210"/>
      <c r="OV488" s="210"/>
      <c r="OW488" s="210"/>
      <c r="RG488" s="120"/>
    </row>
    <row r="489" spans="1:475" x14ac:dyDescent="0.3">
      <c r="A489" s="7">
        <v>48</v>
      </c>
      <c r="B489" s="7">
        <v>479</v>
      </c>
      <c r="C489" s="7" t="s">
        <v>378</v>
      </c>
      <c r="D489" s="7" t="s">
        <v>801</v>
      </c>
      <c r="E489" s="7" t="s">
        <v>827</v>
      </c>
      <c r="F489" s="7" t="s">
        <v>274</v>
      </c>
      <c r="G489" s="41" t="str">
        <f t="shared" si="80"/>
        <v>X</v>
      </c>
      <c r="H489" s="41">
        <f>INDEX(환산공식!CI$16:CI$301,MATCH('배치점수 계산기'!$W489,환산공식!$A$16:$A$301,0))</f>
        <v>200</v>
      </c>
      <c r="I489" s="41" t="str">
        <f>CONCATENATE(ROUND(INDEX(환산공식!CJ$16:CJ$301,MATCH('배치점수 계산기'!$W489,환산공식!$A$16:$A$301,0)),1),"%")</f>
        <v>100%</v>
      </c>
      <c r="J489" s="41">
        <f>INDEX(환산공식!CK$16:CK$301,MATCH('배치점수 계산기'!$W489,환산공식!$A$16:$A$301,0))</f>
        <v>50</v>
      </c>
      <c r="K489" s="7">
        <f>INDEX(환산공식!$EF$16:$EF$301,MATCH('배치점수 계산기'!W489,환산공식!$A$16:$A$301,0))</f>
        <v>0</v>
      </c>
      <c r="L489" s="41" t="str">
        <f t="shared" si="78"/>
        <v>1% 이하</v>
      </c>
      <c r="M489" s="7">
        <v>712.98000000000013</v>
      </c>
      <c r="N489" s="7">
        <v>712.14060037981562</v>
      </c>
      <c r="O489" s="7">
        <v>710.83143132988857</v>
      </c>
      <c r="P489" s="7">
        <v>709.96799999999996</v>
      </c>
      <c r="Q489" s="7">
        <v>709.09</v>
      </c>
      <c r="R489" s="7">
        <f t="shared" si="79"/>
        <v>6</v>
      </c>
      <c r="T489" s="7">
        <f>COUNTIF($C$11:C489,C489)</f>
        <v>15</v>
      </c>
      <c r="U489" s="7" t="str">
        <f t="shared" si="81"/>
        <v>다15</v>
      </c>
      <c r="V489" s="7" t="str">
        <f>INDEX(환산공식!$C$16:$C$301,MATCH('배치점수 계산기'!W489,환산공식!$A$16:$A$301,0))</f>
        <v>동국 자연</v>
      </c>
      <c r="W489" s="7">
        <f t="shared" si="82"/>
        <v>48</v>
      </c>
      <c r="X489" s="7">
        <f t="shared" si="83"/>
        <v>1</v>
      </c>
      <c r="Y489" s="7">
        <f>IFERROR(INDEX(환산공식!Q$16:Q$200,MATCH($A489,환산공식!$A$16:$A$200,0)),"")</f>
        <v>1.25</v>
      </c>
      <c r="Z489" s="7">
        <f>IFERROR(INDEX(환산공식!R$16:R$200,MATCH($A489,환산공식!$A$16:$A$200,0)),"")</f>
        <v>1.5</v>
      </c>
      <c r="AA489" s="7">
        <f>IFERROR(INDEX(환산공식!U$16:U$200,MATCH($A489,환산공식!$A$16:$A$200,0)),"")</f>
        <v>1</v>
      </c>
      <c r="AB489" s="7">
        <f t="shared" si="84"/>
        <v>0.33333333333333331</v>
      </c>
      <c r="AC489" s="7">
        <f t="shared" si="85"/>
        <v>0.4</v>
      </c>
      <c r="AD489" s="7">
        <f t="shared" si="86"/>
        <v>0.26666666666666666</v>
      </c>
      <c r="AE489" s="7">
        <f>INDEX(환산공식!$AF$16:$AF$301,MATCH('배치점수 계산기'!W489,환산공식!$A$16:$A$301,0))</f>
        <v>1</v>
      </c>
      <c r="AF489" s="7">
        <f>INDEX(환산공식!$AP$16:$AP$301,MATCH('배치점수 계산기'!W489,환산공식!$A$16:$A$301,0))</f>
        <v>4</v>
      </c>
      <c r="AG489" s="7" t="str">
        <f t="shared" si="87"/>
        <v>표점</v>
      </c>
      <c r="AH489" s="7" t="str">
        <f t="shared" si="88"/>
        <v>변표</v>
      </c>
      <c r="BO489" s="210"/>
      <c r="BP489" s="210"/>
      <c r="BQ489" s="210"/>
      <c r="BR489" s="210"/>
      <c r="BS489" s="210"/>
      <c r="BT489" s="210"/>
      <c r="BU489" s="210"/>
      <c r="BV489" s="210"/>
      <c r="BW489" s="210"/>
      <c r="BX489" s="210"/>
      <c r="BY489" s="210"/>
      <c r="BZ489" s="210"/>
      <c r="CA489" s="210"/>
      <c r="CB489" s="210"/>
      <c r="CC489" s="210"/>
      <c r="EM489" s="120"/>
      <c r="ET489" s="210"/>
      <c r="EU489" s="210"/>
      <c r="EV489" s="210"/>
      <c r="EW489" s="210"/>
      <c r="EX489" s="210"/>
      <c r="EY489" s="210"/>
      <c r="EZ489" s="210"/>
      <c r="FA489" s="210"/>
      <c r="FB489" s="210"/>
      <c r="FC489" s="210"/>
      <c r="FD489" s="210"/>
      <c r="FE489" s="210"/>
      <c r="FF489" s="210"/>
      <c r="FG489" s="210"/>
      <c r="FH489" s="210"/>
      <c r="HR489" s="120"/>
      <c r="HY489" s="210"/>
      <c r="HZ489" s="210"/>
      <c r="IA489" s="210"/>
      <c r="IB489" s="210"/>
      <c r="IC489" s="210"/>
      <c r="ID489" s="210"/>
      <c r="IE489" s="210"/>
      <c r="IF489" s="210"/>
      <c r="IG489" s="210"/>
      <c r="IH489" s="210"/>
      <c r="II489" s="210"/>
      <c r="IJ489" s="210"/>
      <c r="IK489" s="210"/>
      <c r="IL489" s="210"/>
      <c r="IM489" s="210"/>
      <c r="KW489" s="120"/>
      <c r="LD489" s="210"/>
      <c r="LE489" s="210"/>
      <c r="LF489" s="210"/>
      <c r="LG489" s="210"/>
      <c r="LH489" s="210"/>
      <c r="LI489" s="210"/>
      <c r="LJ489" s="210"/>
      <c r="LK489" s="210"/>
      <c r="LL489" s="210"/>
      <c r="LM489" s="210"/>
      <c r="LN489" s="210"/>
      <c r="LO489" s="210"/>
      <c r="LP489" s="210"/>
      <c r="LQ489" s="210"/>
      <c r="LR489" s="210"/>
      <c r="OB489" s="120"/>
      <c r="OI489" s="210"/>
      <c r="OJ489" s="210"/>
      <c r="OK489" s="210"/>
      <c r="OL489" s="210"/>
      <c r="OM489" s="210"/>
      <c r="ON489" s="210"/>
      <c r="OO489" s="210"/>
      <c r="OP489" s="210"/>
      <c r="OQ489" s="210"/>
      <c r="OR489" s="210"/>
      <c r="OS489" s="210"/>
      <c r="OT489" s="210"/>
      <c r="OU489" s="210"/>
      <c r="OV489" s="210"/>
      <c r="OW489" s="210"/>
      <c r="RG489" s="120"/>
    </row>
    <row r="490" spans="1:475" x14ac:dyDescent="0.3">
      <c r="A490" s="7">
        <v>52</v>
      </c>
      <c r="B490" s="7">
        <v>480</v>
      </c>
      <c r="C490" s="7" t="s">
        <v>378</v>
      </c>
      <c r="D490" s="7" t="s">
        <v>828</v>
      </c>
      <c r="E490" s="7" t="s">
        <v>829</v>
      </c>
      <c r="F490" s="7" t="s">
        <v>274</v>
      </c>
      <c r="G490" s="41" t="str">
        <f t="shared" si="80"/>
        <v>X</v>
      </c>
      <c r="H490" s="41">
        <f>INDEX(환산공식!CI$16:CI$301,MATCH('배치점수 계산기'!$W490,환산공식!$A$16:$A$301,0))</f>
        <v>30</v>
      </c>
      <c r="I490" s="41" t="str">
        <f>CONCATENATE(ROUND(INDEX(환산공식!CJ$16:CJ$301,MATCH('배치점수 계산기'!$W490,환산공식!$A$16:$A$301,0)),1),"%")</f>
        <v>100%</v>
      </c>
      <c r="J490" s="41">
        <f>INDEX(환산공식!CK$16:CK$301,MATCH('배치점수 계산기'!$W490,환산공식!$A$16:$A$301,0))</f>
        <v>10</v>
      </c>
      <c r="K490" s="7">
        <f>INDEX(환산공식!$EF$16:$EF$301,MATCH('배치점수 계산기'!W490,환산공식!$A$16:$A$301,0))</f>
        <v>0</v>
      </c>
      <c r="L490" s="41" t="str">
        <f t="shared" si="78"/>
        <v>1% 이하</v>
      </c>
      <c r="M490" s="7">
        <v>144.24</v>
      </c>
      <c r="N490" s="7">
        <v>143.98648965141615</v>
      </c>
      <c r="O490" s="7">
        <v>143.745</v>
      </c>
      <c r="P490" s="7">
        <v>143.20648463227226</v>
      </c>
      <c r="Q490" s="7">
        <v>142.59148909743308</v>
      </c>
      <c r="R490" s="7">
        <f t="shared" si="79"/>
        <v>6</v>
      </c>
      <c r="T490" s="7">
        <f>COUNTIF($C$11:C490,C490)</f>
        <v>16</v>
      </c>
      <c r="U490" s="7" t="str">
        <f t="shared" si="81"/>
        <v>다16</v>
      </c>
      <c r="V490" s="7" t="str">
        <f>INDEX(환산공식!$C$16:$C$301,MATCH('배치점수 계산기'!W490,환산공식!$A$16:$A$301,0))</f>
        <v>홍익 자연</v>
      </c>
      <c r="W490" s="7">
        <f t="shared" si="82"/>
        <v>52</v>
      </c>
      <c r="X490" s="7">
        <f t="shared" si="83"/>
        <v>1</v>
      </c>
      <c r="Y490" s="7">
        <f>IFERROR(INDEX(환산공식!Q$16:Q$200,MATCH($A490,환산공식!$A$16:$A$200,0)),"")</f>
        <v>0.2</v>
      </c>
      <c r="Z490" s="7">
        <f>IFERROR(INDEX(환산공식!R$16:R$200,MATCH($A490,환산공식!$A$16:$A$200,0)),"")</f>
        <v>0.35</v>
      </c>
      <c r="AA490" s="7">
        <f>IFERROR(INDEX(환산공식!U$16:U$200,MATCH($A490,환산공식!$A$16:$A$200,0)),"")</f>
        <v>0.3</v>
      </c>
      <c r="AB490" s="7">
        <f t="shared" si="84"/>
        <v>0.23529411764705882</v>
      </c>
      <c r="AC490" s="7">
        <f t="shared" si="85"/>
        <v>0.41176470588235287</v>
      </c>
      <c r="AD490" s="7">
        <f t="shared" si="86"/>
        <v>0.3529411764705882</v>
      </c>
      <c r="AE490" s="7">
        <f>INDEX(환산공식!$AF$16:$AF$301,MATCH('배치점수 계산기'!W490,환산공식!$A$16:$A$301,0))</f>
        <v>1</v>
      </c>
      <c r="AF490" s="7">
        <f>INDEX(환산공식!$AP$16:$AP$301,MATCH('배치점수 계산기'!W490,환산공식!$A$16:$A$301,0))</f>
        <v>1</v>
      </c>
      <c r="AG490" s="7" t="str">
        <f t="shared" si="87"/>
        <v>표점</v>
      </c>
      <c r="AH490" s="7" t="str">
        <f t="shared" si="88"/>
        <v>표점</v>
      </c>
      <c r="BO490" s="210"/>
      <c r="BP490" s="210"/>
      <c r="BQ490" s="210"/>
      <c r="BR490" s="210"/>
      <c r="BS490" s="210"/>
      <c r="BT490" s="210"/>
      <c r="BU490" s="210"/>
      <c r="BV490" s="210"/>
      <c r="BW490" s="210"/>
      <c r="BX490" s="210"/>
      <c r="BY490" s="210"/>
      <c r="BZ490" s="210"/>
      <c r="CA490" s="210"/>
      <c r="CB490" s="210"/>
      <c r="CC490" s="210"/>
      <c r="EM490" s="120"/>
      <c r="ET490" s="210"/>
      <c r="EU490" s="210"/>
      <c r="EV490" s="210"/>
      <c r="EW490" s="210"/>
      <c r="EX490" s="210"/>
      <c r="EY490" s="210"/>
      <c r="EZ490" s="210"/>
      <c r="FA490" s="210"/>
      <c r="FB490" s="210"/>
      <c r="FC490" s="210"/>
      <c r="FD490" s="210"/>
      <c r="FE490" s="210"/>
      <c r="FF490" s="210"/>
      <c r="FG490" s="210"/>
      <c r="FH490" s="210"/>
      <c r="HR490" s="120"/>
      <c r="HY490" s="210"/>
      <c r="HZ490" s="210"/>
      <c r="IA490" s="210"/>
      <c r="IB490" s="210"/>
      <c r="IC490" s="210"/>
      <c r="ID490" s="210"/>
      <c r="IE490" s="210"/>
      <c r="IF490" s="210"/>
      <c r="IG490" s="210"/>
      <c r="IH490" s="210"/>
      <c r="II490" s="210"/>
      <c r="IJ490" s="210"/>
      <c r="IK490" s="210"/>
      <c r="IL490" s="210"/>
      <c r="IM490" s="210"/>
      <c r="KW490" s="120"/>
      <c r="LD490" s="210"/>
      <c r="LE490" s="210"/>
      <c r="LF490" s="210"/>
      <c r="LG490" s="210"/>
      <c r="LH490" s="210"/>
      <c r="LI490" s="210"/>
      <c r="LJ490" s="210"/>
      <c r="LK490" s="210"/>
      <c r="LL490" s="210"/>
      <c r="LM490" s="210"/>
      <c r="LN490" s="210"/>
      <c r="LO490" s="210"/>
      <c r="LP490" s="210"/>
      <c r="LQ490" s="210"/>
      <c r="LR490" s="210"/>
      <c r="OB490" s="120"/>
      <c r="OI490" s="210"/>
      <c r="OJ490" s="210"/>
      <c r="OK490" s="210"/>
      <c r="OL490" s="210"/>
      <c r="OM490" s="210"/>
      <c r="ON490" s="210"/>
      <c r="OO490" s="210"/>
      <c r="OP490" s="210"/>
      <c r="OQ490" s="210"/>
      <c r="OR490" s="210"/>
      <c r="OS490" s="210"/>
      <c r="OT490" s="210"/>
      <c r="OU490" s="210"/>
      <c r="OV490" s="210"/>
      <c r="OW490" s="210"/>
      <c r="RG490" s="120"/>
    </row>
    <row r="491" spans="1:475" x14ac:dyDescent="0.3">
      <c r="A491" s="7">
        <v>53</v>
      </c>
      <c r="B491" s="7">
        <v>481</v>
      </c>
      <c r="C491" s="7" t="s">
        <v>378</v>
      </c>
      <c r="D491" s="7" t="s">
        <v>828</v>
      </c>
      <c r="E491" s="7" t="s">
        <v>830</v>
      </c>
      <c r="F491" s="7" t="s">
        <v>275</v>
      </c>
      <c r="G491" s="41" t="str">
        <f t="shared" si="80"/>
        <v>X</v>
      </c>
      <c r="H491" s="41">
        <f>INDEX(환산공식!CI$16:CI$301,MATCH('배치점수 계산기'!$W491,환산공식!$A$16:$A$301,0))</f>
        <v>30</v>
      </c>
      <c r="I491" s="41" t="str">
        <f>CONCATENATE(ROUND(INDEX(환산공식!CJ$16:CJ$301,MATCH('배치점수 계산기'!$W491,환산공식!$A$16:$A$301,0)),1),"%")</f>
        <v>100%</v>
      </c>
      <c r="J491" s="41">
        <f>INDEX(환산공식!CK$16:CK$301,MATCH('배치점수 계산기'!$W491,환산공식!$A$16:$A$301,0))</f>
        <v>10</v>
      </c>
      <c r="K491" s="7">
        <f>INDEX(환산공식!$EF$16:$EF$301,MATCH('배치점수 계산기'!W491,환산공식!$A$16:$A$301,0))</f>
        <v>0</v>
      </c>
      <c r="L491" s="41" t="str">
        <f t="shared" si="78"/>
        <v>1% 이하</v>
      </c>
      <c r="M491" s="7">
        <v>141.90828831312015</v>
      </c>
      <c r="N491" s="7">
        <v>141.3565687361419</v>
      </c>
      <c r="O491" s="7">
        <v>140.98000000000002</v>
      </c>
      <c r="P491" s="7">
        <v>140.63</v>
      </c>
      <c r="Q491" s="7">
        <v>140.28172355903752</v>
      </c>
      <c r="R491" s="7">
        <f t="shared" si="79"/>
        <v>6</v>
      </c>
      <c r="T491" s="7">
        <f>COUNTIF($C$11:C491,C491)</f>
        <v>17</v>
      </c>
      <c r="U491" s="7" t="str">
        <f t="shared" si="81"/>
        <v>다17</v>
      </c>
      <c r="V491" s="7" t="str">
        <f>INDEX(환산공식!$C$16:$C$301,MATCH('배치점수 계산기'!W491,환산공식!$A$16:$A$301,0))</f>
        <v>홍익 통합서울</v>
      </c>
      <c r="W491" s="7">
        <f t="shared" si="82"/>
        <v>53</v>
      </c>
      <c r="X491" s="7">
        <f t="shared" si="83"/>
        <v>1</v>
      </c>
      <c r="Y491" s="7">
        <f>IFERROR(INDEX(환산공식!Q$16:Q$200,MATCH($A491,환산공식!$A$16:$A$200,0)),"")</f>
        <v>0.3</v>
      </c>
      <c r="Z491" s="7">
        <f>IFERROR(INDEX(환산공식!R$16:R$200,MATCH($A491,환산공식!$A$16:$A$200,0)),"")</f>
        <v>0.3</v>
      </c>
      <c r="AA491" s="7">
        <f>IFERROR(INDEX(환산공식!U$16:U$200,MATCH($A491,환산공식!$A$16:$A$200,0)),"")</f>
        <v>0.25</v>
      </c>
      <c r="AB491" s="7">
        <f t="shared" si="84"/>
        <v>0.35294117647058826</v>
      </c>
      <c r="AC491" s="7">
        <f t="shared" si="85"/>
        <v>0.35294117647058826</v>
      </c>
      <c r="AD491" s="7">
        <f t="shared" si="86"/>
        <v>0.29411764705882354</v>
      </c>
      <c r="AE491" s="7">
        <f>INDEX(환산공식!$AF$16:$AF$301,MATCH('배치점수 계산기'!W491,환산공식!$A$16:$A$301,0))</f>
        <v>1</v>
      </c>
      <c r="AF491" s="7">
        <f>INDEX(환산공식!$AP$16:$AP$301,MATCH('배치점수 계산기'!W491,환산공식!$A$16:$A$301,0))</f>
        <v>1</v>
      </c>
      <c r="AG491" s="7" t="str">
        <f t="shared" si="87"/>
        <v>표점</v>
      </c>
      <c r="AH491" s="7" t="str">
        <f t="shared" si="88"/>
        <v>표점</v>
      </c>
      <c r="BO491" s="210"/>
      <c r="BP491" s="210"/>
      <c r="BQ491" s="210"/>
      <c r="BR491" s="210"/>
      <c r="BS491" s="210"/>
      <c r="BT491" s="210"/>
      <c r="BU491" s="210"/>
      <c r="BV491" s="210"/>
      <c r="BW491" s="210"/>
      <c r="BX491" s="210"/>
      <c r="BY491" s="210"/>
      <c r="BZ491" s="210"/>
      <c r="CA491" s="210"/>
      <c r="CB491" s="210"/>
      <c r="CC491" s="210"/>
      <c r="EM491" s="120"/>
      <c r="ET491" s="210"/>
      <c r="EU491" s="210"/>
      <c r="EV491" s="210"/>
      <c r="EW491" s="210"/>
      <c r="EX491" s="210"/>
      <c r="EY491" s="210"/>
      <c r="EZ491" s="210"/>
      <c r="FA491" s="210"/>
      <c r="FB491" s="210"/>
      <c r="FC491" s="210"/>
      <c r="FD491" s="210"/>
      <c r="FE491" s="210"/>
      <c r="FF491" s="210"/>
      <c r="FG491" s="210"/>
      <c r="FH491" s="210"/>
      <c r="HR491" s="120"/>
      <c r="HY491" s="210"/>
      <c r="HZ491" s="210"/>
      <c r="IA491" s="210"/>
      <c r="IB491" s="210"/>
      <c r="IC491" s="210"/>
      <c r="ID491" s="210"/>
      <c r="IE491" s="210"/>
      <c r="IF491" s="210"/>
      <c r="IG491" s="210"/>
      <c r="IH491" s="210"/>
      <c r="II491" s="210"/>
      <c r="IJ491" s="210"/>
      <c r="IK491" s="210"/>
      <c r="IL491" s="210"/>
      <c r="IM491" s="210"/>
      <c r="KW491" s="120"/>
      <c r="LD491" s="210"/>
      <c r="LE491" s="210"/>
      <c r="LF491" s="210"/>
      <c r="LG491" s="210"/>
      <c r="LH491" s="210"/>
      <c r="LI491" s="210"/>
      <c r="LJ491" s="210"/>
      <c r="LK491" s="210"/>
      <c r="LL491" s="210"/>
      <c r="LM491" s="210"/>
      <c r="LN491" s="210"/>
      <c r="LO491" s="210"/>
      <c r="LP491" s="210"/>
      <c r="LQ491" s="210"/>
      <c r="LR491" s="210"/>
      <c r="OB491" s="120"/>
      <c r="OI491" s="210"/>
      <c r="OJ491" s="210"/>
      <c r="OK491" s="210"/>
      <c r="OL491" s="210"/>
      <c r="OM491" s="210"/>
      <c r="ON491" s="210"/>
      <c r="OO491" s="210"/>
      <c r="OP491" s="210"/>
      <c r="OQ491" s="210"/>
      <c r="OR491" s="210"/>
      <c r="OS491" s="210"/>
      <c r="OT491" s="210"/>
      <c r="OU491" s="210"/>
      <c r="OV491" s="210"/>
      <c r="OW491" s="210"/>
      <c r="RG491" s="120"/>
    </row>
    <row r="492" spans="1:475" x14ac:dyDescent="0.3">
      <c r="A492" s="7">
        <v>52</v>
      </c>
      <c r="B492" s="7">
        <v>482</v>
      </c>
      <c r="C492" s="7" t="s">
        <v>378</v>
      </c>
      <c r="D492" s="7" t="s">
        <v>828</v>
      </c>
      <c r="E492" s="7" t="s">
        <v>831</v>
      </c>
      <c r="F492" s="7" t="s">
        <v>274</v>
      </c>
      <c r="G492" s="41" t="str">
        <f t="shared" si="80"/>
        <v>X</v>
      </c>
      <c r="H492" s="41">
        <f>INDEX(환산공식!CI$16:CI$301,MATCH('배치점수 계산기'!$W492,환산공식!$A$16:$A$301,0))</f>
        <v>30</v>
      </c>
      <c r="I492" s="41" t="str">
        <f>CONCATENATE(ROUND(INDEX(환산공식!CJ$16:CJ$301,MATCH('배치점수 계산기'!$W492,환산공식!$A$16:$A$301,0)),1),"%")</f>
        <v>100%</v>
      </c>
      <c r="J492" s="41">
        <f>INDEX(환산공식!CK$16:CK$301,MATCH('배치점수 계산기'!$W492,환산공식!$A$16:$A$301,0))</f>
        <v>10</v>
      </c>
      <c r="K492" s="7">
        <f>INDEX(환산공식!$EF$16:$EF$301,MATCH('배치점수 계산기'!W492,환산공식!$A$16:$A$301,0))</f>
        <v>0</v>
      </c>
      <c r="L492" s="41" t="str">
        <f t="shared" si="78"/>
        <v>1% 이하</v>
      </c>
      <c r="M492" s="7">
        <v>144.0985097985847</v>
      </c>
      <c r="N492" s="7">
        <v>143.83148527004909</v>
      </c>
      <c r="O492" s="7">
        <v>143.46</v>
      </c>
      <c r="P492" s="7">
        <v>142.91500000000002</v>
      </c>
      <c r="Q492" s="7">
        <v>142.36351093274288</v>
      </c>
      <c r="R492" s="7">
        <f t="shared" si="79"/>
        <v>6</v>
      </c>
      <c r="T492" s="7">
        <f>COUNTIF($C$11:C492,C492)</f>
        <v>18</v>
      </c>
      <c r="U492" s="7" t="str">
        <f t="shared" si="81"/>
        <v>다18</v>
      </c>
      <c r="V492" s="7" t="str">
        <f>INDEX(환산공식!$C$16:$C$301,MATCH('배치점수 계산기'!W492,환산공식!$A$16:$A$301,0))</f>
        <v>홍익 자연</v>
      </c>
      <c r="W492" s="7">
        <f t="shared" si="82"/>
        <v>52</v>
      </c>
      <c r="X492" s="7">
        <f t="shared" si="83"/>
        <v>1</v>
      </c>
      <c r="Y492" s="7">
        <f>IFERROR(INDEX(환산공식!Q$16:Q$200,MATCH($A492,환산공식!$A$16:$A$200,0)),"")</f>
        <v>0.2</v>
      </c>
      <c r="Z492" s="7">
        <f>IFERROR(INDEX(환산공식!R$16:R$200,MATCH($A492,환산공식!$A$16:$A$200,0)),"")</f>
        <v>0.35</v>
      </c>
      <c r="AA492" s="7">
        <f>IFERROR(INDEX(환산공식!U$16:U$200,MATCH($A492,환산공식!$A$16:$A$200,0)),"")</f>
        <v>0.3</v>
      </c>
      <c r="AB492" s="7">
        <f t="shared" si="84"/>
        <v>0.23529411764705882</v>
      </c>
      <c r="AC492" s="7">
        <f t="shared" si="85"/>
        <v>0.41176470588235287</v>
      </c>
      <c r="AD492" s="7">
        <f t="shared" si="86"/>
        <v>0.3529411764705882</v>
      </c>
      <c r="AE492" s="7">
        <f>INDEX(환산공식!$AF$16:$AF$301,MATCH('배치점수 계산기'!W492,환산공식!$A$16:$A$301,0))</f>
        <v>1</v>
      </c>
      <c r="AF492" s="7">
        <f>INDEX(환산공식!$AP$16:$AP$301,MATCH('배치점수 계산기'!W492,환산공식!$A$16:$A$301,0))</f>
        <v>1</v>
      </c>
      <c r="AG492" s="7" t="str">
        <f t="shared" si="87"/>
        <v>표점</v>
      </c>
      <c r="AH492" s="7" t="str">
        <f t="shared" si="88"/>
        <v>표점</v>
      </c>
      <c r="BO492" s="210"/>
      <c r="BP492" s="210"/>
      <c r="BQ492" s="210"/>
      <c r="BR492" s="210"/>
      <c r="BS492" s="210"/>
      <c r="BT492" s="210"/>
      <c r="BU492" s="210"/>
      <c r="BV492" s="210"/>
      <c r="BW492" s="210"/>
      <c r="BX492" s="210"/>
      <c r="BY492" s="210"/>
      <c r="BZ492" s="210"/>
      <c r="CA492" s="210"/>
      <c r="CB492" s="210"/>
      <c r="CC492" s="210"/>
      <c r="EM492" s="120"/>
      <c r="ET492" s="210"/>
      <c r="EU492" s="210"/>
      <c r="EV492" s="210"/>
      <c r="EW492" s="210"/>
      <c r="EX492" s="210"/>
      <c r="EY492" s="210"/>
      <c r="EZ492" s="210"/>
      <c r="FA492" s="210"/>
      <c r="FB492" s="210"/>
      <c r="FC492" s="210"/>
      <c r="FD492" s="210"/>
      <c r="FE492" s="210"/>
      <c r="FF492" s="210"/>
      <c r="FG492" s="210"/>
      <c r="FH492" s="210"/>
      <c r="HR492" s="120"/>
      <c r="HY492" s="210"/>
      <c r="HZ492" s="210"/>
      <c r="IA492" s="210"/>
      <c r="IB492" s="210"/>
      <c r="IC492" s="210"/>
      <c r="ID492" s="210"/>
      <c r="IE492" s="210"/>
      <c r="IF492" s="210"/>
      <c r="IG492" s="210"/>
      <c r="IH492" s="210"/>
      <c r="II492" s="210"/>
      <c r="IJ492" s="210"/>
      <c r="IK492" s="210"/>
      <c r="IL492" s="210"/>
      <c r="IM492" s="210"/>
      <c r="KW492" s="120"/>
      <c r="LD492" s="210"/>
      <c r="LE492" s="210"/>
      <c r="LF492" s="210"/>
      <c r="LG492" s="210"/>
      <c r="LH492" s="210"/>
      <c r="LI492" s="210"/>
      <c r="LJ492" s="210"/>
      <c r="LK492" s="210"/>
      <c r="LL492" s="210"/>
      <c r="LM492" s="210"/>
      <c r="LN492" s="210"/>
      <c r="LO492" s="210"/>
      <c r="LP492" s="210"/>
      <c r="LQ492" s="210"/>
      <c r="LR492" s="210"/>
      <c r="OB492" s="120"/>
      <c r="OI492" s="210"/>
      <c r="OJ492" s="210"/>
      <c r="OK492" s="210"/>
      <c r="OL492" s="210"/>
      <c r="OM492" s="210"/>
      <c r="ON492" s="210"/>
      <c r="OO492" s="210"/>
      <c r="OP492" s="210"/>
      <c r="OQ492" s="210"/>
      <c r="OR492" s="210"/>
      <c r="OS492" s="210"/>
      <c r="OT492" s="210"/>
      <c r="OU492" s="210"/>
      <c r="OV492" s="210"/>
      <c r="OW492" s="210"/>
      <c r="RG492" s="120"/>
    </row>
    <row r="493" spans="1:475" x14ac:dyDescent="0.3">
      <c r="A493" s="7">
        <v>53</v>
      </c>
      <c r="B493" s="7">
        <v>483</v>
      </c>
      <c r="C493" s="7" t="s">
        <v>378</v>
      </c>
      <c r="D493" s="7" t="s">
        <v>828</v>
      </c>
      <c r="E493" s="7" t="s">
        <v>832</v>
      </c>
      <c r="F493" s="7" t="s">
        <v>275</v>
      </c>
      <c r="G493" s="41" t="str">
        <f t="shared" si="80"/>
        <v>X</v>
      </c>
      <c r="H493" s="41">
        <f>INDEX(환산공식!CI$16:CI$301,MATCH('배치점수 계산기'!$W493,환산공식!$A$16:$A$301,0))</f>
        <v>30</v>
      </c>
      <c r="I493" s="41" t="str">
        <f>CONCATENATE(ROUND(INDEX(환산공식!CJ$16:CJ$301,MATCH('배치점수 계산기'!$W493,환산공식!$A$16:$A$301,0)),1),"%")</f>
        <v>100%</v>
      </c>
      <c r="J493" s="41">
        <f>INDEX(환산공식!CK$16:CK$301,MATCH('배치점수 계산기'!$W493,환산공식!$A$16:$A$301,0))</f>
        <v>10</v>
      </c>
      <c r="K493" s="7">
        <f>INDEX(환산공식!$EF$16:$EF$301,MATCH('배치점수 계산기'!W493,환산공식!$A$16:$A$301,0))</f>
        <v>0</v>
      </c>
      <c r="L493" s="41" t="str">
        <f t="shared" si="78"/>
        <v>1% 이하</v>
      </c>
      <c r="M493" s="7">
        <v>142.125</v>
      </c>
      <c r="N493" s="7">
        <v>141.69328634604753</v>
      </c>
      <c r="O493" s="7">
        <v>141.255</v>
      </c>
      <c r="P493" s="7">
        <v>140.59327932960895</v>
      </c>
      <c r="Q493" s="7">
        <v>140.215</v>
      </c>
      <c r="R493" s="7">
        <f t="shared" si="79"/>
        <v>6</v>
      </c>
      <c r="T493" s="7">
        <f>COUNTIF($C$11:C493,C493)</f>
        <v>19</v>
      </c>
      <c r="U493" s="7" t="str">
        <f t="shared" si="81"/>
        <v>다19</v>
      </c>
      <c r="V493" s="7" t="str">
        <f>INDEX(환산공식!$C$16:$C$301,MATCH('배치점수 계산기'!W493,환산공식!$A$16:$A$301,0))</f>
        <v>홍익 통합서울</v>
      </c>
      <c r="W493" s="7">
        <f t="shared" si="82"/>
        <v>53</v>
      </c>
      <c r="X493" s="7">
        <f t="shared" si="83"/>
        <v>1</v>
      </c>
      <c r="Y493" s="7">
        <f>IFERROR(INDEX(환산공식!Q$16:Q$200,MATCH($A493,환산공식!$A$16:$A$200,0)),"")</f>
        <v>0.3</v>
      </c>
      <c r="Z493" s="7">
        <f>IFERROR(INDEX(환산공식!R$16:R$200,MATCH($A493,환산공식!$A$16:$A$200,0)),"")</f>
        <v>0.3</v>
      </c>
      <c r="AA493" s="7">
        <f>IFERROR(INDEX(환산공식!U$16:U$200,MATCH($A493,환산공식!$A$16:$A$200,0)),"")</f>
        <v>0.25</v>
      </c>
      <c r="AB493" s="7">
        <f t="shared" si="84"/>
        <v>0.35294117647058826</v>
      </c>
      <c r="AC493" s="7">
        <f t="shared" si="85"/>
        <v>0.35294117647058826</v>
      </c>
      <c r="AD493" s="7">
        <f t="shared" si="86"/>
        <v>0.29411764705882354</v>
      </c>
      <c r="AE493" s="7">
        <f>INDEX(환산공식!$AF$16:$AF$301,MATCH('배치점수 계산기'!W493,환산공식!$A$16:$A$301,0))</f>
        <v>1</v>
      </c>
      <c r="AF493" s="7">
        <f>INDEX(환산공식!$AP$16:$AP$301,MATCH('배치점수 계산기'!W493,환산공식!$A$16:$A$301,0))</f>
        <v>1</v>
      </c>
      <c r="AG493" s="7" t="str">
        <f t="shared" si="87"/>
        <v>표점</v>
      </c>
      <c r="AH493" s="7" t="str">
        <f t="shared" si="88"/>
        <v>표점</v>
      </c>
      <c r="BO493" s="210"/>
      <c r="BP493" s="210"/>
      <c r="BQ493" s="210"/>
      <c r="BR493" s="210"/>
      <c r="BS493" s="210"/>
      <c r="BT493" s="210"/>
      <c r="BU493" s="210"/>
      <c r="BV493" s="210"/>
      <c r="BW493" s="210"/>
      <c r="BX493" s="210"/>
      <c r="BY493" s="210"/>
      <c r="BZ493" s="210"/>
      <c r="CA493" s="210"/>
      <c r="CB493" s="210"/>
      <c r="CC493" s="210"/>
      <c r="EM493" s="120"/>
      <c r="ET493" s="210"/>
      <c r="EU493" s="210"/>
      <c r="EV493" s="210"/>
      <c r="EW493" s="210"/>
      <c r="EX493" s="210"/>
      <c r="EY493" s="210"/>
      <c r="EZ493" s="210"/>
      <c r="FA493" s="210"/>
      <c r="FB493" s="210"/>
      <c r="FC493" s="210"/>
      <c r="FD493" s="210"/>
      <c r="FE493" s="210"/>
      <c r="FF493" s="210"/>
      <c r="FG493" s="210"/>
      <c r="FH493" s="210"/>
      <c r="HR493" s="120"/>
      <c r="HY493" s="210"/>
      <c r="HZ493" s="210"/>
      <c r="IA493" s="210"/>
      <c r="IB493" s="210"/>
      <c r="IC493" s="210"/>
      <c r="ID493" s="210"/>
      <c r="IE493" s="210"/>
      <c r="IF493" s="210"/>
      <c r="IG493" s="210"/>
      <c r="IH493" s="210"/>
      <c r="II493" s="210"/>
      <c r="IJ493" s="210"/>
      <c r="IK493" s="210"/>
      <c r="IL493" s="210"/>
      <c r="IM493" s="210"/>
      <c r="KW493" s="120"/>
      <c r="LD493" s="210"/>
      <c r="LE493" s="210"/>
      <c r="LF493" s="210"/>
      <c r="LG493" s="210"/>
      <c r="LH493" s="210"/>
      <c r="LI493" s="210"/>
      <c r="LJ493" s="210"/>
      <c r="LK493" s="210"/>
      <c r="LL493" s="210"/>
      <c r="LM493" s="210"/>
      <c r="LN493" s="210"/>
      <c r="LO493" s="210"/>
      <c r="LP493" s="210"/>
      <c r="LQ493" s="210"/>
      <c r="LR493" s="210"/>
      <c r="OB493" s="120"/>
      <c r="OI493" s="210"/>
      <c r="OJ493" s="210"/>
      <c r="OK493" s="210"/>
      <c r="OL493" s="210"/>
      <c r="OM493" s="210"/>
      <c r="ON493" s="210"/>
      <c r="OO493" s="210"/>
      <c r="OP493" s="210"/>
      <c r="OQ493" s="210"/>
      <c r="OR493" s="210"/>
      <c r="OS493" s="210"/>
      <c r="OT493" s="210"/>
      <c r="OU493" s="210"/>
      <c r="OV493" s="210"/>
      <c r="OW493" s="210"/>
      <c r="RG493" s="120"/>
    </row>
    <row r="494" spans="1:475" x14ac:dyDescent="0.3">
      <c r="A494" s="7">
        <v>57</v>
      </c>
      <c r="B494" s="7">
        <v>484</v>
      </c>
      <c r="C494" s="7" t="s">
        <v>833</v>
      </c>
      <c r="D494" s="7" t="s">
        <v>834</v>
      </c>
      <c r="E494" s="7" t="s">
        <v>835</v>
      </c>
      <c r="F494" s="7" t="s">
        <v>274</v>
      </c>
      <c r="G494" s="41" t="str">
        <f t="shared" si="80"/>
        <v>X</v>
      </c>
      <c r="H494" s="41">
        <f>INDEX(환산공식!CI$16:CI$301,MATCH('배치점수 계산기'!$W494,환산공식!$A$16:$A$301,0))</f>
        <v>200</v>
      </c>
      <c r="I494" s="41" t="str">
        <f>CONCATENATE(ROUND(INDEX(환산공식!CJ$16:CJ$301,MATCH('배치점수 계산기'!$W494,환산공식!$A$16:$A$301,0)),1),"%")</f>
        <v>100%</v>
      </c>
      <c r="J494" s="41">
        <f>INDEX(환산공식!CK$16:CK$301,MATCH('배치점수 계산기'!$W494,환산공식!$A$16:$A$301,0))</f>
        <v>4</v>
      </c>
      <c r="K494" s="7">
        <f>INDEX(환산공식!$EF$16:$EF$301,MATCH('배치점수 계산기'!W494,환산공식!$A$16:$A$301,0))</f>
        <v>0</v>
      </c>
      <c r="L494" s="41" t="str">
        <f t="shared" si="78"/>
        <v>1% 이하</v>
      </c>
      <c r="M494" s="7">
        <v>881.22616773876405</v>
      </c>
      <c r="N494" s="7">
        <v>879.02268156160198</v>
      </c>
      <c r="O494" s="7">
        <v>874.64727972195294</v>
      </c>
      <c r="P494" s="7">
        <v>871.25925166020681</v>
      </c>
      <c r="Q494" s="7">
        <v>868.01384909451315</v>
      </c>
      <c r="R494" s="7">
        <f t="shared" si="79"/>
        <v>6</v>
      </c>
      <c r="T494" s="7">
        <f>COUNTIF($C$11:C494,C494)</f>
        <v>1</v>
      </c>
      <c r="U494" s="7" t="str">
        <f t="shared" si="81"/>
        <v>가나다1</v>
      </c>
      <c r="V494" s="7" t="str">
        <f>INDEX(환산공식!$C$16:$C$301,MATCH('배치점수 계산기'!W494,환산공식!$A$16:$A$301,0))</f>
        <v>숭실 자연2(상위)</v>
      </c>
      <c r="W494" s="7">
        <f t="shared" si="82"/>
        <v>57</v>
      </c>
      <c r="X494" s="7">
        <f t="shared" si="83"/>
        <v>1</v>
      </c>
      <c r="Y494" s="7">
        <f>IFERROR(INDEX(환산공식!Q$16:Q$200,MATCH($A494,환산공식!$A$16:$A$200,0)),"")</f>
        <v>1.3422818791946309</v>
      </c>
      <c r="Z494" s="7">
        <f>IFERROR(INDEX(환산공식!R$16:R$200,MATCH($A494,환산공식!$A$16:$A$200,0)),"")</f>
        <v>2.3809523809523809</v>
      </c>
      <c r="AA494" s="7">
        <f>IFERROR(INDEX(환산공식!U$16:U$200,MATCH($A494,환산공식!$A$16:$A$200,0)),"")</f>
        <v>1.893939393939394</v>
      </c>
      <c r="AB494" s="7">
        <f t="shared" si="84"/>
        <v>0.23896036723346481</v>
      </c>
      <c r="AC494" s="7">
        <f t="shared" si="85"/>
        <v>0.42387017521174114</v>
      </c>
      <c r="AD494" s="7">
        <f t="shared" si="86"/>
        <v>0.33716945755479411</v>
      </c>
      <c r="AE494" s="7">
        <f>INDEX(환산공식!$AF$16:$AF$301,MATCH('배치점수 계산기'!W494,환산공식!$A$16:$A$301,0))</f>
        <v>12</v>
      </c>
      <c r="AF494" s="7">
        <f>INDEX(환산공식!$AP$16:$AP$301,MATCH('배치점수 계산기'!W494,환산공식!$A$16:$A$301,0))</f>
        <v>42</v>
      </c>
      <c r="AG494" s="7" t="str">
        <f t="shared" si="87"/>
        <v>표점/만점</v>
      </c>
      <c r="AH494" s="7" t="str">
        <f t="shared" si="88"/>
        <v>변표/만점</v>
      </c>
      <c r="BO494" s="210"/>
      <c r="BP494" s="210"/>
      <c r="BQ494" s="210"/>
      <c r="BR494" s="210"/>
      <c r="BS494" s="210"/>
      <c r="BT494" s="210"/>
      <c r="BU494" s="210"/>
      <c r="BV494" s="210"/>
      <c r="BW494" s="210"/>
      <c r="BX494" s="210"/>
      <c r="BY494" s="210"/>
      <c r="BZ494" s="210"/>
      <c r="CA494" s="210"/>
      <c r="CB494" s="210"/>
      <c r="CC494" s="210"/>
      <c r="EM494" s="120"/>
      <c r="ET494" s="210"/>
      <c r="EU494" s="210"/>
      <c r="EV494" s="210"/>
      <c r="EW494" s="210"/>
      <c r="EX494" s="210"/>
      <c r="EY494" s="210"/>
      <c r="EZ494" s="210"/>
      <c r="FA494" s="210"/>
      <c r="FB494" s="210"/>
      <c r="FC494" s="210"/>
      <c r="FD494" s="210"/>
      <c r="FE494" s="210"/>
      <c r="FF494" s="210"/>
      <c r="FG494" s="210"/>
      <c r="FH494" s="210"/>
      <c r="HR494" s="120"/>
      <c r="HY494" s="210"/>
      <c r="HZ494" s="210"/>
      <c r="IA494" s="210"/>
      <c r="IB494" s="210"/>
      <c r="IC494" s="210"/>
      <c r="ID494" s="210"/>
      <c r="IE494" s="210"/>
      <c r="IF494" s="210"/>
      <c r="IG494" s="210"/>
      <c r="IH494" s="210"/>
      <c r="II494" s="210"/>
      <c r="IJ494" s="210"/>
      <c r="IK494" s="210"/>
      <c r="IL494" s="210"/>
      <c r="IM494" s="210"/>
      <c r="KW494" s="120"/>
      <c r="LD494" s="210"/>
      <c r="LE494" s="210"/>
      <c r="LF494" s="210"/>
      <c r="LG494" s="210"/>
      <c r="LH494" s="210"/>
      <c r="LI494" s="210"/>
      <c r="LJ494" s="210"/>
      <c r="LK494" s="210"/>
      <c r="LL494" s="210"/>
      <c r="LM494" s="210"/>
      <c r="LN494" s="210"/>
      <c r="LO494" s="210"/>
      <c r="LP494" s="210"/>
      <c r="LQ494" s="210"/>
      <c r="LR494" s="210"/>
      <c r="OB494" s="120"/>
      <c r="OI494" s="210"/>
      <c r="OJ494" s="210"/>
      <c r="OK494" s="210"/>
      <c r="OL494" s="210"/>
      <c r="OM494" s="210"/>
      <c r="ON494" s="210"/>
      <c r="OO494" s="210"/>
      <c r="OP494" s="210"/>
      <c r="OQ494" s="210"/>
      <c r="OR494" s="210"/>
      <c r="OS494" s="210"/>
      <c r="OT494" s="210"/>
      <c r="OU494" s="210"/>
      <c r="OV494" s="210"/>
      <c r="OW494" s="210"/>
      <c r="RG494" s="120"/>
    </row>
    <row r="495" spans="1:475" x14ac:dyDescent="0.3">
      <c r="A495" s="7">
        <v>56</v>
      </c>
      <c r="B495" s="7">
        <v>485</v>
      </c>
      <c r="C495" s="7" t="s">
        <v>833</v>
      </c>
      <c r="D495" s="7" t="s">
        <v>834</v>
      </c>
      <c r="E495" s="7" t="s">
        <v>836</v>
      </c>
      <c r="F495" s="7" t="s">
        <v>274</v>
      </c>
      <c r="G495" s="41" t="str">
        <f t="shared" si="80"/>
        <v>X</v>
      </c>
      <c r="H495" s="41">
        <f>INDEX(환산공식!CI$16:CI$301,MATCH('배치점수 계산기'!$W495,환산공식!$A$16:$A$301,0))</f>
        <v>200</v>
      </c>
      <c r="I495" s="41" t="str">
        <f>CONCATENATE(ROUND(INDEX(환산공식!CJ$16:CJ$301,MATCH('배치점수 계산기'!$W495,환산공식!$A$16:$A$301,0)),1),"%")</f>
        <v>100%</v>
      </c>
      <c r="J495" s="41">
        <f>INDEX(환산공식!CK$16:CK$301,MATCH('배치점수 계산기'!$W495,환산공식!$A$16:$A$301,0))</f>
        <v>4</v>
      </c>
      <c r="K495" s="7">
        <f>INDEX(환산공식!$EF$16:$EF$301,MATCH('배치점수 계산기'!W495,환산공식!$A$16:$A$301,0))</f>
        <v>0</v>
      </c>
      <c r="L495" s="41" t="str">
        <f t="shared" si="78"/>
        <v>1% 이하</v>
      </c>
      <c r="M495" s="7">
        <v>864.64727972195294</v>
      </c>
      <c r="N495" s="7">
        <v>862.15656201121305</v>
      </c>
      <c r="O495" s="7">
        <v>858.88944313578895</v>
      </c>
      <c r="P495" s="7">
        <v>855.74643659219169</v>
      </c>
      <c r="Q495" s="7">
        <v>854.01543019357348</v>
      </c>
      <c r="R495" s="7">
        <f t="shared" si="79"/>
        <v>6</v>
      </c>
      <c r="T495" s="7">
        <f>COUNTIF($C$11:C495,C495)</f>
        <v>2</v>
      </c>
      <c r="U495" s="7" t="str">
        <f t="shared" si="81"/>
        <v>가나다2</v>
      </c>
      <c r="V495" s="7" t="str">
        <f>INDEX(환산공식!$C$16:$C$301,MATCH('배치점수 계산기'!W495,환산공식!$A$16:$A$301,0))</f>
        <v>숭실 자연1</v>
      </c>
      <c r="W495" s="7">
        <f t="shared" si="82"/>
        <v>56</v>
      </c>
      <c r="X495" s="7">
        <f t="shared" si="83"/>
        <v>1</v>
      </c>
      <c r="Y495" s="7">
        <f>IFERROR(INDEX(환산공식!Q$16:Q$200,MATCH($A495,환산공식!$A$16:$A$200,0)),"")</f>
        <v>1.3422818791946309</v>
      </c>
      <c r="Z495" s="7">
        <f>IFERROR(INDEX(환산공식!R$16:R$200,MATCH($A495,환산공식!$A$16:$A$200,0)),"")</f>
        <v>2.3809523809523809</v>
      </c>
      <c r="AA495" s="7">
        <f>IFERROR(INDEX(환산공식!U$16:U$200,MATCH($A495,환산공식!$A$16:$A$200,0)),"")</f>
        <v>1.7573457050470971</v>
      </c>
      <c r="AB495" s="7">
        <f t="shared" si="84"/>
        <v>0.2449160285442693</v>
      </c>
      <c r="AC495" s="7">
        <f t="shared" si="85"/>
        <v>0.43443438396543005</v>
      </c>
      <c r="AD495" s="7">
        <f t="shared" si="86"/>
        <v>0.32064958749030059</v>
      </c>
      <c r="AE495" s="7">
        <f>INDEX(환산공식!$AF$16:$AF$301,MATCH('배치점수 계산기'!W495,환산공식!$A$16:$A$301,0))</f>
        <v>12</v>
      </c>
      <c r="AF495" s="7">
        <f>INDEX(환산공식!$AP$16:$AP$301,MATCH('배치점수 계산기'!W495,환산공식!$A$16:$A$301,0))</f>
        <v>42</v>
      </c>
      <c r="AG495" s="7" t="str">
        <f t="shared" si="87"/>
        <v>표점/만점</v>
      </c>
      <c r="AH495" s="7" t="str">
        <f t="shared" si="88"/>
        <v>변표/만점</v>
      </c>
      <c r="BO495" s="210"/>
      <c r="BP495" s="210"/>
      <c r="BQ495" s="210"/>
      <c r="BR495" s="210"/>
      <c r="BS495" s="210"/>
      <c r="BT495" s="210"/>
      <c r="BU495" s="210"/>
      <c r="BV495" s="210"/>
      <c r="BW495" s="210"/>
      <c r="BX495" s="210"/>
      <c r="BY495" s="210"/>
      <c r="BZ495" s="210"/>
      <c r="CA495" s="210"/>
      <c r="CB495" s="210"/>
      <c r="CC495" s="210"/>
      <c r="EM495" s="120"/>
      <c r="ET495" s="210"/>
      <c r="EU495" s="210"/>
      <c r="EV495" s="210"/>
      <c r="EW495" s="210"/>
      <c r="EX495" s="210"/>
      <c r="EY495" s="210"/>
      <c r="EZ495" s="210"/>
      <c r="FA495" s="210"/>
      <c r="FB495" s="210"/>
      <c r="FC495" s="210"/>
      <c r="FD495" s="210"/>
      <c r="FE495" s="210"/>
      <c r="FF495" s="210"/>
      <c r="FG495" s="210"/>
      <c r="FH495" s="210"/>
      <c r="HR495" s="120"/>
      <c r="HY495" s="210"/>
      <c r="HZ495" s="210"/>
      <c r="IA495" s="210"/>
      <c r="IB495" s="210"/>
      <c r="IC495" s="210"/>
      <c r="ID495" s="210"/>
      <c r="IE495" s="210"/>
      <c r="IF495" s="210"/>
      <c r="IG495" s="210"/>
      <c r="IH495" s="210"/>
      <c r="II495" s="210"/>
      <c r="IJ495" s="210"/>
      <c r="IK495" s="210"/>
      <c r="IL495" s="210"/>
      <c r="IM495" s="210"/>
      <c r="KW495" s="120"/>
      <c r="LD495" s="210"/>
      <c r="LE495" s="210"/>
      <c r="LF495" s="210"/>
      <c r="LG495" s="210"/>
      <c r="LH495" s="210"/>
      <c r="LI495" s="210"/>
      <c r="LJ495" s="210"/>
      <c r="LK495" s="210"/>
      <c r="LL495" s="210"/>
      <c r="LM495" s="210"/>
      <c r="LN495" s="210"/>
      <c r="LO495" s="210"/>
      <c r="LP495" s="210"/>
      <c r="LQ495" s="210"/>
      <c r="LR495" s="210"/>
      <c r="OB495" s="120"/>
      <c r="OI495" s="210"/>
      <c r="OJ495" s="210"/>
      <c r="OK495" s="210"/>
      <c r="OL495" s="210"/>
      <c r="OM495" s="210"/>
      <c r="ON495" s="210"/>
      <c r="OO495" s="210"/>
      <c r="OP495" s="210"/>
      <c r="OQ495" s="210"/>
      <c r="OR495" s="210"/>
      <c r="OS495" s="210"/>
      <c r="OT495" s="210"/>
      <c r="OU495" s="210"/>
      <c r="OV495" s="210"/>
      <c r="OW495" s="210"/>
      <c r="RG495" s="120"/>
    </row>
    <row r="496" spans="1:475" x14ac:dyDescent="0.3">
      <c r="A496" s="7">
        <v>56</v>
      </c>
      <c r="B496" s="7">
        <v>486</v>
      </c>
      <c r="C496" s="7" t="s">
        <v>833</v>
      </c>
      <c r="D496" s="7" t="s">
        <v>834</v>
      </c>
      <c r="E496" s="7" t="s">
        <v>837</v>
      </c>
      <c r="F496" s="7" t="s">
        <v>274</v>
      </c>
      <c r="G496" s="41" t="str">
        <f t="shared" si="80"/>
        <v>X</v>
      </c>
      <c r="H496" s="41">
        <f>INDEX(환산공식!CI$16:CI$301,MATCH('배치점수 계산기'!$W496,환산공식!$A$16:$A$301,0))</f>
        <v>200</v>
      </c>
      <c r="I496" s="41" t="str">
        <f>CONCATENATE(ROUND(INDEX(환산공식!CJ$16:CJ$301,MATCH('배치점수 계산기'!$W496,환산공식!$A$16:$A$301,0)),1),"%")</f>
        <v>100%</v>
      </c>
      <c r="J496" s="41">
        <f>INDEX(환산공식!CK$16:CK$301,MATCH('배치점수 계산기'!$W496,환산공식!$A$16:$A$301,0))</f>
        <v>4</v>
      </c>
      <c r="K496" s="7">
        <f>INDEX(환산공식!$EF$16:$EF$301,MATCH('배치점수 계산기'!W496,환산공식!$A$16:$A$301,0))</f>
        <v>0</v>
      </c>
      <c r="L496" s="41" t="str">
        <f t="shared" si="78"/>
        <v>1% 이하</v>
      </c>
      <c r="M496" s="7">
        <v>854.94643659219173</v>
      </c>
      <c r="N496" s="7">
        <v>852.2884593157271</v>
      </c>
      <c r="O496" s="7">
        <v>850.22002796856441</v>
      </c>
      <c r="P496" s="7">
        <v>848.39162116188731</v>
      </c>
      <c r="Q496" s="7">
        <v>846.61001328599923</v>
      </c>
      <c r="R496" s="7">
        <f t="shared" si="79"/>
        <v>6</v>
      </c>
      <c r="T496" s="7">
        <f>COUNTIF($C$11:C496,C496)</f>
        <v>3</v>
      </c>
      <c r="U496" s="7" t="str">
        <f t="shared" si="81"/>
        <v>가나다3</v>
      </c>
      <c r="V496" s="7" t="str">
        <f>INDEX(환산공식!$C$16:$C$301,MATCH('배치점수 계산기'!W496,환산공식!$A$16:$A$301,0))</f>
        <v>숭실 자연1</v>
      </c>
      <c r="W496" s="7">
        <f t="shared" si="82"/>
        <v>56</v>
      </c>
      <c r="X496" s="7">
        <f t="shared" si="83"/>
        <v>1</v>
      </c>
      <c r="Y496" s="7">
        <f>IFERROR(INDEX(환산공식!Q$16:Q$200,MATCH($A496,환산공식!$A$16:$A$200,0)),"")</f>
        <v>1.3422818791946309</v>
      </c>
      <c r="Z496" s="7">
        <f>IFERROR(INDEX(환산공식!R$16:R$200,MATCH($A496,환산공식!$A$16:$A$200,0)),"")</f>
        <v>2.3809523809523809</v>
      </c>
      <c r="AA496" s="7">
        <f>IFERROR(INDEX(환산공식!U$16:U$200,MATCH($A496,환산공식!$A$16:$A$200,0)),"")</f>
        <v>1.7573457050470971</v>
      </c>
      <c r="AB496" s="7">
        <f t="shared" si="84"/>
        <v>0.2449160285442693</v>
      </c>
      <c r="AC496" s="7">
        <f t="shared" si="85"/>
        <v>0.43443438396543005</v>
      </c>
      <c r="AD496" s="7">
        <f t="shared" si="86"/>
        <v>0.32064958749030059</v>
      </c>
      <c r="AE496" s="7">
        <f>INDEX(환산공식!$AF$16:$AF$301,MATCH('배치점수 계산기'!W496,환산공식!$A$16:$A$301,0))</f>
        <v>12</v>
      </c>
      <c r="AF496" s="7">
        <f>INDEX(환산공식!$AP$16:$AP$301,MATCH('배치점수 계산기'!W496,환산공식!$A$16:$A$301,0))</f>
        <v>42</v>
      </c>
      <c r="AG496" s="7" t="str">
        <f t="shared" si="87"/>
        <v>표점/만점</v>
      </c>
      <c r="AH496" s="7" t="str">
        <f t="shared" si="88"/>
        <v>변표/만점</v>
      </c>
      <c r="BO496" s="210"/>
      <c r="BP496" s="210"/>
      <c r="BQ496" s="210"/>
      <c r="BR496" s="210"/>
      <c r="BS496" s="210"/>
      <c r="BT496" s="210"/>
      <c r="BU496" s="210"/>
      <c r="BV496" s="210"/>
      <c r="BW496" s="210"/>
      <c r="BX496" s="210"/>
      <c r="BY496" s="210"/>
      <c r="BZ496" s="210"/>
      <c r="CA496" s="210"/>
      <c r="CB496" s="210"/>
      <c r="CC496" s="210"/>
      <c r="EM496" s="120"/>
      <c r="ET496" s="210"/>
      <c r="EU496" s="210"/>
      <c r="EV496" s="210"/>
      <c r="EW496" s="210"/>
      <c r="EX496" s="210"/>
      <c r="EY496" s="210"/>
      <c r="EZ496" s="210"/>
      <c r="FA496" s="210"/>
      <c r="FB496" s="210"/>
      <c r="FC496" s="210"/>
      <c r="FD496" s="210"/>
      <c r="FE496" s="210"/>
      <c r="FF496" s="210"/>
      <c r="FG496" s="210"/>
      <c r="FH496" s="210"/>
      <c r="HR496" s="120"/>
      <c r="HY496" s="210"/>
      <c r="HZ496" s="210"/>
      <c r="IA496" s="210"/>
      <c r="IB496" s="210"/>
      <c r="IC496" s="210"/>
      <c r="ID496" s="210"/>
      <c r="IE496" s="210"/>
      <c r="IF496" s="210"/>
      <c r="IG496" s="210"/>
      <c r="IH496" s="210"/>
      <c r="II496" s="210"/>
      <c r="IJ496" s="210"/>
      <c r="IK496" s="210"/>
      <c r="IL496" s="210"/>
      <c r="IM496" s="210"/>
      <c r="KW496" s="120"/>
      <c r="LD496" s="210"/>
      <c r="LE496" s="210"/>
      <c r="LF496" s="210"/>
      <c r="LG496" s="210"/>
      <c r="LH496" s="210"/>
      <c r="LI496" s="210"/>
      <c r="LJ496" s="210"/>
      <c r="LK496" s="210"/>
      <c r="LL496" s="210"/>
      <c r="LM496" s="210"/>
      <c r="LN496" s="210"/>
      <c r="LO496" s="210"/>
      <c r="LP496" s="210"/>
      <c r="LQ496" s="210"/>
      <c r="LR496" s="210"/>
      <c r="OB496" s="120"/>
      <c r="OI496" s="210"/>
      <c r="OJ496" s="210"/>
      <c r="OK496" s="210"/>
      <c r="OL496" s="210"/>
      <c r="OM496" s="210"/>
      <c r="ON496" s="210"/>
      <c r="OO496" s="210"/>
      <c r="OP496" s="210"/>
      <c r="OQ496" s="210"/>
      <c r="OR496" s="210"/>
      <c r="OS496" s="210"/>
      <c r="OT496" s="210"/>
      <c r="OU496" s="210"/>
      <c r="OV496" s="210"/>
      <c r="OW496" s="210"/>
      <c r="RG496" s="120"/>
    </row>
    <row r="497" spans="1:475" x14ac:dyDescent="0.3">
      <c r="A497" s="7">
        <v>59</v>
      </c>
      <c r="B497" s="7">
        <v>487</v>
      </c>
      <c r="C497" s="7" t="s">
        <v>833</v>
      </c>
      <c r="D497" s="7" t="s">
        <v>834</v>
      </c>
      <c r="E497" s="7" t="s">
        <v>838</v>
      </c>
      <c r="F497" s="7" t="s">
        <v>275</v>
      </c>
      <c r="G497" s="41" t="str">
        <f t="shared" si="80"/>
        <v>X</v>
      </c>
      <c r="H497" s="41">
        <f>INDEX(환산공식!CI$16:CI$301,MATCH('배치점수 계산기'!$W497,환산공식!$A$16:$A$301,0))</f>
        <v>200</v>
      </c>
      <c r="I497" s="41" t="str">
        <f>CONCATENATE(ROUND(INDEX(환산공식!CJ$16:CJ$301,MATCH('배치점수 계산기'!$W497,환산공식!$A$16:$A$301,0)),1),"%")</f>
        <v>100%</v>
      </c>
      <c r="J497" s="41">
        <f>INDEX(환산공식!CK$16:CK$301,MATCH('배치점수 계산기'!$W497,환산공식!$A$16:$A$301,0))</f>
        <v>4</v>
      </c>
      <c r="K497" s="7">
        <f>INDEX(환산공식!$EF$16:$EF$301,MATCH('배치점수 계산기'!W497,환산공식!$A$16:$A$301,0))</f>
        <v>0</v>
      </c>
      <c r="L497" s="41" t="str">
        <f t="shared" si="78"/>
        <v>1% 이하</v>
      </c>
      <c r="M497" s="7">
        <v>862.35086496956239</v>
      </c>
      <c r="N497" s="7">
        <v>859.61476591087433</v>
      </c>
      <c r="O497" s="7">
        <v>856.8517752690351</v>
      </c>
      <c r="P497" s="7">
        <v>853.63305237808538</v>
      </c>
      <c r="Q497" s="7">
        <v>851.53061165657709</v>
      </c>
      <c r="R497" s="7">
        <f t="shared" si="79"/>
        <v>6</v>
      </c>
      <c r="T497" s="7">
        <f>COUNTIF($C$11:C497,C497)</f>
        <v>4</v>
      </c>
      <c r="U497" s="7" t="str">
        <f t="shared" si="81"/>
        <v>가나다4</v>
      </c>
      <c r="V497" s="7" t="str">
        <f>INDEX(환산공식!$C$16:$C$301,MATCH('배치점수 계산기'!W497,환산공식!$A$16:$A$301,0))</f>
        <v>숭실 경상</v>
      </c>
      <c r="W497" s="7">
        <f t="shared" si="82"/>
        <v>59</v>
      </c>
      <c r="X497" s="7">
        <f t="shared" si="83"/>
        <v>1</v>
      </c>
      <c r="Y497" s="7">
        <f>IFERROR(INDEX(환산공식!Q$16:Q$200,MATCH($A497,환산공식!$A$16:$A$200,0)),"")</f>
        <v>1.6778523489932886</v>
      </c>
      <c r="Z497" s="7">
        <f>IFERROR(INDEX(환산공식!R$16:R$200,MATCH($A497,환산공식!$A$16:$A$200,0)),"")</f>
        <v>2.3809523809523809</v>
      </c>
      <c r="AA497" s="7">
        <f>IFERROR(INDEX(환산공식!U$16:U$200,MATCH($A497,환산공식!$A$16:$A$200,0)),"")</f>
        <v>1.5151515151515151</v>
      </c>
      <c r="AB497" s="7">
        <f t="shared" si="84"/>
        <v>0.30101641907740423</v>
      </c>
      <c r="AC497" s="7">
        <f t="shared" si="85"/>
        <v>0.42715663278603078</v>
      </c>
      <c r="AD497" s="7">
        <f t="shared" si="86"/>
        <v>0.27182694813656505</v>
      </c>
      <c r="AE497" s="7">
        <f>INDEX(환산공식!$AF$16:$AF$301,MATCH('배치점수 계산기'!W497,환산공식!$A$16:$A$301,0))</f>
        <v>12</v>
      </c>
      <c r="AF497" s="7">
        <f>INDEX(환산공식!$AP$16:$AP$301,MATCH('배치점수 계산기'!W497,환산공식!$A$16:$A$301,0))</f>
        <v>42</v>
      </c>
      <c r="AG497" s="7" t="str">
        <f t="shared" si="87"/>
        <v>표점/만점</v>
      </c>
      <c r="AH497" s="7" t="str">
        <f t="shared" si="88"/>
        <v>변표/만점</v>
      </c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0"/>
      <c r="CA497" s="210"/>
      <c r="CB497" s="210"/>
      <c r="CC497" s="210"/>
      <c r="EM497" s="120"/>
      <c r="ET497" s="210"/>
      <c r="EU497" s="210"/>
      <c r="EV497" s="210"/>
      <c r="EW497" s="210"/>
      <c r="EX497" s="210"/>
      <c r="EY497" s="210"/>
      <c r="EZ497" s="210"/>
      <c r="FA497" s="210"/>
      <c r="FB497" s="210"/>
      <c r="FC497" s="210"/>
      <c r="FD497" s="210"/>
      <c r="FE497" s="210"/>
      <c r="FF497" s="210"/>
      <c r="FG497" s="210"/>
      <c r="FH497" s="210"/>
      <c r="HR497" s="120"/>
      <c r="HY497" s="210"/>
      <c r="HZ497" s="210"/>
      <c r="IA497" s="210"/>
      <c r="IB497" s="210"/>
      <c r="IC497" s="210"/>
      <c r="ID497" s="210"/>
      <c r="IE497" s="210"/>
      <c r="IF497" s="210"/>
      <c r="IG497" s="210"/>
      <c r="IH497" s="210"/>
      <c r="II497" s="210"/>
      <c r="IJ497" s="210"/>
      <c r="IK497" s="210"/>
      <c r="IL497" s="210"/>
      <c r="IM497" s="210"/>
      <c r="KW497" s="120"/>
      <c r="LD497" s="210"/>
      <c r="LE497" s="210"/>
      <c r="LF497" s="210"/>
      <c r="LG497" s="210"/>
      <c r="LH497" s="210"/>
      <c r="LI497" s="210"/>
      <c r="LJ497" s="210"/>
      <c r="LK497" s="210"/>
      <c r="LL497" s="210"/>
      <c r="LM497" s="210"/>
      <c r="LN497" s="210"/>
      <c r="LO497" s="210"/>
      <c r="LP497" s="210"/>
      <c r="LQ497" s="210"/>
      <c r="LR497" s="210"/>
      <c r="OB497" s="120"/>
      <c r="OI497" s="210"/>
      <c r="OJ497" s="210"/>
      <c r="OK497" s="210"/>
      <c r="OL497" s="210"/>
      <c r="OM497" s="210"/>
      <c r="ON497" s="210"/>
      <c r="OO497" s="210"/>
      <c r="OP497" s="210"/>
      <c r="OQ497" s="210"/>
      <c r="OR497" s="210"/>
      <c r="OS497" s="210"/>
      <c r="OT497" s="210"/>
      <c r="OU497" s="210"/>
      <c r="OV497" s="210"/>
      <c r="OW497" s="210"/>
      <c r="RG497" s="120"/>
    </row>
    <row r="498" spans="1:475" x14ac:dyDescent="0.3">
      <c r="A498" s="7">
        <v>58</v>
      </c>
      <c r="B498" s="7">
        <v>488</v>
      </c>
      <c r="C498" s="7" t="s">
        <v>833</v>
      </c>
      <c r="D498" s="7" t="s">
        <v>834</v>
      </c>
      <c r="E498" s="7" t="s">
        <v>839</v>
      </c>
      <c r="F498" s="7" t="s">
        <v>275</v>
      </c>
      <c r="G498" s="41" t="str">
        <f t="shared" si="80"/>
        <v>X</v>
      </c>
      <c r="H498" s="41">
        <f>INDEX(환산공식!CI$16:CI$301,MATCH('배치점수 계산기'!$W498,환산공식!$A$16:$A$301,0))</f>
        <v>200</v>
      </c>
      <c r="I498" s="41" t="str">
        <f>CONCATENATE(ROUND(INDEX(환산공식!CJ$16:CJ$301,MATCH('배치점수 계산기'!$W498,환산공식!$A$16:$A$301,0)),1),"%")</f>
        <v>100%</v>
      </c>
      <c r="J498" s="41">
        <f>INDEX(환산공식!CK$16:CK$301,MATCH('배치점수 계산기'!$W498,환산공식!$A$16:$A$301,0))</f>
        <v>4</v>
      </c>
      <c r="K498" s="7">
        <f>INDEX(환산공식!$EF$16:$EF$301,MATCH('배치점수 계산기'!W498,환산공식!$A$16:$A$301,0))</f>
        <v>0</v>
      </c>
      <c r="L498" s="41" t="str">
        <f t="shared" si="78"/>
        <v>1% 이하</v>
      </c>
      <c r="M498" s="7">
        <v>856.58730978623407</v>
      </c>
      <c r="N498" s="7">
        <v>855.42727272727279</v>
      </c>
      <c r="O498" s="7">
        <v>853.39926696068164</v>
      </c>
      <c r="P498" s="7">
        <v>852.03202889825411</v>
      </c>
      <c r="Q498" s="7">
        <v>850.52151314469211</v>
      </c>
      <c r="R498" s="7">
        <f t="shared" si="79"/>
        <v>6</v>
      </c>
      <c r="T498" s="7">
        <f>COUNTIF($C$11:C498,C498)</f>
        <v>5</v>
      </c>
      <c r="U498" s="7" t="str">
        <f t="shared" si="81"/>
        <v>가나다5</v>
      </c>
      <c r="V498" s="7" t="str">
        <f>INDEX(환산공식!$C$16:$C$301,MATCH('배치점수 계산기'!W498,환산공식!$A$16:$A$301,0))</f>
        <v>숭실 통합</v>
      </c>
      <c r="W498" s="7">
        <f t="shared" si="82"/>
        <v>58</v>
      </c>
      <c r="X498" s="7">
        <f t="shared" si="83"/>
        <v>1</v>
      </c>
      <c r="Y498" s="7">
        <f>IFERROR(INDEX(환산공식!Q$16:Q$200,MATCH($A498,환산공식!$A$16:$A$200,0)),"")</f>
        <v>2.348993288590604</v>
      </c>
      <c r="Z498" s="7">
        <f>IFERROR(INDEX(환산공식!R$16:R$200,MATCH($A498,환산공식!$A$16:$A$200,0)),"")</f>
        <v>1.7006802721088434</v>
      </c>
      <c r="AA498" s="7">
        <f>IFERROR(INDEX(환산공식!U$16:U$200,MATCH($A498,환산공식!$A$16:$A$200,0)),"")</f>
        <v>1.5151515151515151</v>
      </c>
      <c r="AB498" s="7">
        <f t="shared" si="84"/>
        <v>0.42211448815961222</v>
      </c>
      <c r="AC498" s="7">
        <f t="shared" si="85"/>
        <v>0.30561253030020513</v>
      </c>
      <c r="AD498" s="7">
        <f t="shared" si="86"/>
        <v>0.27227298154018276</v>
      </c>
      <c r="AE498" s="7">
        <f>INDEX(환산공식!$AF$16:$AF$301,MATCH('배치점수 계산기'!W498,환산공식!$A$16:$A$301,0))</f>
        <v>12</v>
      </c>
      <c r="AF498" s="7">
        <f>INDEX(환산공식!$AP$16:$AP$301,MATCH('배치점수 계산기'!W498,환산공식!$A$16:$A$301,0))</f>
        <v>42</v>
      </c>
      <c r="AG498" s="7" t="str">
        <f t="shared" si="87"/>
        <v>표점/만점</v>
      </c>
      <c r="AH498" s="7" t="str">
        <f t="shared" si="88"/>
        <v>변표/만점</v>
      </c>
      <c r="BO498" s="210"/>
      <c r="BP498" s="210"/>
      <c r="BQ498" s="210"/>
      <c r="BR498" s="210"/>
      <c r="BS498" s="210"/>
      <c r="BT498" s="210"/>
      <c r="BU498" s="210"/>
      <c r="BV498" s="210"/>
      <c r="BW498" s="210"/>
      <c r="BX498" s="210"/>
      <c r="BY498" s="210"/>
      <c r="BZ498" s="210"/>
      <c r="CA498" s="210"/>
      <c r="CB498" s="210"/>
      <c r="CC498" s="210"/>
      <c r="EM498" s="120"/>
      <c r="ET498" s="210"/>
      <c r="EU498" s="210"/>
      <c r="EV498" s="210"/>
      <c r="EW498" s="210"/>
      <c r="EX498" s="210"/>
      <c r="EY498" s="210"/>
      <c r="EZ498" s="210"/>
      <c r="FA498" s="210"/>
      <c r="FB498" s="210"/>
      <c r="FC498" s="210"/>
      <c r="FD498" s="210"/>
      <c r="FE498" s="210"/>
      <c r="FF498" s="210"/>
      <c r="FG498" s="210"/>
      <c r="FH498" s="210"/>
      <c r="HR498" s="120"/>
      <c r="HY498" s="210"/>
      <c r="HZ498" s="210"/>
      <c r="IA498" s="210"/>
      <c r="IB498" s="210"/>
      <c r="IC498" s="210"/>
      <c r="ID498" s="210"/>
      <c r="IE498" s="210"/>
      <c r="IF498" s="210"/>
      <c r="IG498" s="210"/>
      <c r="IH498" s="210"/>
      <c r="II498" s="210"/>
      <c r="IJ498" s="210"/>
      <c r="IK498" s="210"/>
      <c r="IL498" s="210"/>
      <c r="IM498" s="210"/>
      <c r="KW498" s="120"/>
      <c r="LD498" s="210"/>
      <c r="LE498" s="210"/>
      <c r="LF498" s="210"/>
      <c r="LG498" s="210"/>
      <c r="LH498" s="210"/>
      <c r="LI498" s="210"/>
      <c r="LJ498" s="210"/>
      <c r="LK498" s="210"/>
      <c r="LL498" s="210"/>
      <c r="LM498" s="210"/>
      <c r="LN498" s="210"/>
      <c r="LO498" s="210"/>
      <c r="LP498" s="210"/>
      <c r="LQ498" s="210"/>
      <c r="LR498" s="210"/>
      <c r="OB498" s="120"/>
      <c r="OI498" s="210"/>
      <c r="OJ498" s="210"/>
      <c r="OK498" s="210"/>
      <c r="OL498" s="210"/>
      <c r="OM498" s="210"/>
      <c r="ON498" s="210"/>
      <c r="OO498" s="210"/>
      <c r="OP498" s="210"/>
      <c r="OQ498" s="210"/>
      <c r="OR498" s="210"/>
      <c r="OS498" s="210"/>
      <c r="OT498" s="210"/>
      <c r="OU498" s="210"/>
      <c r="OV498" s="210"/>
      <c r="OW498" s="210"/>
      <c r="RG498" s="120"/>
    </row>
    <row r="499" spans="1:475" x14ac:dyDescent="0.3">
      <c r="A499" s="7">
        <v>58</v>
      </c>
      <c r="B499" s="7">
        <v>489</v>
      </c>
      <c r="C499" s="7" t="s">
        <v>833</v>
      </c>
      <c r="D499" s="7" t="s">
        <v>834</v>
      </c>
      <c r="E499" s="7" t="s">
        <v>840</v>
      </c>
      <c r="F499" s="7" t="s">
        <v>275</v>
      </c>
      <c r="G499" s="41" t="str">
        <f t="shared" si="80"/>
        <v>X</v>
      </c>
      <c r="H499" s="41">
        <f>INDEX(환산공식!CI$16:CI$301,MATCH('배치점수 계산기'!$W499,환산공식!$A$16:$A$301,0))</f>
        <v>200</v>
      </c>
      <c r="I499" s="41" t="str">
        <f>CONCATENATE(ROUND(INDEX(환산공식!CJ$16:CJ$301,MATCH('배치점수 계산기'!$W499,환산공식!$A$16:$A$301,0)),1),"%")</f>
        <v>100%</v>
      </c>
      <c r="J499" s="41">
        <f>INDEX(환산공식!CK$16:CK$301,MATCH('배치점수 계산기'!$W499,환산공식!$A$16:$A$301,0))</f>
        <v>4</v>
      </c>
      <c r="K499" s="7">
        <f>INDEX(환산공식!$EF$16:$EF$301,MATCH('배치점수 계산기'!W499,환산공식!$A$16:$A$301,0))</f>
        <v>0</v>
      </c>
      <c r="L499" s="41" t="str">
        <f t="shared" si="78"/>
        <v>1% 이하</v>
      </c>
      <c r="M499" s="7">
        <v>852.03202889825411</v>
      </c>
      <c r="N499" s="7">
        <v>851.08663455749547</v>
      </c>
      <c r="O499" s="7">
        <v>849.86022864198071</v>
      </c>
      <c r="P499" s="7">
        <v>849.09887617900858</v>
      </c>
      <c r="Q499" s="7">
        <v>847.18990567930973</v>
      </c>
      <c r="R499" s="7">
        <f t="shared" si="79"/>
        <v>6</v>
      </c>
      <c r="T499" s="7">
        <f>COUNTIF($C$11:C499,C499)</f>
        <v>6</v>
      </c>
      <c r="U499" s="7" t="str">
        <f t="shared" si="81"/>
        <v>가나다6</v>
      </c>
      <c r="V499" s="7" t="str">
        <f>INDEX(환산공식!$C$16:$C$301,MATCH('배치점수 계산기'!W499,환산공식!$A$16:$A$301,0))</f>
        <v>숭실 통합</v>
      </c>
      <c r="W499" s="7">
        <f t="shared" si="82"/>
        <v>58</v>
      </c>
      <c r="X499" s="7">
        <f t="shared" si="83"/>
        <v>1</v>
      </c>
      <c r="Y499" s="7">
        <f>IFERROR(INDEX(환산공식!Q$16:Q$200,MATCH($A499,환산공식!$A$16:$A$200,0)),"")</f>
        <v>2.348993288590604</v>
      </c>
      <c r="Z499" s="7">
        <f>IFERROR(INDEX(환산공식!R$16:R$200,MATCH($A499,환산공식!$A$16:$A$200,0)),"")</f>
        <v>1.7006802721088434</v>
      </c>
      <c r="AA499" s="7">
        <f>IFERROR(INDEX(환산공식!U$16:U$200,MATCH($A499,환산공식!$A$16:$A$200,0)),"")</f>
        <v>1.5151515151515151</v>
      </c>
      <c r="AB499" s="7">
        <f t="shared" si="84"/>
        <v>0.42211448815961222</v>
      </c>
      <c r="AC499" s="7">
        <f t="shared" si="85"/>
        <v>0.30561253030020513</v>
      </c>
      <c r="AD499" s="7">
        <f t="shared" si="86"/>
        <v>0.27227298154018276</v>
      </c>
      <c r="AE499" s="7">
        <f>INDEX(환산공식!$AF$16:$AF$301,MATCH('배치점수 계산기'!W499,환산공식!$A$16:$A$301,0))</f>
        <v>12</v>
      </c>
      <c r="AF499" s="7">
        <f>INDEX(환산공식!$AP$16:$AP$301,MATCH('배치점수 계산기'!W499,환산공식!$A$16:$A$301,0))</f>
        <v>42</v>
      </c>
      <c r="AG499" s="7" t="str">
        <f t="shared" si="87"/>
        <v>표점/만점</v>
      </c>
      <c r="AH499" s="7" t="str">
        <f t="shared" si="88"/>
        <v>변표/만점</v>
      </c>
      <c r="BO499" s="210"/>
      <c r="BP499" s="210"/>
      <c r="BQ499" s="210"/>
      <c r="BR499" s="210"/>
      <c r="BS499" s="210"/>
      <c r="BT499" s="210"/>
      <c r="BU499" s="210"/>
      <c r="BV499" s="210"/>
      <c r="BW499" s="210"/>
      <c r="BX499" s="210"/>
      <c r="BY499" s="210"/>
      <c r="BZ499" s="210"/>
      <c r="CA499" s="210"/>
      <c r="CB499" s="210"/>
      <c r="CC499" s="210"/>
      <c r="EM499" s="120"/>
      <c r="ET499" s="210"/>
      <c r="EU499" s="210"/>
      <c r="EV499" s="210"/>
      <c r="EW499" s="210"/>
      <c r="EX499" s="210"/>
      <c r="EY499" s="210"/>
      <c r="EZ499" s="210"/>
      <c r="FA499" s="210"/>
      <c r="FB499" s="210"/>
      <c r="FC499" s="210"/>
      <c r="FD499" s="210"/>
      <c r="FE499" s="210"/>
      <c r="FF499" s="210"/>
      <c r="FG499" s="210"/>
      <c r="FH499" s="210"/>
      <c r="HR499" s="120"/>
      <c r="HY499" s="210"/>
      <c r="HZ499" s="210"/>
      <c r="IA499" s="210"/>
      <c r="IB499" s="210"/>
      <c r="IC499" s="210"/>
      <c r="ID499" s="210"/>
      <c r="IE499" s="210"/>
      <c r="IF499" s="210"/>
      <c r="IG499" s="210"/>
      <c r="IH499" s="210"/>
      <c r="II499" s="210"/>
      <c r="IJ499" s="210"/>
      <c r="IK499" s="210"/>
      <c r="IL499" s="210"/>
      <c r="IM499" s="210"/>
      <c r="KW499" s="120"/>
      <c r="LD499" s="210"/>
      <c r="LE499" s="210"/>
      <c r="LF499" s="210"/>
      <c r="LG499" s="210"/>
      <c r="LH499" s="210"/>
      <c r="LI499" s="210"/>
      <c r="LJ499" s="210"/>
      <c r="LK499" s="210"/>
      <c r="LL499" s="210"/>
      <c r="LM499" s="210"/>
      <c r="LN499" s="210"/>
      <c r="LO499" s="210"/>
      <c r="LP499" s="210"/>
      <c r="LQ499" s="210"/>
      <c r="LR499" s="210"/>
      <c r="OB499" s="120"/>
      <c r="OI499" s="210"/>
      <c r="OJ499" s="210"/>
      <c r="OK499" s="210"/>
      <c r="OL499" s="210"/>
      <c r="OM499" s="210"/>
      <c r="ON499" s="210"/>
      <c r="OO499" s="210"/>
      <c r="OP499" s="210"/>
      <c r="OQ499" s="210"/>
      <c r="OR499" s="210"/>
      <c r="OS499" s="210"/>
      <c r="OT499" s="210"/>
      <c r="OU499" s="210"/>
      <c r="OV499" s="210"/>
      <c r="OW499" s="210"/>
      <c r="RG499" s="120"/>
    </row>
    <row r="500" spans="1:475" x14ac:dyDescent="0.3">
      <c r="A500" s="7">
        <v>55</v>
      </c>
      <c r="B500" s="7">
        <v>490</v>
      </c>
      <c r="C500" s="7" t="s">
        <v>833</v>
      </c>
      <c r="D500" s="7" t="s">
        <v>841</v>
      </c>
      <c r="E500" s="7" t="s">
        <v>842</v>
      </c>
      <c r="F500" s="7" t="s">
        <v>275</v>
      </c>
      <c r="G500" s="41" t="str">
        <f t="shared" si="80"/>
        <v>X</v>
      </c>
      <c r="H500" s="41">
        <f>INDEX(환산공식!CI$16:CI$301,MATCH('배치점수 계산기'!$W500,환산공식!$A$16:$A$301,0))</f>
        <v>200</v>
      </c>
      <c r="I500" s="41" t="str">
        <f>CONCATENATE(ROUND(INDEX(환산공식!CJ$16:CJ$301,MATCH('배치점수 계산기'!$W500,환산공식!$A$16:$A$301,0)),1),"%")</f>
        <v>100%</v>
      </c>
      <c r="J500" s="41">
        <f>INDEX(환산공식!CK$16:CK$301,MATCH('배치점수 계산기'!$W500,환산공식!$A$16:$A$301,0))</f>
        <v>0</v>
      </c>
      <c r="K500" s="7">
        <f>INDEX(환산공식!$EF$16:$EF$301,MATCH('배치점수 계산기'!W500,환산공식!$A$16:$A$301,0))</f>
        <v>0</v>
      </c>
      <c r="L500" s="41" t="str">
        <f t="shared" si="78"/>
        <v>1% 이하</v>
      </c>
      <c r="M500" s="7">
        <v>863.5</v>
      </c>
      <c r="N500" s="7">
        <v>856.60000000000014</v>
      </c>
      <c r="O500" s="7">
        <v>853.3</v>
      </c>
      <c r="P500" s="7">
        <v>850.4</v>
      </c>
      <c r="Q500" s="7">
        <v>846.5</v>
      </c>
      <c r="R500" s="7">
        <f t="shared" si="79"/>
        <v>6</v>
      </c>
      <c r="T500" s="7">
        <f>COUNTIF($C$11:C500,C500)</f>
        <v>7</v>
      </c>
      <c r="U500" s="7" t="str">
        <f t="shared" si="81"/>
        <v>가나다7</v>
      </c>
      <c r="V500" s="7" t="str">
        <f>INDEX(환산공식!$C$16:$C$301,MATCH('배치점수 계산기'!W500,환산공식!$A$16:$A$301,0))</f>
        <v>국민 통합</v>
      </c>
      <c r="W500" s="7">
        <f t="shared" si="82"/>
        <v>55</v>
      </c>
      <c r="X500" s="7">
        <f t="shared" si="83"/>
        <v>1</v>
      </c>
      <c r="Y500" s="7">
        <f>IFERROR(INDEX(환산공식!Q$16:Q$200,MATCH($A500,환산공식!$A$16:$A$200,0)),"")</f>
        <v>3</v>
      </c>
      <c r="Z500" s="7">
        <f>IFERROR(INDEX(환산공식!R$16:R$200,MATCH($A500,환산공식!$A$16:$A$200,0)),"")</f>
        <v>2</v>
      </c>
      <c r="AA500" s="7">
        <f>IFERROR(INDEX(환산공식!U$16:U$200,MATCH($A500,환산공식!$A$16:$A$200,0)),"")</f>
        <v>3</v>
      </c>
      <c r="AB500" s="7">
        <f t="shared" si="84"/>
        <v>0.375</v>
      </c>
      <c r="AC500" s="7">
        <f t="shared" si="85"/>
        <v>0.25</v>
      </c>
      <c r="AD500" s="7">
        <f t="shared" si="86"/>
        <v>0.375</v>
      </c>
      <c r="AE500" s="7">
        <f>INDEX(환산공식!$AF$16:$AF$301,MATCH('배치점수 계산기'!W500,환산공식!$A$16:$A$301,0))</f>
        <v>2</v>
      </c>
      <c r="AF500" s="7">
        <f>INDEX(환산공식!$AP$16:$AP$301,MATCH('배치점수 계산기'!W500,환산공식!$A$16:$A$301,0))</f>
        <v>2</v>
      </c>
      <c r="AG500" s="7" t="str">
        <f t="shared" si="87"/>
        <v>백분위</v>
      </c>
      <c r="AH500" s="7" t="str">
        <f t="shared" si="88"/>
        <v>백분위</v>
      </c>
      <c r="BO500" s="210"/>
      <c r="BP500" s="210"/>
      <c r="BQ500" s="210"/>
      <c r="BR500" s="210"/>
      <c r="BS500" s="210"/>
      <c r="BT500" s="210"/>
      <c r="BU500" s="210"/>
      <c r="BV500" s="210"/>
      <c r="BW500" s="210"/>
      <c r="BX500" s="210"/>
      <c r="BY500" s="210"/>
      <c r="BZ500" s="210"/>
      <c r="CA500" s="210"/>
      <c r="CB500" s="210"/>
      <c r="CC500" s="210"/>
      <c r="EM500" s="120"/>
      <c r="ET500" s="210"/>
      <c r="EU500" s="210"/>
      <c r="EV500" s="210"/>
      <c r="EW500" s="210"/>
      <c r="EX500" s="210"/>
      <c r="EY500" s="210"/>
      <c r="EZ500" s="210"/>
      <c r="FA500" s="210"/>
      <c r="FB500" s="210"/>
      <c r="FC500" s="210"/>
      <c r="FD500" s="210"/>
      <c r="FE500" s="210"/>
      <c r="FF500" s="210"/>
      <c r="FG500" s="210"/>
      <c r="FH500" s="210"/>
      <c r="HR500" s="120"/>
      <c r="HY500" s="210"/>
      <c r="HZ500" s="210"/>
      <c r="IA500" s="210"/>
      <c r="IB500" s="210"/>
      <c r="IC500" s="210"/>
      <c r="ID500" s="210"/>
      <c r="IE500" s="210"/>
      <c r="IF500" s="210"/>
      <c r="IG500" s="210"/>
      <c r="IH500" s="210"/>
      <c r="II500" s="210"/>
      <c r="IJ500" s="210"/>
      <c r="IK500" s="210"/>
      <c r="IL500" s="210"/>
      <c r="IM500" s="210"/>
      <c r="KW500" s="120"/>
      <c r="LD500" s="210"/>
      <c r="LE500" s="210"/>
      <c r="LF500" s="210"/>
      <c r="LG500" s="210"/>
      <c r="LH500" s="210"/>
      <c r="LI500" s="210"/>
      <c r="LJ500" s="210"/>
      <c r="LK500" s="210"/>
      <c r="LL500" s="210"/>
      <c r="LM500" s="210"/>
      <c r="LN500" s="210"/>
      <c r="LO500" s="210"/>
      <c r="LP500" s="210"/>
      <c r="LQ500" s="210"/>
      <c r="LR500" s="210"/>
      <c r="OB500" s="120"/>
      <c r="OI500" s="210"/>
      <c r="OJ500" s="210"/>
      <c r="OK500" s="210"/>
      <c r="OL500" s="210"/>
      <c r="OM500" s="210"/>
      <c r="ON500" s="210"/>
      <c r="OO500" s="210"/>
      <c r="OP500" s="210"/>
      <c r="OQ500" s="210"/>
      <c r="OR500" s="210"/>
      <c r="OS500" s="210"/>
      <c r="OT500" s="210"/>
      <c r="OU500" s="210"/>
      <c r="OV500" s="210"/>
      <c r="OW500" s="210"/>
      <c r="RG500" s="120"/>
    </row>
    <row r="501" spans="1:475" x14ac:dyDescent="0.3">
      <c r="A501" s="7">
        <v>55</v>
      </c>
      <c r="B501" s="7">
        <v>491</v>
      </c>
      <c r="C501" s="7" t="s">
        <v>833</v>
      </c>
      <c r="D501" s="7" t="s">
        <v>841</v>
      </c>
      <c r="E501" s="7" t="s">
        <v>839</v>
      </c>
      <c r="F501" s="7" t="s">
        <v>275</v>
      </c>
      <c r="G501" s="41" t="str">
        <f t="shared" si="80"/>
        <v>X</v>
      </c>
      <c r="H501" s="41">
        <f>INDEX(환산공식!CI$16:CI$301,MATCH('배치점수 계산기'!$W501,환산공식!$A$16:$A$301,0))</f>
        <v>200</v>
      </c>
      <c r="I501" s="41" t="str">
        <f>CONCATENATE(ROUND(INDEX(환산공식!CJ$16:CJ$301,MATCH('배치점수 계산기'!$W501,환산공식!$A$16:$A$301,0)),1),"%")</f>
        <v>100%</v>
      </c>
      <c r="J501" s="41">
        <f>INDEX(환산공식!CK$16:CK$301,MATCH('배치점수 계산기'!$W501,환산공식!$A$16:$A$301,0))</f>
        <v>0</v>
      </c>
      <c r="K501" s="7">
        <f>INDEX(환산공식!$EF$16:$EF$301,MATCH('배치점수 계산기'!W501,환산공식!$A$16:$A$301,0))</f>
        <v>0</v>
      </c>
      <c r="L501" s="41" t="str">
        <f t="shared" si="78"/>
        <v>1% 이하</v>
      </c>
      <c r="M501" s="7">
        <v>853.80000000000007</v>
      </c>
      <c r="N501" s="7">
        <v>852.69999999999993</v>
      </c>
      <c r="O501" s="7">
        <v>845.9</v>
      </c>
      <c r="P501" s="7">
        <v>838.5</v>
      </c>
      <c r="Q501" s="7">
        <v>832.9</v>
      </c>
      <c r="R501" s="7">
        <f t="shared" si="79"/>
        <v>6</v>
      </c>
      <c r="T501" s="7">
        <f>COUNTIF($C$11:C501,C501)</f>
        <v>8</v>
      </c>
      <c r="U501" s="7" t="str">
        <f t="shared" si="81"/>
        <v>가나다8</v>
      </c>
      <c r="V501" s="7" t="str">
        <f>INDEX(환산공식!$C$16:$C$301,MATCH('배치점수 계산기'!W501,환산공식!$A$16:$A$301,0))</f>
        <v>국민 통합</v>
      </c>
      <c r="W501" s="7">
        <f t="shared" si="82"/>
        <v>55</v>
      </c>
      <c r="X501" s="7">
        <f t="shared" si="83"/>
        <v>1</v>
      </c>
      <c r="Y501" s="7">
        <f>IFERROR(INDEX(환산공식!Q$16:Q$200,MATCH($A501,환산공식!$A$16:$A$200,0)),"")</f>
        <v>3</v>
      </c>
      <c r="Z501" s="7">
        <f>IFERROR(INDEX(환산공식!R$16:R$200,MATCH($A501,환산공식!$A$16:$A$200,0)),"")</f>
        <v>2</v>
      </c>
      <c r="AA501" s="7">
        <f>IFERROR(INDEX(환산공식!U$16:U$200,MATCH($A501,환산공식!$A$16:$A$200,0)),"")</f>
        <v>3</v>
      </c>
      <c r="AB501" s="7">
        <f t="shared" si="84"/>
        <v>0.375</v>
      </c>
      <c r="AC501" s="7">
        <f t="shared" si="85"/>
        <v>0.25</v>
      </c>
      <c r="AD501" s="7">
        <f t="shared" si="86"/>
        <v>0.375</v>
      </c>
      <c r="AE501" s="7">
        <f>INDEX(환산공식!$AF$16:$AF$301,MATCH('배치점수 계산기'!W501,환산공식!$A$16:$A$301,0))</f>
        <v>2</v>
      </c>
      <c r="AF501" s="7">
        <f>INDEX(환산공식!$AP$16:$AP$301,MATCH('배치점수 계산기'!W501,환산공식!$A$16:$A$301,0))</f>
        <v>2</v>
      </c>
      <c r="AG501" s="7" t="str">
        <f t="shared" si="87"/>
        <v>백분위</v>
      </c>
      <c r="AH501" s="7" t="str">
        <f t="shared" si="88"/>
        <v>백분위</v>
      </c>
      <c r="BO501" s="210"/>
      <c r="BP501" s="210"/>
      <c r="BQ501" s="210"/>
      <c r="BR501" s="210"/>
      <c r="BS501" s="210"/>
      <c r="BT501" s="210"/>
      <c r="BU501" s="210"/>
      <c r="BV501" s="210"/>
      <c r="BW501" s="210"/>
      <c r="BX501" s="210"/>
      <c r="BY501" s="210"/>
      <c r="BZ501" s="210"/>
      <c r="CA501" s="210"/>
      <c r="CB501" s="210"/>
      <c r="CC501" s="210"/>
      <c r="EM501" s="120"/>
      <c r="ET501" s="210"/>
      <c r="EU501" s="210"/>
      <c r="EV501" s="210"/>
      <c r="EW501" s="210"/>
      <c r="EX501" s="210"/>
      <c r="EY501" s="210"/>
      <c r="EZ501" s="210"/>
      <c r="FA501" s="210"/>
      <c r="FB501" s="210"/>
      <c r="FC501" s="210"/>
      <c r="FD501" s="210"/>
      <c r="FE501" s="210"/>
      <c r="FF501" s="210"/>
      <c r="FG501" s="210"/>
      <c r="FH501" s="210"/>
      <c r="HR501" s="120"/>
      <c r="HY501" s="210"/>
      <c r="HZ501" s="210"/>
      <c r="IA501" s="210"/>
      <c r="IB501" s="210"/>
      <c r="IC501" s="210"/>
      <c r="ID501" s="210"/>
      <c r="IE501" s="210"/>
      <c r="IF501" s="210"/>
      <c r="IG501" s="210"/>
      <c r="IH501" s="210"/>
      <c r="II501" s="210"/>
      <c r="IJ501" s="210"/>
      <c r="IK501" s="210"/>
      <c r="IL501" s="210"/>
      <c r="IM501" s="210"/>
      <c r="KW501" s="120"/>
      <c r="LD501" s="210"/>
      <c r="LE501" s="210"/>
      <c r="LF501" s="210"/>
      <c r="LG501" s="210"/>
      <c r="LH501" s="210"/>
      <c r="LI501" s="210"/>
      <c r="LJ501" s="210"/>
      <c r="LK501" s="210"/>
      <c r="LL501" s="210"/>
      <c r="LM501" s="210"/>
      <c r="LN501" s="210"/>
      <c r="LO501" s="210"/>
      <c r="LP501" s="210"/>
      <c r="LQ501" s="210"/>
      <c r="LR501" s="210"/>
      <c r="OB501" s="120"/>
      <c r="OI501" s="210"/>
      <c r="OJ501" s="210"/>
      <c r="OK501" s="210"/>
      <c r="OL501" s="210"/>
      <c r="OM501" s="210"/>
      <c r="ON501" s="210"/>
      <c r="OO501" s="210"/>
      <c r="OP501" s="210"/>
      <c r="OQ501" s="210"/>
      <c r="OR501" s="210"/>
      <c r="OS501" s="210"/>
      <c r="OT501" s="210"/>
      <c r="OU501" s="210"/>
      <c r="OV501" s="210"/>
      <c r="OW501" s="210"/>
      <c r="RG501" s="120"/>
    </row>
    <row r="502" spans="1:475" x14ac:dyDescent="0.3">
      <c r="A502" s="7">
        <v>55</v>
      </c>
      <c r="B502" s="7">
        <v>492</v>
      </c>
      <c r="C502" s="7" t="s">
        <v>833</v>
      </c>
      <c r="D502" s="7" t="s">
        <v>841</v>
      </c>
      <c r="E502" s="7" t="s">
        <v>840</v>
      </c>
      <c r="F502" s="7" t="s">
        <v>275</v>
      </c>
      <c r="G502" s="41" t="str">
        <f t="shared" si="80"/>
        <v>X</v>
      </c>
      <c r="H502" s="41">
        <f>INDEX(환산공식!CI$16:CI$301,MATCH('배치점수 계산기'!$W502,환산공식!$A$16:$A$301,0))</f>
        <v>200</v>
      </c>
      <c r="I502" s="41" t="str">
        <f>CONCATENATE(ROUND(INDEX(환산공식!CJ$16:CJ$301,MATCH('배치점수 계산기'!$W502,환산공식!$A$16:$A$301,0)),1),"%")</f>
        <v>100%</v>
      </c>
      <c r="J502" s="41">
        <f>INDEX(환산공식!CK$16:CK$301,MATCH('배치점수 계산기'!$W502,환산공식!$A$16:$A$301,0))</f>
        <v>0</v>
      </c>
      <c r="K502" s="7">
        <f>INDEX(환산공식!$EF$16:$EF$301,MATCH('배치점수 계산기'!W502,환산공식!$A$16:$A$301,0))</f>
        <v>0</v>
      </c>
      <c r="L502" s="41" t="str">
        <f t="shared" si="78"/>
        <v>1% 이하</v>
      </c>
      <c r="M502" s="7">
        <v>846.9</v>
      </c>
      <c r="N502" s="7">
        <v>842.99999999999989</v>
      </c>
      <c r="O502" s="7">
        <v>834.69999999999993</v>
      </c>
      <c r="P502" s="7">
        <v>828.69999999999993</v>
      </c>
      <c r="Q502" s="7">
        <v>813.59999999999991</v>
      </c>
      <c r="R502" s="7">
        <f t="shared" si="79"/>
        <v>6</v>
      </c>
      <c r="T502" s="7">
        <f>COUNTIF($C$11:C502,C502)</f>
        <v>9</v>
      </c>
      <c r="U502" s="7" t="str">
        <f t="shared" si="81"/>
        <v>가나다9</v>
      </c>
      <c r="V502" s="7" t="str">
        <f>INDEX(환산공식!$C$16:$C$301,MATCH('배치점수 계산기'!W502,환산공식!$A$16:$A$301,0))</f>
        <v>국민 통합</v>
      </c>
      <c r="W502" s="7">
        <f t="shared" si="82"/>
        <v>55</v>
      </c>
      <c r="X502" s="7">
        <f t="shared" si="83"/>
        <v>1</v>
      </c>
      <c r="Y502" s="7">
        <f>IFERROR(INDEX(환산공식!Q$16:Q$200,MATCH($A502,환산공식!$A$16:$A$200,0)),"")</f>
        <v>3</v>
      </c>
      <c r="Z502" s="7">
        <f>IFERROR(INDEX(환산공식!R$16:R$200,MATCH($A502,환산공식!$A$16:$A$200,0)),"")</f>
        <v>2</v>
      </c>
      <c r="AA502" s="7">
        <f>IFERROR(INDEX(환산공식!U$16:U$200,MATCH($A502,환산공식!$A$16:$A$200,0)),"")</f>
        <v>3</v>
      </c>
      <c r="AB502" s="7">
        <f t="shared" si="84"/>
        <v>0.375</v>
      </c>
      <c r="AC502" s="7">
        <f t="shared" si="85"/>
        <v>0.25</v>
      </c>
      <c r="AD502" s="7">
        <f t="shared" si="86"/>
        <v>0.375</v>
      </c>
      <c r="AE502" s="7">
        <f>INDEX(환산공식!$AF$16:$AF$301,MATCH('배치점수 계산기'!W502,환산공식!$A$16:$A$301,0))</f>
        <v>2</v>
      </c>
      <c r="AF502" s="7">
        <f>INDEX(환산공식!$AP$16:$AP$301,MATCH('배치점수 계산기'!W502,환산공식!$A$16:$A$301,0))</f>
        <v>2</v>
      </c>
      <c r="AG502" s="7" t="str">
        <f t="shared" si="87"/>
        <v>백분위</v>
      </c>
      <c r="AH502" s="7" t="str">
        <f t="shared" si="88"/>
        <v>백분위</v>
      </c>
      <c r="BO502" s="210"/>
      <c r="BP502" s="210"/>
      <c r="BQ502" s="210"/>
      <c r="BR502" s="210"/>
      <c r="BS502" s="210"/>
      <c r="BT502" s="210"/>
      <c r="BU502" s="210"/>
      <c r="BV502" s="210"/>
      <c r="BW502" s="210"/>
      <c r="BX502" s="210"/>
      <c r="BY502" s="210"/>
      <c r="BZ502" s="210"/>
      <c r="CA502" s="210"/>
      <c r="CB502" s="210"/>
      <c r="CC502" s="210"/>
      <c r="EM502" s="120"/>
      <c r="ET502" s="210"/>
      <c r="EU502" s="210"/>
      <c r="EV502" s="210"/>
      <c r="EW502" s="210"/>
      <c r="EX502" s="210"/>
      <c r="EY502" s="210"/>
      <c r="EZ502" s="210"/>
      <c r="FA502" s="210"/>
      <c r="FB502" s="210"/>
      <c r="FC502" s="210"/>
      <c r="FD502" s="210"/>
      <c r="FE502" s="210"/>
      <c r="FF502" s="210"/>
      <c r="FG502" s="210"/>
      <c r="FH502" s="210"/>
      <c r="HR502" s="120"/>
      <c r="HY502" s="210"/>
      <c r="HZ502" s="210"/>
      <c r="IA502" s="210"/>
      <c r="IB502" s="210"/>
      <c r="IC502" s="210"/>
      <c r="ID502" s="210"/>
      <c r="IE502" s="210"/>
      <c r="IF502" s="210"/>
      <c r="IG502" s="210"/>
      <c r="IH502" s="210"/>
      <c r="II502" s="210"/>
      <c r="IJ502" s="210"/>
      <c r="IK502" s="210"/>
      <c r="IL502" s="210"/>
      <c r="IM502" s="210"/>
      <c r="KW502" s="120"/>
      <c r="LD502" s="210"/>
      <c r="LE502" s="210"/>
      <c r="LF502" s="210"/>
      <c r="LG502" s="210"/>
      <c r="LH502" s="210"/>
      <c r="LI502" s="210"/>
      <c r="LJ502" s="210"/>
      <c r="LK502" s="210"/>
      <c r="LL502" s="210"/>
      <c r="LM502" s="210"/>
      <c r="LN502" s="210"/>
      <c r="LO502" s="210"/>
      <c r="LP502" s="210"/>
      <c r="LQ502" s="210"/>
      <c r="LR502" s="210"/>
      <c r="OB502" s="120"/>
      <c r="OI502" s="210"/>
      <c r="OJ502" s="210"/>
      <c r="OK502" s="210"/>
      <c r="OL502" s="210"/>
      <c r="OM502" s="210"/>
      <c r="ON502" s="210"/>
      <c r="OO502" s="210"/>
      <c r="OP502" s="210"/>
      <c r="OQ502" s="210"/>
      <c r="OR502" s="210"/>
      <c r="OS502" s="210"/>
      <c r="OT502" s="210"/>
      <c r="OU502" s="210"/>
      <c r="OV502" s="210"/>
      <c r="OW502" s="210"/>
      <c r="RG502" s="120"/>
    </row>
    <row r="503" spans="1:475" x14ac:dyDescent="0.3">
      <c r="A503" s="7">
        <v>117</v>
      </c>
      <c r="B503" s="7">
        <v>493</v>
      </c>
      <c r="C503" s="7" t="s">
        <v>833</v>
      </c>
      <c r="D503" s="7" t="s">
        <v>843</v>
      </c>
      <c r="E503" s="7" t="s">
        <v>835</v>
      </c>
      <c r="F503" s="7" t="s">
        <v>274</v>
      </c>
      <c r="G503" s="41" t="str">
        <f t="shared" si="80"/>
        <v>X</v>
      </c>
      <c r="H503" s="41">
        <f>INDEX(환산공식!CI$16:CI$301,MATCH('배치점수 계산기'!$W503,환산공식!$A$16:$A$301,0))</f>
        <v>200</v>
      </c>
      <c r="I503" s="41" t="str">
        <f>CONCATENATE(ROUND(INDEX(환산공식!CJ$16:CJ$301,MATCH('배치점수 계산기'!$W503,환산공식!$A$16:$A$301,0)),1),"%")</f>
        <v>100%</v>
      </c>
      <c r="J503" s="41">
        <f>INDEX(환산공식!CK$16:CK$301,MATCH('배치점수 계산기'!$W503,환산공식!$A$16:$A$301,0))</f>
        <v>50</v>
      </c>
      <c r="K503" s="7">
        <f>INDEX(환산공식!$EF$16:$EF$301,MATCH('배치점수 계산기'!W503,환산공식!$A$16:$A$301,0))</f>
        <v>0</v>
      </c>
      <c r="L503" s="41" t="str">
        <f t="shared" si="78"/>
        <v>1% 이하</v>
      </c>
      <c r="M503" s="7">
        <v>878.3928344054309</v>
      </c>
      <c r="N503" s="7">
        <v>875.31132224087423</v>
      </c>
      <c r="O503" s="7">
        <v>873.22315060847995</v>
      </c>
      <c r="P503" s="7">
        <v>869.18753559727224</v>
      </c>
      <c r="Q503" s="7">
        <v>865.43656452737127</v>
      </c>
      <c r="R503" s="7">
        <f t="shared" si="79"/>
        <v>6</v>
      </c>
      <c r="T503" s="7">
        <f>COUNTIF($C$11:C503,C503)</f>
        <v>10</v>
      </c>
      <c r="U503" s="7" t="str">
        <f t="shared" si="81"/>
        <v>가나다10</v>
      </c>
      <c r="V503" s="7" t="str">
        <f>INDEX(환산공식!$C$16:$C$301,MATCH('배치점수 계산기'!W503,환산공식!$A$16:$A$301,0))</f>
        <v>인하 자연</v>
      </c>
      <c r="W503" s="7">
        <f t="shared" si="82"/>
        <v>117</v>
      </c>
      <c r="X503" s="7">
        <f t="shared" si="83"/>
        <v>1</v>
      </c>
      <c r="Y503" s="7">
        <f>IFERROR(INDEX(환산공식!Q$16:Q$200,MATCH($A503,환산공식!$A$16:$A$200,0)),"")</f>
        <v>1.3422818791946309</v>
      </c>
      <c r="Z503" s="7">
        <f>IFERROR(INDEX(환산공식!R$16:R$200,MATCH($A503,환산공식!$A$16:$A$200,0)),"")</f>
        <v>2.0408163265306123</v>
      </c>
      <c r="AA503" s="7">
        <f>IFERROR(INDEX(환산공식!U$16:U$200,MATCH($A503,환산공식!$A$16:$A$200,0)),"")</f>
        <v>1.7573457050470971</v>
      </c>
      <c r="AB503" s="7">
        <f t="shared" si="84"/>
        <v>0.26112178296153338</v>
      </c>
      <c r="AC503" s="7">
        <f t="shared" si="85"/>
        <v>0.39701169042110684</v>
      </c>
      <c r="AD503" s="7">
        <f t="shared" si="86"/>
        <v>0.34186652661735972</v>
      </c>
      <c r="AE503" s="7">
        <f>INDEX(환산공식!$AF$16:$AF$301,MATCH('배치점수 계산기'!W503,환산공식!$A$16:$A$301,0))</f>
        <v>12</v>
      </c>
      <c r="AF503" s="7">
        <f>INDEX(환산공식!$AP$16:$AP$301,MATCH('배치점수 계산기'!W503,환산공식!$A$16:$A$301,0))</f>
        <v>42</v>
      </c>
      <c r="AG503" s="7" t="str">
        <f t="shared" si="87"/>
        <v>표점/만점</v>
      </c>
      <c r="AH503" s="7" t="str">
        <f t="shared" si="88"/>
        <v>변표/만점</v>
      </c>
      <c r="BO503" s="210"/>
      <c r="BP503" s="210"/>
      <c r="BQ503" s="210"/>
      <c r="BR503" s="210"/>
      <c r="BS503" s="210"/>
      <c r="BT503" s="210"/>
      <c r="BU503" s="210"/>
      <c r="BV503" s="210"/>
      <c r="BW503" s="210"/>
      <c r="BX503" s="210"/>
      <c r="BY503" s="210"/>
      <c r="BZ503" s="210"/>
      <c r="CA503" s="210"/>
      <c r="CB503" s="210"/>
      <c r="CC503" s="210"/>
      <c r="EM503" s="120"/>
      <c r="ET503" s="210"/>
      <c r="EU503" s="210"/>
      <c r="EV503" s="210"/>
      <c r="EW503" s="210"/>
      <c r="EX503" s="210"/>
      <c r="EY503" s="210"/>
      <c r="EZ503" s="210"/>
      <c r="FA503" s="210"/>
      <c r="FB503" s="210"/>
      <c r="FC503" s="210"/>
      <c r="FD503" s="210"/>
      <c r="FE503" s="210"/>
      <c r="FF503" s="210"/>
      <c r="FG503" s="210"/>
      <c r="FH503" s="210"/>
      <c r="HR503" s="120"/>
      <c r="HY503" s="210"/>
      <c r="HZ503" s="210"/>
      <c r="IA503" s="210"/>
      <c r="IB503" s="210"/>
      <c r="IC503" s="210"/>
      <c r="ID503" s="210"/>
      <c r="IE503" s="210"/>
      <c r="IF503" s="210"/>
      <c r="IG503" s="210"/>
      <c r="IH503" s="210"/>
      <c r="II503" s="210"/>
      <c r="IJ503" s="210"/>
      <c r="IK503" s="210"/>
      <c r="IL503" s="210"/>
      <c r="IM503" s="210"/>
      <c r="KW503" s="120"/>
      <c r="LD503" s="210"/>
      <c r="LE503" s="210"/>
      <c r="LF503" s="210"/>
      <c r="LG503" s="210"/>
      <c r="LH503" s="210"/>
      <c r="LI503" s="210"/>
      <c r="LJ503" s="210"/>
      <c r="LK503" s="210"/>
      <c r="LL503" s="210"/>
      <c r="LM503" s="210"/>
      <c r="LN503" s="210"/>
      <c r="LO503" s="210"/>
      <c r="LP503" s="210"/>
      <c r="LQ503" s="210"/>
      <c r="LR503" s="210"/>
      <c r="OB503" s="120"/>
      <c r="OI503" s="210"/>
      <c r="OJ503" s="210"/>
      <c r="OK503" s="210"/>
      <c r="OL503" s="210"/>
      <c r="OM503" s="210"/>
      <c r="ON503" s="210"/>
      <c r="OO503" s="210"/>
      <c r="OP503" s="210"/>
      <c r="OQ503" s="210"/>
      <c r="OR503" s="210"/>
      <c r="OS503" s="210"/>
      <c r="OT503" s="210"/>
      <c r="OU503" s="210"/>
      <c r="OV503" s="210"/>
      <c r="OW503" s="210"/>
      <c r="RG503" s="120"/>
    </row>
    <row r="504" spans="1:475" x14ac:dyDescent="0.3">
      <c r="A504" s="7">
        <v>117</v>
      </c>
      <c r="B504" s="7">
        <v>494</v>
      </c>
      <c r="C504" s="7" t="s">
        <v>833</v>
      </c>
      <c r="D504" s="7" t="s">
        <v>843</v>
      </c>
      <c r="E504" s="7" t="s">
        <v>836</v>
      </c>
      <c r="F504" s="7" t="s">
        <v>274</v>
      </c>
      <c r="G504" s="41" t="str">
        <f t="shared" si="80"/>
        <v>X</v>
      </c>
      <c r="H504" s="41">
        <f>INDEX(환산공식!CI$16:CI$301,MATCH('배치점수 계산기'!$W504,환산공식!$A$16:$A$301,0))</f>
        <v>200</v>
      </c>
      <c r="I504" s="41" t="str">
        <f>CONCATENATE(ROUND(INDEX(환산공식!CJ$16:CJ$301,MATCH('배치점수 계산기'!$W504,환산공식!$A$16:$A$301,0)),1),"%")</f>
        <v>100%</v>
      </c>
      <c r="J504" s="41">
        <f>INDEX(환산공식!CK$16:CK$301,MATCH('배치점수 계산기'!$W504,환산공식!$A$16:$A$301,0))</f>
        <v>50</v>
      </c>
      <c r="K504" s="7">
        <f>INDEX(환산공식!$EF$16:$EF$301,MATCH('배치점수 계산기'!W504,환산공식!$A$16:$A$301,0))</f>
        <v>0</v>
      </c>
      <c r="L504" s="41" t="str">
        <f t="shared" si="78"/>
        <v>1% 이하</v>
      </c>
      <c r="M504" s="7">
        <v>868.9875355972722</v>
      </c>
      <c r="N504" s="7">
        <v>865.23656452737123</v>
      </c>
      <c r="O504" s="7">
        <v>862.18209686023999</v>
      </c>
      <c r="P504" s="7">
        <v>859.01798944754648</v>
      </c>
      <c r="Q504" s="7">
        <v>856.16015020416819</v>
      </c>
      <c r="R504" s="7">
        <f t="shared" si="79"/>
        <v>6</v>
      </c>
      <c r="T504" s="7">
        <f>COUNTIF($C$11:C504,C504)</f>
        <v>11</v>
      </c>
      <c r="U504" s="7" t="str">
        <f t="shared" si="81"/>
        <v>가나다11</v>
      </c>
      <c r="V504" s="7" t="str">
        <f>INDEX(환산공식!$C$16:$C$301,MATCH('배치점수 계산기'!W504,환산공식!$A$16:$A$301,0))</f>
        <v>인하 자연</v>
      </c>
      <c r="W504" s="7">
        <f t="shared" si="82"/>
        <v>117</v>
      </c>
      <c r="X504" s="7">
        <f t="shared" si="83"/>
        <v>1</v>
      </c>
      <c r="Y504" s="7">
        <f>IFERROR(INDEX(환산공식!Q$16:Q$200,MATCH($A504,환산공식!$A$16:$A$200,0)),"")</f>
        <v>1.3422818791946309</v>
      </c>
      <c r="Z504" s="7">
        <f>IFERROR(INDEX(환산공식!R$16:R$200,MATCH($A504,환산공식!$A$16:$A$200,0)),"")</f>
        <v>2.0408163265306123</v>
      </c>
      <c r="AA504" s="7">
        <f>IFERROR(INDEX(환산공식!U$16:U$200,MATCH($A504,환산공식!$A$16:$A$200,0)),"")</f>
        <v>1.7573457050470971</v>
      </c>
      <c r="AB504" s="7">
        <f t="shared" si="84"/>
        <v>0.26112178296153338</v>
      </c>
      <c r="AC504" s="7">
        <f t="shared" si="85"/>
        <v>0.39701169042110684</v>
      </c>
      <c r="AD504" s="7">
        <f t="shared" si="86"/>
        <v>0.34186652661735972</v>
      </c>
      <c r="AE504" s="7">
        <f>INDEX(환산공식!$AF$16:$AF$301,MATCH('배치점수 계산기'!W504,환산공식!$A$16:$A$301,0))</f>
        <v>12</v>
      </c>
      <c r="AF504" s="7">
        <f>INDEX(환산공식!$AP$16:$AP$301,MATCH('배치점수 계산기'!W504,환산공식!$A$16:$A$301,0))</f>
        <v>42</v>
      </c>
      <c r="AG504" s="7" t="str">
        <f t="shared" si="87"/>
        <v>표점/만점</v>
      </c>
      <c r="AH504" s="7" t="str">
        <f t="shared" si="88"/>
        <v>변표/만점</v>
      </c>
      <c r="BO504" s="210"/>
      <c r="BP504" s="210"/>
      <c r="BQ504" s="210"/>
      <c r="BR504" s="210"/>
      <c r="BS504" s="210"/>
      <c r="BT504" s="210"/>
      <c r="BU504" s="210"/>
      <c r="BV504" s="210"/>
      <c r="BW504" s="210"/>
      <c r="BX504" s="210"/>
      <c r="BY504" s="210"/>
      <c r="BZ504" s="210"/>
      <c r="CA504" s="210"/>
      <c r="CB504" s="210"/>
      <c r="CC504" s="210"/>
      <c r="EM504" s="120"/>
      <c r="ET504" s="210"/>
      <c r="EU504" s="210"/>
      <c r="EV504" s="210"/>
      <c r="EW504" s="210"/>
      <c r="EX504" s="210"/>
      <c r="EY504" s="210"/>
      <c r="EZ504" s="210"/>
      <c r="FA504" s="210"/>
      <c r="FB504" s="210"/>
      <c r="FC504" s="210"/>
      <c r="FD504" s="210"/>
      <c r="FE504" s="210"/>
      <c r="FF504" s="210"/>
      <c r="FG504" s="210"/>
      <c r="FH504" s="210"/>
      <c r="HR504" s="120"/>
      <c r="HY504" s="210"/>
      <c r="HZ504" s="210"/>
      <c r="IA504" s="210"/>
      <c r="IB504" s="210"/>
      <c r="IC504" s="210"/>
      <c r="ID504" s="210"/>
      <c r="IE504" s="210"/>
      <c r="IF504" s="210"/>
      <c r="IG504" s="210"/>
      <c r="IH504" s="210"/>
      <c r="II504" s="210"/>
      <c r="IJ504" s="210"/>
      <c r="IK504" s="210"/>
      <c r="IL504" s="210"/>
      <c r="IM504" s="210"/>
      <c r="KW504" s="120"/>
      <c r="LD504" s="210"/>
      <c r="LE504" s="210"/>
      <c r="LF504" s="210"/>
      <c r="LG504" s="210"/>
      <c r="LH504" s="210"/>
      <c r="LI504" s="210"/>
      <c r="LJ504" s="210"/>
      <c r="LK504" s="210"/>
      <c r="LL504" s="210"/>
      <c r="LM504" s="210"/>
      <c r="LN504" s="210"/>
      <c r="LO504" s="210"/>
      <c r="LP504" s="210"/>
      <c r="LQ504" s="210"/>
      <c r="LR504" s="210"/>
      <c r="OB504" s="120"/>
      <c r="OI504" s="210"/>
      <c r="OJ504" s="210"/>
      <c r="OK504" s="210"/>
      <c r="OL504" s="210"/>
      <c r="OM504" s="210"/>
      <c r="ON504" s="210"/>
      <c r="OO504" s="210"/>
      <c r="OP504" s="210"/>
      <c r="OQ504" s="210"/>
      <c r="OR504" s="210"/>
      <c r="OS504" s="210"/>
      <c r="OT504" s="210"/>
      <c r="OU504" s="210"/>
      <c r="OV504" s="210"/>
      <c r="OW504" s="210"/>
      <c r="RG504" s="120"/>
    </row>
    <row r="505" spans="1:475" x14ac:dyDescent="0.3">
      <c r="A505" s="7">
        <v>117</v>
      </c>
      <c r="B505" s="7">
        <v>495</v>
      </c>
      <c r="C505" s="7" t="s">
        <v>833</v>
      </c>
      <c r="D505" s="7" t="s">
        <v>843</v>
      </c>
      <c r="E505" s="7" t="s">
        <v>837</v>
      </c>
      <c r="F505" s="7" t="s">
        <v>274</v>
      </c>
      <c r="G505" s="41" t="str">
        <f t="shared" si="80"/>
        <v>X</v>
      </c>
      <c r="H505" s="41">
        <f>INDEX(환산공식!CI$16:CI$301,MATCH('배치점수 계산기'!$W505,환산공식!$A$16:$A$301,0))</f>
        <v>200</v>
      </c>
      <c r="I505" s="41" t="str">
        <f>CONCATENATE(ROUND(INDEX(환산공식!CJ$16:CJ$301,MATCH('배치점수 계산기'!$W505,환산공식!$A$16:$A$301,0)),1),"%")</f>
        <v>100%</v>
      </c>
      <c r="J505" s="41">
        <f>INDEX(환산공식!CK$16:CK$301,MATCH('배치점수 계산기'!$W505,환산공식!$A$16:$A$301,0))</f>
        <v>50</v>
      </c>
      <c r="K505" s="7">
        <f>INDEX(환산공식!$EF$16:$EF$301,MATCH('배치점수 계산기'!W505,환산공식!$A$16:$A$301,0))</f>
        <v>0</v>
      </c>
      <c r="L505" s="41" t="str">
        <f t="shared" si="78"/>
        <v>1% 이하</v>
      </c>
      <c r="M505" s="7">
        <v>860.15660291807842</v>
      </c>
      <c r="N505" s="7">
        <v>857.25828782855399</v>
      </c>
      <c r="O505" s="7">
        <v>854.42147983870609</v>
      </c>
      <c r="P505" s="7">
        <v>850.66825391061798</v>
      </c>
      <c r="Q505" s="7">
        <v>845.23065052981076</v>
      </c>
      <c r="R505" s="7">
        <f t="shared" si="79"/>
        <v>6</v>
      </c>
      <c r="T505" s="7">
        <f>COUNTIF($C$11:C505,C505)</f>
        <v>12</v>
      </c>
      <c r="U505" s="7" t="str">
        <f t="shared" si="81"/>
        <v>가나다12</v>
      </c>
      <c r="V505" s="7" t="str">
        <f>INDEX(환산공식!$C$16:$C$301,MATCH('배치점수 계산기'!W505,환산공식!$A$16:$A$301,0))</f>
        <v>인하 자연</v>
      </c>
      <c r="W505" s="7">
        <f t="shared" si="82"/>
        <v>117</v>
      </c>
      <c r="X505" s="7">
        <f t="shared" si="83"/>
        <v>1</v>
      </c>
      <c r="Y505" s="7">
        <f>IFERROR(INDEX(환산공식!Q$16:Q$200,MATCH($A505,환산공식!$A$16:$A$200,0)),"")</f>
        <v>1.3422818791946309</v>
      </c>
      <c r="Z505" s="7">
        <f>IFERROR(INDEX(환산공식!R$16:R$200,MATCH($A505,환산공식!$A$16:$A$200,0)),"")</f>
        <v>2.0408163265306123</v>
      </c>
      <c r="AA505" s="7">
        <f>IFERROR(INDEX(환산공식!U$16:U$200,MATCH($A505,환산공식!$A$16:$A$200,0)),"")</f>
        <v>1.7573457050470971</v>
      </c>
      <c r="AB505" s="7">
        <f t="shared" si="84"/>
        <v>0.26112178296153338</v>
      </c>
      <c r="AC505" s="7">
        <f t="shared" si="85"/>
        <v>0.39701169042110684</v>
      </c>
      <c r="AD505" s="7">
        <f t="shared" si="86"/>
        <v>0.34186652661735972</v>
      </c>
      <c r="AE505" s="7">
        <f>INDEX(환산공식!$AF$16:$AF$301,MATCH('배치점수 계산기'!W505,환산공식!$A$16:$A$301,0))</f>
        <v>12</v>
      </c>
      <c r="AF505" s="7">
        <f>INDEX(환산공식!$AP$16:$AP$301,MATCH('배치점수 계산기'!W505,환산공식!$A$16:$A$301,0))</f>
        <v>42</v>
      </c>
      <c r="AG505" s="7" t="str">
        <f t="shared" si="87"/>
        <v>표점/만점</v>
      </c>
      <c r="AH505" s="7" t="str">
        <f t="shared" si="88"/>
        <v>변표/만점</v>
      </c>
      <c r="BO505" s="210"/>
      <c r="BP505" s="210"/>
      <c r="BQ505" s="210"/>
      <c r="BR505" s="210"/>
      <c r="BS505" s="210"/>
      <c r="BT505" s="210"/>
      <c r="BU505" s="210"/>
      <c r="BV505" s="210"/>
      <c r="BW505" s="210"/>
      <c r="BX505" s="210"/>
      <c r="BY505" s="210"/>
      <c r="BZ505" s="210"/>
      <c r="CA505" s="210"/>
      <c r="CB505" s="210"/>
      <c r="CC505" s="210"/>
      <c r="EM505" s="120"/>
      <c r="ET505" s="210"/>
      <c r="EU505" s="210"/>
      <c r="EV505" s="210"/>
      <c r="EW505" s="210"/>
      <c r="EX505" s="210"/>
      <c r="EY505" s="210"/>
      <c r="EZ505" s="210"/>
      <c r="FA505" s="210"/>
      <c r="FB505" s="210"/>
      <c r="FC505" s="210"/>
      <c r="FD505" s="210"/>
      <c r="FE505" s="210"/>
      <c r="FF505" s="210"/>
      <c r="FG505" s="210"/>
      <c r="FH505" s="210"/>
      <c r="HR505" s="120"/>
      <c r="HY505" s="210"/>
      <c r="HZ505" s="210"/>
      <c r="IA505" s="210"/>
      <c r="IB505" s="210"/>
      <c r="IC505" s="210"/>
      <c r="ID505" s="210"/>
      <c r="IE505" s="210"/>
      <c r="IF505" s="210"/>
      <c r="IG505" s="210"/>
      <c r="IH505" s="210"/>
      <c r="II505" s="210"/>
      <c r="IJ505" s="210"/>
      <c r="IK505" s="210"/>
      <c r="IL505" s="210"/>
      <c r="IM505" s="210"/>
      <c r="KW505" s="120"/>
      <c r="LD505" s="210"/>
      <c r="LE505" s="210"/>
      <c r="LF505" s="210"/>
      <c r="LG505" s="210"/>
      <c r="LH505" s="210"/>
      <c r="LI505" s="210"/>
      <c r="LJ505" s="210"/>
      <c r="LK505" s="210"/>
      <c r="LL505" s="210"/>
      <c r="LM505" s="210"/>
      <c r="LN505" s="210"/>
      <c r="LO505" s="210"/>
      <c r="LP505" s="210"/>
      <c r="LQ505" s="210"/>
      <c r="LR505" s="210"/>
      <c r="OB505" s="120"/>
      <c r="OI505" s="210"/>
      <c r="OJ505" s="210"/>
      <c r="OK505" s="210"/>
      <c r="OL505" s="210"/>
      <c r="OM505" s="210"/>
      <c r="ON505" s="210"/>
      <c r="OO505" s="210"/>
      <c r="OP505" s="210"/>
      <c r="OQ505" s="210"/>
      <c r="OR505" s="210"/>
      <c r="OS505" s="210"/>
      <c r="OT505" s="210"/>
      <c r="OU505" s="210"/>
      <c r="OV505" s="210"/>
      <c r="OW505" s="210"/>
      <c r="RG505" s="120"/>
    </row>
    <row r="506" spans="1:475" x14ac:dyDescent="0.3">
      <c r="A506" s="7">
        <v>68</v>
      </c>
      <c r="B506" s="7">
        <v>496</v>
      </c>
      <c r="C506" s="7" t="s">
        <v>276</v>
      </c>
      <c r="D506" s="7" t="s">
        <v>844</v>
      </c>
      <c r="E506" s="7" t="s">
        <v>845</v>
      </c>
      <c r="F506" s="7" t="s">
        <v>274</v>
      </c>
      <c r="G506" s="41" t="str">
        <f t="shared" si="80"/>
        <v>X</v>
      </c>
      <c r="H506" s="41">
        <f>INDEX(환산공식!CI$16:CI$301,MATCH('배치점수 계산기'!$W506,환산공식!$A$16:$A$301,0))</f>
        <v>10</v>
      </c>
      <c r="I506" s="41" t="str">
        <f>CONCATENATE(ROUND(INDEX(환산공식!CJ$16:CJ$301,MATCH('배치점수 계산기'!$W506,환산공식!$A$16:$A$301,0)),1),"%")</f>
        <v>100%</v>
      </c>
      <c r="J506" s="41">
        <f>INDEX(환산공식!CK$16:CK$301,MATCH('배치점수 계산기'!$W506,환산공식!$A$16:$A$301,0))</f>
        <v>10</v>
      </c>
      <c r="K506" s="7">
        <f>INDEX(환산공식!$EF$16:$EF$301,MATCH('배치점수 계산기'!W506,환산공식!$A$16:$A$301,0))</f>
        <v>0</v>
      </c>
      <c r="L506" s="41" t="str">
        <f t="shared" si="78"/>
        <v>1% 이하</v>
      </c>
      <c r="M506" s="7">
        <v>744.90785258862525</v>
      </c>
      <c r="N506" s="7">
        <v>743.30600000000004</v>
      </c>
      <c r="O506" s="7">
        <v>742.5938706697458</v>
      </c>
      <c r="P506" s="7">
        <v>738.32599999999979</v>
      </c>
      <c r="Q506" s="7">
        <v>736.38778321678319</v>
      </c>
      <c r="R506" s="7">
        <f t="shared" si="79"/>
        <v>6</v>
      </c>
      <c r="T506" s="7">
        <f>COUNTIF($C$11:C506,C506)</f>
        <v>259</v>
      </c>
      <c r="U506" s="7" t="str">
        <f t="shared" si="81"/>
        <v>가259</v>
      </c>
      <c r="V506" s="7" t="str">
        <f>INDEX(환산공식!$C$16:$C$301,MATCH('배치점수 계산기'!W506,환산공식!$A$16:$A$301,0))</f>
        <v>가톨 의약</v>
      </c>
      <c r="W506" s="7">
        <f t="shared" si="82"/>
        <v>68</v>
      </c>
      <c r="X506" s="7">
        <f t="shared" si="83"/>
        <v>1</v>
      </c>
      <c r="Y506" s="7">
        <f>IFERROR(INDEX(환산공식!Q$16:Q$200,MATCH($A506,환산공식!$A$16:$A$200,0)),"")</f>
        <v>1.5</v>
      </c>
      <c r="Z506" s="7">
        <f>IFERROR(INDEX(환산공식!R$16:R$200,MATCH($A506,환산공식!$A$16:$A$200,0)),"")</f>
        <v>2</v>
      </c>
      <c r="AA506" s="7">
        <f>IFERROR(INDEX(환산공식!U$16:U$200,MATCH($A506,환산공식!$A$16:$A$200,0)),"")</f>
        <v>1.5</v>
      </c>
      <c r="AB506" s="7">
        <f t="shared" si="84"/>
        <v>0.3</v>
      </c>
      <c r="AC506" s="7">
        <f t="shared" si="85"/>
        <v>0.4</v>
      </c>
      <c r="AD506" s="7">
        <f t="shared" si="86"/>
        <v>0.3</v>
      </c>
      <c r="AE506" s="7">
        <f>INDEX(환산공식!$AF$16:$AF$301,MATCH('배치점수 계산기'!W506,환산공식!$A$16:$A$301,0))</f>
        <v>1</v>
      </c>
      <c r="AF506" s="7">
        <f>INDEX(환산공식!$AP$16:$AP$301,MATCH('배치점수 계산기'!W506,환산공식!$A$16:$A$301,0))</f>
        <v>4</v>
      </c>
      <c r="AG506" s="7" t="str">
        <f t="shared" si="87"/>
        <v>표점</v>
      </c>
      <c r="AH506" s="7" t="str">
        <f t="shared" si="88"/>
        <v>변표</v>
      </c>
      <c r="BO506" s="210"/>
      <c r="BP506" s="210"/>
      <c r="BQ506" s="210"/>
      <c r="BR506" s="210"/>
      <c r="BS506" s="210"/>
      <c r="BT506" s="210"/>
      <c r="BU506" s="210"/>
      <c r="BV506" s="210"/>
      <c r="BW506" s="210"/>
      <c r="BX506" s="210"/>
      <c r="BY506" s="210"/>
      <c r="BZ506" s="210"/>
      <c r="CA506" s="210"/>
      <c r="CB506" s="210"/>
      <c r="CC506" s="210"/>
      <c r="EM506" s="120"/>
      <c r="ET506" s="210"/>
      <c r="EU506" s="210"/>
      <c r="EV506" s="210"/>
      <c r="EW506" s="210"/>
      <c r="EX506" s="210"/>
      <c r="EY506" s="210"/>
      <c r="EZ506" s="210"/>
      <c r="FA506" s="210"/>
      <c r="FB506" s="210"/>
      <c r="FC506" s="210"/>
      <c r="FD506" s="210"/>
      <c r="FE506" s="210"/>
      <c r="FF506" s="210"/>
      <c r="FG506" s="210"/>
      <c r="FH506" s="210"/>
      <c r="HR506" s="120"/>
      <c r="HY506" s="210"/>
      <c r="HZ506" s="210"/>
      <c r="IA506" s="210"/>
      <c r="IB506" s="210"/>
      <c r="IC506" s="210"/>
      <c r="ID506" s="210"/>
      <c r="IE506" s="210"/>
      <c r="IF506" s="210"/>
      <c r="IG506" s="210"/>
      <c r="IH506" s="210"/>
      <c r="II506" s="210"/>
      <c r="IJ506" s="210"/>
      <c r="IK506" s="210"/>
      <c r="IL506" s="210"/>
      <c r="IM506" s="210"/>
      <c r="KW506" s="120"/>
      <c r="LD506" s="210"/>
      <c r="LE506" s="210"/>
      <c r="LF506" s="210"/>
      <c r="LG506" s="210"/>
      <c r="LH506" s="210"/>
      <c r="LI506" s="210"/>
      <c r="LJ506" s="210"/>
      <c r="LK506" s="210"/>
      <c r="LL506" s="210"/>
      <c r="LM506" s="210"/>
      <c r="LN506" s="210"/>
      <c r="LO506" s="210"/>
      <c r="LP506" s="210"/>
      <c r="LQ506" s="210"/>
      <c r="LR506" s="210"/>
      <c r="OB506" s="120"/>
      <c r="OI506" s="210"/>
      <c r="OJ506" s="210"/>
      <c r="OK506" s="210"/>
      <c r="OL506" s="210"/>
      <c r="OM506" s="210"/>
      <c r="ON506" s="210"/>
      <c r="OO506" s="210"/>
      <c r="OP506" s="210"/>
      <c r="OQ506" s="210"/>
      <c r="OR506" s="210"/>
      <c r="OS506" s="210"/>
      <c r="OT506" s="210"/>
      <c r="OU506" s="210"/>
      <c r="OV506" s="210"/>
      <c r="OW506" s="210"/>
      <c r="RG506" s="120"/>
    </row>
    <row r="507" spans="1:475" x14ac:dyDescent="0.3">
      <c r="A507" s="7">
        <v>25</v>
      </c>
      <c r="B507" s="7">
        <v>497</v>
      </c>
      <c r="C507" s="7" t="s">
        <v>276</v>
      </c>
      <c r="D507" s="7" t="s">
        <v>342</v>
      </c>
      <c r="E507" s="7" t="s">
        <v>845</v>
      </c>
      <c r="F507" s="7" t="s">
        <v>274</v>
      </c>
      <c r="G507" s="41" t="str">
        <f t="shared" si="80"/>
        <v>X</v>
      </c>
      <c r="H507" s="41">
        <f>INDEX(환산공식!CI$16:CI$301,MATCH('배치점수 계산기'!$W507,환산공식!$A$16:$A$301,0))</f>
        <v>100</v>
      </c>
      <c r="I507" s="41" t="str">
        <f>CONCATENATE(ROUND(INDEX(환산공식!CJ$16:CJ$301,MATCH('배치점수 계산기'!$W507,환산공식!$A$16:$A$301,0)),1),"%")</f>
        <v>100%</v>
      </c>
      <c r="J507" s="41">
        <f>INDEX(환산공식!CK$16:CK$301,MATCH('배치점수 계산기'!$W507,환산공식!$A$16:$A$301,0))</f>
        <v>10</v>
      </c>
      <c r="K507" s="7">
        <f>INDEX(환산공식!$EF$16:$EF$301,MATCH('배치점수 계산기'!W507,환산공식!$A$16:$A$301,0))</f>
        <v>0</v>
      </c>
      <c r="L507" s="41" t="str">
        <f t="shared" si="78"/>
        <v>1% 이하</v>
      </c>
      <c r="M507" s="7">
        <v>834.22157740372359</v>
      </c>
      <c r="N507" s="7">
        <v>832.35699999999997</v>
      </c>
      <c r="O507" s="7">
        <v>831.55424249422617</v>
      </c>
      <c r="P507" s="7">
        <v>827.5469999999998</v>
      </c>
      <c r="Q507" s="7">
        <v>825.3296165501165</v>
      </c>
      <c r="R507" s="7">
        <f t="shared" si="79"/>
        <v>6</v>
      </c>
      <c r="T507" s="7">
        <f>COUNTIF($C$11:C507,C507)</f>
        <v>260</v>
      </c>
      <c r="U507" s="7" t="str">
        <f t="shared" si="81"/>
        <v>가260</v>
      </c>
      <c r="V507" s="7" t="str">
        <f>INDEX(환산공식!$C$16:$C$301,MATCH('배치점수 계산기'!W507,환산공식!$A$16:$A$301,0))</f>
        <v>성균 자연</v>
      </c>
      <c r="W507" s="7">
        <f t="shared" si="82"/>
        <v>25</v>
      </c>
      <c r="X507" s="7">
        <f t="shared" si="83"/>
        <v>1</v>
      </c>
      <c r="Y507" s="7">
        <f>IFERROR(INDEX(환산공식!Q$16:Q$200,MATCH($A507,환산공식!$A$16:$A$200,0)),"")</f>
        <v>1.25</v>
      </c>
      <c r="Z507" s="7">
        <f>IFERROR(INDEX(환산공식!R$16:R$200,MATCH($A507,환산공식!$A$16:$A$200,0)),"")</f>
        <v>2</v>
      </c>
      <c r="AA507" s="7">
        <f>IFERROR(INDEX(환산공식!U$16:U$200,MATCH($A507,환산공식!$A$16:$A$200,0)),"")</f>
        <v>1.75</v>
      </c>
      <c r="AB507" s="7">
        <f t="shared" si="84"/>
        <v>0.25</v>
      </c>
      <c r="AC507" s="7">
        <f t="shared" si="85"/>
        <v>0.4</v>
      </c>
      <c r="AD507" s="7">
        <f t="shared" si="86"/>
        <v>0.35</v>
      </c>
      <c r="AE507" s="7">
        <f>INDEX(환산공식!$AF$16:$AF$301,MATCH('배치점수 계산기'!W507,환산공식!$A$16:$A$301,0))</f>
        <v>1</v>
      </c>
      <c r="AF507" s="7">
        <f>INDEX(환산공식!$AP$16:$AP$301,MATCH('배치점수 계산기'!W507,환산공식!$A$16:$A$301,0))</f>
        <v>4</v>
      </c>
      <c r="AG507" s="7" t="str">
        <f t="shared" si="87"/>
        <v>표점</v>
      </c>
      <c r="AH507" s="7" t="str">
        <f t="shared" si="88"/>
        <v>변표</v>
      </c>
      <c r="BO507" s="210"/>
      <c r="BP507" s="210"/>
      <c r="BQ507" s="210"/>
      <c r="BR507" s="210"/>
      <c r="BS507" s="210"/>
      <c r="BT507" s="210"/>
      <c r="BU507" s="210"/>
      <c r="BV507" s="210"/>
      <c r="BW507" s="210"/>
      <c r="BX507" s="210"/>
      <c r="BY507" s="210"/>
      <c r="BZ507" s="210"/>
      <c r="CA507" s="210"/>
      <c r="CB507" s="210"/>
      <c r="CC507" s="210"/>
      <c r="EM507" s="120"/>
      <c r="ET507" s="210"/>
      <c r="EU507" s="210"/>
      <c r="EV507" s="210"/>
      <c r="EW507" s="210"/>
      <c r="EX507" s="210"/>
      <c r="EY507" s="210"/>
      <c r="EZ507" s="210"/>
      <c r="FA507" s="210"/>
      <c r="FB507" s="210"/>
      <c r="FC507" s="210"/>
      <c r="FD507" s="210"/>
      <c r="FE507" s="210"/>
      <c r="FF507" s="210"/>
      <c r="FG507" s="210"/>
      <c r="FH507" s="210"/>
      <c r="HR507" s="120"/>
      <c r="HY507" s="210"/>
      <c r="HZ507" s="210"/>
      <c r="IA507" s="210"/>
      <c r="IB507" s="210"/>
      <c r="IC507" s="210"/>
      <c r="ID507" s="210"/>
      <c r="IE507" s="210"/>
      <c r="IF507" s="210"/>
      <c r="IG507" s="210"/>
      <c r="IH507" s="210"/>
      <c r="II507" s="210"/>
      <c r="IJ507" s="210"/>
      <c r="IK507" s="210"/>
      <c r="IL507" s="210"/>
      <c r="IM507" s="210"/>
      <c r="KW507" s="120"/>
      <c r="LD507" s="210"/>
      <c r="LE507" s="210"/>
      <c r="LF507" s="210"/>
      <c r="LG507" s="210"/>
      <c r="LH507" s="210"/>
      <c r="LI507" s="210"/>
      <c r="LJ507" s="210"/>
      <c r="LK507" s="210"/>
      <c r="LL507" s="210"/>
      <c r="LM507" s="210"/>
      <c r="LN507" s="210"/>
      <c r="LO507" s="210"/>
      <c r="LP507" s="210"/>
      <c r="LQ507" s="210"/>
      <c r="LR507" s="210"/>
      <c r="OB507" s="120"/>
      <c r="OI507" s="210"/>
      <c r="OJ507" s="210"/>
      <c r="OK507" s="210"/>
      <c r="OL507" s="210"/>
      <c r="OM507" s="210"/>
      <c r="ON507" s="210"/>
      <c r="OO507" s="210"/>
      <c r="OP507" s="210"/>
      <c r="OQ507" s="210"/>
      <c r="OR507" s="210"/>
      <c r="OS507" s="210"/>
      <c r="OT507" s="210"/>
      <c r="OU507" s="210"/>
      <c r="OV507" s="210"/>
      <c r="OW507" s="210"/>
      <c r="RG507" s="120"/>
    </row>
    <row r="508" spans="1:475" x14ac:dyDescent="0.3">
      <c r="A508" s="7">
        <v>23</v>
      </c>
      <c r="B508" s="7">
        <v>498</v>
      </c>
      <c r="C508" s="7" t="s">
        <v>276</v>
      </c>
      <c r="D508" s="7" t="s">
        <v>317</v>
      </c>
      <c r="E508" s="7" t="s">
        <v>845</v>
      </c>
      <c r="F508" s="7" t="s">
        <v>274</v>
      </c>
      <c r="G508" s="41" t="str">
        <f t="shared" si="80"/>
        <v>X</v>
      </c>
      <c r="H508" s="41">
        <f>INDEX(환산공식!CI$16:CI$301,MATCH('배치점수 계산기'!$W508,환산공식!$A$16:$A$301,0))</f>
        <v>0</v>
      </c>
      <c r="I508" s="41" t="e">
        <f>CONCATENATE(ROUND(INDEX(환산공식!CJ$16:CJ$301,MATCH('배치점수 계산기'!$W508,환산공식!$A$16:$A$301,0)),1),"%")</f>
        <v>#DIV/0!</v>
      </c>
      <c r="J508" s="41">
        <f>INDEX(환산공식!CK$16:CK$301,MATCH('배치점수 계산기'!$W508,환산공식!$A$16:$A$301,0))</f>
        <v>10</v>
      </c>
      <c r="K508" s="7">
        <f>INDEX(환산공식!$EF$16:$EF$301,MATCH('배치점수 계산기'!W508,환산공식!$A$16:$A$301,0))</f>
        <v>0</v>
      </c>
      <c r="L508" s="41" t="str">
        <f t="shared" si="78"/>
        <v>1% 이하</v>
      </c>
      <c r="M508" s="7">
        <v>732.81874999999991</v>
      </c>
      <c r="N508" s="7">
        <v>732.81874999999991</v>
      </c>
      <c r="O508" s="7">
        <v>732.08402136258655</v>
      </c>
      <c r="P508" s="7">
        <v>727.63124999999991</v>
      </c>
      <c r="Q508" s="7">
        <v>725.66052593240079</v>
      </c>
      <c r="R508" s="7">
        <f t="shared" si="79"/>
        <v>6</v>
      </c>
      <c r="T508" s="7">
        <f>COUNTIF($C$11:C508,C508)</f>
        <v>261</v>
      </c>
      <c r="U508" s="7" t="str">
        <f t="shared" si="81"/>
        <v>가261</v>
      </c>
      <c r="V508" s="7" t="str">
        <f>INDEX(환산공식!$C$16:$C$301,MATCH('배치점수 계산기'!W508,환산공식!$A$16:$A$301,0))</f>
        <v>고려대 자연</v>
      </c>
      <c r="W508" s="7">
        <f t="shared" si="82"/>
        <v>23</v>
      </c>
      <c r="X508" s="7">
        <f t="shared" si="83"/>
        <v>1</v>
      </c>
      <c r="Y508" s="7">
        <f>IFERROR(INDEX(환산공식!Q$16:Q$200,MATCH($A508,환산공식!$A$16:$A$200,0)),"")</f>
        <v>1.5625</v>
      </c>
      <c r="Z508" s="7">
        <f>IFERROR(INDEX(환산공식!R$16:R$200,MATCH($A508,환산공식!$A$16:$A$200,0)),"")</f>
        <v>1.875</v>
      </c>
      <c r="AA508" s="7">
        <f>IFERROR(INDEX(환산공식!U$16:U$200,MATCH($A508,환산공식!$A$16:$A$200,0)),"")</f>
        <v>1.5625</v>
      </c>
      <c r="AB508" s="7">
        <f t="shared" si="84"/>
        <v>0.3125</v>
      </c>
      <c r="AC508" s="7">
        <f t="shared" si="85"/>
        <v>0.375</v>
      </c>
      <c r="AD508" s="7">
        <f t="shared" si="86"/>
        <v>0.3125</v>
      </c>
      <c r="AE508" s="7">
        <f>INDEX(환산공식!$AF$16:$AF$301,MATCH('배치점수 계산기'!W508,환산공식!$A$16:$A$301,0))</f>
        <v>1</v>
      </c>
      <c r="AF508" s="7">
        <f>INDEX(환산공식!$AP$16:$AP$301,MATCH('배치점수 계산기'!W508,환산공식!$A$16:$A$301,0))</f>
        <v>4</v>
      </c>
      <c r="AG508" s="7" t="str">
        <f t="shared" si="87"/>
        <v>표점</v>
      </c>
      <c r="AH508" s="7" t="str">
        <f t="shared" si="88"/>
        <v>변표</v>
      </c>
      <c r="BO508" s="210"/>
      <c r="BP508" s="210"/>
      <c r="BQ508" s="210"/>
      <c r="BR508" s="210"/>
      <c r="BS508" s="210"/>
      <c r="BT508" s="210"/>
      <c r="BU508" s="210"/>
      <c r="BV508" s="210"/>
      <c r="BW508" s="210"/>
      <c r="BX508" s="210"/>
      <c r="BY508" s="210"/>
      <c r="BZ508" s="210"/>
      <c r="CA508" s="210"/>
      <c r="CB508" s="210"/>
      <c r="CC508" s="210"/>
      <c r="EM508" s="120"/>
      <c r="ET508" s="210"/>
      <c r="EU508" s="210"/>
      <c r="EV508" s="210"/>
      <c r="EW508" s="210"/>
      <c r="EX508" s="210"/>
      <c r="EY508" s="210"/>
      <c r="EZ508" s="210"/>
      <c r="FA508" s="210"/>
      <c r="FB508" s="210"/>
      <c r="FC508" s="210"/>
      <c r="FD508" s="210"/>
      <c r="FE508" s="210"/>
      <c r="FF508" s="210"/>
      <c r="FG508" s="210"/>
      <c r="FH508" s="210"/>
      <c r="HR508" s="120"/>
      <c r="HY508" s="210"/>
      <c r="HZ508" s="210"/>
      <c r="IA508" s="210"/>
      <c r="IB508" s="210"/>
      <c r="IC508" s="210"/>
      <c r="ID508" s="210"/>
      <c r="IE508" s="210"/>
      <c r="IF508" s="210"/>
      <c r="IG508" s="210"/>
      <c r="IH508" s="210"/>
      <c r="II508" s="210"/>
      <c r="IJ508" s="210"/>
      <c r="IK508" s="210"/>
      <c r="IL508" s="210"/>
      <c r="IM508" s="210"/>
      <c r="KW508" s="120"/>
      <c r="LD508" s="210"/>
      <c r="LE508" s="210"/>
      <c r="LF508" s="210"/>
      <c r="LG508" s="210"/>
      <c r="LH508" s="210"/>
      <c r="LI508" s="210"/>
      <c r="LJ508" s="210"/>
      <c r="LK508" s="210"/>
      <c r="LL508" s="210"/>
      <c r="LM508" s="210"/>
      <c r="LN508" s="210"/>
      <c r="LO508" s="210"/>
      <c r="LP508" s="210"/>
      <c r="LQ508" s="210"/>
      <c r="LR508" s="210"/>
      <c r="OB508" s="120"/>
      <c r="OI508" s="210"/>
      <c r="OJ508" s="210"/>
      <c r="OK508" s="210"/>
      <c r="OL508" s="210"/>
      <c r="OM508" s="210"/>
      <c r="ON508" s="210"/>
      <c r="OO508" s="210"/>
      <c r="OP508" s="210"/>
      <c r="OQ508" s="210"/>
      <c r="OR508" s="210"/>
      <c r="OS508" s="210"/>
      <c r="OT508" s="210"/>
      <c r="OU508" s="210"/>
      <c r="OV508" s="210"/>
      <c r="OW508" s="210"/>
      <c r="RG508" s="120"/>
    </row>
    <row r="509" spans="1:475" x14ac:dyDescent="0.3">
      <c r="A509" s="7">
        <v>110</v>
      </c>
      <c r="B509" s="7">
        <v>499</v>
      </c>
      <c r="C509" s="7" t="s">
        <v>276</v>
      </c>
      <c r="D509" s="7" t="s">
        <v>846</v>
      </c>
      <c r="E509" s="7" t="s">
        <v>845</v>
      </c>
      <c r="F509" s="7" t="s">
        <v>274</v>
      </c>
      <c r="G509" s="41" t="str">
        <f t="shared" si="80"/>
        <v>X</v>
      </c>
      <c r="H509" s="41">
        <f>INDEX(환산공식!CI$16:CI$301,MATCH('배치점수 계산기'!$W509,환산공식!$A$16:$A$301,0))</f>
        <v>190</v>
      </c>
      <c r="I509" s="41" t="str">
        <f>CONCATENATE(ROUND(INDEX(환산공식!CJ$16:CJ$301,MATCH('배치점수 계산기'!$W509,환산공식!$A$16:$A$301,0)),1),"%")</f>
        <v>100%</v>
      </c>
      <c r="J509" s="41">
        <f>INDEX(환산공식!CK$16:CK$301,MATCH('배치점수 계산기'!$W509,환산공식!$A$16:$A$301,0))</f>
        <v>10</v>
      </c>
      <c r="K509" s="7">
        <f>INDEX(환산공식!$EF$16:$EF$301,MATCH('배치점수 계산기'!W509,환산공식!$A$16:$A$301,0))</f>
        <v>0</v>
      </c>
      <c r="L509" s="41" t="str">
        <f t="shared" si="78"/>
        <v>1% 이하</v>
      </c>
      <c r="M509" s="7">
        <v>986.06993755816461</v>
      </c>
      <c r="N509" s="7">
        <v>983.82607165501463</v>
      </c>
      <c r="O509" s="7">
        <v>982.87872855562227</v>
      </c>
      <c r="P509" s="7">
        <v>978.39342943570341</v>
      </c>
      <c r="Q509" s="7">
        <v>975.80425728487785</v>
      </c>
      <c r="R509" s="7">
        <f t="shared" si="79"/>
        <v>6</v>
      </c>
      <c r="T509" s="7">
        <f>COUNTIF($C$11:C509,C509)</f>
        <v>262</v>
      </c>
      <c r="U509" s="7" t="str">
        <f t="shared" si="81"/>
        <v>가262</v>
      </c>
      <c r="V509" s="7" t="str">
        <f>INDEX(환산공식!$C$16:$C$301,MATCH('배치점수 계산기'!W509,환산공식!$A$16:$A$301,0))</f>
        <v>울산 의</v>
      </c>
      <c r="W509" s="7">
        <f t="shared" si="82"/>
        <v>110</v>
      </c>
      <c r="X509" s="7">
        <f t="shared" si="83"/>
        <v>1</v>
      </c>
      <c r="Y509" s="7">
        <f>IFERROR(INDEX(환산공식!Q$16:Q$200,MATCH($A509,환산공식!$A$16:$A$200,0)),"")</f>
        <v>1.3422818791946309</v>
      </c>
      <c r="Z509" s="7">
        <f>IFERROR(INDEX(환산공식!R$16:R$200,MATCH($A509,환산공식!$A$16:$A$200,0)),"")</f>
        <v>2.0408163265306123</v>
      </c>
      <c r="AA509" s="7">
        <f>IFERROR(INDEX(환산공식!U$16:U$200,MATCH($A509,환산공식!$A$16:$A$200,0)),"")</f>
        <v>2.1088148460565166</v>
      </c>
      <c r="AB509" s="7">
        <f t="shared" si="84"/>
        <v>0.24441062095095442</v>
      </c>
      <c r="AC509" s="7">
        <f t="shared" si="85"/>
        <v>0.37160390328257353</v>
      </c>
      <c r="AD509" s="7">
        <f t="shared" si="86"/>
        <v>0.38398547576647207</v>
      </c>
      <c r="AE509" s="7">
        <f>INDEX(환산공식!$AF$16:$AF$301,MATCH('배치점수 계산기'!W509,환산공식!$A$16:$A$301,0))</f>
        <v>12</v>
      </c>
      <c r="AF509" s="7">
        <f>INDEX(환산공식!$AP$16:$AP$301,MATCH('배치점수 계산기'!W509,환산공식!$A$16:$A$301,0))</f>
        <v>42</v>
      </c>
      <c r="AG509" s="7" t="str">
        <f t="shared" si="87"/>
        <v>표점/만점</v>
      </c>
      <c r="AH509" s="7" t="str">
        <f t="shared" si="88"/>
        <v>변표/만점</v>
      </c>
      <c r="BO509" s="210"/>
      <c r="BP509" s="210"/>
      <c r="BQ509" s="210"/>
      <c r="BR509" s="210"/>
      <c r="BS509" s="210"/>
      <c r="BT509" s="210"/>
      <c r="BU509" s="210"/>
      <c r="BV509" s="210"/>
      <c r="BW509" s="210"/>
      <c r="BX509" s="210"/>
      <c r="BY509" s="210"/>
      <c r="BZ509" s="210"/>
      <c r="CA509" s="210"/>
      <c r="CB509" s="210"/>
      <c r="CC509" s="210"/>
      <c r="EM509" s="120"/>
      <c r="ET509" s="210"/>
      <c r="EU509" s="210"/>
      <c r="EV509" s="210"/>
      <c r="EW509" s="210"/>
      <c r="EX509" s="210"/>
      <c r="EY509" s="210"/>
      <c r="EZ509" s="210"/>
      <c r="FA509" s="210"/>
      <c r="FB509" s="210"/>
      <c r="FC509" s="210"/>
      <c r="FD509" s="210"/>
      <c r="FE509" s="210"/>
      <c r="FF509" s="210"/>
      <c r="FG509" s="210"/>
      <c r="FH509" s="210"/>
      <c r="HR509" s="120"/>
      <c r="HY509" s="210"/>
      <c r="HZ509" s="210"/>
      <c r="IA509" s="210"/>
      <c r="IB509" s="210"/>
      <c r="IC509" s="210"/>
      <c r="ID509" s="210"/>
      <c r="IE509" s="210"/>
      <c r="IF509" s="210"/>
      <c r="IG509" s="210"/>
      <c r="IH509" s="210"/>
      <c r="II509" s="210"/>
      <c r="IJ509" s="210"/>
      <c r="IK509" s="210"/>
      <c r="IL509" s="210"/>
      <c r="IM509" s="210"/>
      <c r="KW509" s="120"/>
      <c r="LD509" s="210"/>
      <c r="LE509" s="210"/>
      <c r="LF509" s="210"/>
      <c r="LG509" s="210"/>
      <c r="LH509" s="210"/>
      <c r="LI509" s="210"/>
      <c r="LJ509" s="210"/>
      <c r="LK509" s="210"/>
      <c r="LL509" s="210"/>
      <c r="LM509" s="210"/>
      <c r="LN509" s="210"/>
      <c r="LO509" s="210"/>
      <c r="LP509" s="210"/>
      <c r="LQ509" s="210"/>
      <c r="LR509" s="210"/>
      <c r="OB509" s="120"/>
      <c r="OI509" s="210"/>
      <c r="OJ509" s="210"/>
      <c r="OK509" s="210"/>
      <c r="OL509" s="210"/>
      <c r="OM509" s="210"/>
      <c r="ON509" s="210"/>
      <c r="OO509" s="210"/>
      <c r="OP509" s="210"/>
      <c r="OQ509" s="210"/>
      <c r="OR509" s="210"/>
      <c r="OS509" s="210"/>
      <c r="OT509" s="210"/>
      <c r="OU509" s="210"/>
      <c r="OV509" s="210"/>
      <c r="OW509" s="210"/>
      <c r="RG509" s="120"/>
    </row>
    <row r="510" spans="1:475" x14ac:dyDescent="0.3">
      <c r="A510" s="7">
        <v>21</v>
      </c>
      <c r="B510" s="7">
        <v>500</v>
      </c>
      <c r="C510" s="7" t="s">
        <v>276</v>
      </c>
      <c r="D510" s="7" t="s">
        <v>277</v>
      </c>
      <c r="E510" s="7" t="s">
        <v>845</v>
      </c>
      <c r="F510" s="7" t="s">
        <v>274</v>
      </c>
      <c r="G510" s="41" t="str">
        <f t="shared" si="80"/>
        <v>X</v>
      </c>
      <c r="H510" s="41">
        <f>INDEX(환산공식!CI$16:CI$301,MATCH('배치점수 계산기'!$W510,환산공식!$A$16:$A$301,0))</f>
        <v>100</v>
      </c>
      <c r="I510" s="41" t="str">
        <f>CONCATENATE(ROUND(INDEX(환산공식!CJ$16:CJ$301,MATCH('배치점수 계산기'!$W510,환산공식!$A$16:$A$301,0)),1),"%")</f>
        <v>100%</v>
      </c>
      <c r="J510" s="41">
        <f>INDEX(환산공식!CK$16:CK$301,MATCH('배치점수 계산기'!$W510,환산공식!$A$16:$A$301,0))</f>
        <v>10</v>
      </c>
      <c r="K510" s="7">
        <f>INDEX(환산공식!$EF$16:$EF$301,MATCH('배치점수 계산기'!W510,환산공식!$A$16:$A$301,0))</f>
        <v>0</v>
      </c>
      <c r="L510" s="41" t="str">
        <f t="shared" si="78"/>
        <v>1% 이하</v>
      </c>
      <c r="M510" s="7">
        <v>687.6</v>
      </c>
      <c r="N510" s="7">
        <v>686.86674364896066</v>
      </c>
      <c r="O510" s="7">
        <v>683.8</v>
      </c>
      <c r="P510" s="7">
        <v>682.26666666666654</v>
      </c>
      <c r="Q510" s="7">
        <v>681.11668611435243</v>
      </c>
      <c r="R510" s="7">
        <f t="shared" si="79"/>
        <v>6</v>
      </c>
      <c r="T510" s="7">
        <f>COUNTIF($C$11:C510,C510)</f>
        <v>263</v>
      </c>
      <c r="U510" s="7" t="str">
        <f t="shared" si="81"/>
        <v>가263</v>
      </c>
      <c r="V510" s="7" t="str">
        <f>INDEX(환산공식!$C$16:$C$301,MATCH('배치점수 계산기'!W510,환산공식!$A$16:$A$301,0))</f>
        <v>연세대 의</v>
      </c>
      <c r="W510" s="7">
        <f t="shared" si="82"/>
        <v>21</v>
      </c>
      <c r="X510" s="7">
        <f t="shared" si="83"/>
        <v>1</v>
      </c>
      <c r="Y510" s="7">
        <f>IFERROR(INDEX(환산공식!Q$16:Q$200,MATCH($A510,환산공식!$A$16:$A$200,0)),"")</f>
        <v>1</v>
      </c>
      <c r="Z510" s="7">
        <f>IFERROR(INDEX(환산공식!R$16:R$200,MATCH($A510,환산공식!$A$16:$A$200,0)),"")</f>
        <v>1.5</v>
      </c>
      <c r="AA510" s="7">
        <f>IFERROR(INDEX(환산공식!U$16:U$200,MATCH($A510,환산공식!$A$16:$A$200,0)),"")</f>
        <v>1.5</v>
      </c>
      <c r="AB510" s="7">
        <f t="shared" si="84"/>
        <v>0.25</v>
      </c>
      <c r="AC510" s="7">
        <f t="shared" si="85"/>
        <v>0.375</v>
      </c>
      <c r="AD510" s="7">
        <f t="shared" si="86"/>
        <v>0.375</v>
      </c>
      <c r="AE510" s="7">
        <f>INDEX(환산공식!$AF$16:$AF$301,MATCH('배치점수 계산기'!W510,환산공식!$A$16:$A$301,0))</f>
        <v>1</v>
      </c>
      <c r="AF510" s="7">
        <f>INDEX(환산공식!$AP$16:$AP$301,MATCH('배치점수 계산기'!W510,환산공식!$A$16:$A$301,0))</f>
        <v>1</v>
      </c>
      <c r="AG510" s="7" t="str">
        <f t="shared" si="87"/>
        <v>표점</v>
      </c>
      <c r="AH510" s="7" t="str">
        <f t="shared" si="88"/>
        <v>표점</v>
      </c>
      <c r="BO510" s="210"/>
      <c r="BP510" s="210"/>
      <c r="BQ510" s="210"/>
      <c r="BR510" s="210"/>
      <c r="BS510" s="210"/>
      <c r="BT510" s="210"/>
      <c r="BU510" s="210"/>
      <c r="BV510" s="210"/>
      <c r="BW510" s="210"/>
      <c r="BX510" s="210"/>
      <c r="BY510" s="210"/>
      <c r="BZ510" s="210"/>
      <c r="CA510" s="210"/>
      <c r="CB510" s="210"/>
      <c r="CC510" s="210"/>
      <c r="EM510" s="120"/>
      <c r="ET510" s="210"/>
      <c r="EU510" s="210"/>
      <c r="EV510" s="210"/>
      <c r="EW510" s="210"/>
      <c r="EX510" s="210"/>
      <c r="EY510" s="210"/>
      <c r="EZ510" s="210"/>
      <c r="FA510" s="210"/>
      <c r="FB510" s="210"/>
      <c r="FC510" s="210"/>
      <c r="FD510" s="210"/>
      <c r="FE510" s="210"/>
      <c r="FF510" s="210"/>
      <c r="FG510" s="210"/>
      <c r="FH510" s="210"/>
      <c r="HR510" s="120"/>
      <c r="HY510" s="210"/>
      <c r="HZ510" s="210"/>
      <c r="IA510" s="210"/>
      <c r="IB510" s="210"/>
      <c r="IC510" s="210"/>
      <c r="ID510" s="210"/>
      <c r="IE510" s="210"/>
      <c r="IF510" s="210"/>
      <c r="IG510" s="210"/>
      <c r="IH510" s="210"/>
      <c r="II510" s="210"/>
      <c r="IJ510" s="210"/>
      <c r="IK510" s="210"/>
      <c r="IL510" s="210"/>
      <c r="IM510" s="210"/>
      <c r="KW510" s="120"/>
      <c r="LD510" s="210"/>
      <c r="LE510" s="210"/>
      <c r="LF510" s="210"/>
      <c r="LG510" s="210"/>
      <c r="LH510" s="210"/>
      <c r="LI510" s="210"/>
      <c r="LJ510" s="210"/>
      <c r="LK510" s="210"/>
      <c r="LL510" s="210"/>
      <c r="LM510" s="210"/>
      <c r="LN510" s="210"/>
      <c r="LO510" s="210"/>
      <c r="LP510" s="210"/>
      <c r="LQ510" s="210"/>
      <c r="LR510" s="210"/>
      <c r="OB510" s="120"/>
      <c r="OI510" s="210"/>
      <c r="OJ510" s="210"/>
      <c r="OK510" s="210"/>
      <c r="OL510" s="210"/>
      <c r="OM510" s="210"/>
      <c r="ON510" s="210"/>
      <c r="OO510" s="210"/>
      <c r="OP510" s="210"/>
      <c r="OQ510" s="210"/>
      <c r="OR510" s="210"/>
      <c r="OS510" s="210"/>
      <c r="OT510" s="210"/>
      <c r="OU510" s="210"/>
      <c r="OV510" s="210"/>
      <c r="OW510" s="210"/>
      <c r="RG510" s="120"/>
    </row>
    <row r="511" spans="1:475" x14ac:dyDescent="0.3">
      <c r="A511" s="7">
        <v>27</v>
      </c>
      <c r="B511" s="7">
        <v>501</v>
      </c>
      <c r="C511" s="7" t="s">
        <v>276</v>
      </c>
      <c r="D511" s="7" t="s">
        <v>359</v>
      </c>
      <c r="E511" s="7" t="s">
        <v>845</v>
      </c>
      <c r="F511" s="7" t="s">
        <v>274</v>
      </c>
      <c r="G511" s="41" t="str">
        <f t="shared" si="80"/>
        <v>X</v>
      </c>
      <c r="H511" s="41">
        <f>INDEX(환산공식!CI$16:CI$301,MATCH('배치점수 계산기'!$W511,환산공식!$A$16:$A$301,0))</f>
        <v>100</v>
      </c>
      <c r="I511" s="41" t="str">
        <f>CONCATENATE(ROUND(INDEX(환산공식!CJ$16:CJ$301,MATCH('배치점수 계산기'!$W511,환산공식!$A$16:$A$301,0)),1),"%")</f>
        <v>100%</v>
      </c>
      <c r="J511" s="41">
        <f>INDEX(환산공식!CK$16:CK$301,MATCH('배치점수 계산기'!$W511,환산공식!$A$16:$A$301,0))</f>
        <v>0</v>
      </c>
      <c r="K511" s="7">
        <f>INDEX(환산공식!$EF$16:$EF$301,MATCH('배치점수 계산기'!W511,환산공식!$A$16:$A$301,0))</f>
        <v>0</v>
      </c>
      <c r="L511" s="41" t="str">
        <f t="shared" si="78"/>
        <v>1% 이하</v>
      </c>
      <c r="M511" s="7">
        <v>980.63005839881669</v>
      </c>
      <c r="N511" s="7">
        <v>974.2973377725516</v>
      </c>
      <c r="O511" s="7">
        <v>973.52292121057678</v>
      </c>
      <c r="P511" s="7">
        <v>971.86176681971392</v>
      </c>
      <c r="Q511" s="7">
        <v>970.0856268207732</v>
      </c>
      <c r="R511" s="7">
        <f t="shared" si="79"/>
        <v>6</v>
      </c>
      <c r="T511" s="7">
        <f>COUNTIF($C$11:C511,C511)</f>
        <v>264</v>
      </c>
      <c r="U511" s="7" t="str">
        <f t="shared" si="81"/>
        <v>가264</v>
      </c>
      <c r="V511" s="7" t="str">
        <f>INDEX(환산공식!$C$16:$C$301,MATCH('배치점수 계산기'!W511,환산공식!$A$16:$A$301,0))</f>
        <v>한양 자연</v>
      </c>
      <c r="W511" s="7">
        <f t="shared" si="82"/>
        <v>27</v>
      </c>
      <c r="X511" s="7">
        <f t="shared" si="83"/>
        <v>1</v>
      </c>
      <c r="Y511" s="7">
        <f>IFERROR(INDEX(환산공식!Q$16:Q$200,MATCH($A511,환산공식!$A$16:$A$200,0)),"")</f>
        <v>1.3422818791946309</v>
      </c>
      <c r="Z511" s="7">
        <f>IFERROR(INDEX(환산공식!R$16:R$200,MATCH($A511,환산공식!$A$16:$A$200,0)),"")</f>
        <v>2.3809523809523809</v>
      </c>
      <c r="AA511" s="7">
        <f>IFERROR(INDEX(환산공식!U$16:U$200,MATCH($A511,환산공식!$A$16:$A$200,0)),"")</f>
        <v>2.4602839870659357</v>
      </c>
      <c r="AB511" s="7">
        <f t="shared" si="84"/>
        <v>0.21707413571547685</v>
      </c>
      <c r="AC511" s="7">
        <f t="shared" si="85"/>
        <v>0.38504816930483388</v>
      </c>
      <c r="AD511" s="7">
        <f t="shared" si="86"/>
        <v>0.39787769497968917</v>
      </c>
      <c r="AE511" s="7">
        <f>INDEX(환산공식!$AF$16:$AF$301,MATCH('배치점수 계산기'!W511,환산공식!$A$16:$A$301,0))</f>
        <v>12</v>
      </c>
      <c r="AF511" s="7">
        <f>INDEX(환산공식!$AP$16:$AP$301,MATCH('배치점수 계산기'!W511,환산공식!$A$16:$A$301,0))</f>
        <v>42</v>
      </c>
      <c r="AG511" s="7" t="str">
        <f t="shared" si="87"/>
        <v>표점/만점</v>
      </c>
      <c r="AH511" s="7" t="str">
        <f t="shared" si="88"/>
        <v>변표/만점</v>
      </c>
      <c r="BO511" s="210"/>
      <c r="BP511" s="210"/>
      <c r="BQ511" s="210"/>
      <c r="BR511" s="210"/>
      <c r="BS511" s="210"/>
      <c r="BT511" s="210"/>
      <c r="BU511" s="210"/>
      <c r="BV511" s="210"/>
      <c r="BW511" s="210"/>
      <c r="BX511" s="210"/>
      <c r="BY511" s="210"/>
      <c r="BZ511" s="210"/>
      <c r="CA511" s="210"/>
      <c r="CB511" s="210"/>
      <c r="CC511" s="210"/>
      <c r="EM511" s="120"/>
      <c r="ET511" s="210"/>
      <c r="EU511" s="210"/>
      <c r="EV511" s="210"/>
      <c r="EW511" s="210"/>
      <c r="EX511" s="210"/>
      <c r="EY511" s="210"/>
      <c r="EZ511" s="210"/>
      <c r="FA511" s="210"/>
      <c r="FB511" s="210"/>
      <c r="FC511" s="210"/>
      <c r="FD511" s="210"/>
      <c r="FE511" s="210"/>
      <c r="FF511" s="210"/>
      <c r="FG511" s="210"/>
      <c r="FH511" s="210"/>
      <c r="HR511" s="120"/>
      <c r="HY511" s="210"/>
      <c r="HZ511" s="210"/>
      <c r="IA511" s="210"/>
      <c r="IB511" s="210"/>
      <c r="IC511" s="210"/>
      <c r="ID511" s="210"/>
      <c r="IE511" s="210"/>
      <c r="IF511" s="210"/>
      <c r="IG511" s="210"/>
      <c r="IH511" s="210"/>
      <c r="II511" s="210"/>
      <c r="IJ511" s="210"/>
      <c r="IK511" s="210"/>
      <c r="IL511" s="210"/>
      <c r="IM511" s="210"/>
      <c r="KW511" s="120"/>
      <c r="LD511" s="210"/>
      <c r="LE511" s="210"/>
      <c r="LF511" s="210"/>
      <c r="LG511" s="210"/>
      <c r="LH511" s="210"/>
      <c r="LI511" s="210"/>
      <c r="LJ511" s="210"/>
      <c r="LK511" s="210"/>
      <c r="LL511" s="210"/>
      <c r="LM511" s="210"/>
      <c r="LN511" s="210"/>
      <c r="LO511" s="210"/>
      <c r="LP511" s="210"/>
      <c r="LQ511" s="210"/>
      <c r="LR511" s="210"/>
      <c r="OB511" s="120"/>
      <c r="OI511" s="210"/>
      <c r="OJ511" s="210"/>
      <c r="OK511" s="210"/>
      <c r="OL511" s="210"/>
      <c r="OM511" s="210"/>
      <c r="ON511" s="210"/>
      <c r="OO511" s="210"/>
      <c r="OP511" s="210"/>
      <c r="OQ511" s="210"/>
      <c r="OR511" s="210"/>
      <c r="OS511" s="210"/>
      <c r="OT511" s="210"/>
      <c r="OU511" s="210"/>
      <c r="OV511" s="210"/>
      <c r="OW511" s="210"/>
      <c r="RG511" s="120"/>
    </row>
    <row r="512" spans="1:475" x14ac:dyDescent="0.3">
      <c r="A512" s="7">
        <v>66</v>
      </c>
      <c r="B512" s="7">
        <v>502</v>
      </c>
      <c r="C512" s="7" t="s">
        <v>276</v>
      </c>
      <c r="D512" s="7" t="s">
        <v>679</v>
      </c>
      <c r="E512" s="7" t="s">
        <v>845</v>
      </c>
      <c r="F512" s="7" t="s">
        <v>274</v>
      </c>
      <c r="G512" s="41" t="str">
        <f t="shared" si="80"/>
        <v>X</v>
      </c>
      <c r="H512" s="41">
        <f>INDEX(환산공식!CI$16:CI$301,MATCH('배치점수 계산기'!$W512,환산공식!$A$16:$A$301,0))</f>
        <v>78.400000000000006</v>
      </c>
      <c r="I512" s="41" t="str">
        <f>CONCATENATE(ROUND(INDEX(환산공식!CJ$16:CJ$301,MATCH('배치점수 계산기'!$W512,환산공식!$A$16:$A$301,0)),1),"%")</f>
        <v>100%</v>
      </c>
      <c r="J512" s="41">
        <f>INDEX(환산공식!CK$16:CK$301,MATCH('배치점수 계산기'!$W512,환산공식!$A$16:$A$301,0))</f>
        <v>0</v>
      </c>
      <c r="K512" s="7">
        <f>INDEX(환산공식!$EF$16:$EF$301,MATCH('배치점수 계산기'!W512,환산공식!$A$16:$A$301,0))</f>
        <v>0</v>
      </c>
      <c r="L512" s="41" t="str">
        <f t="shared" si="78"/>
        <v>1% 이하</v>
      </c>
      <c r="M512" s="7">
        <v>397.15</v>
      </c>
      <c r="N512" s="7">
        <v>396.86</v>
      </c>
      <c r="O512" s="7">
        <v>396.74</v>
      </c>
      <c r="P512" s="7">
        <v>395.90999999999997</v>
      </c>
      <c r="Q512" s="7">
        <v>395.04999999999995</v>
      </c>
      <c r="R512" s="7">
        <f t="shared" si="79"/>
        <v>6</v>
      </c>
      <c r="T512" s="7">
        <f>COUNTIF($C$11:C512,C512)</f>
        <v>265</v>
      </c>
      <c r="U512" s="7" t="str">
        <f t="shared" si="81"/>
        <v>가265</v>
      </c>
      <c r="V512" s="7" t="str">
        <f>INDEX(환산공식!$C$16:$C$301,MATCH('배치점수 계산기'!W512,환산공식!$A$16:$A$301,0))</f>
        <v>가천 의약</v>
      </c>
      <c r="W512" s="7">
        <f t="shared" si="82"/>
        <v>66</v>
      </c>
      <c r="X512" s="7">
        <f t="shared" si="83"/>
        <v>1</v>
      </c>
      <c r="Y512" s="7">
        <f>IFERROR(INDEX(환산공식!Q$16:Q$200,MATCH($A512,환산공식!$A$16:$A$200,0)),"")</f>
        <v>1</v>
      </c>
      <c r="Z512" s="7">
        <f>IFERROR(INDEX(환산공식!R$16:R$200,MATCH($A512,환산공식!$A$16:$A$200,0)),"")</f>
        <v>1.2</v>
      </c>
      <c r="AA512" s="7">
        <f>IFERROR(INDEX(환산공식!U$16:U$200,MATCH($A512,환산공식!$A$16:$A$200,0)),"")</f>
        <v>1</v>
      </c>
      <c r="AB512" s="7">
        <f t="shared" si="84"/>
        <v>0.3125</v>
      </c>
      <c r="AC512" s="7">
        <f t="shared" si="85"/>
        <v>0.37499999999999994</v>
      </c>
      <c r="AD512" s="7">
        <f t="shared" si="86"/>
        <v>0.3125</v>
      </c>
      <c r="AE512" s="7">
        <f>INDEX(환산공식!$AF$16:$AF$301,MATCH('배치점수 계산기'!W512,환산공식!$A$16:$A$301,0))</f>
        <v>2</v>
      </c>
      <c r="AF512" s="7">
        <f>INDEX(환산공식!$AP$16:$AP$301,MATCH('배치점수 계산기'!W512,환산공식!$A$16:$A$301,0))</f>
        <v>2</v>
      </c>
      <c r="AG512" s="7" t="str">
        <f t="shared" si="87"/>
        <v>백분위</v>
      </c>
      <c r="AH512" s="7" t="str">
        <f t="shared" si="88"/>
        <v>백분위</v>
      </c>
      <c r="BO512" s="210"/>
      <c r="BP512" s="210"/>
      <c r="BQ512" s="210"/>
      <c r="BR512" s="210"/>
      <c r="BS512" s="210"/>
      <c r="BT512" s="210"/>
      <c r="BU512" s="210"/>
      <c r="BV512" s="210"/>
      <c r="BW512" s="210"/>
      <c r="BX512" s="210"/>
      <c r="BY512" s="210"/>
      <c r="BZ512" s="210"/>
      <c r="CA512" s="210"/>
      <c r="CB512" s="210"/>
      <c r="CC512" s="210"/>
      <c r="EM512" s="120"/>
      <c r="ET512" s="210"/>
      <c r="EU512" s="210"/>
      <c r="EV512" s="210"/>
      <c r="EW512" s="210"/>
      <c r="EX512" s="210"/>
      <c r="EY512" s="210"/>
      <c r="EZ512" s="210"/>
      <c r="FA512" s="210"/>
      <c r="FB512" s="210"/>
      <c r="FC512" s="210"/>
      <c r="FD512" s="210"/>
      <c r="FE512" s="210"/>
      <c r="FF512" s="210"/>
      <c r="FG512" s="210"/>
      <c r="FH512" s="210"/>
      <c r="HR512" s="120"/>
      <c r="HY512" s="210"/>
      <c r="HZ512" s="210"/>
      <c r="IA512" s="210"/>
      <c r="IB512" s="210"/>
      <c r="IC512" s="210"/>
      <c r="ID512" s="210"/>
      <c r="IE512" s="210"/>
      <c r="IF512" s="210"/>
      <c r="IG512" s="210"/>
      <c r="IH512" s="210"/>
      <c r="II512" s="210"/>
      <c r="IJ512" s="210"/>
      <c r="IK512" s="210"/>
      <c r="IL512" s="210"/>
      <c r="IM512" s="210"/>
      <c r="KW512" s="120"/>
      <c r="LD512" s="210"/>
      <c r="LE512" s="210"/>
      <c r="LF512" s="210"/>
      <c r="LG512" s="210"/>
      <c r="LH512" s="210"/>
      <c r="LI512" s="210"/>
      <c r="LJ512" s="210"/>
      <c r="LK512" s="210"/>
      <c r="LL512" s="210"/>
      <c r="LM512" s="210"/>
      <c r="LN512" s="210"/>
      <c r="LO512" s="210"/>
      <c r="LP512" s="210"/>
      <c r="LQ512" s="210"/>
      <c r="LR512" s="210"/>
      <c r="OB512" s="120"/>
      <c r="OI512" s="210"/>
      <c r="OJ512" s="210"/>
      <c r="OK512" s="210"/>
      <c r="OL512" s="210"/>
      <c r="OM512" s="210"/>
      <c r="ON512" s="210"/>
      <c r="OO512" s="210"/>
      <c r="OP512" s="210"/>
      <c r="OQ512" s="210"/>
      <c r="OR512" s="210"/>
      <c r="OS512" s="210"/>
      <c r="OT512" s="210"/>
      <c r="OU512" s="210"/>
      <c r="OV512" s="210"/>
      <c r="OW512" s="210"/>
      <c r="RG512" s="120"/>
    </row>
    <row r="513" spans="1:475" x14ac:dyDescent="0.3">
      <c r="A513" s="7">
        <v>104</v>
      </c>
      <c r="B513" s="7">
        <v>503</v>
      </c>
      <c r="C513" s="7" t="s">
        <v>276</v>
      </c>
      <c r="D513" s="7" t="s">
        <v>712</v>
      </c>
      <c r="E513" s="7" t="s">
        <v>845</v>
      </c>
      <c r="F513" s="7" t="s">
        <v>274</v>
      </c>
      <c r="G513" s="41" t="str">
        <f t="shared" si="80"/>
        <v>X</v>
      </c>
      <c r="H513" s="41">
        <f>INDEX(환산공식!CI$16:CI$301,MATCH('배치점수 계산기'!$W513,환산공식!$A$16:$A$301,0))</f>
        <v>100</v>
      </c>
      <c r="I513" s="41" t="str">
        <f>CONCATENATE(ROUND(INDEX(환산공식!CJ$16:CJ$301,MATCH('배치점수 계산기'!$W513,환산공식!$A$16:$A$301,0)),1),"%")</f>
        <v>100%</v>
      </c>
      <c r="J513" s="41">
        <f>INDEX(환산공식!CK$16:CK$301,MATCH('배치점수 계산기'!$W513,환산공식!$A$16:$A$301,0))</f>
        <v>0</v>
      </c>
      <c r="K513" s="7">
        <f>INDEX(환산공식!$EF$16:$EF$301,MATCH('배치점수 계산기'!W513,환산공식!$A$16:$A$301,0))</f>
        <v>0</v>
      </c>
      <c r="L513" s="41" t="str">
        <f t="shared" si="78"/>
        <v>1% 이하</v>
      </c>
      <c r="M513" s="7">
        <v>974.45542859217767</v>
      </c>
      <c r="N513" s="7">
        <v>973.64985169047236</v>
      </c>
      <c r="O513" s="7">
        <v>972.13865802471776</v>
      </c>
      <c r="P513" s="7">
        <v>970.37872396684372</v>
      </c>
      <c r="Q513" s="7">
        <v>965.3559391208546</v>
      </c>
      <c r="R513" s="7">
        <f t="shared" si="79"/>
        <v>6</v>
      </c>
      <c r="T513" s="7">
        <f>COUNTIF($C$11:C513,C513)</f>
        <v>266</v>
      </c>
      <c r="U513" s="7" t="str">
        <f t="shared" si="81"/>
        <v>가266</v>
      </c>
      <c r="V513" s="7" t="str">
        <f>INDEX(환산공식!$C$16:$C$301,MATCH('배치점수 계산기'!W513,환산공식!$A$16:$A$301,0))</f>
        <v>아주 의</v>
      </c>
      <c r="W513" s="7">
        <f t="shared" si="82"/>
        <v>104</v>
      </c>
      <c r="X513" s="7">
        <f t="shared" si="83"/>
        <v>1</v>
      </c>
      <c r="Y513" s="7">
        <f>IFERROR(INDEX(환산공식!Q$16:Q$200,MATCH($A513,환산공식!$A$16:$A$200,0)),"")</f>
        <v>1.3422818791946309</v>
      </c>
      <c r="Z513" s="7">
        <f>IFERROR(INDEX(환산공식!R$16:R$200,MATCH($A513,환산공식!$A$16:$A$200,0)),"")</f>
        <v>2.7210884353741496</v>
      </c>
      <c r="AA513" s="7">
        <f>IFERROR(INDEX(환산공식!U$16:U$200,MATCH($A513,환산공식!$A$16:$A$200,0)),"")</f>
        <v>2.1088148460565166</v>
      </c>
      <c r="AB513" s="7">
        <f t="shared" si="84"/>
        <v>0.21747271740283403</v>
      </c>
      <c r="AC513" s="7">
        <f t="shared" si="85"/>
        <v>0.44086305976901047</v>
      </c>
      <c r="AD513" s="7">
        <f t="shared" si="86"/>
        <v>0.34166422282815556</v>
      </c>
      <c r="AE513" s="7">
        <f>INDEX(환산공식!$AF$16:$AF$301,MATCH('배치점수 계산기'!W513,환산공식!$A$16:$A$301,0))</f>
        <v>12</v>
      </c>
      <c r="AF513" s="7">
        <f>INDEX(환산공식!$AP$16:$AP$301,MATCH('배치점수 계산기'!W513,환산공식!$A$16:$A$301,0))</f>
        <v>42</v>
      </c>
      <c r="AG513" s="7" t="str">
        <f t="shared" si="87"/>
        <v>표점/만점</v>
      </c>
      <c r="AH513" s="7" t="str">
        <f t="shared" si="88"/>
        <v>변표/만점</v>
      </c>
      <c r="BO513" s="210"/>
      <c r="BP513" s="210"/>
      <c r="BQ513" s="210"/>
      <c r="BR513" s="210"/>
      <c r="BS513" s="210"/>
      <c r="BT513" s="210"/>
      <c r="BU513" s="210"/>
      <c r="BV513" s="210"/>
      <c r="BW513" s="210"/>
      <c r="BX513" s="210"/>
      <c r="BY513" s="210"/>
      <c r="BZ513" s="210"/>
      <c r="CA513" s="210"/>
      <c r="CB513" s="210"/>
      <c r="CC513" s="210"/>
      <c r="EM513" s="120"/>
      <c r="ET513" s="210"/>
      <c r="EU513" s="210"/>
      <c r="EV513" s="210"/>
      <c r="EW513" s="210"/>
      <c r="EX513" s="210"/>
      <c r="EY513" s="210"/>
      <c r="EZ513" s="210"/>
      <c r="FA513" s="210"/>
      <c r="FB513" s="210"/>
      <c r="FC513" s="210"/>
      <c r="FD513" s="210"/>
      <c r="FE513" s="210"/>
      <c r="FF513" s="210"/>
      <c r="FG513" s="210"/>
      <c r="FH513" s="210"/>
      <c r="HR513" s="120"/>
      <c r="HY513" s="210"/>
      <c r="HZ513" s="210"/>
      <c r="IA513" s="210"/>
      <c r="IB513" s="210"/>
      <c r="IC513" s="210"/>
      <c r="ID513" s="210"/>
      <c r="IE513" s="210"/>
      <c r="IF513" s="210"/>
      <c r="IG513" s="210"/>
      <c r="IH513" s="210"/>
      <c r="II513" s="210"/>
      <c r="IJ513" s="210"/>
      <c r="IK513" s="210"/>
      <c r="IL513" s="210"/>
      <c r="IM513" s="210"/>
      <c r="KW513" s="120"/>
      <c r="LD513" s="210"/>
      <c r="LE513" s="210"/>
      <c r="LF513" s="210"/>
      <c r="LG513" s="210"/>
      <c r="LH513" s="210"/>
      <c r="LI513" s="210"/>
      <c r="LJ513" s="210"/>
      <c r="LK513" s="210"/>
      <c r="LL513" s="210"/>
      <c r="LM513" s="210"/>
      <c r="LN513" s="210"/>
      <c r="LO513" s="210"/>
      <c r="LP513" s="210"/>
      <c r="LQ513" s="210"/>
      <c r="LR513" s="210"/>
      <c r="OB513" s="120"/>
      <c r="OI513" s="210"/>
      <c r="OJ513" s="210"/>
      <c r="OK513" s="210"/>
      <c r="OL513" s="210"/>
      <c r="OM513" s="210"/>
      <c r="ON513" s="210"/>
      <c r="OO513" s="210"/>
      <c r="OP513" s="210"/>
      <c r="OQ513" s="210"/>
      <c r="OR513" s="210"/>
      <c r="OS513" s="210"/>
      <c r="OT513" s="210"/>
      <c r="OU513" s="210"/>
      <c r="OV513" s="210"/>
      <c r="OW513" s="210"/>
      <c r="RG513" s="120"/>
    </row>
    <row r="514" spans="1:475" x14ac:dyDescent="0.3">
      <c r="A514" s="7">
        <v>114</v>
      </c>
      <c r="B514" s="7">
        <v>504</v>
      </c>
      <c r="C514" s="7" t="s">
        <v>276</v>
      </c>
      <c r="D514" s="7" t="s">
        <v>847</v>
      </c>
      <c r="E514" s="7" t="s">
        <v>845</v>
      </c>
      <c r="F514" s="7" t="s">
        <v>274</v>
      </c>
      <c r="G514" s="41" t="str">
        <f t="shared" si="80"/>
        <v>X</v>
      </c>
      <c r="H514" s="41">
        <f>INDEX(환산공식!CI$16:CI$301,MATCH('배치점수 계산기'!$W514,환산공식!$A$16:$A$301,0))</f>
        <v>135</v>
      </c>
      <c r="I514" s="41" t="str">
        <f>CONCATENATE(ROUND(INDEX(환산공식!CJ$16:CJ$301,MATCH('배치점수 계산기'!$W514,환산공식!$A$16:$A$301,0)),1),"%")</f>
        <v>100%</v>
      </c>
      <c r="J514" s="41">
        <f>INDEX(환산공식!CK$16:CK$301,MATCH('배치점수 계산기'!$W514,환산공식!$A$16:$A$301,0))</f>
        <v>0</v>
      </c>
      <c r="K514" s="7">
        <f>INDEX(환산공식!$EF$16:$EF$301,MATCH('배치점수 계산기'!W514,환산공식!$A$16:$A$301,0))</f>
        <v>0</v>
      </c>
      <c r="L514" s="41" t="str">
        <f t="shared" si="78"/>
        <v>1% 이하</v>
      </c>
      <c r="M514" s="7">
        <v>563.4</v>
      </c>
      <c r="N514" s="7">
        <v>560.5</v>
      </c>
      <c r="O514" s="7">
        <v>560.30000000000007</v>
      </c>
      <c r="P514" s="7">
        <v>558.40000000000009</v>
      </c>
      <c r="Q514" s="7">
        <v>556.59999999999991</v>
      </c>
      <c r="R514" s="7">
        <f t="shared" si="79"/>
        <v>6</v>
      </c>
      <c r="T514" s="7">
        <f>COUNTIF($C$11:C514,C514)</f>
        <v>267</v>
      </c>
      <c r="U514" s="7" t="str">
        <f t="shared" si="81"/>
        <v>가267</v>
      </c>
      <c r="V514" s="7" t="str">
        <f>INDEX(환산공식!$C$16:$C$301,MATCH('배치점수 계산기'!W514,환산공식!$A$16:$A$301,0))</f>
        <v>인제 의</v>
      </c>
      <c r="W514" s="7">
        <f t="shared" si="82"/>
        <v>114</v>
      </c>
      <c r="X514" s="7">
        <f t="shared" si="83"/>
        <v>1</v>
      </c>
      <c r="Y514" s="7">
        <f>IFERROR(INDEX(환산공식!Q$16:Q$200,MATCH($A514,환산공식!$A$16:$A$200,0)),"")</f>
        <v>1</v>
      </c>
      <c r="Z514" s="7">
        <f>IFERROR(INDEX(환산공식!R$16:R$200,MATCH($A514,환산공식!$A$16:$A$200,0)),"")</f>
        <v>1</v>
      </c>
      <c r="AA514" s="7">
        <f>IFERROR(INDEX(환산공식!U$16:U$200,MATCH($A514,환산공식!$A$16:$A$200,0)),"")</f>
        <v>1</v>
      </c>
      <c r="AB514" s="7">
        <f t="shared" si="84"/>
        <v>0.33333333333333331</v>
      </c>
      <c r="AC514" s="7">
        <f t="shared" si="85"/>
        <v>0.33333333333333331</v>
      </c>
      <c r="AD514" s="7">
        <f t="shared" si="86"/>
        <v>0.33333333333333331</v>
      </c>
      <c r="AE514" s="7">
        <f>INDEX(환산공식!$AF$16:$AF$301,MATCH('배치점수 계산기'!W514,환산공식!$A$16:$A$301,0))</f>
        <v>1</v>
      </c>
      <c r="AF514" s="7">
        <f>INDEX(환산공식!$AP$16:$AP$301,MATCH('배치점수 계산기'!W514,환산공식!$A$16:$A$301,0))</f>
        <v>1</v>
      </c>
      <c r="AG514" s="7" t="str">
        <f t="shared" si="87"/>
        <v>표점</v>
      </c>
      <c r="AH514" s="7" t="str">
        <f t="shared" si="88"/>
        <v>표점</v>
      </c>
      <c r="BO514" s="210"/>
      <c r="BP514" s="210"/>
      <c r="BQ514" s="210"/>
      <c r="BR514" s="210"/>
      <c r="BS514" s="210"/>
      <c r="BT514" s="210"/>
      <c r="BU514" s="210"/>
      <c r="BV514" s="210"/>
      <c r="BW514" s="210"/>
      <c r="BX514" s="210"/>
      <c r="BY514" s="210"/>
      <c r="BZ514" s="210"/>
      <c r="CA514" s="210"/>
      <c r="CB514" s="210"/>
      <c r="CC514" s="210"/>
      <c r="EM514" s="120"/>
      <c r="ET514" s="210"/>
      <c r="EU514" s="210"/>
      <c r="EV514" s="210"/>
      <c r="EW514" s="210"/>
      <c r="EX514" s="210"/>
      <c r="EY514" s="210"/>
      <c r="EZ514" s="210"/>
      <c r="FA514" s="210"/>
      <c r="FB514" s="210"/>
      <c r="FC514" s="210"/>
      <c r="FD514" s="210"/>
      <c r="FE514" s="210"/>
      <c r="FF514" s="210"/>
      <c r="FG514" s="210"/>
      <c r="FH514" s="210"/>
      <c r="HR514" s="120"/>
      <c r="HY514" s="210"/>
      <c r="HZ514" s="210"/>
      <c r="IA514" s="210"/>
      <c r="IB514" s="210"/>
      <c r="IC514" s="210"/>
      <c r="ID514" s="210"/>
      <c r="IE514" s="210"/>
      <c r="IF514" s="210"/>
      <c r="IG514" s="210"/>
      <c r="IH514" s="210"/>
      <c r="II514" s="210"/>
      <c r="IJ514" s="210"/>
      <c r="IK514" s="210"/>
      <c r="IL514" s="210"/>
      <c r="IM514" s="210"/>
      <c r="KW514" s="120"/>
      <c r="LD514" s="210"/>
      <c r="LE514" s="210"/>
      <c r="LF514" s="210"/>
      <c r="LG514" s="210"/>
      <c r="LH514" s="210"/>
      <c r="LI514" s="210"/>
      <c r="LJ514" s="210"/>
      <c r="LK514" s="210"/>
      <c r="LL514" s="210"/>
      <c r="LM514" s="210"/>
      <c r="LN514" s="210"/>
      <c r="LO514" s="210"/>
      <c r="LP514" s="210"/>
      <c r="LQ514" s="210"/>
      <c r="LR514" s="210"/>
      <c r="OB514" s="120"/>
      <c r="OI514" s="210"/>
      <c r="OJ514" s="210"/>
      <c r="OK514" s="210"/>
      <c r="OL514" s="210"/>
      <c r="OM514" s="210"/>
      <c r="ON514" s="210"/>
      <c r="OO514" s="210"/>
      <c r="OP514" s="210"/>
      <c r="OQ514" s="210"/>
      <c r="OR514" s="210"/>
      <c r="OS514" s="210"/>
      <c r="OT514" s="210"/>
      <c r="OU514" s="210"/>
      <c r="OV514" s="210"/>
      <c r="OW514" s="210"/>
      <c r="RG514" s="120"/>
    </row>
    <row r="515" spans="1:475" x14ac:dyDescent="0.3">
      <c r="A515" s="7">
        <v>73</v>
      </c>
      <c r="B515" s="7">
        <v>505</v>
      </c>
      <c r="C515" s="7" t="s">
        <v>276</v>
      </c>
      <c r="D515" s="7" t="s">
        <v>706</v>
      </c>
      <c r="E515" s="7" t="s">
        <v>845</v>
      </c>
      <c r="F515" s="7" t="s">
        <v>274</v>
      </c>
      <c r="G515" s="41" t="str">
        <f t="shared" si="80"/>
        <v>X</v>
      </c>
      <c r="H515" s="41">
        <f>INDEX(환산공식!CI$16:CI$301,MATCH('배치점수 계산기'!$W515,환산공식!$A$16:$A$301,0))</f>
        <v>125</v>
      </c>
      <c r="I515" s="41" t="str">
        <f>CONCATENATE(ROUND(INDEX(환산공식!CJ$16:CJ$301,MATCH('배치점수 계산기'!$W515,환산공식!$A$16:$A$301,0)),1),"%")</f>
        <v>100%</v>
      </c>
      <c r="J515" s="41">
        <f>INDEX(환산공식!CK$16:CK$301,MATCH('배치점수 계산기'!$W515,환산공식!$A$16:$A$301,0))</f>
        <v>10</v>
      </c>
      <c r="K515" s="7">
        <f>INDEX(환산공식!$EF$16:$EF$301,MATCH('배치점수 계산기'!W515,환산공식!$A$16:$A$301,0))</f>
        <v>0</v>
      </c>
      <c r="L515" s="41" t="str">
        <f t="shared" si="78"/>
        <v>1% 이하</v>
      </c>
      <c r="M515" s="7">
        <v>758.55375000000004</v>
      </c>
      <c r="N515" s="7">
        <v>756.90267336624368</v>
      </c>
      <c r="O515" s="7">
        <v>754.28965198863636</v>
      </c>
      <c r="P515" s="7">
        <v>751.27382262271772</v>
      </c>
      <c r="Q515" s="7">
        <v>748.42124999999999</v>
      </c>
      <c r="R515" s="7">
        <f t="shared" si="79"/>
        <v>6</v>
      </c>
      <c r="T515" s="7">
        <f>COUNTIF($C$11:C515,C515)</f>
        <v>268</v>
      </c>
      <c r="U515" s="7" t="str">
        <f t="shared" si="81"/>
        <v>가268</v>
      </c>
      <c r="V515" s="7" t="str">
        <f>INDEX(환산공식!$C$16:$C$301,MATCH('배치점수 계산기'!W515,환산공식!$A$16:$A$301,0))</f>
        <v>경북 의치약수</v>
      </c>
      <c r="W515" s="7">
        <f t="shared" si="82"/>
        <v>73</v>
      </c>
      <c r="X515" s="7">
        <f t="shared" si="83"/>
        <v>1</v>
      </c>
      <c r="Y515" s="7">
        <f>IFERROR(INDEX(환산공식!Q$16:Q$200,MATCH($A515,환산공식!$A$16:$A$200,0)),"")</f>
        <v>1.25</v>
      </c>
      <c r="Z515" s="7">
        <f>IFERROR(INDEX(환산공식!R$16:R$200,MATCH($A515,환산공식!$A$16:$A$200,0)),"")</f>
        <v>1.875</v>
      </c>
      <c r="AA515" s="7">
        <f>IFERROR(INDEX(환산공식!U$16:U$200,MATCH($A515,환산공식!$A$16:$A$200,0)),"")</f>
        <v>1.25</v>
      </c>
      <c r="AB515" s="7">
        <f t="shared" si="84"/>
        <v>0.2857142857142857</v>
      </c>
      <c r="AC515" s="7">
        <f t="shared" si="85"/>
        <v>0.42857142857142855</v>
      </c>
      <c r="AD515" s="7">
        <f t="shared" si="86"/>
        <v>0.2857142857142857</v>
      </c>
      <c r="AE515" s="7">
        <f>INDEX(환산공식!$AF$16:$AF$301,MATCH('배치점수 계산기'!W515,환산공식!$A$16:$A$301,0))</f>
        <v>1</v>
      </c>
      <c r="AF515" s="7">
        <f>INDEX(환산공식!$AP$16:$AP$301,MATCH('배치점수 계산기'!W515,환산공식!$A$16:$A$301,0))</f>
        <v>4</v>
      </c>
      <c r="AG515" s="7" t="str">
        <f t="shared" si="87"/>
        <v>표점</v>
      </c>
      <c r="AH515" s="7" t="str">
        <f t="shared" si="88"/>
        <v>변표</v>
      </c>
      <c r="BO515" s="210"/>
      <c r="BP515" s="210"/>
      <c r="BQ515" s="210"/>
      <c r="BR515" s="210"/>
      <c r="BS515" s="210"/>
      <c r="BT515" s="210"/>
      <c r="BU515" s="210"/>
      <c r="BV515" s="210"/>
      <c r="BW515" s="210"/>
      <c r="BX515" s="210"/>
      <c r="BY515" s="210"/>
      <c r="BZ515" s="210"/>
      <c r="CA515" s="210"/>
      <c r="CB515" s="210"/>
      <c r="CC515" s="210"/>
      <c r="EM515" s="120"/>
      <c r="ET515" s="210"/>
      <c r="EU515" s="210"/>
      <c r="EV515" s="210"/>
      <c r="EW515" s="210"/>
      <c r="EX515" s="210"/>
      <c r="EY515" s="210"/>
      <c r="EZ515" s="210"/>
      <c r="FA515" s="210"/>
      <c r="FB515" s="210"/>
      <c r="FC515" s="210"/>
      <c r="FD515" s="210"/>
      <c r="FE515" s="210"/>
      <c r="FF515" s="210"/>
      <c r="FG515" s="210"/>
      <c r="FH515" s="210"/>
      <c r="HR515" s="120"/>
      <c r="HY515" s="210"/>
      <c r="HZ515" s="210"/>
      <c r="IA515" s="210"/>
      <c r="IB515" s="210"/>
      <c r="IC515" s="210"/>
      <c r="ID515" s="210"/>
      <c r="IE515" s="210"/>
      <c r="IF515" s="210"/>
      <c r="IG515" s="210"/>
      <c r="IH515" s="210"/>
      <c r="II515" s="210"/>
      <c r="IJ515" s="210"/>
      <c r="IK515" s="210"/>
      <c r="IL515" s="210"/>
      <c r="IM515" s="210"/>
      <c r="KW515" s="120"/>
      <c r="LD515" s="210"/>
      <c r="LE515" s="210"/>
      <c r="LF515" s="210"/>
      <c r="LG515" s="210"/>
      <c r="LH515" s="210"/>
      <c r="LI515" s="210"/>
      <c r="LJ515" s="210"/>
      <c r="LK515" s="210"/>
      <c r="LL515" s="210"/>
      <c r="LM515" s="210"/>
      <c r="LN515" s="210"/>
      <c r="LO515" s="210"/>
      <c r="LP515" s="210"/>
      <c r="LQ515" s="210"/>
      <c r="LR515" s="210"/>
      <c r="OB515" s="120"/>
      <c r="OI515" s="210"/>
      <c r="OJ515" s="210"/>
      <c r="OK515" s="210"/>
      <c r="OL515" s="210"/>
      <c r="OM515" s="210"/>
      <c r="ON515" s="210"/>
      <c r="OO515" s="210"/>
      <c r="OP515" s="210"/>
      <c r="OQ515" s="210"/>
      <c r="OR515" s="210"/>
      <c r="OS515" s="210"/>
      <c r="OT515" s="210"/>
      <c r="OU515" s="210"/>
      <c r="OV515" s="210"/>
      <c r="OW515" s="210"/>
      <c r="RG515" s="120"/>
    </row>
    <row r="516" spans="1:475" x14ac:dyDescent="0.3">
      <c r="A516" s="7">
        <v>125</v>
      </c>
      <c r="B516" s="7">
        <v>506</v>
      </c>
      <c r="C516" s="7" t="s">
        <v>276</v>
      </c>
      <c r="D516" s="7" t="s">
        <v>707</v>
      </c>
      <c r="E516" s="7" t="s">
        <v>845</v>
      </c>
      <c r="F516" s="7" t="s">
        <v>274</v>
      </c>
      <c r="G516" s="41" t="str">
        <f t="shared" si="80"/>
        <v>X</v>
      </c>
      <c r="H516" s="41">
        <f>INDEX(환산공식!CI$16:CI$301,MATCH('배치점수 계산기'!$W516,환산공식!$A$16:$A$301,0))</f>
        <v>0</v>
      </c>
      <c r="I516" s="41" t="e">
        <f>CONCATENATE(ROUND(INDEX(환산공식!CJ$16:CJ$301,MATCH('배치점수 계산기'!$W516,환산공식!$A$16:$A$301,0)),1),"%")</f>
        <v>#DIV/0!</v>
      </c>
      <c r="J516" s="41">
        <f>INDEX(환산공식!CK$16:CK$301,MATCH('배치점수 계산기'!$W516,환산공식!$A$16:$A$301,0))</f>
        <v>0</v>
      </c>
      <c r="K516" s="7">
        <f>INDEX(환산공식!$EF$16:$EF$301,MATCH('배치점수 계산기'!W516,환산공식!$A$16:$A$301,0))</f>
        <v>0</v>
      </c>
      <c r="L516" s="41" t="str">
        <f t="shared" si="78"/>
        <v>1% 이하</v>
      </c>
      <c r="M516" s="7">
        <v>213.82935000000006</v>
      </c>
      <c r="N516" s="7">
        <v>213.23746593794078</v>
      </c>
      <c r="O516" s="7">
        <v>212.34423920454549</v>
      </c>
      <c r="P516" s="7">
        <v>211.28608385107896</v>
      </c>
      <c r="Q516" s="7">
        <v>210.33165000000002</v>
      </c>
      <c r="R516" s="7">
        <f t="shared" si="79"/>
        <v>6</v>
      </c>
      <c r="T516" s="7">
        <f>COUNTIF($C$11:C516,C516)</f>
        <v>269</v>
      </c>
      <c r="U516" s="7" t="str">
        <f t="shared" si="81"/>
        <v>가269</v>
      </c>
      <c r="V516" s="7" t="str">
        <f>INDEX(환산공식!$C$16:$C$301,MATCH('배치점수 계산기'!W516,환산공식!$A$16:$A$301,0))</f>
        <v>충남 의약수</v>
      </c>
      <c r="W516" s="7">
        <f t="shared" si="82"/>
        <v>125</v>
      </c>
      <c r="X516" s="7">
        <f t="shared" si="83"/>
        <v>1</v>
      </c>
      <c r="Y516" s="7">
        <f>IFERROR(INDEX(환산공식!Q$16:Q$200,MATCH($A516,환산공식!$A$16:$A$200,0)),"")</f>
        <v>0.375</v>
      </c>
      <c r="Z516" s="7">
        <f>IFERROR(INDEX(환산공식!R$16:R$200,MATCH($A516,환산공식!$A$16:$A$200,0)),"")</f>
        <v>0.67500000000000004</v>
      </c>
      <c r="AA516" s="7">
        <f>IFERROR(INDEX(환산공식!U$16:U$200,MATCH($A516,환산공식!$A$16:$A$200,0)),"")</f>
        <v>0.45</v>
      </c>
      <c r="AB516" s="7">
        <f t="shared" si="84"/>
        <v>0.25</v>
      </c>
      <c r="AC516" s="7">
        <f t="shared" si="85"/>
        <v>0.45</v>
      </c>
      <c r="AD516" s="7">
        <f t="shared" si="86"/>
        <v>0.3</v>
      </c>
      <c r="AE516" s="7">
        <f>INDEX(환산공식!$AF$16:$AF$301,MATCH('배치점수 계산기'!W516,환산공식!$A$16:$A$301,0))</f>
        <v>1</v>
      </c>
      <c r="AF516" s="7">
        <f>INDEX(환산공식!$AP$16:$AP$301,MATCH('배치점수 계산기'!W516,환산공식!$A$16:$A$301,0))</f>
        <v>4</v>
      </c>
      <c r="AG516" s="7" t="str">
        <f t="shared" si="87"/>
        <v>표점</v>
      </c>
      <c r="AH516" s="7" t="str">
        <f t="shared" si="88"/>
        <v>변표</v>
      </c>
      <c r="BO516" s="210"/>
      <c r="BP516" s="210"/>
      <c r="BQ516" s="210"/>
      <c r="BR516" s="210"/>
      <c r="BS516" s="210"/>
      <c r="BT516" s="210"/>
      <c r="BU516" s="210"/>
      <c r="BV516" s="210"/>
      <c r="BW516" s="210"/>
      <c r="BX516" s="210"/>
      <c r="BY516" s="210"/>
      <c r="BZ516" s="210"/>
      <c r="CA516" s="210"/>
      <c r="CB516" s="210"/>
      <c r="CC516" s="210"/>
      <c r="EM516" s="120"/>
      <c r="ET516" s="210"/>
      <c r="EU516" s="210"/>
      <c r="EV516" s="210"/>
      <c r="EW516" s="210"/>
      <c r="EX516" s="210"/>
      <c r="EY516" s="210"/>
      <c r="EZ516" s="210"/>
      <c r="FA516" s="210"/>
      <c r="FB516" s="210"/>
      <c r="FC516" s="210"/>
      <c r="FD516" s="210"/>
      <c r="FE516" s="210"/>
      <c r="FF516" s="210"/>
      <c r="FG516" s="210"/>
      <c r="FH516" s="210"/>
      <c r="HR516" s="120"/>
      <c r="HY516" s="210"/>
      <c r="HZ516" s="210"/>
      <c r="IA516" s="210"/>
      <c r="IB516" s="210"/>
      <c r="IC516" s="210"/>
      <c r="ID516" s="210"/>
      <c r="IE516" s="210"/>
      <c r="IF516" s="210"/>
      <c r="IG516" s="210"/>
      <c r="IH516" s="210"/>
      <c r="II516" s="210"/>
      <c r="IJ516" s="210"/>
      <c r="IK516" s="210"/>
      <c r="IL516" s="210"/>
      <c r="IM516" s="210"/>
      <c r="KW516" s="120"/>
      <c r="LD516" s="210"/>
      <c r="LE516" s="210"/>
      <c r="LF516" s="210"/>
      <c r="LG516" s="210"/>
      <c r="LH516" s="210"/>
      <c r="LI516" s="210"/>
      <c r="LJ516" s="210"/>
      <c r="LK516" s="210"/>
      <c r="LL516" s="210"/>
      <c r="LM516" s="210"/>
      <c r="LN516" s="210"/>
      <c r="LO516" s="210"/>
      <c r="LP516" s="210"/>
      <c r="LQ516" s="210"/>
      <c r="LR516" s="210"/>
      <c r="OB516" s="120"/>
      <c r="OI516" s="210"/>
      <c r="OJ516" s="210"/>
      <c r="OK516" s="210"/>
      <c r="OL516" s="210"/>
      <c r="OM516" s="210"/>
      <c r="ON516" s="210"/>
      <c r="OO516" s="210"/>
      <c r="OP516" s="210"/>
      <c r="OQ516" s="210"/>
      <c r="OR516" s="210"/>
      <c r="OS516" s="210"/>
      <c r="OT516" s="210"/>
      <c r="OU516" s="210"/>
      <c r="OV516" s="210"/>
      <c r="OW516" s="210"/>
      <c r="RG516" s="120"/>
    </row>
    <row r="517" spans="1:475" x14ac:dyDescent="0.3">
      <c r="A517" s="7">
        <v>120</v>
      </c>
      <c r="B517" s="7">
        <v>507</v>
      </c>
      <c r="C517" s="7" t="s">
        <v>276</v>
      </c>
      <c r="D517" s="7" t="s">
        <v>702</v>
      </c>
      <c r="E517" s="7" t="s">
        <v>845</v>
      </c>
      <c r="F517" s="7" t="s">
        <v>274</v>
      </c>
      <c r="G517" s="41" t="str">
        <f t="shared" si="80"/>
        <v>X</v>
      </c>
      <c r="H517" s="41">
        <f>INDEX(환산공식!CI$16:CI$301,MATCH('배치점수 계산기'!$W517,환산공식!$A$16:$A$301,0))</f>
        <v>200</v>
      </c>
      <c r="I517" s="41" t="str">
        <f>CONCATENATE(ROUND(INDEX(환산공식!CJ$16:CJ$301,MATCH('배치점수 계산기'!$W517,환산공식!$A$16:$A$301,0)),1),"%")</f>
        <v>100%</v>
      </c>
      <c r="J517" s="41">
        <f>INDEX(환산공식!CK$16:CK$301,MATCH('배치점수 계산기'!$W517,환산공식!$A$16:$A$301,0))</f>
        <v>10</v>
      </c>
      <c r="K517" s="7">
        <f>INDEX(환산공식!$EF$16:$EF$301,MATCH('배치점수 계산기'!W517,환산공식!$A$16:$A$301,0))</f>
        <v>0</v>
      </c>
      <c r="L517" s="41" t="str">
        <f t="shared" si="78"/>
        <v>1% 이하</v>
      </c>
      <c r="M517" s="7">
        <v>972.13435897149418</v>
      </c>
      <c r="N517" s="7">
        <v>967.78178125723912</v>
      </c>
      <c r="O517" s="7">
        <v>964.44728657356472</v>
      </c>
      <c r="P517" s="7">
        <v>960.50242080771795</v>
      </c>
      <c r="Q517" s="7">
        <v>955.2883296417433</v>
      </c>
      <c r="R517" s="7">
        <f t="shared" si="79"/>
        <v>6</v>
      </c>
      <c r="T517" s="7">
        <f>COUNTIF($C$11:C517,C517)</f>
        <v>270</v>
      </c>
      <c r="U517" s="7" t="str">
        <f t="shared" si="81"/>
        <v>가270</v>
      </c>
      <c r="V517" s="7" t="str">
        <f>INDEX(환산공식!$C$16:$C$301,MATCH('배치점수 계산기'!W517,환산공식!$A$16:$A$301,0))</f>
        <v>전남 의치약수</v>
      </c>
      <c r="W517" s="7">
        <f t="shared" si="82"/>
        <v>120</v>
      </c>
      <c r="X517" s="7">
        <f t="shared" si="83"/>
        <v>1</v>
      </c>
      <c r="Y517" s="7">
        <f>IFERROR(INDEX(환산공식!Q$16:Q$200,MATCH($A517,환산공식!$A$16:$A$200,0)),"")</f>
        <v>1.6107382550335569</v>
      </c>
      <c r="Z517" s="7">
        <f>IFERROR(INDEX(환산공식!R$16:R$200,MATCH($A517,환산공식!$A$16:$A$200,0)),"")</f>
        <v>2.1768707482993199</v>
      </c>
      <c r="AA517" s="7">
        <f>IFERROR(INDEX(환산공식!U$16:U$200,MATCH($A517,환산공식!$A$16:$A$200,0)),"")</f>
        <v>1.6870518768452132</v>
      </c>
      <c r="AB517" s="7">
        <f t="shared" si="84"/>
        <v>0.2942169917529503</v>
      </c>
      <c r="AC517" s="7">
        <f t="shared" si="85"/>
        <v>0.39762659202893064</v>
      </c>
      <c r="AD517" s="7">
        <f t="shared" si="86"/>
        <v>0.30815641621811896</v>
      </c>
      <c r="AE517" s="7">
        <f>INDEX(환산공식!$AF$16:$AF$301,MATCH('배치점수 계산기'!W517,환산공식!$A$16:$A$301,0))</f>
        <v>12</v>
      </c>
      <c r="AF517" s="7">
        <f>INDEX(환산공식!$AP$16:$AP$301,MATCH('배치점수 계산기'!W517,환산공식!$A$16:$A$301,0))</f>
        <v>42</v>
      </c>
      <c r="AG517" s="7" t="str">
        <f t="shared" si="87"/>
        <v>표점/만점</v>
      </c>
      <c r="AH517" s="7" t="str">
        <f t="shared" si="88"/>
        <v>변표/만점</v>
      </c>
      <c r="BO517" s="210"/>
      <c r="BP517" s="210"/>
      <c r="BQ517" s="210"/>
      <c r="BR517" s="210"/>
      <c r="BS517" s="210"/>
      <c r="BT517" s="210"/>
      <c r="BU517" s="210"/>
      <c r="BV517" s="210"/>
      <c r="BW517" s="210"/>
      <c r="BX517" s="210"/>
      <c r="BY517" s="210"/>
      <c r="BZ517" s="210"/>
      <c r="CA517" s="210"/>
      <c r="CB517" s="210"/>
      <c r="CC517" s="210"/>
      <c r="EM517" s="120"/>
      <c r="ET517" s="210"/>
      <c r="EU517" s="210"/>
      <c r="EV517" s="210"/>
      <c r="EW517" s="210"/>
      <c r="EX517" s="210"/>
      <c r="EY517" s="210"/>
      <c r="EZ517" s="210"/>
      <c r="FA517" s="210"/>
      <c r="FB517" s="210"/>
      <c r="FC517" s="210"/>
      <c r="FD517" s="210"/>
      <c r="FE517" s="210"/>
      <c r="FF517" s="210"/>
      <c r="FG517" s="210"/>
      <c r="FH517" s="210"/>
      <c r="HR517" s="120"/>
      <c r="HY517" s="210"/>
      <c r="HZ517" s="210"/>
      <c r="IA517" s="210"/>
      <c r="IB517" s="210"/>
      <c r="IC517" s="210"/>
      <c r="ID517" s="210"/>
      <c r="IE517" s="210"/>
      <c r="IF517" s="210"/>
      <c r="IG517" s="210"/>
      <c r="IH517" s="210"/>
      <c r="II517" s="210"/>
      <c r="IJ517" s="210"/>
      <c r="IK517" s="210"/>
      <c r="IL517" s="210"/>
      <c r="IM517" s="210"/>
      <c r="KW517" s="120"/>
      <c r="LD517" s="210"/>
      <c r="LE517" s="210"/>
      <c r="LF517" s="210"/>
      <c r="LG517" s="210"/>
      <c r="LH517" s="210"/>
      <c r="LI517" s="210"/>
      <c r="LJ517" s="210"/>
      <c r="LK517" s="210"/>
      <c r="LL517" s="210"/>
      <c r="LM517" s="210"/>
      <c r="LN517" s="210"/>
      <c r="LO517" s="210"/>
      <c r="LP517" s="210"/>
      <c r="LQ517" s="210"/>
      <c r="LR517" s="210"/>
      <c r="OB517" s="120"/>
      <c r="OI517" s="210"/>
      <c r="OJ517" s="210"/>
      <c r="OK517" s="210"/>
      <c r="OL517" s="210"/>
      <c r="OM517" s="210"/>
      <c r="ON517" s="210"/>
      <c r="OO517" s="210"/>
      <c r="OP517" s="210"/>
      <c r="OQ517" s="210"/>
      <c r="OR517" s="210"/>
      <c r="OS517" s="210"/>
      <c r="OT517" s="210"/>
      <c r="OU517" s="210"/>
      <c r="OV517" s="210"/>
      <c r="OW517" s="210"/>
      <c r="RG517" s="120"/>
    </row>
    <row r="518" spans="1:475" x14ac:dyDescent="0.3">
      <c r="A518" s="7">
        <v>70</v>
      </c>
      <c r="B518" s="7">
        <v>508</v>
      </c>
      <c r="C518" s="7" t="s">
        <v>276</v>
      </c>
      <c r="D518" s="7" t="s">
        <v>684</v>
      </c>
      <c r="E518" s="7" t="s">
        <v>845</v>
      </c>
      <c r="F518" s="7" t="s">
        <v>274</v>
      </c>
      <c r="G518" s="41" t="str">
        <f t="shared" si="80"/>
        <v>X</v>
      </c>
      <c r="H518" s="41">
        <f>INDEX(환산공식!CI$16:CI$301,MATCH('배치점수 계산기'!$W518,환산공식!$A$16:$A$301,0))</f>
        <v>100</v>
      </c>
      <c r="I518" s="41" t="str">
        <f>CONCATENATE(ROUND(INDEX(환산공식!CJ$16:CJ$301,MATCH('배치점수 계산기'!$W518,환산공식!$A$16:$A$301,0)),1),"%")</f>
        <v>100%</v>
      </c>
      <c r="J518" s="41">
        <f>INDEX(환산공식!CK$16:CK$301,MATCH('배치점수 계산기'!$W518,환산공식!$A$16:$A$301,0))</f>
        <v>1.5</v>
      </c>
      <c r="K518" s="7">
        <f>INDEX(환산공식!$EF$16:$EF$301,MATCH('배치점수 계산기'!W518,환산공식!$A$16:$A$301,0))</f>
        <v>0</v>
      </c>
      <c r="L518" s="41" t="str">
        <f t="shared" si="78"/>
        <v>1% 이하</v>
      </c>
      <c r="M518" s="7">
        <v>524.82500000000005</v>
      </c>
      <c r="N518" s="7">
        <v>524.45000000000005</v>
      </c>
      <c r="O518" s="7">
        <v>523.05000000000007</v>
      </c>
      <c r="P518" s="7">
        <v>522.1</v>
      </c>
      <c r="Q518" s="7">
        <v>521.5</v>
      </c>
      <c r="R518" s="7">
        <f t="shared" si="79"/>
        <v>6</v>
      </c>
      <c r="T518" s="7">
        <f>COUNTIF($C$11:C518,C518)</f>
        <v>271</v>
      </c>
      <c r="U518" s="7" t="str">
        <f t="shared" si="81"/>
        <v>가271</v>
      </c>
      <c r="V518" s="7" t="str">
        <f>INDEX(환산공식!$C$16:$C$301,MATCH('배치점수 계산기'!W518,환산공식!$A$16:$A$301,0))</f>
        <v>강원 의약수</v>
      </c>
      <c r="W518" s="7">
        <f t="shared" si="82"/>
        <v>70</v>
      </c>
      <c r="X518" s="7">
        <f t="shared" si="83"/>
        <v>1</v>
      </c>
      <c r="Y518" s="7">
        <f>IFERROR(INDEX(환산공식!Q$16:Q$200,MATCH($A518,환산공식!$A$16:$A$200,0)),"")</f>
        <v>1</v>
      </c>
      <c r="Z518" s="7">
        <f>IFERROR(INDEX(환산공식!R$16:R$200,MATCH($A518,환산공식!$A$16:$A$200,0)),"")</f>
        <v>1.5</v>
      </c>
      <c r="AA518" s="7">
        <f>IFERROR(INDEX(환산공식!U$16:U$200,MATCH($A518,환산공식!$A$16:$A$200,0)),"")</f>
        <v>1.5</v>
      </c>
      <c r="AB518" s="7">
        <f t="shared" si="84"/>
        <v>0.25</v>
      </c>
      <c r="AC518" s="7">
        <f t="shared" si="85"/>
        <v>0.375</v>
      </c>
      <c r="AD518" s="7">
        <f t="shared" si="86"/>
        <v>0.375</v>
      </c>
      <c r="AE518" s="7">
        <f>INDEX(환산공식!$AF$16:$AF$301,MATCH('배치점수 계산기'!W518,환산공식!$A$16:$A$301,0))</f>
        <v>2</v>
      </c>
      <c r="AF518" s="7">
        <f>INDEX(환산공식!$AP$16:$AP$301,MATCH('배치점수 계산기'!W518,환산공식!$A$16:$A$301,0))</f>
        <v>2</v>
      </c>
      <c r="AG518" s="7" t="str">
        <f t="shared" si="87"/>
        <v>백분위</v>
      </c>
      <c r="AH518" s="7" t="str">
        <f t="shared" si="88"/>
        <v>백분위</v>
      </c>
      <c r="BO518" s="210"/>
      <c r="BP518" s="210"/>
      <c r="BQ518" s="210"/>
      <c r="BR518" s="210"/>
      <c r="BS518" s="210"/>
      <c r="BT518" s="210"/>
      <c r="BU518" s="210"/>
      <c r="BV518" s="210"/>
      <c r="BW518" s="210"/>
      <c r="BX518" s="210"/>
      <c r="BY518" s="210"/>
      <c r="BZ518" s="210"/>
      <c r="CA518" s="210"/>
      <c r="CB518" s="210"/>
      <c r="CC518" s="210"/>
      <c r="EM518" s="120"/>
      <c r="ET518" s="210"/>
      <c r="EU518" s="210"/>
      <c r="EV518" s="210"/>
      <c r="EW518" s="210"/>
      <c r="EX518" s="210"/>
      <c r="EY518" s="210"/>
      <c r="EZ518" s="210"/>
      <c r="FA518" s="210"/>
      <c r="FB518" s="210"/>
      <c r="FC518" s="210"/>
      <c r="FD518" s="210"/>
      <c r="FE518" s="210"/>
      <c r="FF518" s="210"/>
      <c r="FG518" s="210"/>
      <c r="FH518" s="210"/>
      <c r="HR518" s="120"/>
      <c r="HY518" s="210"/>
      <c r="HZ518" s="210"/>
      <c r="IA518" s="210"/>
      <c r="IB518" s="210"/>
      <c r="IC518" s="210"/>
      <c r="ID518" s="210"/>
      <c r="IE518" s="210"/>
      <c r="IF518" s="210"/>
      <c r="IG518" s="210"/>
      <c r="IH518" s="210"/>
      <c r="II518" s="210"/>
      <c r="IJ518" s="210"/>
      <c r="IK518" s="210"/>
      <c r="IL518" s="210"/>
      <c r="IM518" s="210"/>
      <c r="KW518" s="120"/>
      <c r="LD518" s="210"/>
      <c r="LE518" s="210"/>
      <c r="LF518" s="210"/>
      <c r="LG518" s="210"/>
      <c r="LH518" s="210"/>
      <c r="LI518" s="210"/>
      <c r="LJ518" s="210"/>
      <c r="LK518" s="210"/>
      <c r="LL518" s="210"/>
      <c r="LM518" s="210"/>
      <c r="LN518" s="210"/>
      <c r="LO518" s="210"/>
      <c r="LP518" s="210"/>
      <c r="LQ518" s="210"/>
      <c r="LR518" s="210"/>
      <c r="OB518" s="120"/>
      <c r="OI518" s="210"/>
      <c r="OJ518" s="210"/>
      <c r="OK518" s="210"/>
      <c r="OL518" s="210"/>
      <c r="OM518" s="210"/>
      <c r="ON518" s="210"/>
      <c r="OO518" s="210"/>
      <c r="OP518" s="210"/>
      <c r="OQ518" s="210"/>
      <c r="OR518" s="210"/>
      <c r="OS518" s="210"/>
      <c r="OT518" s="210"/>
      <c r="OU518" s="210"/>
      <c r="OV518" s="210"/>
      <c r="OW518" s="210"/>
      <c r="RG518" s="120"/>
    </row>
    <row r="519" spans="1:475" x14ac:dyDescent="0.3">
      <c r="A519" s="7">
        <v>92</v>
      </c>
      <c r="B519" s="7">
        <v>509</v>
      </c>
      <c r="C519" s="7" t="s">
        <v>276</v>
      </c>
      <c r="D519" s="7" t="s">
        <v>848</v>
      </c>
      <c r="E519" s="7" t="s">
        <v>845</v>
      </c>
      <c r="F519" s="7" t="s">
        <v>274</v>
      </c>
      <c r="G519" s="41" t="str">
        <f t="shared" si="80"/>
        <v>X</v>
      </c>
      <c r="H519" s="41">
        <f>INDEX(환산공식!CI$16:CI$301,MATCH('배치점수 계산기'!$W519,환산공식!$A$16:$A$301,0))</f>
        <v>200</v>
      </c>
      <c r="I519" s="41" t="str">
        <f>CONCATENATE(ROUND(INDEX(환산공식!CJ$16:CJ$301,MATCH('배치점수 계산기'!$W519,환산공식!$A$16:$A$301,0)),1),"%")</f>
        <v>100%</v>
      </c>
      <c r="J519" s="41">
        <f>INDEX(환산공식!CK$16:CK$301,MATCH('배치점수 계산기'!$W519,환산공식!$A$16:$A$301,0))</f>
        <v>1</v>
      </c>
      <c r="K519" s="7">
        <f>INDEX(환산공식!$EF$16:$EF$301,MATCH('배치점수 계산기'!W519,환산공식!$A$16:$A$301,0))</f>
        <v>0</v>
      </c>
      <c r="L519" s="41" t="str">
        <f t="shared" si="78"/>
        <v>1% 이하</v>
      </c>
      <c r="M519" s="7">
        <v>619.1</v>
      </c>
      <c r="N519" s="7">
        <v>617.9</v>
      </c>
      <c r="O519" s="7">
        <v>616.19999999999982</v>
      </c>
      <c r="P519" s="7">
        <v>614.5</v>
      </c>
      <c r="Q519" s="7">
        <v>613</v>
      </c>
      <c r="R519" s="7">
        <f t="shared" si="79"/>
        <v>6</v>
      </c>
      <c r="T519" s="7">
        <f>COUNTIF($C$11:C519,C519)</f>
        <v>272</v>
      </c>
      <c r="U519" s="7" t="str">
        <f t="shared" si="81"/>
        <v>가272</v>
      </c>
      <c r="V519" s="7" t="str">
        <f>INDEX(환산공식!$C$16:$C$301,MATCH('배치점수 계산기'!W519,환산공식!$A$16:$A$301,0))</f>
        <v>동아 의</v>
      </c>
      <c r="W519" s="7">
        <f t="shared" si="82"/>
        <v>92</v>
      </c>
      <c r="X519" s="7">
        <f t="shared" si="83"/>
        <v>1</v>
      </c>
      <c r="Y519" s="7">
        <f>IFERROR(INDEX(환산공식!Q$16:Q$200,MATCH($A519,환산공식!$A$16:$A$200,0)),"")</f>
        <v>1</v>
      </c>
      <c r="Z519" s="7">
        <f>IFERROR(INDEX(환산공식!R$16:R$200,MATCH($A519,환산공식!$A$16:$A$200,0)),"")</f>
        <v>1</v>
      </c>
      <c r="AA519" s="7">
        <f>IFERROR(INDEX(환산공식!U$16:U$200,MATCH($A519,환산공식!$A$16:$A$200,0)),"")</f>
        <v>1</v>
      </c>
      <c r="AB519" s="7">
        <f t="shared" si="84"/>
        <v>0.33333333333333331</v>
      </c>
      <c r="AC519" s="7">
        <f t="shared" si="85"/>
        <v>0.33333333333333331</v>
      </c>
      <c r="AD519" s="7">
        <f t="shared" si="86"/>
        <v>0.33333333333333331</v>
      </c>
      <c r="AE519" s="7">
        <f>INDEX(환산공식!$AF$16:$AF$301,MATCH('배치점수 계산기'!W519,환산공식!$A$16:$A$301,0))</f>
        <v>1</v>
      </c>
      <c r="AF519" s="7">
        <f>INDEX(환산공식!$AP$16:$AP$301,MATCH('배치점수 계산기'!W519,환산공식!$A$16:$A$301,0))</f>
        <v>1</v>
      </c>
      <c r="AG519" s="7" t="str">
        <f t="shared" si="87"/>
        <v>표점</v>
      </c>
      <c r="AH519" s="7" t="str">
        <f t="shared" si="88"/>
        <v>표점</v>
      </c>
      <c r="BO519" s="210"/>
      <c r="BP519" s="210"/>
      <c r="BQ519" s="210"/>
      <c r="BR519" s="210"/>
      <c r="BS519" s="210"/>
      <c r="BT519" s="210"/>
      <c r="BU519" s="210"/>
      <c r="BV519" s="210"/>
      <c r="BW519" s="210"/>
      <c r="BX519" s="210"/>
      <c r="BY519" s="210"/>
      <c r="BZ519" s="210"/>
      <c r="CA519" s="210"/>
      <c r="CB519" s="210"/>
      <c r="CC519" s="210"/>
      <c r="EM519" s="120"/>
      <c r="ET519" s="210"/>
      <c r="EU519" s="210"/>
      <c r="EV519" s="210"/>
      <c r="EW519" s="210"/>
      <c r="EX519" s="210"/>
      <c r="EY519" s="210"/>
      <c r="EZ519" s="210"/>
      <c r="FA519" s="210"/>
      <c r="FB519" s="210"/>
      <c r="FC519" s="210"/>
      <c r="FD519" s="210"/>
      <c r="FE519" s="210"/>
      <c r="FF519" s="210"/>
      <c r="FG519" s="210"/>
      <c r="FH519" s="210"/>
      <c r="HR519" s="120"/>
      <c r="HY519" s="210"/>
      <c r="HZ519" s="210"/>
      <c r="IA519" s="210"/>
      <c r="IB519" s="210"/>
      <c r="IC519" s="210"/>
      <c r="ID519" s="210"/>
      <c r="IE519" s="210"/>
      <c r="IF519" s="210"/>
      <c r="IG519" s="210"/>
      <c r="IH519" s="210"/>
      <c r="II519" s="210"/>
      <c r="IJ519" s="210"/>
      <c r="IK519" s="210"/>
      <c r="IL519" s="210"/>
      <c r="IM519" s="210"/>
      <c r="KW519" s="120"/>
      <c r="LD519" s="210"/>
      <c r="LE519" s="210"/>
      <c r="LF519" s="210"/>
      <c r="LG519" s="210"/>
      <c r="LH519" s="210"/>
      <c r="LI519" s="210"/>
      <c r="LJ519" s="210"/>
      <c r="LK519" s="210"/>
      <c r="LL519" s="210"/>
      <c r="LM519" s="210"/>
      <c r="LN519" s="210"/>
      <c r="LO519" s="210"/>
      <c r="LP519" s="210"/>
      <c r="LQ519" s="210"/>
      <c r="LR519" s="210"/>
      <c r="OB519" s="120"/>
      <c r="OI519" s="210"/>
      <c r="OJ519" s="210"/>
      <c r="OK519" s="210"/>
      <c r="OL519" s="210"/>
      <c r="OM519" s="210"/>
      <c r="ON519" s="210"/>
      <c r="OO519" s="210"/>
      <c r="OP519" s="210"/>
      <c r="OQ519" s="210"/>
      <c r="OR519" s="210"/>
      <c r="OS519" s="210"/>
      <c r="OT519" s="210"/>
      <c r="OU519" s="210"/>
      <c r="OV519" s="210"/>
      <c r="OW519" s="210"/>
      <c r="RG519" s="120"/>
    </row>
    <row r="520" spans="1:475" x14ac:dyDescent="0.3">
      <c r="A520" s="7">
        <v>72</v>
      </c>
      <c r="B520" s="7">
        <v>510</v>
      </c>
      <c r="C520" s="7" t="s">
        <v>276</v>
      </c>
      <c r="D520" s="7" t="s">
        <v>849</v>
      </c>
      <c r="E520" s="7" t="s">
        <v>845</v>
      </c>
      <c r="F520" s="7" t="s">
        <v>274</v>
      </c>
      <c r="G520" s="41" t="str">
        <f t="shared" si="80"/>
        <v>X</v>
      </c>
      <c r="H520" s="41">
        <f>INDEX(환산공식!CI$16:CI$301,MATCH('배치점수 계산기'!$W520,환산공식!$A$16:$A$301,0))</f>
        <v>200</v>
      </c>
      <c r="I520" s="41" t="str">
        <f>CONCATENATE(ROUND(INDEX(환산공식!CJ$16:CJ$301,MATCH('배치점수 계산기'!$W520,환산공식!$A$16:$A$301,0)),1),"%")</f>
        <v>100%</v>
      </c>
      <c r="J520" s="41">
        <f>INDEX(환산공식!CK$16:CK$301,MATCH('배치점수 계산기'!$W520,환산공식!$A$16:$A$301,0))</f>
        <v>0</v>
      </c>
      <c r="K520" s="7">
        <f>INDEX(환산공식!$EF$16:$EF$301,MATCH('배치점수 계산기'!W520,환산공식!$A$16:$A$301,0))</f>
        <v>0</v>
      </c>
      <c r="L520" s="41" t="str">
        <f t="shared" si="78"/>
        <v>1% 이하</v>
      </c>
      <c r="M520" s="7">
        <v>987.09999999999991</v>
      </c>
      <c r="N520" s="7">
        <v>985.2</v>
      </c>
      <c r="O520" s="7">
        <v>982.7</v>
      </c>
      <c r="P520" s="7">
        <v>981.8</v>
      </c>
      <c r="Q520" s="7">
        <v>980.3</v>
      </c>
      <c r="R520" s="7">
        <f t="shared" si="79"/>
        <v>6</v>
      </c>
      <c r="T520" s="7">
        <f>COUNTIF($C$11:C520,C520)</f>
        <v>273</v>
      </c>
      <c r="U520" s="7" t="str">
        <f t="shared" si="81"/>
        <v>가273</v>
      </c>
      <c r="V520" s="7" t="str">
        <f>INDEX(환산공식!$C$16:$C$301,MATCH('배치점수 계산기'!W520,환산공식!$A$16:$A$301,0))</f>
        <v>건양 의</v>
      </c>
      <c r="W520" s="7">
        <f t="shared" si="82"/>
        <v>72</v>
      </c>
      <c r="X520" s="7">
        <f t="shared" si="83"/>
        <v>1</v>
      </c>
      <c r="Y520" s="7">
        <f>IFERROR(INDEX(환산공식!Q$16:Q$200,MATCH($A520,환산공식!$A$16:$A$200,0)),"")</f>
        <v>2</v>
      </c>
      <c r="Z520" s="7">
        <f>IFERROR(INDEX(환산공식!R$16:R$200,MATCH($A520,환산공식!$A$16:$A$200,0)),"")</f>
        <v>3</v>
      </c>
      <c r="AA520" s="7">
        <f>IFERROR(INDEX(환산공식!U$16:U$200,MATCH($A520,환산공식!$A$16:$A$200,0)),"")</f>
        <v>3</v>
      </c>
      <c r="AB520" s="7">
        <f t="shared" si="84"/>
        <v>0.25</v>
      </c>
      <c r="AC520" s="7">
        <f t="shared" si="85"/>
        <v>0.375</v>
      </c>
      <c r="AD520" s="7">
        <f t="shared" si="86"/>
        <v>0.375</v>
      </c>
      <c r="AE520" s="7">
        <f>INDEX(환산공식!$AF$16:$AF$301,MATCH('배치점수 계산기'!W520,환산공식!$A$16:$A$301,0))</f>
        <v>2</v>
      </c>
      <c r="AF520" s="7">
        <f>INDEX(환산공식!$AP$16:$AP$301,MATCH('배치점수 계산기'!W520,환산공식!$A$16:$A$301,0))</f>
        <v>2</v>
      </c>
      <c r="AG520" s="7" t="str">
        <f t="shared" si="87"/>
        <v>백분위</v>
      </c>
      <c r="AH520" s="7" t="str">
        <f t="shared" si="88"/>
        <v>백분위</v>
      </c>
      <c r="BO520" s="210"/>
      <c r="BP520" s="210"/>
      <c r="BQ520" s="210"/>
      <c r="BR520" s="210"/>
      <c r="BS520" s="210"/>
      <c r="BT520" s="210"/>
      <c r="BU520" s="210"/>
      <c r="BV520" s="210"/>
      <c r="BW520" s="210"/>
      <c r="BX520" s="210"/>
      <c r="BY520" s="210"/>
      <c r="BZ520" s="210"/>
      <c r="CA520" s="210"/>
      <c r="CB520" s="210"/>
      <c r="CC520" s="210"/>
      <c r="EM520" s="120"/>
      <c r="ET520" s="210"/>
      <c r="EU520" s="210"/>
      <c r="EV520" s="210"/>
      <c r="EW520" s="210"/>
      <c r="EX520" s="210"/>
      <c r="EY520" s="210"/>
      <c r="EZ520" s="210"/>
      <c r="FA520" s="210"/>
      <c r="FB520" s="210"/>
      <c r="FC520" s="210"/>
      <c r="FD520" s="210"/>
      <c r="FE520" s="210"/>
      <c r="FF520" s="210"/>
      <c r="FG520" s="210"/>
      <c r="FH520" s="210"/>
      <c r="HR520" s="120"/>
      <c r="HY520" s="210"/>
      <c r="HZ520" s="210"/>
      <c r="IA520" s="210"/>
      <c r="IB520" s="210"/>
      <c r="IC520" s="210"/>
      <c r="ID520" s="210"/>
      <c r="IE520" s="210"/>
      <c r="IF520" s="210"/>
      <c r="IG520" s="210"/>
      <c r="IH520" s="210"/>
      <c r="II520" s="210"/>
      <c r="IJ520" s="210"/>
      <c r="IK520" s="210"/>
      <c r="IL520" s="210"/>
      <c r="IM520" s="210"/>
      <c r="KW520" s="120"/>
      <c r="LD520" s="210"/>
      <c r="LE520" s="210"/>
      <c r="LF520" s="210"/>
      <c r="LG520" s="210"/>
      <c r="LH520" s="210"/>
      <c r="LI520" s="210"/>
      <c r="LJ520" s="210"/>
      <c r="LK520" s="210"/>
      <c r="LL520" s="210"/>
      <c r="LM520" s="210"/>
      <c r="LN520" s="210"/>
      <c r="LO520" s="210"/>
      <c r="LP520" s="210"/>
      <c r="LQ520" s="210"/>
      <c r="LR520" s="210"/>
      <c r="OB520" s="120"/>
      <c r="OI520" s="210"/>
      <c r="OJ520" s="210"/>
      <c r="OK520" s="210"/>
      <c r="OL520" s="210"/>
      <c r="OM520" s="210"/>
      <c r="ON520" s="210"/>
      <c r="OO520" s="210"/>
      <c r="OP520" s="210"/>
      <c r="OQ520" s="210"/>
      <c r="OR520" s="210"/>
      <c r="OS520" s="210"/>
      <c r="OT520" s="210"/>
      <c r="OU520" s="210"/>
      <c r="OV520" s="210"/>
      <c r="OW520" s="210"/>
      <c r="RG520" s="120"/>
    </row>
    <row r="521" spans="1:475" x14ac:dyDescent="0.3">
      <c r="A521" s="7">
        <v>74</v>
      </c>
      <c r="B521" s="7">
        <v>511</v>
      </c>
      <c r="C521" s="7" t="s">
        <v>276</v>
      </c>
      <c r="D521" s="7" t="s">
        <v>704</v>
      </c>
      <c r="E521" s="7" t="s">
        <v>845</v>
      </c>
      <c r="F521" s="7" t="s">
        <v>274</v>
      </c>
      <c r="G521" s="41" t="str">
        <f t="shared" si="80"/>
        <v>X</v>
      </c>
      <c r="H521" s="41">
        <f>INDEX(환산공식!CI$16:CI$301,MATCH('배치점수 계산기'!$W521,환산공식!$A$16:$A$301,0))</f>
        <v>200</v>
      </c>
      <c r="I521" s="41" t="str">
        <f>CONCATENATE(ROUND(INDEX(환산공식!CJ$16:CJ$301,MATCH('배치점수 계산기'!$W521,환산공식!$A$16:$A$301,0)),1),"%")</f>
        <v>100%</v>
      </c>
      <c r="J521" s="41">
        <f>INDEX(환산공식!CK$16:CK$301,MATCH('배치점수 계산기'!$W521,환산공식!$A$16:$A$301,0))</f>
        <v>0</v>
      </c>
      <c r="K521" s="7">
        <f>INDEX(환산공식!$EF$16:$EF$301,MATCH('배치점수 계산기'!W521,환산공식!$A$16:$A$301,0))</f>
        <v>0</v>
      </c>
      <c r="L521" s="41" t="str">
        <f t="shared" si="78"/>
        <v>1% 이하</v>
      </c>
      <c r="M521" s="7">
        <v>983.97133259390796</v>
      </c>
      <c r="N521" s="7">
        <v>982.03450556760504</v>
      </c>
      <c r="O521" s="7">
        <v>979.78386344557407</v>
      </c>
      <c r="P521" s="7">
        <v>973.81555825016312</v>
      </c>
      <c r="Q521" s="7">
        <v>969.40027982464312</v>
      </c>
      <c r="R521" s="7">
        <f t="shared" si="79"/>
        <v>6</v>
      </c>
      <c r="T521" s="7">
        <f>COUNTIF($C$11:C521,C521)</f>
        <v>274</v>
      </c>
      <c r="U521" s="7" t="str">
        <f t="shared" si="81"/>
        <v>가274</v>
      </c>
      <c r="V521" s="7" t="str">
        <f>INDEX(환산공식!$C$16:$C$301,MATCH('배치점수 계산기'!W521,환산공식!$A$16:$A$301,0))</f>
        <v>경상 의약수</v>
      </c>
      <c r="W521" s="7">
        <f t="shared" si="82"/>
        <v>74</v>
      </c>
      <c r="X521" s="7">
        <f t="shared" si="83"/>
        <v>1</v>
      </c>
      <c r="Y521" s="7">
        <f>IFERROR(INDEX(환산공식!Q$16:Q$200,MATCH($A521,환산공식!$A$16:$A$200,0)),"")</f>
        <v>1.6778523489932886</v>
      </c>
      <c r="Z521" s="7">
        <f>IFERROR(INDEX(환산공식!R$16:R$200,MATCH($A521,환산공식!$A$16:$A$200,0)),"")</f>
        <v>2.0408163265306123</v>
      </c>
      <c r="AA521" s="7">
        <f>IFERROR(INDEX(환산공식!U$16:U$200,MATCH($A521,환산공식!$A$16:$A$200,0)),"")</f>
        <v>1.9025875190258752</v>
      </c>
      <c r="AB521" s="7">
        <f t="shared" si="84"/>
        <v>0.29848352235219072</v>
      </c>
      <c r="AC521" s="7">
        <f t="shared" si="85"/>
        <v>0.36305342718756256</v>
      </c>
      <c r="AD521" s="7">
        <f t="shared" si="86"/>
        <v>0.33846305046024672</v>
      </c>
      <c r="AE521" s="7">
        <f>INDEX(환산공식!$AF$16:$AF$301,MATCH('배치점수 계산기'!W521,환산공식!$A$16:$A$301,0))</f>
        <v>12</v>
      </c>
      <c r="AF521" s="7">
        <f>INDEX(환산공식!$AP$16:$AP$301,MATCH('배치점수 계산기'!W521,환산공식!$A$16:$A$301,0))</f>
        <v>12</v>
      </c>
      <c r="AG521" s="7" t="str">
        <f t="shared" si="87"/>
        <v>표점/만점</v>
      </c>
      <c r="AH521" s="7" t="str">
        <f t="shared" si="88"/>
        <v>표점/만점</v>
      </c>
      <c r="BO521" s="210"/>
      <c r="BP521" s="210"/>
      <c r="BQ521" s="210"/>
      <c r="BR521" s="210"/>
      <c r="BS521" s="210"/>
      <c r="BT521" s="210"/>
      <c r="BU521" s="210"/>
      <c r="BV521" s="210"/>
      <c r="BW521" s="210"/>
      <c r="BX521" s="210"/>
      <c r="BY521" s="210"/>
      <c r="BZ521" s="210"/>
      <c r="CA521" s="210"/>
      <c r="CB521" s="210"/>
      <c r="CC521" s="210"/>
      <c r="EM521" s="120"/>
      <c r="ET521" s="210"/>
      <c r="EU521" s="210"/>
      <c r="EV521" s="210"/>
      <c r="EW521" s="210"/>
      <c r="EX521" s="210"/>
      <c r="EY521" s="210"/>
      <c r="EZ521" s="210"/>
      <c r="FA521" s="210"/>
      <c r="FB521" s="210"/>
      <c r="FC521" s="210"/>
      <c r="FD521" s="210"/>
      <c r="FE521" s="210"/>
      <c r="FF521" s="210"/>
      <c r="FG521" s="210"/>
      <c r="FH521" s="210"/>
      <c r="HR521" s="120"/>
      <c r="HY521" s="210"/>
      <c r="HZ521" s="210"/>
      <c r="IA521" s="210"/>
      <c r="IB521" s="210"/>
      <c r="IC521" s="210"/>
      <c r="ID521" s="210"/>
      <c r="IE521" s="210"/>
      <c r="IF521" s="210"/>
      <c r="IG521" s="210"/>
      <c r="IH521" s="210"/>
      <c r="II521" s="210"/>
      <c r="IJ521" s="210"/>
      <c r="IK521" s="210"/>
      <c r="IL521" s="210"/>
      <c r="IM521" s="210"/>
      <c r="KW521" s="120"/>
      <c r="LD521" s="210"/>
      <c r="LE521" s="210"/>
      <c r="LF521" s="210"/>
      <c r="LG521" s="210"/>
      <c r="LH521" s="210"/>
      <c r="LI521" s="210"/>
      <c r="LJ521" s="210"/>
      <c r="LK521" s="210"/>
      <c r="LL521" s="210"/>
      <c r="LM521" s="210"/>
      <c r="LN521" s="210"/>
      <c r="LO521" s="210"/>
      <c r="LP521" s="210"/>
      <c r="LQ521" s="210"/>
      <c r="LR521" s="210"/>
      <c r="OB521" s="120"/>
      <c r="OI521" s="210"/>
      <c r="OJ521" s="210"/>
      <c r="OK521" s="210"/>
      <c r="OL521" s="210"/>
      <c r="OM521" s="210"/>
      <c r="ON521" s="210"/>
      <c r="OO521" s="210"/>
      <c r="OP521" s="210"/>
      <c r="OQ521" s="210"/>
      <c r="OR521" s="210"/>
      <c r="OS521" s="210"/>
      <c r="OT521" s="210"/>
      <c r="OU521" s="210"/>
      <c r="OV521" s="210"/>
      <c r="OW521" s="210"/>
      <c r="RG521" s="120"/>
    </row>
    <row r="522" spans="1:475" x14ac:dyDescent="0.3">
      <c r="A522" s="7">
        <v>121</v>
      </c>
      <c r="B522" s="7">
        <v>512</v>
      </c>
      <c r="C522" s="7" t="s">
        <v>276</v>
      </c>
      <c r="D522" s="7" t="s">
        <v>701</v>
      </c>
      <c r="E522" s="7" t="s">
        <v>845</v>
      </c>
      <c r="F522" s="7" t="s">
        <v>274</v>
      </c>
      <c r="G522" s="41" t="str">
        <f t="shared" si="80"/>
        <v>X</v>
      </c>
      <c r="H522" s="41">
        <f>INDEX(환산공식!CI$16:CI$301,MATCH('배치점수 계산기'!$W522,환산공식!$A$16:$A$301,0))</f>
        <v>30</v>
      </c>
      <c r="I522" s="41" t="str">
        <f>CONCATENATE(ROUND(INDEX(환산공식!CJ$16:CJ$301,MATCH('배치점수 계산기'!$W522,환산공식!$A$16:$A$301,0)),1),"%")</f>
        <v>100%</v>
      </c>
      <c r="J522" s="41">
        <f>INDEX(환산공식!CK$16:CK$301,MATCH('배치점수 계산기'!$W522,환산공식!$A$16:$A$301,0))</f>
        <v>5</v>
      </c>
      <c r="K522" s="7">
        <f>INDEX(환산공식!$EF$16:$EF$301,MATCH('배치점수 계산기'!W522,환산공식!$A$16:$A$301,0))</f>
        <v>0</v>
      </c>
      <c r="L522" s="41" t="str">
        <f t="shared" si="78"/>
        <v>1% 이하</v>
      </c>
      <c r="M522" s="7">
        <v>382.78100000000001</v>
      </c>
      <c r="N522" s="7">
        <v>382.08799999999997</v>
      </c>
      <c r="O522" s="7">
        <v>379.6749999999999</v>
      </c>
      <c r="P522" s="7">
        <v>377.37</v>
      </c>
      <c r="Q522" s="7">
        <v>376.45</v>
      </c>
      <c r="R522" s="7">
        <f t="shared" si="79"/>
        <v>6</v>
      </c>
      <c r="T522" s="7">
        <f>COUNTIF($C$11:C522,C522)</f>
        <v>275</v>
      </c>
      <c r="U522" s="7" t="str">
        <f t="shared" si="81"/>
        <v>가275</v>
      </c>
      <c r="V522" s="7" t="str">
        <f>INDEX(환산공식!$C$16:$C$301,MATCH('배치점수 계산기'!W522,환산공식!$A$16:$A$301,0))</f>
        <v>전북 의치약수</v>
      </c>
      <c r="W522" s="7">
        <f t="shared" si="82"/>
        <v>121</v>
      </c>
      <c r="X522" s="7">
        <f t="shared" si="83"/>
        <v>1</v>
      </c>
      <c r="Y522" s="7">
        <f>IFERROR(INDEX(환산공식!Q$16:Q$200,MATCH($A522,환산공식!$A$16:$A$200,0)),"")</f>
        <v>0.75</v>
      </c>
      <c r="Z522" s="7">
        <f>IFERROR(INDEX(환산공식!R$16:R$200,MATCH($A522,환산공식!$A$16:$A$200,0)),"")</f>
        <v>1</v>
      </c>
      <c r="AA522" s="7">
        <f>IFERROR(INDEX(환산공식!U$16:U$200,MATCH($A522,환산공식!$A$16:$A$200,0)),"")</f>
        <v>0.75</v>
      </c>
      <c r="AB522" s="7">
        <f t="shared" si="84"/>
        <v>0.3</v>
      </c>
      <c r="AC522" s="7">
        <f t="shared" si="85"/>
        <v>0.4</v>
      </c>
      <c r="AD522" s="7">
        <f t="shared" si="86"/>
        <v>0.3</v>
      </c>
      <c r="AE522" s="7">
        <f>INDEX(환산공식!$AF$16:$AF$301,MATCH('배치점수 계산기'!W522,환산공식!$A$16:$A$301,0))</f>
        <v>1</v>
      </c>
      <c r="AF522" s="7">
        <f>INDEX(환산공식!$AP$16:$AP$301,MATCH('배치점수 계산기'!W522,환산공식!$A$16:$A$301,0))</f>
        <v>4</v>
      </c>
      <c r="AG522" s="7" t="str">
        <f t="shared" si="87"/>
        <v>표점</v>
      </c>
      <c r="AH522" s="7" t="str">
        <f t="shared" si="88"/>
        <v>변표</v>
      </c>
      <c r="BO522" s="210"/>
      <c r="BP522" s="210"/>
      <c r="BQ522" s="210"/>
      <c r="BR522" s="210"/>
      <c r="BS522" s="210"/>
      <c r="BT522" s="210"/>
      <c r="BU522" s="210"/>
      <c r="BV522" s="210"/>
      <c r="BW522" s="210"/>
      <c r="BX522" s="210"/>
      <c r="BY522" s="210"/>
      <c r="BZ522" s="210"/>
      <c r="CA522" s="210"/>
      <c r="CB522" s="210"/>
      <c r="CC522" s="210"/>
      <c r="EM522" s="120"/>
      <c r="ET522" s="210"/>
      <c r="EU522" s="210"/>
      <c r="EV522" s="210"/>
      <c r="EW522" s="210"/>
      <c r="EX522" s="210"/>
      <c r="EY522" s="210"/>
      <c r="EZ522" s="210"/>
      <c r="FA522" s="210"/>
      <c r="FB522" s="210"/>
      <c r="FC522" s="210"/>
      <c r="FD522" s="210"/>
      <c r="FE522" s="210"/>
      <c r="FF522" s="210"/>
      <c r="FG522" s="210"/>
      <c r="FH522" s="210"/>
      <c r="HR522" s="120"/>
      <c r="HY522" s="210"/>
      <c r="HZ522" s="210"/>
      <c r="IA522" s="210"/>
      <c r="IB522" s="210"/>
      <c r="IC522" s="210"/>
      <c r="ID522" s="210"/>
      <c r="IE522" s="210"/>
      <c r="IF522" s="210"/>
      <c r="IG522" s="210"/>
      <c r="IH522" s="210"/>
      <c r="II522" s="210"/>
      <c r="IJ522" s="210"/>
      <c r="IK522" s="210"/>
      <c r="IL522" s="210"/>
      <c r="IM522" s="210"/>
      <c r="KW522" s="120"/>
      <c r="LD522" s="210"/>
      <c r="LE522" s="210"/>
      <c r="LF522" s="210"/>
      <c r="LG522" s="210"/>
      <c r="LH522" s="210"/>
      <c r="LI522" s="210"/>
      <c r="LJ522" s="210"/>
      <c r="LK522" s="210"/>
      <c r="LL522" s="210"/>
      <c r="LM522" s="210"/>
      <c r="LN522" s="210"/>
      <c r="LO522" s="210"/>
      <c r="LP522" s="210"/>
      <c r="LQ522" s="210"/>
      <c r="LR522" s="210"/>
      <c r="OB522" s="120"/>
      <c r="OI522" s="210"/>
      <c r="OJ522" s="210"/>
      <c r="OK522" s="210"/>
      <c r="OL522" s="210"/>
      <c r="OM522" s="210"/>
      <c r="ON522" s="210"/>
      <c r="OO522" s="210"/>
      <c r="OP522" s="210"/>
      <c r="OQ522" s="210"/>
      <c r="OR522" s="210"/>
      <c r="OS522" s="210"/>
      <c r="OT522" s="210"/>
      <c r="OU522" s="210"/>
      <c r="OV522" s="210"/>
      <c r="OW522" s="210"/>
      <c r="RG522" s="120"/>
    </row>
    <row r="523" spans="1:475" x14ac:dyDescent="0.3">
      <c r="A523" s="7">
        <v>123</v>
      </c>
      <c r="B523" s="7">
        <v>513</v>
      </c>
      <c r="C523" s="7" t="s">
        <v>276</v>
      </c>
      <c r="D523" s="7" t="s">
        <v>850</v>
      </c>
      <c r="E523" s="7" t="s">
        <v>845</v>
      </c>
      <c r="F523" s="7" t="s">
        <v>274</v>
      </c>
      <c r="G523" s="41" t="str">
        <f t="shared" si="80"/>
        <v>X</v>
      </c>
      <c r="H523" s="41">
        <f>INDEX(환산공식!CI$16:CI$301,MATCH('배치점수 계산기'!$W523,환산공식!$A$16:$A$301,0))</f>
        <v>200</v>
      </c>
      <c r="I523" s="41" t="str">
        <f>CONCATENATE(ROUND(INDEX(환산공식!CJ$16:CJ$301,MATCH('배치점수 계산기'!$W523,환산공식!$A$16:$A$301,0)),1),"%")</f>
        <v>100%</v>
      </c>
      <c r="J523" s="41">
        <f>INDEX(환산공식!CK$16:CK$301,MATCH('배치점수 계산기'!$W523,환산공식!$A$16:$A$301,0))</f>
        <v>10</v>
      </c>
      <c r="K523" s="7">
        <f>INDEX(환산공식!$EF$16:$EF$301,MATCH('배치점수 계산기'!W523,환산공식!$A$16:$A$301,0))</f>
        <v>0</v>
      </c>
      <c r="L523" s="41" t="str">
        <f t="shared" ref="L523:L586" si="89">IF(K523&gt;M523,"90% 이상",IF(K523&gt;N523,CONCATENATE(ROUND(((K523-N523)/(M523-N523))*20+70,0),"%"),IF(K523&gt;O523,CONCATENATE(ROUND(((K523-O523)/(N523-O523))*30+40,0),"%"),IF(K523&gt;P523,CONCATENATE(ROUND(((K523-P523)/(O523-P523))*30+10,0),"%"),IF(K523&gt;Q523,CONCATENATE(ROUND(((K523-Q523)/(P523-Q523))*9+1,0),"%"),"1% 이하")))))</f>
        <v>1% 이하</v>
      </c>
      <c r="M523" s="7">
        <v>800.28</v>
      </c>
      <c r="N523" s="7">
        <v>799.92</v>
      </c>
      <c r="O523" s="7">
        <v>799.56</v>
      </c>
      <c r="P523" s="7">
        <v>798.96</v>
      </c>
      <c r="Q523" s="7">
        <v>797.31999999999994</v>
      </c>
      <c r="R523" s="7">
        <f t="shared" ref="R523:R586" si="90">IF(K523&gt;M523,1,IF(K523&gt;N523,2,IF(K523&gt;O523,3,IF(K523&gt;P523,4,IF(K523&gt;=Q523,5,IF(K523&lt;Q523,6))))))</f>
        <v>6</v>
      </c>
      <c r="T523" s="7">
        <f>COUNTIF($C$11:C523,C523)</f>
        <v>276</v>
      </c>
      <c r="U523" s="7" t="str">
        <f t="shared" si="81"/>
        <v>가276</v>
      </c>
      <c r="V523" s="7" t="str">
        <f>INDEX(환산공식!$C$16:$C$301,MATCH('배치점수 계산기'!W523,환산공식!$A$16:$A$301,0))</f>
        <v>조선 의치약</v>
      </c>
      <c r="W523" s="7">
        <f t="shared" si="82"/>
        <v>123</v>
      </c>
      <c r="X523" s="7">
        <f t="shared" si="83"/>
        <v>1</v>
      </c>
      <c r="Y523" s="7">
        <f>IFERROR(INDEX(환산공식!Q$16:Q$200,MATCH($A523,환산공식!$A$16:$A$200,0)),"")</f>
        <v>2</v>
      </c>
      <c r="Z523" s="7">
        <f>IFERROR(INDEX(환산공식!R$16:R$200,MATCH($A523,환산공식!$A$16:$A$200,0)),"")</f>
        <v>2.8</v>
      </c>
      <c r="AA523" s="7">
        <f>IFERROR(INDEX(환산공식!U$16:U$200,MATCH($A523,환산공식!$A$16:$A$200,0)),"")</f>
        <v>1.2</v>
      </c>
      <c r="AB523" s="7">
        <f t="shared" si="84"/>
        <v>0.33333333333333331</v>
      </c>
      <c r="AC523" s="7">
        <f t="shared" si="85"/>
        <v>0.46666666666666662</v>
      </c>
      <c r="AD523" s="7">
        <f t="shared" si="86"/>
        <v>0.19999999999999998</v>
      </c>
      <c r="AE523" s="7">
        <f>INDEX(환산공식!$AF$16:$AF$301,MATCH('배치점수 계산기'!W523,환산공식!$A$16:$A$301,0))</f>
        <v>2</v>
      </c>
      <c r="AF523" s="7">
        <f>INDEX(환산공식!$AP$16:$AP$301,MATCH('배치점수 계산기'!W523,환산공식!$A$16:$A$301,0))</f>
        <v>2</v>
      </c>
      <c r="AG523" s="7" t="str">
        <f t="shared" si="87"/>
        <v>백분위</v>
      </c>
      <c r="AH523" s="7" t="str">
        <f t="shared" si="88"/>
        <v>백분위</v>
      </c>
      <c r="BO523" s="210"/>
      <c r="BP523" s="210"/>
      <c r="BQ523" s="210"/>
      <c r="BR523" s="210"/>
      <c r="BS523" s="210"/>
      <c r="BT523" s="210"/>
      <c r="BU523" s="210"/>
      <c r="BV523" s="210"/>
      <c r="BW523" s="210"/>
      <c r="BX523" s="210"/>
      <c r="BY523" s="210"/>
      <c r="BZ523" s="210"/>
      <c r="CA523" s="210"/>
      <c r="CB523" s="210"/>
      <c r="CC523" s="210"/>
      <c r="EM523" s="120"/>
      <c r="ET523" s="210"/>
      <c r="EU523" s="210"/>
      <c r="EV523" s="210"/>
      <c r="EW523" s="210"/>
      <c r="EX523" s="210"/>
      <c r="EY523" s="210"/>
      <c r="EZ523" s="210"/>
      <c r="FA523" s="210"/>
      <c r="FB523" s="210"/>
      <c r="FC523" s="210"/>
      <c r="FD523" s="210"/>
      <c r="FE523" s="210"/>
      <c r="FF523" s="210"/>
      <c r="FG523" s="210"/>
      <c r="FH523" s="210"/>
      <c r="HR523" s="120"/>
      <c r="HY523" s="210"/>
      <c r="HZ523" s="210"/>
      <c r="IA523" s="210"/>
      <c r="IB523" s="210"/>
      <c r="IC523" s="210"/>
      <c r="ID523" s="210"/>
      <c r="IE523" s="210"/>
      <c r="IF523" s="210"/>
      <c r="IG523" s="210"/>
      <c r="IH523" s="210"/>
      <c r="II523" s="210"/>
      <c r="IJ523" s="210"/>
      <c r="IK523" s="210"/>
      <c r="IL523" s="210"/>
      <c r="IM523" s="210"/>
      <c r="KW523" s="120"/>
      <c r="LD523" s="210"/>
      <c r="LE523" s="210"/>
      <c r="LF523" s="210"/>
      <c r="LG523" s="210"/>
      <c r="LH523" s="210"/>
      <c r="LI523" s="210"/>
      <c r="LJ523" s="210"/>
      <c r="LK523" s="210"/>
      <c r="LL523" s="210"/>
      <c r="LM523" s="210"/>
      <c r="LN523" s="210"/>
      <c r="LO523" s="210"/>
      <c r="LP523" s="210"/>
      <c r="LQ523" s="210"/>
      <c r="LR523" s="210"/>
      <c r="OB523" s="120"/>
      <c r="OI523" s="210"/>
      <c r="OJ523" s="210"/>
      <c r="OK523" s="210"/>
      <c r="OL523" s="210"/>
      <c r="OM523" s="210"/>
      <c r="ON523" s="210"/>
      <c r="OO523" s="210"/>
      <c r="OP523" s="210"/>
      <c r="OQ523" s="210"/>
      <c r="OR523" s="210"/>
      <c r="OS523" s="210"/>
      <c r="OT523" s="210"/>
      <c r="OU523" s="210"/>
      <c r="OV523" s="210"/>
      <c r="OW523" s="210"/>
      <c r="RG523" s="120"/>
    </row>
    <row r="524" spans="1:475" x14ac:dyDescent="0.3">
      <c r="A524" s="7">
        <v>16</v>
      </c>
      <c r="B524" s="7">
        <v>514</v>
      </c>
      <c r="C524" s="7" t="s">
        <v>346</v>
      </c>
      <c r="D524" s="7" t="s">
        <v>681</v>
      </c>
      <c r="E524" s="7" t="s">
        <v>845</v>
      </c>
      <c r="F524" s="7" t="s">
        <v>274</v>
      </c>
      <c r="G524" s="41" t="str">
        <f t="shared" ref="G524:G587" si="91">IFERROR(IF(BJ524=0,"X","O"),"")</f>
        <v>X</v>
      </c>
      <c r="H524" s="41">
        <f>INDEX(환산공식!CI$16:CI$301,MATCH('배치점수 계산기'!$W524,환산공식!$A$16:$A$301,0))</f>
        <v>0</v>
      </c>
      <c r="I524" s="41" t="e">
        <f>CONCATENATE(ROUND(INDEX(환산공식!CJ$16:CJ$301,MATCH('배치점수 계산기'!$W524,환산공식!$A$16:$A$301,0)),1),"%")</f>
        <v>#DIV/0!</v>
      </c>
      <c r="J524" s="41">
        <f>INDEX(환산공식!CK$16:CK$301,MATCH('배치점수 계산기'!$W524,환산공식!$A$16:$A$301,0))</f>
        <v>0</v>
      </c>
      <c r="K524" s="7">
        <f>INDEX(환산공식!$EF$16:$EF$301,MATCH('배치점수 계산기'!W524,환산공식!$A$16:$A$301,0))</f>
        <v>0</v>
      </c>
      <c r="L524" s="41" t="str">
        <f t="shared" si="89"/>
        <v>1% 이하</v>
      </c>
      <c r="M524" s="7">
        <v>438.08663501391459</v>
      </c>
      <c r="N524" s="7">
        <v>436.98438912366214</v>
      </c>
      <c r="O524" s="7">
        <v>433.33122162713607</v>
      </c>
      <c r="P524" s="7">
        <v>433.15999999999997</v>
      </c>
      <c r="Q524" s="7">
        <v>432.81964765878536</v>
      </c>
      <c r="R524" s="7">
        <f t="shared" si="90"/>
        <v>6</v>
      </c>
      <c r="T524" s="7">
        <f>COUNTIF($C$11:C524,C524)</f>
        <v>207</v>
      </c>
      <c r="U524" s="7" t="str">
        <f t="shared" ref="U524:U587" si="92">CONCATENATE(C524,T524)</f>
        <v>나207</v>
      </c>
      <c r="V524" s="7" t="str">
        <f>INDEX(환산공식!$C$16:$C$301,MATCH('배치점수 계산기'!W524,환산공식!$A$16:$A$301,0))</f>
        <v>서울대 자연</v>
      </c>
      <c r="W524" s="7">
        <f t="shared" ref="W524:W587" si="93">A524</f>
        <v>16</v>
      </c>
      <c r="X524" s="7">
        <f t="shared" ref="X524:X587" si="94">IF(OR(D524=0,D524=""),"",IF(LEFT(D524,1)=LEFT(V524,1),1,2))</f>
        <v>1</v>
      </c>
      <c r="Y524" s="7">
        <f>IFERROR(INDEX(환산공식!Q$16:Q$200,MATCH($A524,환산공식!$A$16:$A$200,0)),"")</f>
        <v>1</v>
      </c>
      <c r="Z524" s="7">
        <f>IFERROR(INDEX(환산공식!R$16:R$200,MATCH($A524,환산공식!$A$16:$A$200,0)),"")</f>
        <v>1.2</v>
      </c>
      <c r="AA524" s="7">
        <f>IFERROR(INDEX(환산공식!U$16:U$200,MATCH($A524,환산공식!$A$16:$A$200,0)),"")</f>
        <v>0.8</v>
      </c>
      <c r="AB524" s="7">
        <f t="shared" ref="AB524:AB587" si="95">Y524/($Y524+$Z524+$AA524)</f>
        <v>0.33333333333333331</v>
      </c>
      <c r="AC524" s="7">
        <f t="shared" ref="AC524:AC587" si="96">Z524/($Y524+$Z524+$AA524)</f>
        <v>0.39999999999999997</v>
      </c>
      <c r="AD524" s="7">
        <f t="shared" ref="AD524:AD587" si="97">AA524/($Y524+$Z524+$AA524)</f>
        <v>0.26666666666666666</v>
      </c>
      <c r="AE524" s="7">
        <f>INDEX(환산공식!$AF$16:$AF$301,MATCH('배치점수 계산기'!W524,환산공식!$A$16:$A$301,0))</f>
        <v>1</v>
      </c>
      <c r="AF524" s="7">
        <f>INDEX(환산공식!$AP$16:$AP$301,MATCH('배치점수 계산기'!W524,환산공식!$A$16:$A$301,0))</f>
        <v>1</v>
      </c>
      <c r="AG524" s="7" t="str">
        <f t="shared" ref="AG524:AG587" si="98">IF(AE524=1,"표점",IF(AE524=12,"표점/만점",IF(AE524=2,"백분위")))</f>
        <v>표점</v>
      </c>
      <c r="AH524" s="7" t="str">
        <f t="shared" ref="AH524:AH587" si="99">IF(AF524=1,"표점",IF(AF524=12,"표점/만점",IF(AF524=2,"백분위",IF(AF524=4,"변표",IF(AF524=42,"변표/만점")))))</f>
        <v>표점</v>
      </c>
      <c r="BO524" s="210"/>
      <c r="BP524" s="210"/>
      <c r="BQ524" s="210"/>
      <c r="BR524" s="210"/>
      <c r="BS524" s="210"/>
      <c r="BT524" s="210"/>
      <c r="BU524" s="210"/>
      <c r="BV524" s="210"/>
      <c r="BW524" s="210"/>
      <c r="BX524" s="210"/>
      <c r="BY524" s="210"/>
      <c r="BZ524" s="210"/>
      <c r="CA524" s="210"/>
      <c r="CB524" s="210"/>
      <c r="CC524" s="210"/>
      <c r="EM524" s="120"/>
      <c r="ET524" s="210"/>
      <c r="EU524" s="210"/>
      <c r="EV524" s="210"/>
      <c r="EW524" s="210"/>
      <c r="EX524" s="210"/>
      <c r="EY524" s="210"/>
      <c r="EZ524" s="210"/>
      <c r="FA524" s="210"/>
      <c r="FB524" s="210"/>
      <c r="FC524" s="210"/>
      <c r="FD524" s="210"/>
      <c r="FE524" s="210"/>
      <c r="FF524" s="210"/>
      <c r="FG524" s="210"/>
      <c r="FH524" s="210"/>
      <c r="HR524" s="120"/>
      <c r="HY524" s="210"/>
      <c r="HZ524" s="210"/>
      <c r="IA524" s="210"/>
      <c r="IB524" s="210"/>
      <c r="IC524" s="210"/>
      <c r="ID524" s="210"/>
      <c r="IE524" s="210"/>
      <c r="IF524" s="210"/>
      <c r="IG524" s="210"/>
      <c r="IH524" s="210"/>
      <c r="II524" s="210"/>
      <c r="IJ524" s="210"/>
      <c r="IK524" s="210"/>
      <c r="IL524" s="210"/>
      <c r="IM524" s="210"/>
      <c r="KW524" s="120"/>
      <c r="LD524" s="210"/>
      <c r="LE524" s="210"/>
      <c r="LF524" s="210"/>
      <c r="LG524" s="210"/>
      <c r="LH524" s="210"/>
      <c r="LI524" s="210"/>
      <c r="LJ524" s="210"/>
      <c r="LK524" s="210"/>
      <c r="LL524" s="210"/>
      <c r="LM524" s="210"/>
      <c r="LN524" s="210"/>
      <c r="LO524" s="210"/>
      <c r="LP524" s="210"/>
      <c r="LQ524" s="210"/>
      <c r="LR524" s="210"/>
      <c r="OB524" s="120"/>
      <c r="OI524" s="210"/>
      <c r="OJ524" s="210"/>
      <c r="OK524" s="210"/>
      <c r="OL524" s="210"/>
      <c r="OM524" s="210"/>
      <c r="ON524" s="210"/>
      <c r="OO524" s="210"/>
      <c r="OP524" s="210"/>
      <c r="OQ524" s="210"/>
      <c r="OR524" s="210"/>
      <c r="OS524" s="210"/>
      <c r="OT524" s="210"/>
      <c r="OU524" s="210"/>
      <c r="OV524" s="210"/>
      <c r="OW524" s="210"/>
      <c r="RG524" s="120"/>
    </row>
    <row r="525" spans="1:475" x14ac:dyDescent="0.3">
      <c r="A525" s="7">
        <v>33</v>
      </c>
      <c r="B525" s="7">
        <v>515</v>
      </c>
      <c r="C525" s="7" t="s">
        <v>346</v>
      </c>
      <c r="D525" s="7" t="s">
        <v>380</v>
      </c>
      <c r="E525" s="7" t="s">
        <v>845</v>
      </c>
      <c r="F525" s="7" t="s">
        <v>274</v>
      </c>
      <c r="G525" s="41" t="str">
        <f t="shared" si="91"/>
        <v>X</v>
      </c>
      <c r="H525" s="41">
        <f>INDEX(환산공식!CI$16:CI$301,MATCH('배치점수 계산기'!$W525,환산공식!$A$16:$A$301,0))</f>
        <v>120</v>
      </c>
      <c r="I525" s="41" t="str">
        <f>CONCATENATE(ROUND(INDEX(환산공식!CJ$16:CJ$301,MATCH('배치점수 계산기'!$W525,환산공식!$A$16:$A$301,0)),1),"%")</f>
        <v>100%</v>
      </c>
      <c r="J525" s="41">
        <f>INDEX(환산공식!CK$16:CK$301,MATCH('배치점수 계산기'!$W525,환산공식!$A$16:$A$301,0))</f>
        <v>40</v>
      </c>
      <c r="K525" s="7">
        <f>INDEX(환산공식!$EF$16:$EF$301,MATCH('배치점수 계산기'!W525,환산공식!$A$16:$A$301,0))</f>
        <v>0</v>
      </c>
      <c r="L525" s="41" t="str">
        <f t="shared" si="89"/>
        <v>1% 이하</v>
      </c>
      <c r="M525" s="7">
        <v>622.53368129330238</v>
      </c>
      <c r="N525" s="7">
        <v>622.28638742487283</v>
      </c>
      <c r="O525" s="7">
        <v>620.08399999999983</v>
      </c>
      <c r="P525" s="7">
        <v>618.76308158508164</v>
      </c>
      <c r="Q525" s="7">
        <v>618.01537222870468</v>
      </c>
      <c r="R525" s="7">
        <f t="shared" si="90"/>
        <v>6</v>
      </c>
      <c r="T525" s="7">
        <f>COUNTIF($C$11:C525,C525)</f>
        <v>208</v>
      </c>
      <c r="U525" s="7" t="str">
        <f t="shared" si="92"/>
        <v>나208</v>
      </c>
      <c r="V525" s="7" t="str">
        <f>INDEX(환산공식!$C$16:$C$301,MATCH('배치점수 계산기'!W525,환산공식!$A$16:$A$301,0))</f>
        <v>경희 자연</v>
      </c>
      <c r="W525" s="7">
        <f t="shared" si="93"/>
        <v>33</v>
      </c>
      <c r="X525" s="7">
        <f t="shared" si="94"/>
        <v>1</v>
      </c>
      <c r="Y525" s="7">
        <f>IFERROR(INDEX(환산공식!Q$16:Q$200,MATCH($A525,환산공식!$A$16:$A$200,0)),"")</f>
        <v>0.8</v>
      </c>
      <c r="Z525" s="7">
        <f>IFERROR(INDEX(환산공식!R$16:R$200,MATCH($A525,환산공식!$A$16:$A$200,0)),"")</f>
        <v>1.4</v>
      </c>
      <c r="AA525" s="7">
        <f>IFERROR(INDEX(환산공식!U$16:U$200,MATCH($A525,환산공식!$A$16:$A$200,0)),"")</f>
        <v>1</v>
      </c>
      <c r="AB525" s="7">
        <f t="shared" si="95"/>
        <v>0.25</v>
      </c>
      <c r="AC525" s="7">
        <f t="shared" si="96"/>
        <v>0.43749999999999994</v>
      </c>
      <c r="AD525" s="7">
        <f t="shared" si="97"/>
        <v>0.3125</v>
      </c>
      <c r="AE525" s="7">
        <f>INDEX(환산공식!$AF$16:$AF$301,MATCH('배치점수 계산기'!W525,환산공식!$A$16:$A$301,0))</f>
        <v>1</v>
      </c>
      <c r="AF525" s="7">
        <f>INDEX(환산공식!$AP$16:$AP$301,MATCH('배치점수 계산기'!W525,환산공식!$A$16:$A$301,0))</f>
        <v>4</v>
      </c>
      <c r="AG525" s="7" t="str">
        <f t="shared" si="98"/>
        <v>표점</v>
      </c>
      <c r="AH525" s="7" t="str">
        <f t="shared" si="99"/>
        <v>변표</v>
      </c>
      <c r="BO525" s="210"/>
      <c r="BP525" s="210"/>
      <c r="BQ525" s="210"/>
      <c r="BR525" s="210"/>
      <c r="BS525" s="210"/>
      <c r="BT525" s="210"/>
      <c r="BU525" s="210"/>
      <c r="BV525" s="210"/>
      <c r="BW525" s="210"/>
      <c r="BX525" s="210"/>
      <c r="BY525" s="210"/>
      <c r="BZ525" s="210"/>
      <c r="CA525" s="210"/>
      <c r="CB525" s="210"/>
      <c r="CC525" s="210"/>
      <c r="EM525" s="120"/>
      <c r="ET525" s="210"/>
      <c r="EU525" s="210"/>
      <c r="EV525" s="210"/>
      <c r="EW525" s="210"/>
      <c r="EX525" s="210"/>
      <c r="EY525" s="210"/>
      <c r="EZ525" s="210"/>
      <c r="FA525" s="210"/>
      <c r="FB525" s="210"/>
      <c r="FC525" s="210"/>
      <c r="FD525" s="210"/>
      <c r="FE525" s="210"/>
      <c r="FF525" s="210"/>
      <c r="FG525" s="210"/>
      <c r="FH525" s="210"/>
      <c r="HR525" s="120"/>
      <c r="HY525" s="210"/>
      <c r="HZ525" s="210"/>
      <c r="IA525" s="210"/>
      <c r="IB525" s="210"/>
      <c r="IC525" s="210"/>
      <c r="ID525" s="210"/>
      <c r="IE525" s="210"/>
      <c r="IF525" s="210"/>
      <c r="IG525" s="210"/>
      <c r="IH525" s="210"/>
      <c r="II525" s="210"/>
      <c r="IJ525" s="210"/>
      <c r="IK525" s="210"/>
      <c r="IL525" s="210"/>
      <c r="IM525" s="210"/>
      <c r="KW525" s="120"/>
      <c r="LD525" s="210"/>
      <c r="LE525" s="210"/>
      <c r="LF525" s="210"/>
      <c r="LG525" s="210"/>
      <c r="LH525" s="210"/>
      <c r="LI525" s="210"/>
      <c r="LJ525" s="210"/>
      <c r="LK525" s="210"/>
      <c r="LL525" s="210"/>
      <c r="LM525" s="210"/>
      <c r="LN525" s="210"/>
      <c r="LO525" s="210"/>
      <c r="LP525" s="210"/>
      <c r="LQ525" s="210"/>
      <c r="LR525" s="210"/>
      <c r="OB525" s="120"/>
      <c r="OI525" s="210"/>
      <c r="OJ525" s="210"/>
      <c r="OK525" s="210"/>
      <c r="OL525" s="210"/>
      <c r="OM525" s="210"/>
      <c r="ON525" s="210"/>
      <c r="OO525" s="210"/>
      <c r="OP525" s="210"/>
      <c r="OQ525" s="210"/>
      <c r="OR525" s="210"/>
      <c r="OS525" s="210"/>
      <c r="OT525" s="210"/>
      <c r="OU525" s="210"/>
      <c r="OV525" s="210"/>
      <c r="OW525" s="210"/>
      <c r="RG525" s="120"/>
    </row>
    <row r="526" spans="1:475" x14ac:dyDescent="0.3">
      <c r="A526" s="7">
        <v>29</v>
      </c>
      <c r="B526" s="7">
        <v>516</v>
      </c>
      <c r="C526" s="7" t="s">
        <v>346</v>
      </c>
      <c r="D526" s="7" t="s">
        <v>747</v>
      </c>
      <c r="E526" s="7" t="s">
        <v>845</v>
      </c>
      <c r="F526" s="7" t="s">
        <v>274</v>
      </c>
      <c r="G526" s="41" t="str">
        <f t="shared" si="91"/>
        <v>X</v>
      </c>
      <c r="H526" s="41">
        <f>INDEX(환산공식!CI$16:CI$301,MATCH('배치점수 계산기'!$W526,환산공식!$A$16:$A$301,0))</f>
        <v>100</v>
      </c>
      <c r="I526" s="41" t="str">
        <f>CONCATENATE(ROUND(INDEX(환산공식!CJ$16:CJ$301,MATCH('배치점수 계산기'!$W526,환산공식!$A$16:$A$301,0)),1),"%")</f>
        <v>100%</v>
      </c>
      <c r="J526" s="41">
        <f>INDEX(환산공식!CK$16:CK$301,MATCH('배치점수 계산기'!$W526,환산공식!$A$16:$A$301,0))</f>
        <v>10</v>
      </c>
      <c r="K526" s="7">
        <f>INDEX(환산공식!$EF$16:$EF$301,MATCH('배치점수 계산기'!W526,환산공식!$A$16:$A$301,0))</f>
        <v>0</v>
      </c>
      <c r="L526" s="41" t="str">
        <f t="shared" si="89"/>
        <v>1% 이하</v>
      </c>
      <c r="M526" s="7">
        <v>831.08085899214029</v>
      </c>
      <c r="N526" s="7">
        <v>827.5469999999998</v>
      </c>
      <c r="O526" s="7">
        <v>825.93875000000003</v>
      </c>
      <c r="P526" s="7">
        <v>825.3296165501165</v>
      </c>
      <c r="Q526" s="7">
        <v>822.7047500000001</v>
      </c>
      <c r="R526" s="7">
        <f t="shared" si="90"/>
        <v>6</v>
      </c>
      <c r="T526" s="7">
        <f>COUNTIF($C$11:C526,C526)</f>
        <v>209</v>
      </c>
      <c r="U526" s="7" t="str">
        <f t="shared" si="92"/>
        <v>나209</v>
      </c>
      <c r="V526" s="7" t="str">
        <f>INDEX(환산공식!$C$16:$C$301,MATCH('배치점수 계산기'!W526,환산공식!$A$16:$A$301,0))</f>
        <v>중앙 자연</v>
      </c>
      <c r="W526" s="7">
        <f t="shared" si="93"/>
        <v>29</v>
      </c>
      <c r="X526" s="7">
        <f t="shared" si="94"/>
        <v>1</v>
      </c>
      <c r="Y526" s="7">
        <f>IFERROR(INDEX(환산공식!Q$16:Q$200,MATCH($A526,환산공식!$A$16:$A$200,0)),"")</f>
        <v>1.25</v>
      </c>
      <c r="Z526" s="7">
        <f>IFERROR(INDEX(환산공식!R$16:R$200,MATCH($A526,환산공식!$A$16:$A$200,0)),"")</f>
        <v>2</v>
      </c>
      <c r="AA526" s="7">
        <f>IFERROR(INDEX(환산공식!U$16:U$200,MATCH($A526,환산공식!$A$16:$A$200,0)),"")</f>
        <v>1.75</v>
      </c>
      <c r="AB526" s="7">
        <f t="shared" si="95"/>
        <v>0.25</v>
      </c>
      <c r="AC526" s="7">
        <f t="shared" si="96"/>
        <v>0.4</v>
      </c>
      <c r="AD526" s="7">
        <f t="shared" si="97"/>
        <v>0.35</v>
      </c>
      <c r="AE526" s="7">
        <f>INDEX(환산공식!$AF$16:$AF$301,MATCH('배치점수 계산기'!W526,환산공식!$A$16:$A$301,0))</f>
        <v>1</v>
      </c>
      <c r="AF526" s="7">
        <f>INDEX(환산공식!$AP$16:$AP$301,MATCH('배치점수 계산기'!W526,환산공식!$A$16:$A$301,0))</f>
        <v>4</v>
      </c>
      <c r="AG526" s="7" t="str">
        <f t="shared" si="98"/>
        <v>표점</v>
      </c>
      <c r="AH526" s="7" t="str">
        <f t="shared" si="99"/>
        <v>변표</v>
      </c>
      <c r="BO526" s="210"/>
      <c r="BP526" s="210"/>
      <c r="BQ526" s="210"/>
      <c r="BR526" s="210"/>
      <c r="BS526" s="210"/>
      <c r="BT526" s="210"/>
      <c r="BU526" s="210"/>
      <c r="BV526" s="210"/>
      <c r="BW526" s="210"/>
      <c r="BX526" s="210"/>
      <c r="BY526" s="210"/>
      <c r="BZ526" s="210"/>
      <c r="CA526" s="210"/>
      <c r="CB526" s="210"/>
      <c r="CC526" s="210"/>
      <c r="EM526" s="120"/>
      <c r="ET526" s="210"/>
      <c r="EU526" s="210"/>
      <c r="EV526" s="210"/>
      <c r="EW526" s="210"/>
      <c r="EX526" s="210"/>
      <c r="EY526" s="210"/>
      <c r="EZ526" s="210"/>
      <c r="FA526" s="210"/>
      <c r="FB526" s="210"/>
      <c r="FC526" s="210"/>
      <c r="FD526" s="210"/>
      <c r="FE526" s="210"/>
      <c r="FF526" s="210"/>
      <c r="FG526" s="210"/>
      <c r="FH526" s="210"/>
      <c r="HR526" s="120"/>
      <c r="HY526" s="210"/>
      <c r="HZ526" s="210"/>
      <c r="IA526" s="210"/>
      <c r="IB526" s="210"/>
      <c r="IC526" s="210"/>
      <c r="ID526" s="210"/>
      <c r="IE526" s="210"/>
      <c r="IF526" s="210"/>
      <c r="IG526" s="210"/>
      <c r="IH526" s="210"/>
      <c r="II526" s="210"/>
      <c r="IJ526" s="210"/>
      <c r="IK526" s="210"/>
      <c r="IL526" s="210"/>
      <c r="IM526" s="210"/>
      <c r="KW526" s="120"/>
      <c r="LD526" s="210"/>
      <c r="LE526" s="210"/>
      <c r="LF526" s="210"/>
      <c r="LG526" s="210"/>
      <c r="LH526" s="210"/>
      <c r="LI526" s="210"/>
      <c r="LJ526" s="210"/>
      <c r="LK526" s="210"/>
      <c r="LL526" s="210"/>
      <c r="LM526" s="210"/>
      <c r="LN526" s="210"/>
      <c r="LO526" s="210"/>
      <c r="LP526" s="210"/>
      <c r="LQ526" s="210"/>
      <c r="LR526" s="210"/>
      <c r="OB526" s="120"/>
      <c r="OI526" s="210"/>
      <c r="OJ526" s="210"/>
      <c r="OK526" s="210"/>
      <c r="OL526" s="210"/>
      <c r="OM526" s="210"/>
      <c r="ON526" s="210"/>
      <c r="OO526" s="210"/>
      <c r="OP526" s="210"/>
      <c r="OQ526" s="210"/>
      <c r="OR526" s="210"/>
      <c r="OS526" s="210"/>
      <c r="OT526" s="210"/>
      <c r="OU526" s="210"/>
      <c r="OV526" s="210"/>
      <c r="OW526" s="210"/>
      <c r="RG526" s="120"/>
    </row>
    <row r="527" spans="1:475" x14ac:dyDescent="0.3">
      <c r="A527" s="7">
        <v>127</v>
      </c>
      <c r="B527" s="7">
        <v>517</v>
      </c>
      <c r="C527" s="7" t="s">
        <v>346</v>
      </c>
      <c r="D527" s="7" t="s">
        <v>851</v>
      </c>
      <c r="E527" s="7" t="s">
        <v>845</v>
      </c>
      <c r="F527" s="7" t="s">
        <v>274</v>
      </c>
      <c r="G527" s="41" t="str">
        <f t="shared" si="91"/>
        <v>X</v>
      </c>
      <c r="H527" s="41">
        <f>INDEX(환산공식!CI$16:CI$301,MATCH('배치점수 계산기'!$W527,환산공식!$A$16:$A$301,0))</f>
        <v>100</v>
      </c>
      <c r="I527" s="41" t="str">
        <f>CONCATENATE(ROUND(INDEX(환산공식!CJ$16:CJ$301,MATCH('배치점수 계산기'!$W527,환산공식!$A$16:$A$301,0)),1),"%")</f>
        <v>100%</v>
      </c>
      <c r="J527" s="41">
        <f>INDEX(환산공식!CK$16:CK$301,MATCH('배치점수 계산기'!$W527,환산공식!$A$16:$A$301,0))</f>
        <v>0</v>
      </c>
      <c r="K527" s="7">
        <f>INDEX(환산공식!$EF$16:$EF$301,MATCH('배치점수 계산기'!W527,환산공식!$A$16:$A$301,0))</f>
        <v>0</v>
      </c>
      <c r="L527" s="41" t="str">
        <f t="shared" si="89"/>
        <v>1% 이하</v>
      </c>
      <c r="M527" s="7">
        <v>973.63947934549105</v>
      </c>
      <c r="N527" s="7">
        <v>972.14294064608384</v>
      </c>
      <c r="O527" s="7">
        <v>969.76209930665675</v>
      </c>
      <c r="P527" s="7">
        <v>967.49052223569538</v>
      </c>
      <c r="Q527" s="7">
        <v>961.59064763859089</v>
      </c>
      <c r="R527" s="7">
        <f t="shared" si="90"/>
        <v>6</v>
      </c>
      <c r="T527" s="7">
        <f>COUNTIF($C$11:C527,C527)</f>
        <v>210</v>
      </c>
      <c r="U527" s="7" t="str">
        <f t="shared" si="92"/>
        <v>나210</v>
      </c>
      <c r="V527" s="7" t="str">
        <f>INDEX(환산공식!$C$16:$C$301,MATCH('배치점수 계산기'!W527,환산공식!$A$16:$A$301,0))</f>
        <v>한림 의</v>
      </c>
      <c r="W527" s="7">
        <f t="shared" si="93"/>
        <v>127</v>
      </c>
      <c r="X527" s="7">
        <f t="shared" si="94"/>
        <v>1</v>
      </c>
      <c r="Y527" s="7">
        <f>IFERROR(INDEX(환산공식!Q$16:Q$200,MATCH($A527,환산공식!$A$16:$A$200,0)),"")</f>
        <v>1.3422818791946309</v>
      </c>
      <c r="Z527" s="7">
        <f>IFERROR(INDEX(환산공식!R$16:R$200,MATCH($A527,환산공식!$A$16:$A$200,0)),"")</f>
        <v>2.7210884353741496</v>
      </c>
      <c r="AA527" s="7">
        <f>IFERROR(INDEX(환산공식!U$16:U$200,MATCH($A527,환산공식!$A$16:$A$200,0)),"")</f>
        <v>2.112676056338028</v>
      </c>
      <c r="AB527" s="7">
        <f t="shared" si="95"/>
        <v>0.21733675535819336</v>
      </c>
      <c r="AC527" s="7">
        <f t="shared" si="96"/>
        <v>0.44058743603225586</v>
      </c>
      <c r="AD527" s="7">
        <f t="shared" si="97"/>
        <v>0.34207580860955078</v>
      </c>
      <c r="AE527" s="7">
        <f>INDEX(환산공식!$AF$16:$AF$301,MATCH('배치점수 계산기'!W527,환산공식!$A$16:$A$301,0))</f>
        <v>12</v>
      </c>
      <c r="AF527" s="7">
        <f>INDEX(환산공식!$AP$16:$AP$301,MATCH('배치점수 계산기'!W527,환산공식!$A$16:$A$301,0))</f>
        <v>12</v>
      </c>
      <c r="AG527" s="7" t="str">
        <f t="shared" si="98"/>
        <v>표점/만점</v>
      </c>
      <c r="AH527" s="7" t="str">
        <f t="shared" si="99"/>
        <v>표점/만점</v>
      </c>
      <c r="BO527" s="210"/>
      <c r="BP527" s="210"/>
      <c r="BQ527" s="210"/>
      <c r="BR527" s="210"/>
      <c r="BS527" s="210"/>
      <c r="BT527" s="210"/>
      <c r="BU527" s="210"/>
      <c r="BV527" s="210"/>
      <c r="BW527" s="210"/>
      <c r="BX527" s="210"/>
      <c r="BY527" s="210"/>
      <c r="BZ527" s="210"/>
      <c r="CA527" s="210"/>
      <c r="CB527" s="210"/>
      <c r="CC527" s="210"/>
      <c r="EM527" s="120"/>
      <c r="ET527" s="210"/>
      <c r="EU527" s="210"/>
      <c r="EV527" s="210"/>
      <c r="EW527" s="210"/>
      <c r="EX527" s="210"/>
      <c r="EY527" s="210"/>
      <c r="EZ527" s="210"/>
      <c r="FA527" s="210"/>
      <c r="FB527" s="210"/>
      <c r="FC527" s="210"/>
      <c r="FD527" s="210"/>
      <c r="FE527" s="210"/>
      <c r="FF527" s="210"/>
      <c r="FG527" s="210"/>
      <c r="FH527" s="210"/>
      <c r="HR527" s="120"/>
      <c r="HY527" s="210"/>
      <c r="HZ527" s="210"/>
      <c r="IA527" s="210"/>
      <c r="IB527" s="210"/>
      <c r="IC527" s="210"/>
      <c r="ID527" s="210"/>
      <c r="IE527" s="210"/>
      <c r="IF527" s="210"/>
      <c r="IG527" s="210"/>
      <c r="IH527" s="210"/>
      <c r="II527" s="210"/>
      <c r="IJ527" s="210"/>
      <c r="IK527" s="210"/>
      <c r="IL527" s="210"/>
      <c r="IM527" s="210"/>
      <c r="KW527" s="120"/>
      <c r="LD527" s="210"/>
      <c r="LE527" s="210"/>
      <c r="LF527" s="210"/>
      <c r="LG527" s="210"/>
      <c r="LH527" s="210"/>
      <c r="LI527" s="210"/>
      <c r="LJ527" s="210"/>
      <c r="LK527" s="210"/>
      <c r="LL527" s="210"/>
      <c r="LM527" s="210"/>
      <c r="LN527" s="210"/>
      <c r="LO527" s="210"/>
      <c r="LP527" s="210"/>
      <c r="LQ527" s="210"/>
      <c r="LR527" s="210"/>
      <c r="OB527" s="120"/>
      <c r="OI527" s="210"/>
      <c r="OJ527" s="210"/>
      <c r="OK527" s="210"/>
      <c r="OL527" s="210"/>
      <c r="OM527" s="210"/>
      <c r="ON527" s="210"/>
      <c r="OO527" s="210"/>
      <c r="OP527" s="210"/>
      <c r="OQ527" s="210"/>
      <c r="OR527" s="210"/>
      <c r="OS527" s="210"/>
      <c r="OT527" s="210"/>
      <c r="OU527" s="210"/>
      <c r="OV527" s="210"/>
      <c r="OW527" s="210"/>
      <c r="RG527" s="120"/>
    </row>
    <row r="528" spans="1:475" x14ac:dyDescent="0.3">
      <c r="A528" s="7">
        <v>64</v>
      </c>
      <c r="B528" s="7">
        <v>518</v>
      </c>
      <c r="C528" s="7" t="s">
        <v>346</v>
      </c>
      <c r="D528" s="7" t="s">
        <v>717</v>
      </c>
      <c r="E528" s="7" t="s">
        <v>845</v>
      </c>
      <c r="F528" s="7" t="s">
        <v>274</v>
      </c>
      <c r="G528" s="41" t="str">
        <f t="shared" si="91"/>
        <v>X</v>
      </c>
      <c r="H528" s="41">
        <f>INDEX(환산공식!CI$16:CI$301,MATCH('배치점수 계산기'!$W528,환산공식!$A$16:$A$301,0))</f>
        <v>200</v>
      </c>
      <c r="I528" s="41" t="str">
        <f>CONCATENATE(ROUND(INDEX(환산공식!CJ$16:CJ$301,MATCH('배치점수 계산기'!$W528,환산공식!$A$16:$A$301,0)),1),"%")</f>
        <v>100%</v>
      </c>
      <c r="J528" s="41">
        <f>INDEX(환산공식!CK$16:CK$301,MATCH('배치점수 계산기'!$W528,환산공식!$A$16:$A$301,0))</f>
        <v>10</v>
      </c>
      <c r="K528" s="7">
        <f>INDEX(환산공식!$EF$16:$EF$301,MATCH('배치점수 계산기'!W528,환산공식!$A$16:$A$301,0))</f>
        <v>0</v>
      </c>
      <c r="L528" s="41" t="str">
        <f t="shared" si="89"/>
        <v>1% 이하</v>
      </c>
      <c r="M528" s="7">
        <v>983.08972790629969</v>
      </c>
      <c r="N528" s="7">
        <v>979.14633620188022</v>
      </c>
      <c r="O528" s="7">
        <v>977.50163852382934</v>
      </c>
      <c r="P528" s="7">
        <v>977.04115572224828</v>
      </c>
      <c r="Q528" s="7">
        <v>973.82779751450164</v>
      </c>
      <c r="R528" s="7">
        <f t="shared" si="90"/>
        <v>6</v>
      </c>
      <c r="T528" s="7">
        <f>COUNTIF($C$11:C528,C528)</f>
        <v>211</v>
      </c>
      <c r="U528" s="7" t="str">
        <f t="shared" si="92"/>
        <v>나211</v>
      </c>
      <c r="V528" s="7" t="str">
        <f>INDEX(환산공식!$C$16:$C$301,MATCH('배치점수 계산기'!W528,환산공식!$A$16:$A$301,0))</f>
        <v>이화 자연</v>
      </c>
      <c r="W528" s="7">
        <f t="shared" si="93"/>
        <v>64</v>
      </c>
      <c r="X528" s="7">
        <f t="shared" si="94"/>
        <v>1</v>
      </c>
      <c r="Y528" s="7">
        <f>IFERROR(INDEX(환산공식!Q$16:Q$200,MATCH($A528,환산공식!$A$16:$A$200,0)),"")</f>
        <v>1.6778523489932886</v>
      </c>
      <c r="Z528" s="7">
        <f>IFERROR(INDEX(환산공식!R$16:R$200,MATCH($A528,환산공식!$A$16:$A$200,0)),"")</f>
        <v>2.0408163265306123</v>
      </c>
      <c r="AA528" s="7">
        <f>IFERROR(INDEX(환산공식!U$16:U$200,MATCH($A528,환산공식!$A$16:$A$200,0)),"")</f>
        <v>1.7573457050470971</v>
      </c>
      <c r="AB528" s="7">
        <f t="shared" si="95"/>
        <v>0.30640028173525991</v>
      </c>
      <c r="AC528" s="7">
        <f t="shared" si="96"/>
        <v>0.37268279166166307</v>
      </c>
      <c r="AD528" s="7">
        <f t="shared" si="97"/>
        <v>0.32091692660307697</v>
      </c>
      <c r="AE528" s="7">
        <f>INDEX(환산공식!$AF$16:$AF$301,MATCH('배치점수 계산기'!W528,환산공식!$A$16:$A$301,0))</f>
        <v>12</v>
      </c>
      <c r="AF528" s="7">
        <f>INDEX(환산공식!$AP$16:$AP$301,MATCH('배치점수 계산기'!W528,환산공식!$A$16:$A$301,0))</f>
        <v>42</v>
      </c>
      <c r="AG528" s="7" t="str">
        <f t="shared" si="98"/>
        <v>표점/만점</v>
      </c>
      <c r="AH528" s="7" t="str">
        <f t="shared" si="99"/>
        <v>변표/만점</v>
      </c>
      <c r="BO528" s="210"/>
      <c r="BP528" s="210"/>
      <c r="BQ528" s="210"/>
      <c r="BR528" s="210"/>
      <c r="BS528" s="210"/>
      <c r="BT528" s="210"/>
      <c r="BU528" s="210"/>
      <c r="BV528" s="210"/>
      <c r="BW528" s="210"/>
      <c r="BX528" s="210"/>
      <c r="BY528" s="210"/>
      <c r="BZ528" s="210"/>
      <c r="CA528" s="210"/>
      <c r="CB528" s="210"/>
      <c r="CC528" s="210"/>
      <c r="EM528" s="120"/>
      <c r="ET528" s="210"/>
      <c r="EU528" s="210"/>
      <c r="EV528" s="210"/>
      <c r="EW528" s="210"/>
      <c r="EX528" s="210"/>
      <c r="EY528" s="210"/>
      <c r="EZ528" s="210"/>
      <c r="FA528" s="210"/>
      <c r="FB528" s="210"/>
      <c r="FC528" s="210"/>
      <c r="FD528" s="210"/>
      <c r="FE528" s="210"/>
      <c r="FF528" s="210"/>
      <c r="FG528" s="210"/>
      <c r="FH528" s="210"/>
      <c r="HR528" s="120"/>
      <c r="HY528" s="210"/>
      <c r="HZ528" s="210"/>
      <c r="IA528" s="210"/>
      <c r="IB528" s="210"/>
      <c r="IC528" s="210"/>
      <c r="ID528" s="210"/>
      <c r="IE528" s="210"/>
      <c r="IF528" s="210"/>
      <c r="IG528" s="210"/>
      <c r="IH528" s="210"/>
      <c r="II528" s="210"/>
      <c r="IJ528" s="210"/>
      <c r="IK528" s="210"/>
      <c r="IL528" s="210"/>
      <c r="IM528" s="210"/>
      <c r="KW528" s="120"/>
      <c r="LD528" s="210"/>
      <c r="LE528" s="210"/>
      <c r="LF528" s="210"/>
      <c r="LG528" s="210"/>
      <c r="LH528" s="210"/>
      <c r="LI528" s="210"/>
      <c r="LJ528" s="210"/>
      <c r="LK528" s="210"/>
      <c r="LL528" s="210"/>
      <c r="LM528" s="210"/>
      <c r="LN528" s="210"/>
      <c r="LO528" s="210"/>
      <c r="LP528" s="210"/>
      <c r="LQ528" s="210"/>
      <c r="LR528" s="210"/>
      <c r="OB528" s="120"/>
      <c r="OI528" s="210"/>
      <c r="OJ528" s="210"/>
      <c r="OK528" s="210"/>
      <c r="OL528" s="210"/>
      <c r="OM528" s="210"/>
      <c r="ON528" s="210"/>
      <c r="OO528" s="210"/>
      <c r="OP528" s="210"/>
      <c r="OQ528" s="210"/>
      <c r="OR528" s="210"/>
      <c r="OS528" s="210"/>
      <c r="OT528" s="210"/>
      <c r="OU528" s="210"/>
      <c r="OV528" s="210"/>
      <c r="OW528" s="210"/>
      <c r="RG528" s="120"/>
    </row>
    <row r="529" spans="1:475" x14ac:dyDescent="0.3">
      <c r="A529" s="7">
        <v>96</v>
      </c>
      <c r="B529" s="7">
        <v>519</v>
      </c>
      <c r="C529" s="7" t="s">
        <v>346</v>
      </c>
      <c r="D529" s="7" t="s">
        <v>699</v>
      </c>
      <c r="E529" s="7" t="s">
        <v>845</v>
      </c>
      <c r="F529" s="7" t="s">
        <v>274</v>
      </c>
      <c r="G529" s="41" t="str">
        <f t="shared" si="91"/>
        <v>X</v>
      </c>
      <c r="H529" s="41">
        <f>INDEX(환산공식!CI$16:CI$301,MATCH('배치점수 계산기'!$W529,환산공식!$A$16:$A$301,0))</f>
        <v>200</v>
      </c>
      <c r="I529" s="41" t="str">
        <f>CONCATENATE(ROUND(INDEX(환산공식!CJ$16:CJ$301,MATCH('배치점수 계산기'!$W529,환산공식!$A$16:$A$301,0)),1),"%")</f>
        <v>100%</v>
      </c>
      <c r="J529" s="41">
        <f>INDEX(환산공식!CK$16:CK$301,MATCH('배치점수 계산기'!$W529,환산공식!$A$16:$A$301,0))</f>
        <v>10</v>
      </c>
      <c r="K529" s="7">
        <f>INDEX(환산공식!$EF$16:$EF$301,MATCH('배치점수 계산기'!W529,환산공식!$A$16:$A$301,0))</f>
        <v>0</v>
      </c>
      <c r="L529" s="41" t="str">
        <f t="shared" si="89"/>
        <v>1% 이하</v>
      </c>
      <c r="M529" s="7">
        <v>776.21867857142854</v>
      </c>
      <c r="N529" s="7">
        <v>775.82563869299486</v>
      </c>
      <c r="O529" s="7">
        <v>773.47322159090913</v>
      </c>
      <c r="P529" s="7">
        <v>771.83849999999995</v>
      </c>
      <c r="Q529" s="7">
        <v>768.48849286054258</v>
      </c>
      <c r="R529" s="7">
        <f t="shared" si="90"/>
        <v>6</v>
      </c>
      <c r="T529" s="7">
        <f>COUNTIF($C$11:C529,C529)</f>
        <v>212</v>
      </c>
      <c r="U529" s="7" t="str">
        <f t="shared" si="92"/>
        <v>나212</v>
      </c>
      <c r="V529" s="7" t="str">
        <f>INDEX(환산공식!$C$16:$C$301,MATCH('배치점수 계산기'!W529,환산공식!$A$16:$A$301,0))</f>
        <v>부산 의치약한</v>
      </c>
      <c r="W529" s="7">
        <f t="shared" si="93"/>
        <v>96</v>
      </c>
      <c r="X529" s="7">
        <f t="shared" si="94"/>
        <v>1</v>
      </c>
      <c r="Y529" s="7">
        <f>IFERROR(INDEX(환산공식!Q$16:Q$200,MATCH($A529,환산공식!$A$16:$A$200,0)),"")</f>
        <v>1</v>
      </c>
      <c r="Z529" s="7">
        <f>IFERROR(INDEX(환산공식!R$16:R$200,MATCH($A529,환산공식!$A$16:$A$200,0)),"")</f>
        <v>1.5</v>
      </c>
      <c r="AA529" s="7">
        <f>IFERROR(INDEX(환산공식!U$16:U$200,MATCH($A529,환산공식!$A$16:$A$200,0)),"")</f>
        <v>1.5</v>
      </c>
      <c r="AB529" s="7">
        <f t="shared" si="95"/>
        <v>0.25</v>
      </c>
      <c r="AC529" s="7">
        <f t="shared" si="96"/>
        <v>0.375</v>
      </c>
      <c r="AD529" s="7">
        <f t="shared" si="97"/>
        <v>0.375</v>
      </c>
      <c r="AE529" s="7">
        <f>INDEX(환산공식!$AF$16:$AF$301,MATCH('배치점수 계산기'!W529,환산공식!$A$16:$A$301,0))</f>
        <v>1</v>
      </c>
      <c r="AF529" s="7">
        <f>INDEX(환산공식!$AP$16:$AP$301,MATCH('배치점수 계산기'!W529,환산공식!$A$16:$A$301,0))</f>
        <v>4</v>
      </c>
      <c r="AG529" s="7" t="str">
        <f t="shared" si="98"/>
        <v>표점</v>
      </c>
      <c r="AH529" s="7" t="str">
        <f t="shared" si="99"/>
        <v>변표</v>
      </c>
      <c r="BO529" s="210"/>
      <c r="BP529" s="210"/>
      <c r="BQ529" s="210"/>
      <c r="BR529" s="210"/>
      <c r="BS529" s="210"/>
      <c r="BT529" s="210"/>
      <c r="BU529" s="210"/>
      <c r="BV529" s="210"/>
      <c r="BW529" s="210"/>
      <c r="BX529" s="210"/>
      <c r="BY529" s="210"/>
      <c r="BZ529" s="210"/>
      <c r="CA529" s="210"/>
      <c r="CB529" s="210"/>
      <c r="CC529" s="210"/>
      <c r="EM529" s="120"/>
      <c r="ET529" s="210"/>
      <c r="EU529" s="210"/>
      <c r="EV529" s="210"/>
      <c r="EW529" s="210"/>
      <c r="EX529" s="210"/>
      <c r="EY529" s="210"/>
      <c r="EZ529" s="210"/>
      <c r="FA529" s="210"/>
      <c r="FB529" s="210"/>
      <c r="FC529" s="210"/>
      <c r="FD529" s="210"/>
      <c r="FE529" s="210"/>
      <c r="FF529" s="210"/>
      <c r="FG529" s="210"/>
      <c r="FH529" s="210"/>
      <c r="HR529" s="120"/>
      <c r="HY529" s="210"/>
      <c r="HZ529" s="210"/>
      <c r="IA529" s="210"/>
      <c r="IB529" s="210"/>
      <c r="IC529" s="210"/>
      <c r="ID529" s="210"/>
      <c r="IE529" s="210"/>
      <c r="IF529" s="210"/>
      <c r="IG529" s="210"/>
      <c r="IH529" s="210"/>
      <c r="II529" s="210"/>
      <c r="IJ529" s="210"/>
      <c r="IK529" s="210"/>
      <c r="IL529" s="210"/>
      <c r="IM529" s="210"/>
      <c r="KW529" s="120"/>
      <c r="LD529" s="210"/>
      <c r="LE529" s="210"/>
      <c r="LF529" s="210"/>
      <c r="LG529" s="210"/>
      <c r="LH529" s="210"/>
      <c r="LI529" s="210"/>
      <c r="LJ529" s="210"/>
      <c r="LK529" s="210"/>
      <c r="LL529" s="210"/>
      <c r="LM529" s="210"/>
      <c r="LN529" s="210"/>
      <c r="LO529" s="210"/>
      <c r="LP529" s="210"/>
      <c r="LQ529" s="210"/>
      <c r="LR529" s="210"/>
      <c r="OB529" s="120"/>
      <c r="OI529" s="210"/>
      <c r="OJ529" s="210"/>
      <c r="OK529" s="210"/>
      <c r="OL529" s="210"/>
      <c r="OM529" s="210"/>
      <c r="ON529" s="210"/>
      <c r="OO529" s="210"/>
      <c r="OP529" s="210"/>
      <c r="OQ529" s="210"/>
      <c r="OR529" s="210"/>
      <c r="OS529" s="210"/>
      <c r="OT529" s="210"/>
      <c r="OU529" s="210"/>
      <c r="OV529" s="210"/>
      <c r="OW529" s="210"/>
      <c r="RG529" s="120"/>
    </row>
    <row r="530" spans="1:475" x14ac:dyDescent="0.3">
      <c r="A530" s="7">
        <v>126</v>
      </c>
      <c r="B530" s="7">
        <v>520</v>
      </c>
      <c r="C530" s="7" t="s">
        <v>346</v>
      </c>
      <c r="D530" s="7" t="s">
        <v>705</v>
      </c>
      <c r="E530" s="7" t="s">
        <v>845</v>
      </c>
      <c r="F530" s="7" t="s">
        <v>274</v>
      </c>
      <c r="G530" s="41" t="str">
        <f t="shared" si="91"/>
        <v>X</v>
      </c>
      <c r="H530" s="41">
        <f>INDEX(환산공식!CI$16:CI$301,MATCH('배치점수 계산기'!$W530,환산공식!$A$16:$A$301,0))</f>
        <v>40</v>
      </c>
      <c r="I530" s="41" t="str">
        <f>CONCATENATE(ROUND(INDEX(환산공식!CJ$16:CJ$301,MATCH('배치점수 계산기'!$W530,환산공식!$A$16:$A$301,0)),1),"%")</f>
        <v>100%</v>
      </c>
      <c r="J530" s="41">
        <f>INDEX(환산공식!CK$16:CK$301,MATCH('배치점수 계산기'!$W530,환산공식!$A$16:$A$301,0))</f>
        <v>0</v>
      </c>
      <c r="K530" s="7">
        <f>INDEX(환산공식!$EF$16:$EF$301,MATCH('배치점수 계산기'!W530,환산공식!$A$16:$A$301,0))</f>
        <v>800</v>
      </c>
      <c r="L530" s="41" t="str">
        <f t="shared" si="89"/>
        <v>1% 이하</v>
      </c>
      <c r="M530" s="7">
        <v>993.9394305052756</v>
      </c>
      <c r="N530" s="7">
        <v>992.9847961943849</v>
      </c>
      <c r="O530" s="7">
        <v>992.18113534220765</v>
      </c>
      <c r="P530" s="7">
        <v>991.2936951142251</v>
      </c>
      <c r="Q530" s="7">
        <v>990.78169946833316</v>
      </c>
      <c r="R530" s="7">
        <f t="shared" si="90"/>
        <v>6</v>
      </c>
      <c r="T530" s="7">
        <f>COUNTIF($C$11:C530,C530)</f>
        <v>213</v>
      </c>
      <c r="U530" s="7" t="str">
        <f t="shared" si="92"/>
        <v>나213</v>
      </c>
      <c r="V530" s="7" t="str">
        <f>INDEX(환산공식!$C$16:$C$301,MATCH('배치점수 계산기'!W530,환산공식!$A$16:$A$301,0))</f>
        <v>충북 의약수</v>
      </c>
      <c r="W530" s="7">
        <f t="shared" si="93"/>
        <v>126</v>
      </c>
      <c r="X530" s="7">
        <f t="shared" si="94"/>
        <v>1</v>
      </c>
      <c r="Y530" s="7">
        <f>IFERROR(INDEX(환산공식!Q$16:Q$200,MATCH($A530,환산공식!$A$16:$A$200,0)),"")</f>
        <v>0.26845637583892618</v>
      </c>
      <c r="Z530" s="7">
        <f>IFERROR(INDEX(환산공식!R$16:R$200,MATCH($A530,환산공식!$A$16:$A$200,0)),"")</f>
        <v>0.40816326530612246</v>
      </c>
      <c r="AA530" s="7">
        <f>IFERROR(INDEX(환산공식!U$16:U$200,MATCH($A530,환산공식!$A$16:$A$200,0)),"")</f>
        <v>0.42253521126760563</v>
      </c>
      <c r="AB530" s="7">
        <f t="shared" si="95"/>
        <v>0.24423890341716833</v>
      </c>
      <c r="AC530" s="7">
        <f t="shared" si="96"/>
        <v>0.37134282254242945</v>
      </c>
      <c r="AD530" s="7">
        <f t="shared" si="97"/>
        <v>0.3844182740404023</v>
      </c>
      <c r="AE530" s="7">
        <f>INDEX(환산공식!$AF$16:$AF$301,MATCH('배치점수 계산기'!W530,환산공식!$A$16:$A$301,0))</f>
        <v>12</v>
      </c>
      <c r="AF530" s="7">
        <f>INDEX(환산공식!$AP$16:$AP$301,MATCH('배치점수 계산기'!W530,환산공식!$A$16:$A$301,0))</f>
        <v>12</v>
      </c>
      <c r="AG530" s="7" t="str">
        <f t="shared" si="98"/>
        <v>표점/만점</v>
      </c>
      <c r="AH530" s="7" t="str">
        <f t="shared" si="99"/>
        <v>표점/만점</v>
      </c>
      <c r="BO530" s="210"/>
      <c r="BP530" s="210"/>
      <c r="BQ530" s="210"/>
      <c r="BR530" s="210"/>
      <c r="BS530" s="210"/>
      <c r="BT530" s="210"/>
      <c r="BU530" s="210"/>
      <c r="BV530" s="210"/>
      <c r="BW530" s="210"/>
      <c r="BX530" s="210"/>
      <c r="BY530" s="210"/>
      <c r="BZ530" s="210"/>
      <c r="CA530" s="210"/>
      <c r="CB530" s="210"/>
      <c r="CC530" s="210"/>
      <c r="EM530" s="120"/>
      <c r="ET530" s="210"/>
      <c r="EU530" s="210"/>
      <c r="EV530" s="210"/>
      <c r="EW530" s="210"/>
      <c r="EX530" s="210"/>
      <c r="EY530" s="210"/>
      <c r="EZ530" s="210"/>
      <c r="FA530" s="210"/>
      <c r="FB530" s="210"/>
      <c r="FC530" s="210"/>
      <c r="FD530" s="210"/>
      <c r="FE530" s="210"/>
      <c r="FF530" s="210"/>
      <c r="FG530" s="210"/>
      <c r="FH530" s="210"/>
      <c r="HR530" s="120"/>
      <c r="HY530" s="210"/>
      <c r="HZ530" s="210"/>
      <c r="IA530" s="210"/>
      <c r="IB530" s="210"/>
      <c r="IC530" s="210"/>
      <c r="ID530" s="210"/>
      <c r="IE530" s="210"/>
      <c r="IF530" s="210"/>
      <c r="IG530" s="210"/>
      <c r="IH530" s="210"/>
      <c r="II530" s="210"/>
      <c r="IJ530" s="210"/>
      <c r="IK530" s="210"/>
      <c r="IL530" s="210"/>
      <c r="IM530" s="210"/>
      <c r="KW530" s="120"/>
      <c r="LD530" s="210"/>
      <c r="LE530" s="210"/>
      <c r="LF530" s="210"/>
      <c r="LG530" s="210"/>
      <c r="LH530" s="210"/>
      <c r="LI530" s="210"/>
      <c r="LJ530" s="210"/>
      <c r="LK530" s="210"/>
      <c r="LL530" s="210"/>
      <c r="LM530" s="210"/>
      <c r="LN530" s="210"/>
      <c r="LO530" s="210"/>
      <c r="LP530" s="210"/>
      <c r="LQ530" s="210"/>
      <c r="LR530" s="210"/>
      <c r="OB530" s="120"/>
      <c r="OI530" s="210"/>
      <c r="OJ530" s="210"/>
      <c r="OK530" s="210"/>
      <c r="OL530" s="210"/>
      <c r="OM530" s="210"/>
      <c r="ON530" s="210"/>
      <c r="OO530" s="210"/>
      <c r="OP530" s="210"/>
      <c r="OQ530" s="210"/>
      <c r="OR530" s="210"/>
      <c r="OS530" s="210"/>
      <c r="OT530" s="210"/>
      <c r="OU530" s="210"/>
      <c r="OV530" s="210"/>
      <c r="OW530" s="210"/>
      <c r="RG530" s="120"/>
    </row>
    <row r="531" spans="1:475" x14ac:dyDescent="0.3">
      <c r="A531" s="7">
        <v>113</v>
      </c>
      <c r="B531" s="7">
        <v>521</v>
      </c>
      <c r="C531" s="7" t="s">
        <v>346</v>
      </c>
      <c r="D531" s="7" t="s">
        <v>852</v>
      </c>
      <c r="E531" s="7" t="s">
        <v>845</v>
      </c>
      <c r="F531" s="7" t="s">
        <v>274</v>
      </c>
      <c r="G531" s="41" t="str">
        <f t="shared" si="91"/>
        <v>X</v>
      </c>
      <c r="H531" s="41">
        <f>INDEX(환산공식!CI$16:CI$301,MATCH('배치점수 계산기'!$W531,환산공식!$A$16:$A$301,0))</f>
        <v>100</v>
      </c>
      <c r="I531" s="41" t="str">
        <f>CONCATENATE(ROUND(INDEX(환산공식!CJ$16:CJ$301,MATCH('배치점수 계산기'!$W531,환산공식!$A$16:$A$301,0)),1),"%")</f>
        <v>100%</v>
      </c>
      <c r="J531" s="41">
        <f>INDEX(환산공식!CK$16:CK$301,MATCH('배치점수 계산기'!$W531,환산공식!$A$16:$A$301,0))</f>
        <v>5</v>
      </c>
      <c r="K531" s="7">
        <f>INDEX(환산공식!$EF$16:$EF$301,MATCH('배치점수 계산기'!W531,환산공식!$A$16:$A$301,0))</f>
        <v>0</v>
      </c>
      <c r="L531" s="41" t="str">
        <f t="shared" si="89"/>
        <v>1% 이하</v>
      </c>
      <c r="M531" s="7">
        <v>995.09999999999991</v>
      </c>
      <c r="N531" s="7">
        <v>994.35</v>
      </c>
      <c r="O531" s="7">
        <v>992.85</v>
      </c>
      <c r="P531" s="7">
        <v>992.09999999999991</v>
      </c>
      <c r="Q531" s="7">
        <v>989.7</v>
      </c>
      <c r="R531" s="7">
        <f t="shared" si="90"/>
        <v>6</v>
      </c>
      <c r="T531" s="7">
        <f>COUNTIF($C$11:C531,C531)</f>
        <v>214</v>
      </c>
      <c r="U531" s="7" t="str">
        <f t="shared" si="92"/>
        <v>나214</v>
      </c>
      <c r="V531" s="7" t="str">
        <f>INDEX(환산공식!$C$16:$C$301,MATCH('배치점수 계산기'!W531,환산공식!$A$16:$A$301,0))</f>
        <v>을지 의</v>
      </c>
      <c r="W531" s="7">
        <f t="shared" si="93"/>
        <v>113</v>
      </c>
      <c r="X531" s="7">
        <f t="shared" si="94"/>
        <v>1</v>
      </c>
      <c r="Y531" s="7">
        <f>IFERROR(INDEX(환산공식!Q$16:Q$200,MATCH($A531,환산공식!$A$16:$A$200,0)),"")</f>
        <v>3</v>
      </c>
      <c r="Z531" s="7">
        <f>IFERROR(INDEX(환산공식!R$16:R$200,MATCH($A531,환산공식!$A$16:$A$200,0)),"")</f>
        <v>3</v>
      </c>
      <c r="AA531" s="7">
        <f>IFERROR(INDEX(환산공식!U$16:U$200,MATCH($A531,환산공식!$A$16:$A$200,0)),"")</f>
        <v>3</v>
      </c>
      <c r="AB531" s="7">
        <f t="shared" si="95"/>
        <v>0.33333333333333331</v>
      </c>
      <c r="AC531" s="7">
        <f t="shared" si="96"/>
        <v>0.33333333333333331</v>
      </c>
      <c r="AD531" s="7">
        <f t="shared" si="97"/>
        <v>0.33333333333333331</v>
      </c>
      <c r="AE531" s="7">
        <f>INDEX(환산공식!$AF$16:$AF$301,MATCH('배치점수 계산기'!W531,환산공식!$A$16:$A$301,0))</f>
        <v>2</v>
      </c>
      <c r="AF531" s="7">
        <f>INDEX(환산공식!$AP$16:$AP$301,MATCH('배치점수 계산기'!W531,환산공식!$A$16:$A$301,0))</f>
        <v>2</v>
      </c>
      <c r="AG531" s="7" t="str">
        <f t="shared" si="98"/>
        <v>백분위</v>
      </c>
      <c r="AH531" s="7" t="str">
        <f t="shared" si="99"/>
        <v>백분위</v>
      </c>
      <c r="BO531" s="210"/>
      <c r="BP531" s="210"/>
      <c r="BQ531" s="210"/>
      <c r="BR531" s="210"/>
      <c r="BS531" s="210"/>
      <c r="BT531" s="210"/>
      <c r="BU531" s="210"/>
      <c r="BV531" s="210"/>
      <c r="BW531" s="210"/>
      <c r="BX531" s="210"/>
      <c r="BY531" s="210"/>
      <c r="BZ531" s="210"/>
      <c r="CA531" s="210"/>
      <c r="CB531" s="210"/>
      <c r="CC531" s="210"/>
      <c r="EM531" s="120"/>
      <c r="ET531" s="210"/>
      <c r="EU531" s="210"/>
      <c r="EV531" s="210"/>
      <c r="EW531" s="210"/>
      <c r="EX531" s="210"/>
      <c r="EY531" s="210"/>
      <c r="EZ531" s="210"/>
      <c r="FA531" s="210"/>
      <c r="FB531" s="210"/>
      <c r="FC531" s="210"/>
      <c r="FD531" s="210"/>
      <c r="FE531" s="210"/>
      <c r="FF531" s="210"/>
      <c r="FG531" s="210"/>
      <c r="FH531" s="210"/>
      <c r="HR531" s="120"/>
      <c r="HY531" s="210"/>
      <c r="HZ531" s="210"/>
      <c r="IA531" s="210"/>
      <c r="IB531" s="210"/>
      <c r="IC531" s="210"/>
      <c r="ID531" s="210"/>
      <c r="IE531" s="210"/>
      <c r="IF531" s="210"/>
      <c r="IG531" s="210"/>
      <c r="IH531" s="210"/>
      <c r="II531" s="210"/>
      <c r="IJ531" s="210"/>
      <c r="IK531" s="210"/>
      <c r="IL531" s="210"/>
      <c r="IM531" s="210"/>
      <c r="KW531" s="120"/>
      <c r="LD531" s="210"/>
      <c r="LE531" s="210"/>
      <c r="LF531" s="210"/>
      <c r="LG531" s="210"/>
      <c r="LH531" s="210"/>
      <c r="LI531" s="210"/>
      <c r="LJ531" s="210"/>
      <c r="LK531" s="210"/>
      <c r="LL531" s="210"/>
      <c r="LM531" s="210"/>
      <c r="LN531" s="210"/>
      <c r="LO531" s="210"/>
      <c r="LP531" s="210"/>
      <c r="LQ531" s="210"/>
      <c r="LR531" s="210"/>
      <c r="OB531" s="120"/>
      <c r="OI531" s="210"/>
      <c r="OJ531" s="210"/>
      <c r="OK531" s="210"/>
      <c r="OL531" s="210"/>
      <c r="OM531" s="210"/>
      <c r="ON531" s="210"/>
      <c r="OO531" s="210"/>
      <c r="OP531" s="210"/>
      <c r="OQ531" s="210"/>
      <c r="OR531" s="210"/>
      <c r="OS531" s="210"/>
      <c r="OT531" s="210"/>
      <c r="OU531" s="210"/>
      <c r="OV531" s="210"/>
      <c r="OW531" s="210"/>
      <c r="RG531" s="120"/>
    </row>
    <row r="532" spans="1:475" x14ac:dyDescent="0.3">
      <c r="A532" s="7">
        <v>65</v>
      </c>
      <c r="B532" s="7">
        <v>522</v>
      </c>
      <c r="C532" s="7" t="s">
        <v>346</v>
      </c>
      <c r="D532" s="7" t="s">
        <v>717</v>
      </c>
      <c r="E532" s="7" t="s">
        <v>853</v>
      </c>
      <c r="F532" s="7" t="s">
        <v>343</v>
      </c>
      <c r="G532" s="41" t="str">
        <f t="shared" si="91"/>
        <v>X</v>
      </c>
      <c r="H532" s="41">
        <f>INDEX(환산공식!CI$16:CI$301,MATCH('배치점수 계산기'!$W532,환산공식!$A$16:$A$301,0))</f>
        <v>200</v>
      </c>
      <c r="I532" s="41" t="str">
        <f>CONCATENATE(ROUND(INDEX(환산공식!CJ$16:CJ$301,MATCH('배치점수 계산기'!$W532,환산공식!$A$16:$A$301,0)),1),"%")</f>
        <v>100%</v>
      </c>
      <c r="J532" s="41">
        <f>INDEX(환산공식!CK$16:CK$301,MATCH('배치점수 계산기'!$W532,환산공식!$A$16:$A$301,0))</f>
        <v>10</v>
      </c>
      <c r="K532" s="7">
        <f>INDEX(환산공식!$EF$16:$EF$301,MATCH('배치점수 계산기'!W532,환산공식!$A$16:$A$301,0))</f>
        <v>0</v>
      </c>
      <c r="L532" s="41" t="str">
        <f t="shared" si="89"/>
        <v>1% 이하</v>
      </c>
      <c r="M532" s="7">
        <v>975.74114156369512</v>
      </c>
      <c r="N532" s="7">
        <v>973.65115307620874</v>
      </c>
      <c r="O532" s="7">
        <v>970.49889624724062</v>
      </c>
      <c r="P532" s="7">
        <v>968.75551876379689</v>
      </c>
      <c r="Q532" s="7">
        <v>967.51214128035292</v>
      </c>
      <c r="R532" s="7">
        <f t="shared" si="90"/>
        <v>6</v>
      </c>
      <c r="T532" s="7">
        <f>COUNTIF($C$11:C532,C532)</f>
        <v>215</v>
      </c>
      <c r="U532" s="7" t="str">
        <f t="shared" si="92"/>
        <v>나215</v>
      </c>
      <c r="V532" s="7" t="str">
        <f>INDEX(환산공식!$C$16:$C$301,MATCH('배치점수 계산기'!W532,환산공식!$A$16:$A$301,0))</f>
        <v>이화 통합</v>
      </c>
      <c r="W532" s="7">
        <f t="shared" si="93"/>
        <v>65</v>
      </c>
      <c r="X532" s="7">
        <f t="shared" si="94"/>
        <v>1</v>
      </c>
      <c r="Y532" s="7">
        <f>IFERROR(INDEX(환산공식!Q$16:Q$200,MATCH($A532,환산공식!$A$16:$A$200,0)),"")</f>
        <v>2.0134228187919465</v>
      </c>
      <c r="Z532" s="7">
        <f>IFERROR(INDEX(환산공식!R$16:R$200,MATCH($A532,환산공식!$A$16:$A$200,0)),"")</f>
        <v>1.7006802721088434</v>
      </c>
      <c r="AA532" s="7">
        <f>IFERROR(INDEX(환산공식!U$16:U$200,MATCH($A532,환산공식!$A$16:$A$200,0)),"")</f>
        <v>1.893939393939394</v>
      </c>
      <c r="AB532" s="7">
        <f t="shared" si="95"/>
        <v>0.35902417362826461</v>
      </c>
      <c r="AC532" s="7">
        <f t="shared" si="96"/>
        <v>0.3032573802188856</v>
      </c>
      <c r="AD532" s="7">
        <f t="shared" si="97"/>
        <v>0.3377184461528499</v>
      </c>
      <c r="AE532" s="7">
        <f>INDEX(환산공식!$AF$16:$AF$301,MATCH('배치점수 계산기'!W532,환산공식!$A$16:$A$301,0))</f>
        <v>12</v>
      </c>
      <c r="AF532" s="7">
        <f>INDEX(환산공식!$AP$16:$AP$301,MATCH('배치점수 계산기'!W532,환산공식!$A$16:$A$301,0))</f>
        <v>42</v>
      </c>
      <c r="AG532" s="7" t="str">
        <f t="shared" si="98"/>
        <v>표점/만점</v>
      </c>
      <c r="AH532" s="7" t="str">
        <f t="shared" si="99"/>
        <v>변표/만점</v>
      </c>
      <c r="BO532" s="210"/>
      <c r="BP532" s="210"/>
      <c r="BQ532" s="210"/>
      <c r="BR532" s="210"/>
      <c r="BS532" s="210"/>
      <c r="BT532" s="210"/>
      <c r="BU532" s="210"/>
      <c r="BV532" s="210"/>
      <c r="BW532" s="210"/>
      <c r="BX532" s="210"/>
      <c r="BY532" s="210"/>
      <c r="BZ532" s="210"/>
      <c r="CA532" s="210"/>
      <c r="CB532" s="210"/>
      <c r="CC532" s="210"/>
      <c r="EM532" s="120"/>
      <c r="ET532" s="210"/>
      <c r="EU532" s="210"/>
      <c r="EV532" s="210"/>
      <c r="EW532" s="210"/>
      <c r="EX532" s="210"/>
      <c r="EY532" s="210"/>
      <c r="EZ532" s="210"/>
      <c r="FA532" s="210"/>
      <c r="FB532" s="210"/>
      <c r="FC532" s="210"/>
      <c r="FD532" s="210"/>
      <c r="FE532" s="210"/>
      <c r="FF532" s="210"/>
      <c r="FG532" s="210"/>
      <c r="FH532" s="210"/>
      <c r="HR532" s="120"/>
      <c r="HY532" s="210"/>
      <c r="HZ532" s="210"/>
      <c r="IA532" s="210"/>
      <c r="IB532" s="210"/>
      <c r="IC532" s="210"/>
      <c r="ID532" s="210"/>
      <c r="IE532" s="210"/>
      <c r="IF532" s="210"/>
      <c r="IG532" s="210"/>
      <c r="IH532" s="210"/>
      <c r="II532" s="210"/>
      <c r="IJ532" s="210"/>
      <c r="IK532" s="210"/>
      <c r="IL532" s="210"/>
      <c r="IM532" s="210"/>
      <c r="KW532" s="120"/>
      <c r="LD532" s="210"/>
      <c r="LE532" s="210"/>
      <c r="LF532" s="210"/>
      <c r="LG532" s="210"/>
      <c r="LH532" s="210"/>
      <c r="LI532" s="210"/>
      <c r="LJ532" s="210"/>
      <c r="LK532" s="210"/>
      <c r="LL532" s="210"/>
      <c r="LM532" s="210"/>
      <c r="LN532" s="210"/>
      <c r="LO532" s="210"/>
      <c r="LP532" s="210"/>
      <c r="LQ532" s="210"/>
      <c r="LR532" s="210"/>
      <c r="OB532" s="120"/>
      <c r="OI532" s="210"/>
      <c r="OJ532" s="210"/>
      <c r="OK532" s="210"/>
      <c r="OL532" s="210"/>
      <c r="OM532" s="210"/>
      <c r="ON532" s="210"/>
      <c r="OO532" s="210"/>
      <c r="OP532" s="210"/>
      <c r="OQ532" s="210"/>
      <c r="OR532" s="210"/>
      <c r="OS532" s="210"/>
      <c r="OT532" s="210"/>
      <c r="OU532" s="210"/>
      <c r="OV532" s="210"/>
      <c r="OW532" s="210"/>
      <c r="RG532" s="120"/>
    </row>
    <row r="533" spans="1:475" x14ac:dyDescent="0.3">
      <c r="A533" s="7">
        <v>106</v>
      </c>
      <c r="B533" s="7">
        <v>523</v>
      </c>
      <c r="C533" s="7" t="s">
        <v>346</v>
      </c>
      <c r="D533" s="7" t="s">
        <v>854</v>
      </c>
      <c r="E533" s="7" t="s">
        <v>845</v>
      </c>
      <c r="F533" s="7" t="s">
        <v>274</v>
      </c>
      <c r="G533" s="41" t="str">
        <f t="shared" si="91"/>
        <v>X</v>
      </c>
      <c r="H533" s="41">
        <f>INDEX(환산공식!CI$16:CI$301,MATCH('배치점수 계산기'!$W533,환산공식!$A$16:$A$301,0))</f>
        <v>111.1</v>
      </c>
      <c r="I533" s="41" t="str">
        <f>CONCATENATE(ROUND(INDEX(환산공식!CJ$16:CJ$301,MATCH('배치점수 계산기'!$W533,환산공식!$A$16:$A$301,0)),1),"%")</f>
        <v>100%</v>
      </c>
      <c r="J533" s="41">
        <f>INDEX(환산공식!CK$16:CK$301,MATCH('배치점수 계산기'!$W533,환산공식!$A$16:$A$301,0))</f>
        <v>10</v>
      </c>
      <c r="K533" s="7">
        <f>INDEX(환산공식!$EF$16:$EF$301,MATCH('배치점수 계산기'!W533,환산공식!$A$16:$A$301,0))</f>
        <v>0</v>
      </c>
      <c r="L533" s="41" t="str">
        <f t="shared" si="89"/>
        <v>1% 이하</v>
      </c>
      <c r="M533" s="7">
        <v>747.19246843434337</v>
      </c>
      <c r="N533" s="7">
        <v>743.8567312201933</v>
      </c>
      <c r="O533" s="7">
        <v>740.81166666666661</v>
      </c>
      <c r="P533" s="7">
        <v>736.84666666666658</v>
      </c>
      <c r="Q533" s="7">
        <v>734.04444444444425</v>
      </c>
      <c r="R533" s="7">
        <f t="shared" si="90"/>
        <v>6</v>
      </c>
      <c r="T533" s="7">
        <f>COUNTIF($C$11:C533,C533)</f>
        <v>216</v>
      </c>
      <c r="U533" s="7" t="str">
        <f t="shared" si="92"/>
        <v>나216</v>
      </c>
      <c r="V533" s="7" t="str">
        <f>INDEX(환산공식!$C$16:$C$301,MATCH('배치점수 계산기'!W533,환산공식!$A$16:$A$301,0))</f>
        <v>연세미래 의</v>
      </c>
      <c r="W533" s="7">
        <f t="shared" si="93"/>
        <v>106</v>
      </c>
      <c r="X533" s="7">
        <f t="shared" si="94"/>
        <v>1</v>
      </c>
      <c r="Y533" s="7">
        <f>IFERROR(INDEX(환산공식!Q$16:Q$200,MATCH($A533,환산공식!$A$16:$A$200,0)),"")</f>
        <v>1.1111111111111109</v>
      </c>
      <c r="Z533" s="7">
        <f>IFERROR(INDEX(환산공식!R$16:R$200,MATCH($A533,환산공식!$A$16:$A$200,0)),"")</f>
        <v>1.6666666666666665</v>
      </c>
      <c r="AA533" s="7">
        <f>IFERROR(INDEX(환산공식!U$16:U$200,MATCH($A533,환산공식!$A$16:$A$200,0)),"")</f>
        <v>1.6666666666666665</v>
      </c>
      <c r="AB533" s="7">
        <f t="shared" si="95"/>
        <v>0.24999999999999994</v>
      </c>
      <c r="AC533" s="7">
        <f t="shared" si="96"/>
        <v>0.37499999999999994</v>
      </c>
      <c r="AD533" s="7">
        <f t="shared" si="97"/>
        <v>0.37499999999999994</v>
      </c>
      <c r="AE533" s="7">
        <f>INDEX(환산공식!$AF$16:$AF$301,MATCH('배치점수 계산기'!W533,환산공식!$A$16:$A$301,0))</f>
        <v>1</v>
      </c>
      <c r="AF533" s="7">
        <f>INDEX(환산공식!$AP$16:$AP$301,MATCH('배치점수 계산기'!W533,환산공식!$A$16:$A$301,0))</f>
        <v>4</v>
      </c>
      <c r="AG533" s="7" t="str">
        <f t="shared" si="98"/>
        <v>표점</v>
      </c>
      <c r="AH533" s="7" t="str">
        <f t="shared" si="99"/>
        <v>변표</v>
      </c>
      <c r="BO533" s="210"/>
      <c r="BP533" s="210"/>
      <c r="BQ533" s="210"/>
      <c r="BR533" s="210"/>
      <c r="BS533" s="210"/>
      <c r="BT533" s="210"/>
      <c r="BU533" s="210"/>
      <c r="BV533" s="210"/>
      <c r="BW533" s="210"/>
      <c r="BX533" s="210"/>
      <c r="BY533" s="210"/>
      <c r="BZ533" s="210"/>
      <c r="CA533" s="210"/>
      <c r="CB533" s="210"/>
      <c r="CC533" s="210"/>
      <c r="EM533" s="120"/>
      <c r="ET533" s="210"/>
      <c r="EU533" s="210"/>
      <c r="EV533" s="210"/>
      <c r="EW533" s="210"/>
      <c r="EX533" s="210"/>
      <c r="EY533" s="210"/>
      <c r="EZ533" s="210"/>
      <c r="FA533" s="210"/>
      <c r="FB533" s="210"/>
      <c r="FC533" s="210"/>
      <c r="FD533" s="210"/>
      <c r="FE533" s="210"/>
      <c r="FF533" s="210"/>
      <c r="FG533" s="210"/>
      <c r="FH533" s="210"/>
      <c r="HR533" s="120"/>
      <c r="HY533" s="210"/>
      <c r="HZ533" s="210"/>
      <c r="IA533" s="210"/>
      <c r="IB533" s="210"/>
      <c r="IC533" s="210"/>
      <c r="ID533" s="210"/>
      <c r="IE533" s="210"/>
      <c r="IF533" s="210"/>
      <c r="IG533" s="210"/>
      <c r="IH533" s="210"/>
      <c r="II533" s="210"/>
      <c r="IJ533" s="210"/>
      <c r="IK533" s="210"/>
      <c r="IL533" s="210"/>
      <c r="IM533" s="210"/>
      <c r="KW533" s="120"/>
      <c r="LD533" s="210"/>
      <c r="LE533" s="210"/>
      <c r="LF533" s="210"/>
      <c r="LG533" s="210"/>
      <c r="LH533" s="210"/>
      <c r="LI533" s="210"/>
      <c r="LJ533" s="210"/>
      <c r="LK533" s="210"/>
      <c r="LL533" s="210"/>
      <c r="LM533" s="210"/>
      <c r="LN533" s="210"/>
      <c r="LO533" s="210"/>
      <c r="LP533" s="210"/>
      <c r="LQ533" s="210"/>
      <c r="LR533" s="210"/>
      <c r="OB533" s="120"/>
      <c r="OI533" s="210"/>
      <c r="OJ533" s="210"/>
      <c r="OK533" s="210"/>
      <c r="OL533" s="210"/>
      <c r="OM533" s="210"/>
      <c r="ON533" s="210"/>
      <c r="OO533" s="210"/>
      <c r="OP533" s="210"/>
      <c r="OQ533" s="210"/>
      <c r="OR533" s="210"/>
      <c r="OS533" s="210"/>
      <c r="OT533" s="210"/>
      <c r="OU533" s="210"/>
      <c r="OV533" s="210"/>
      <c r="OW533" s="210"/>
      <c r="RG533" s="120"/>
    </row>
    <row r="534" spans="1:475" x14ac:dyDescent="0.3">
      <c r="A534" s="7">
        <v>71</v>
      </c>
      <c r="B534" s="7">
        <v>524</v>
      </c>
      <c r="C534" s="7" t="s">
        <v>346</v>
      </c>
      <c r="D534" s="7" t="s">
        <v>855</v>
      </c>
      <c r="E534" s="7" t="s">
        <v>845</v>
      </c>
      <c r="F534" s="7" t="s">
        <v>274</v>
      </c>
      <c r="G534" s="41" t="str">
        <f t="shared" si="91"/>
        <v>X</v>
      </c>
      <c r="H534" s="41">
        <f>INDEX(환산공식!CI$16:CI$301,MATCH('배치점수 계산기'!$W534,환산공식!$A$16:$A$301,0))</f>
        <v>190</v>
      </c>
      <c r="I534" s="41" t="str">
        <f>CONCATENATE(ROUND(INDEX(환산공식!CJ$16:CJ$301,MATCH('배치점수 계산기'!$W534,환산공식!$A$16:$A$301,0)),1),"%")</f>
        <v>100%</v>
      </c>
      <c r="J534" s="41">
        <f>INDEX(환산공식!CK$16:CK$301,MATCH('배치점수 계산기'!$W534,환산공식!$A$16:$A$301,0))</f>
        <v>0</v>
      </c>
      <c r="K534" s="7">
        <f>INDEX(환산공식!$EF$16:$EF$301,MATCH('배치점수 계산기'!W534,환산공식!$A$16:$A$301,0))</f>
        <v>0</v>
      </c>
      <c r="L534" s="41" t="str">
        <f t="shared" si="89"/>
        <v>1% 이하</v>
      </c>
      <c r="M534" s="7">
        <v>977.55000000000007</v>
      </c>
      <c r="N534" s="7">
        <v>976.65</v>
      </c>
      <c r="O534" s="7">
        <v>974.59999999999991</v>
      </c>
      <c r="P534" s="7">
        <v>971.8</v>
      </c>
      <c r="Q534" s="7">
        <v>969.40000000000009</v>
      </c>
      <c r="R534" s="7">
        <f t="shared" si="90"/>
        <v>6</v>
      </c>
      <c r="T534" s="7">
        <f>COUNTIF($C$11:C534,C534)</f>
        <v>217</v>
      </c>
      <c r="U534" s="7" t="str">
        <f t="shared" si="92"/>
        <v>나217</v>
      </c>
      <c r="V534" s="7" t="str">
        <f>INDEX(환산공식!$C$16:$C$301,MATCH('배치점수 계산기'!W534,환산공식!$A$16:$A$301,0))</f>
        <v>건국충주 의</v>
      </c>
      <c r="W534" s="7">
        <f t="shared" si="93"/>
        <v>71</v>
      </c>
      <c r="X534" s="7">
        <f t="shared" si="94"/>
        <v>1</v>
      </c>
      <c r="Y534" s="7">
        <f>IFERROR(INDEX(환산공식!Q$16:Q$200,MATCH($A534,환산공식!$A$16:$A$200,0)),"")</f>
        <v>2</v>
      </c>
      <c r="Z534" s="7">
        <f>IFERROR(INDEX(환산공식!R$16:R$200,MATCH($A534,환산공식!$A$16:$A$200,0)),"")</f>
        <v>3</v>
      </c>
      <c r="AA534" s="7">
        <f>IFERROR(INDEX(환산공식!U$16:U$200,MATCH($A534,환산공식!$A$16:$A$200,0)),"")</f>
        <v>3</v>
      </c>
      <c r="AB534" s="7">
        <f t="shared" si="95"/>
        <v>0.25</v>
      </c>
      <c r="AC534" s="7">
        <f t="shared" si="96"/>
        <v>0.375</v>
      </c>
      <c r="AD534" s="7">
        <f t="shared" si="97"/>
        <v>0.375</v>
      </c>
      <c r="AE534" s="7">
        <f>INDEX(환산공식!$AF$16:$AF$301,MATCH('배치점수 계산기'!W534,환산공식!$A$16:$A$301,0))</f>
        <v>2</v>
      </c>
      <c r="AF534" s="7">
        <f>INDEX(환산공식!$AP$16:$AP$301,MATCH('배치점수 계산기'!W534,환산공식!$A$16:$A$301,0))</f>
        <v>2</v>
      </c>
      <c r="AG534" s="7" t="str">
        <f t="shared" si="98"/>
        <v>백분위</v>
      </c>
      <c r="AH534" s="7" t="str">
        <f t="shared" si="99"/>
        <v>백분위</v>
      </c>
      <c r="BO534" s="210"/>
      <c r="BP534" s="210"/>
      <c r="BQ534" s="210"/>
      <c r="BR534" s="210"/>
      <c r="BS534" s="210"/>
      <c r="BT534" s="210"/>
      <c r="BU534" s="210"/>
      <c r="BV534" s="210"/>
      <c r="BW534" s="210"/>
      <c r="BX534" s="210"/>
      <c r="BY534" s="210"/>
      <c r="BZ534" s="210"/>
      <c r="CA534" s="210"/>
      <c r="CB534" s="210"/>
      <c r="CC534" s="210"/>
      <c r="EM534" s="120"/>
      <c r="ET534" s="210"/>
      <c r="EU534" s="210"/>
      <c r="EV534" s="210"/>
      <c r="EW534" s="210"/>
      <c r="EX534" s="210"/>
      <c r="EY534" s="210"/>
      <c r="EZ534" s="210"/>
      <c r="FA534" s="210"/>
      <c r="FB534" s="210"/>
      <c r="FC534" s="210"/>
      <c r="FD534" s="210"/>
      <c r="FE534" s="210"/>
      <c r="FF534" s="210"/>
      <c r="FG534" s="210"/>
      <c r="FH534" s="210"/>
      <c r="HR534" s="120"/>
      <c r="HY534" s="210"/>
      <c r="HZ534" s="210"/>
      <c r="IA534" s="210"/>
      <c r="IB534" s="210"/>
      <c r="IC534" s="210"/>
      <c r="ID534" s="210"/>
      <c r="IE534" s="210"/>
      <c r="IF534" s="210"/>
      <c r="IG534" s="210"/>
      <c r="IH534" s="210"/>
      <c r="II534" s="210"/>
      <c r="IJ534" s="210"/>
      <c r="IK534" s="210"/>
      <c r="IL534" s="210"/>
      <c r="IM534" s="210"/>
      <c r="KW534" s="120"/>
      <c r="LD534" s="210"/>
      <c r="LE534" s="210"/>
      <c r="LF534" s="210"/>
      <c r="LG534" s="210"/>
      <c r="LH534" s="210"/>
      <c r="LI534" s="210"/>
      <c r="LJ534" s="210"/>
      <c r="LK534" s="210"/>
      <c r="LL534" s="210"/>
      <c r="LM534" s="210"/>
      <c r="LN534" s="210"/>
      <c r="LO534" s="210"/>
      <c r="LP534" s="210"/>
      <c r="LQ534" s="210"/>
      <c r="LR534" s="210"/>
      <c r="OB534" s="120"/>
      <c r="OI534" s="210"/>
      <c r="OJ534" s="210"/>
      <c r="OK534" s="210"/>
      <c r="OL534" s="210"/>
      <c r="OM534" s="210"/>
      <c r="ON534" s="210"/>
      <c r="OO534" s="210"/>
      <c r="OP534" s="210"/>
      <c r="OQ534" s="210"/>
      <c r="OR534" s="210"/>
      <c r="OS534" s="210"/>
      <c r="OT534" s="210"/>
      <c r="OU534" s="210"/>
      <c r="OV534" s="210"/>
      <c r="OW534" s="210"/>
      <c r="RG534" s="120"/>
    </row>
    <row r="535" spans="1:475" x14ac:dyDescent="0.3">
      <c r="A535" s="7">
        <v>107</v>
      </c>
      <c r="B535" s="7">
        <v>525</v>
      </c>
      <c r="C535" s="7" t="s">
        <v>346</v>
      </c>
      <c r="D535" s="7" t="s">
        <v>715</v>
      </c>
      <c r="E535" s="7" t="s">
        <v>845</v>
      </c>
      <c r="F535" s="7" t="s">
        <v>274</v>
      </c>
      <c r="G535" s="41" t="str">
        <f t="shared" si="91"/>
        <v>X</v>
      </c>
      <c r="H535" s="41">
        <f>INDEX(환산공식!CI$16:CI$301,MATCH('배치점수 계산기'!$W535,환산공식!$A$16:$A$301,0))</f>
        <v>80</v>
      </c>
      <c r="I535" s="41" t="str">
        <f>CONCATENATE(ROUND(INDEX(환산공식!CJ$16:CJ$301,MATCH('배치점수 계산기'!$W535,환산공식!$A$16:$A$301,0)),1),"%")</f>
        <v>100%</v>
      </c>
      <c r="J535" s="41">
        <f>INDEX(환산공식!CK$16:CK$301,MATCH('배치점수 계산기'!$W535,환산공식!$A$16:$A$301,0))</f>
        <v>10</v>
      </c>
      <c r="K535" s="7">
        <f>INDEX(환산공식!$EF$16:$EF$301,MATCH('배치점수 계산기'!W535,환산공식!$A$16:$A$301,0))</f>
        <v>0</v>
      </c>
      <c r="L535" s="41" t="str">
        <f t="shared" si="89"/>
        <v>1% 이하</v>
      </c>
      <c r="M535" s="7">
        <v>798.92</v>
      </c>
      <c r="N535" s="7">
        <v>797.28</v>
      </c>
      <c r="O535" s="7">
        <v>795.59999999999991</v>
      </c>
      <c r="P535" s="7">
        <v>794.88</v>
      </c>
      <c r="Q535" s="7">
        <v>793.43999999999994</v>
      </c>
      <c r="R535" s="7">
        <f t="shared" si="90"/>
        <v>6</v>
      </c>
      <c r="T535" s="7">
        <f>COUNTIF($C$11:C535,C535)</f>
        <v>218</v>
      </c>
      <c r="U535" s="7" t="str">
        <f t="shared" si="92"/>
        <v>나218</v>
      </c>
      <c r="V535" s="7" t="str">
        <f>INDEX(환산공식!$C$16:$C$301,MATCH('배치점수 계산기'!W535,환산공식!$A$16:$A$301,0))</f>
        <v>영남 의약</v>
      </c>
      <c r="W535" s="7">
        <f t="shared" si="93"/>
        <v>107</v>
      </c>
      <c r="X535" s="7">
        <f t="shared" si="94"/>
        <v>1</v>
      </c>
      <c r="Y535" s="7">
        <f>IFERROR(INDEX(환산공식!Q$16:Q$200,MATCH($A535,환산공식!$A$16:$A$200,0)),"")</f>
        <v>2</v>
      </c>
      <c r="Z535" s="7">
        <f>IFERROR(INDEX(환산공식!R$16:R$200,MATCH($A535,환산공식!$A$16:$A$200,0)),"")</f>
        <v>2.8</v>
      </c>
      <c r="AA535" s="7">
        <f>IFERROR(INDEX(환산공식!U$16:U$200,MATCH($A535,환산공식!$A$16:$A$200,0)),"")</f>
        <v>2.4</v>
      </c>
      <c r="AB535" s="7">
        <f t="shared" si="95"/>
        <v>0.27777777777777779</v>
      </c>
      <c r="AC535" s="7">
        <f t="shared" si="96"/>
        <v>0.3888888888888889</v>
      </c>
      <c r="AD535" s="7">
        <f t="shared" si="97"/>
        <v>0.33333333333333337</v>
      </c>
      <c r="AE535" s="7">
        <f>INDEX(환산공식!$AF$16:$AF$301,MATCH('배치점수 계산기'!W535,환산공식!$A$16:$A$301,0))</f>
        <v>2</v>
      </c>
      <c r="AF535" s="7">
        <f>INDEX(환산공식!$AP$16:$AP$301,MATCH('배치점수 계산기'!W535,환산공식!$A$16:$A$301,0))</f>
        <v>2</v>
      </c>
      <c r="AG535" s="7" t="str">
        <f t="shared" si="98"/>
        <v>백분위</v>
      </c>
      <c r="AH535" s="7" t="str">
        <f t="shared" si="99"/>
        <v>백분위</v>
      </c>
      <c r="BO535" s="210"/>
      <c r="BP535" s="210"/>
      <c r="BQ535" s="210"/>
      <c r="BR535" s="210"/>
      <c r="BS535" s="210"/>
      <c r="BT535" s="210"/>
      <c r="BU535" s="210"/>
      <c r="BV535" s="210"/>
      <c r="BW535" s="210"/>
      <c r="BX535" s="210"/>
      <c r="BY535" s="210"/>
      <c r="BZ535" s="210"/>
      <c r="CA535" s="210"/>
      <c r="CB535" s="210"/>
      <c r="CC535" s="210"/>
      <c r="EM535" s="120"/>
      <c r="ET535" s="210"/>
      <c r="EU535" s="210"/>
      <c r="EV535" s="210"/>
      <c r="EW535" s="210"/>
      <c r="EX535" s="210"/>
      <c r="EY535" s="210"/>
      <c r="EZ535" s="210"/>
      <c r="FA535" s="210"/>
      <c r="FB535" s="210"/>
      <c r="FC535" s="210"/>
      <c r="FD535" s="210"/>
      <c r="FE535" s="210"/>
      <c r="FF535" s="210"/>
      <c r="FG535" s="210"/>
      <c r="FH535" s="210"/>
      <c r="HR535" s="120"/>
      <c r="HY535" s="210"/>
      <c r="HZ535" s="210"/>
      <c r="IA535" s="210"/>
      <c r="IB535" s="210"/>
      <c r="IC535" s="210"/>
      <c r="ID535" s="210"/>
      <c r="IE535" s="210"/>
      <c r="IF535" s="210"/>
      <c r="IG535" s="210"/>
      <c r="IH535" s="210"/>
      <c r="II535" s="210"/>
      <c r="IJ535" s="210"/>
      <c r="IK535" s="210"/>
      <c r="IL535" s="210"/>
      <c r="IM535" s="210"/>
      <c r="KW535" s="120"/>
      <c r="LD535" s="210"/>
      <c r="LE535" s="210"/>
      <c r="LF535" s="210"/>
      <c r="LG535" s="210"/>
      <c r="LH535" s="210"/>
      <c r="LI535" s="210"/>
      <c r="LJ535" s="210"/>
      <c r="LK535" s="210"/>
      <c r="LL535" s="210"/>
      <c r="LM535" s="210"/>
      <c r="LN535" s="210"/>
      <c r="LO535" s="210"/>
      <c r="LP535" s="210"/>
      <c r="LQ535" s="210"/>
      <c r="LR535" s="210"/>
      <c r="OB535" s="120"/>
      <c r="OI535" s="210"/>
      <c r="OJ535" s="210"/>
      <c r="OK535" s="210"/>
      <c r="OL535" s="210"/>
      <c r="OM535" s="210"/>
      <c r="ON535" s="210"/>
      <c r="OO535" s="210"/>
      <c r="OP535" s="210"/>
      <c r="OQ535" s="210"/>
      <c r="OR535" s="210"/>
      <c r="OS535" s="210"/>
      <c r="OT535" s="210"/>
      <c r="OU535" s="210"/>
      <c r="OV535" s="210"/>
      <c r="OW535" s="210"/>
      <c r="RG535" s="120"/>
    </row>
    <row r="536" spans="1:475" x14ac:dyDescent="0.3">
      <c r="A536" s="7">
        <v>111</v>
      </c>
      <c r="B536" s="7">
        <v>526</v>
      </c>
      <c r="C536" s="7" t="s">
        <v>346</v>
      </c>
      <c r="D536" s="7" t="s">
        <v>690</v>
      </c>
      <c r="E536" s="7" t="s">
        <v>845</v>
      </c>
      <c r="F536" s="7" t="s">
        <v>274</v>
      </c>
      <c r="G536" s="41" t="str">
        <f t="shared" si="91"/>
        <v>X</v>
      </c>
      <c r="H536" s="41">
        <f>INDEX(환산공식!CI$16:CI$301,MATCH('배치점수 계산기'!$W536,환산공식!$A$16:$A$301,0))</f>
        <v>100</v>
      </c>
      <c r="I536" s="41" t="str">
        <f>CONCATENATE(ROUND(INDEX(환산공식!CJ$16:CJ$301,MATCH('배치점수 계산기'!$W536,환산공식!$A$16:$A$301,0)),1),"%")</f>
        <v>100%</v>
      </c>
      <c r="J536" s="41">
        <f>INDEX(환산공식!CK$16:CK$301,MATCH('배치점수 계산기'!$W536,환산공식!$A$16:$A$301,0))</f>
        <v>5</v>
      </c>
      <c r="K536" s="7">
        <f>INDEX(환산공식!$EF$16:$EF$301,MATCH('배치점수 계산기'!W536,환산공식!$A$16:$A$301,0))</f>
        <v>0</v>
      </c>
      <c r="L536" s="41" t="str">
        <f t="shared" si="89"/>
        <v>1% 이하</v>
      </c>
      <c r="M536" s="7">
        <v>521.5</v>
      </c>
      <c r="N536" s="7">
        <v>520.19999999999982</v>
      </c>
      <c r="O536" s="7">
        <v>518.5</v>
      </c>
      <c r="P536" s="7">
        <v>517</v>
      </c>
      <c r="Q536" s="7">
        <v>514.29999999999995</v>
      </c>
      <c r="R536" s="7">
        <f t="shared" si="90"/>
        <v>6</v>
      </c>
      <c r="T536" s="7">
        <f>COUNTIF($C$11:C536,C536)</f>
        <v>219</v>
      </c>
      <c r="U536" s="7" t="str">
        <f t="shared" si="92"/>
        <v>나219</v>
      </c>
      <c r="V536" s="7" t="str">
        <f>INDEX(환산공식!$C$16:$C$301,MATCH('배치점수 계산기'!W536,환산공식!$A$16:$A$301,0))</f>
        <v>원광 의치약한</v>
      </c>
      <c r="W536" s="7">
        <f t="shared" si="93"/>
        <v>111</v>
      </c>
      <c r="X536" s="7">
        <f t="shared" si="94"/>
        <v>1</v>
      </c>
      <c r="Y536" s="7">
        <f>IFERROR(INDEX(환산공식!Q$16:Q$200,MATCH($A536,환산공식!$A$16:$A$200,0)),"")</f>
        <v>1</v>
      </c>
      <c r="Z536" s="7">
        <f>IFERROR(INDEX(환산공식!R$16:R$200,MATCH($A536,환산공식!$A$16:$A$200,0)),"")</f>
        <v>1</v>
      </c>
      <c r="AA536" s="7">
        <f>IFERROR(INDEX(환산공식!U$16:U$200,MATCH($A536,환산공식!$A$16:$A$200,0)),"")</f>
        <v>1</v>
      </c>
      <c r="AB536" s="7">
        <f t="shared" si="95"/>
        <v>0.33333333333333331</v>
      </c>
      <c r="AC536" s="7">
        <f t="shared" si="96"/>
        <v>0.33333333333333331</v>
      </c>
      <c r="AD536" s="7">
        <f t="shared" si="97"/>
        <v>0.33333333333333331</v>
      </c>
      <c r="AE536" s="7">
        <f>INDEX(환산공식!$AF$16:$AF$301,MATCH('배치점수 계산기'!W536,환산공식!$A$16:$A$301,0))</f>
        <v>1</v>
      </c>
      <c r="AF536" s="7">
        <f>INDEX(환산공식!$AP$16:$AP$301,MATCH('배치점수 계산기'!W536,환산공식!$A$16:$A$301,0))</f>
        <v>1</v>
      </c>
      <c r="AG536" s="7" t="str">
        <f t="shared" si="98"/>
        <v>표점</v>
      </c>
      <c r="AH536" s="7" t="str">
        <f t="shared" si="99"/>
        <v>표점</v>
      </c>
      <c r="BO536" s="210"/>
      <c r="BP536" s="210"/>
      <c r="BQ536" s="210"/>
      <c r="BR536" s="210"/>
      <c r="BS536" s="210"/>
      <c r="BT536" s="210"/>
      <c r="BU536" s="210"/>
      <c r="BV536" s="210"/>
      <c r="BW536" s="210"/>
      <c r="BX536" s="210"/>
      <c r="BY536" s="210"/>
      <c r="BZ536" s="210"/>
      <c r="CA536" s="210"/>
      <c r="CB536" s="210"/>
      <c r="CC536" s="210"/>
      <c r="EM536" s="120"/>
      <c r="ET536" s="210"/>
      <c r="EU536" s="210"/>
      <c r="EV536" s="210"/>
      <c r="EW536" s="210"/>
      <c r="EX536" s="210"/>
      <c r="EY536" s="210"/>
      <c r="EZ536" s="210"/>
      <c r="FA536" s="210"/>
      <c r="FB536" s="210"/>
      <c r="FC536" s="210"/>
      <c r="FD536" s="210"/>
      <c r="FE536" s="210"/>
      <c r="FF536" s="210"/>
      <c r="FG536" s="210"/>
      <c r="FH536" s="210"/>
      <c r="HR536" s="120"/>
      <c r="HY536" s="210"/>
      <c r="HZ536" s="210"/>
      <c r="IA536" s="210"/>
      <c r="IB536" s="210"/>
      <c r="IC536" s="210"/>
      <c r="ID536" s="210"/>
      <c r="IE536" s="210"/>
      <c r="IF536" s="210"/>
      <c r="IG536" s="210"/>
      <c r="IH536" s="210"/>
      <c r="II536" s="210"/>
      <c r="IJ536" s="210"/>
      <c r="IK536" s="210"/>
      <c r="IL536" s="210"/>
      <c r="IM536" s="210"/>
      <c r="KW536" s="120"/>
      <c r="LD536" s="210"/>
      <c r="LE536" s="210"/>
      <c r="LF536" s="210"/>
      <c r="LG536" s="210"/>
      <c r="LH536" s="210"/>
      <c r="LI536" s="210"/>
      <c r="LJ536" s="210"/>
      <c r="LK536" s="210"/>
      <c r="LL536" s="210"/>
      <c r="LM536" s="210"/>
      <c r="LN536" s="210"/>
      <c r="LO536" s="210"/>
      <c r="LP536" s="210"/>
      <c r="LQ536" s="210"/>
      <c r="LR536" s="210"/>
      <c r="OB536" s="120"/>
      <c r="OI536" s="210"/>
      <c r="OJ536" s="210"/>
      <c r="OK536" s="210"/>
      <c r="OL536" s="210"/>
      <c r="OM536" s="210"/>
      <c r="ON536" s="210"/>
      <c r="OO536" s="210"/>
      <c r="OP536" s="210"/>
      <c r="OQ536" s="210"/>
      <c r="OR536" s="210"/>
      <c r="OS536" s="210"/>
      <c r="OT536" s="210"/>
      <c r="OU536" s="210"/>
      <c r="OV536" s="210"/>
      <c r="OW536" s="210"/>
      <c r="RG536" s="120"/>
    </row>
    <row r="537" spans="1:475" x14ac:dyDescent="0.3">
      <c r="A537" s="7">
        <v>79</v>
      </c>
      <c r="B537" s="7">
        <v>527</v>
      </c>
      <c r="C537" s="7" t="s">
        <v>346</v>
      </c>
      <c r="D537" s="7" t="s">
        <v>856</v>
      </c>
      <c r="E537" s="7" t="s">
        <v>845</v>
      </c>
      <c r="F537" s="7" t="s">
        <v>274</v>
      </c>
      <c r="G537" s="41" t="str">
        <f t="shared" si="91"/>
        <v>X</v>
      </c>
      <c r="H537" s="41">
        <f>INDEX(환산공식!CI$16:CI$301,MATCH('배치점수 계산기'!$W537,환산공식!$A$16:$A$301,0))</f>
        <v>200</v>
      </c>
      <c r="I537" s="41" t="str">
        <f>CONCATENATE(ROUND(INDEX(환산공식!CJ$16:CJ$301,MATCH('배치점수 계산기'!$W537,환산공식!$A$16:$A$301,0)),1),"%")</f>
        <v>100%</v>
      </c>
      <c r="J537" s="41">
        <f>INDEX(환산공식!CK$16:CK$301,MATCH('배치점수 계산기'!$W537,환산공식!$A$16:$A$301,0))</f>
        <v>10</v>
      </c>
      <c r="K537" s="7">
        <f>INDEX(환산공식!$EF$16:$EF$301,MATCH('배치점수 계산기'!W537,환산공식!$A$16:$A$301,0))</f>
        <v>0</v>
      </c>
      <c r="L537" s="41" t="str">
        <f t="shared" si="89"/>
        <v>1% 이하</v>
      </c>
      <c r="M537" s="7">
        <v>1002</v>
      </c>
      <c r="N537" s="7">
        <v>1000.2</v>
      </c>
      <c r="O537" s="7">
        <v>999</v>
      </c>
      <c r="P537" s="7">
        <v>997.42499999999995</v>
      </c>
      <c r="Q537" s="7">
        <v>995.92499999999995</v>
      </c>
      <c r="R537" s="7">
        <f t="shared" si="90"/>
        <v>6</v>
      </c>
      <c r="T537" s="7">
        <f>COUNTIF($C$11:C537,C537)</f>
        <v>220</v>
      </c>
      <c r="U537" s="7" t="str">
        <f t="shared" si="92"/>
        <v>나220</v>
      </c>
      <c r="V537" s="7" t="str">
        <f>INDEX(환산공식!$C$16:$C$301,MATCH('배치점수 계산기'!W537,환산공식!$A$16:$A$301,0))</f>
        <v>관동 의</v>
      </c>
      <c r="W537" s="7">
        <f t="shared" si="93"/>
        <v>79</v>
      </c>
      <c r="X537" s="7">
        <f t="shared" si="94"/>
        <v>1</v>
      </c>
      <c r="Y537" s="7">
        <f>IFERROR(INDEX(환산공식!Q$16:Q$200,MATCH($A537,환산공식!$A$16:$A$200,0)),"")</f>
        <v>2</v>
      </c>
      <c r="Z537" s="7">
        <f>IFERROR(INDEX(환산공식!R$16:R$200,MATCH($A537,환산공식!$A$16:$A$200,0)),"")</f>
        <v>3</v>
      </c>
      <c r="AA537" s="7">
        <f>IFERROR(INDEX(환산공식!U$16:U$200,MATCH($A537,환산공식!$A$16:$A$200,0)),"")</f>
        <v>3</v>
      </c>
      <c r="AB537" s="7">
        <f t="shared" si="95"/>
        <v>0.25</v>
      </c>
      <c r="AC537" s="7">
        <f t="shared" si="96"/>
        <v>0.375</v>
      </c>
      <c r="AD537" s="7">
        <f t="shared" si="97"/>
        <v>0.375</v>
      </c>
      <c r="AE537" s="7">
        <f>INDEX(환산공식!$AF$16:$AF$301,MATCH('배치점수 계산기'!W537,환산공식!$A$16:$A$301,0))</f>
        <v>2</v>
      </c>
      <c r="AF537" s="7">
        <f>INDEX(환산공식!$AP$16:$AP$301,MATCH('배치점수 계산기'!W537,환산공식!$A$16:$A$301,0))</f>
        <v>2</v>
      </c>
      <c r="AG537" s="7" t="str">
        <f t="shared" si="98"/>
        <v>백분위</v>
      </c>
      <c r="AH537" s="7" t="str">
        <f t="shared" si="99"/>
        <v>백분위</v>
      </c>
      <c r="BO537" s="210"/>
      <c r="BP537" s="210"/>
      <c r="BQ537" s="210"/>
      <c r="BR537" s="210"/>
      <c r="BS537" s="210"/>
      <c r="BT537" s="210"/>
      <c r="BU537" s="210"/>
      <c r="BV537" s="210"/>
      <c r="BW537" s="210"/>
      <c r="BX537" s="210"/>
      <c r="BY537" s="210"/>
      <c r="BZ537" s="210"/>
      <c r="CA537" s="210"/>
      <c r="CB537" s="210"/>
      <c r="CC537" s="210"/>
      <c r="EM537" s="120"/>
      <c r="ET537" s="210"/>
      <c r="EU537" s="210"/>
      <c r="EV537" s="210"/>
      <c r="EW537" s="210"/>
      <c r="EX537" s="210"/>
      <c r="EY537" s="210"/>
      <c r="EZ537" s="210"/>
      <c r="FA537" s="210"/>
      <c r="FB537" s="210"/>
      <c r="FC537" s="210"/>
      <c r="FD537" s="210"/>
      <c r="FE537" s="210"/>
      <c r="FF537" s="210"/>
      <c r="FG537" s="210"/>
      <c r="FH537" s="210"/>
      <c r="HR537" s="120"/>
      <c r="HY537" s="210"/>
      <c r="HZ537" s="210"/>
      <c r="IA537" s="210"/>
      <c r="IB537" s="210"/>
      <c r="IC537" s="210"/>
      <c r="ID537" s="210"/>
      <c r="IE537" s="210"/>
      <c r="IF537" s="210"/>
      <c r="IG537" s="210"/>
      <c r="IH537" s="210"/>
      <c r="II537" s="210"/>
      <c r="IJ537" s="210"/>
      <c r="IK537" s="210"/>
      <c r="IL537" s="210"/>
      <c r="IM537" s="210"/>
      <c r="KW537" s="120"/>
      <c r="LD537" s="210"/>
      <c r="LE537" s="210"/>
      <c r="LF537" s="210"/>
      <c r="LG537" s="210"/>
      <c r="LH537" s="210"/>
      <c r="LI537" s="210"/>
      <c r="LJ537" s="210"/>
      <c r="LK537" s="210"/>
      <c r="LL537" s="210"/>
      <c r="LM537" s="210"/>
      <c r="LN537" s="210"/>
      <c r="LO537" s="210"/>
      <c r="LP537" s="210"/>
      <c r="LQ537" s="210"/>
      <c r="LR537" s="210"/>
      <c r="OB537" s="120"/>
      <c r="OI537" s="210"/>
      <c r="OJ537" s="210"/>
      <c r="OK537" s="210"/>
      <c r="OL537" s="210"/>
      <c r="OM537" s="210"/>
      <c r="ON537" s="210"/>
      <c r="OO537" s="210"/>
      <c r="OP537" s="210"/>
      <c r="OQ537" s="210"/>
      <c r="OR537" s="210"/>
      <c r="OS537" s="210"/>
      <c r="OT537" s="210"/>
      <c r="OU537" s="210"/>
      <c r="OV537" s="210"/>
      <c r="OW537" s="210"/>
      <c r="RG537" s="120"/>
    </row>
    <row r="538" spans="1:475" x14ac:dyDescent="0.3">
      <c r="A538" s="7">
        <v>117</v>
      </c>
      <c r="B538" s="7">
        <v>528</v>
      </c>
      <c r="C538" s="7" t="s">
        <v>378</v>
      </c>
      <c r="D538" s="7" t="s">
        <v>843</v>
      </c>
      <c r="E538" s="7" t="s">
        <v>845</v>
      </c>
      <c r="F538" s="7" t="s">
        <v>274</v>
      </c>
      <c r="G538" s="41" t="str">
        <f t="shared" si="91"/>
        <v>X</v>
      </c>
      <c r="H538" s="41">
        <f>INDEX(환산공식!CI$16:CI$301,MATCH('배치점수 계산기'!$W538,환산공식!$A$16:$A$301,0))</f>
        <v>200</v>
      </c>
      <c r="I538" s="41" t="str">
        <f>CONCATENATE(ROUND(INDEX(환산공식!CJ$16:CJ$301,MATCH('배치점수 계산기'!$W538,환산공식!$A$16:$A$301,0)),1),"%")</f>
        <v>100%</v>
      </c>
      <c r="J538" s="41">
        <f>INDEX(환산공식!CK$16:CK$301,MATCH('배치점수 계산기'!$W538,환산공식!$A$16:$A$301,0))</f>
        <v>50</v>
      </c>
      <c r="K538" s="7">
        <f>INDEX(환산공식!$EF$16:$EF$301,MATCH('배치점수 계산기'!W538,환산공식!$A$16:$A$301,0))</f>
        <v>0</v>
      </c>
      <c r="L538" s="41" t="str">
        <f t="shared" si="89"/>
        <v>1% 이하</v>
      </c>
      <c r="M538" s="7">
        <v>975.7497849356721</v>
      </c>
      <c r="N538" s="7">
        <v>972.12646865221143</v>
      </c>
      <c r="O538" s="7">
        <v>970.03234126791313</v>
      </c>
      <c r="P538" s="7">
        <v>964.97899331789665</v>
      </c>
      <c r="Q538" s="7">
        <v>963.31497125342014</v>
      </c>
      <c r="R538" s="7">
        <f t="shared" si="90"/>
        <v>6</v>
      </c>
      <c r="T538" s="7">
        <f>COUNTIF($C$11:C538,C538)</f>
        <v>20</v>
      </c>
      <c r="U538" s="7" t="str">
        <f t="shared" si="92"/>
        <v>다20</v>
      </c>
      <c r="V538" s="7" t="str">
        <f>INDEX(환산공식!$C$16:$C$301,MATCH('배치점수 계산기'!W538,환산공식!$A$16:$A$301,0))</f>
        <v>인하 자연</v>
      </c>
      <c r="W538" s="7">
        <f t="shared" si="93"/>
        <v>117</v>
      </c>
      <c r="X538" s="7">
        <f t="shared" si="94"/>
        <v>1</v>
      </c>
      <c r="Y538" s="7">
        <f>IFERROR(INDEX(환산공식!Q$16:Q$200,MATCH($A538,환산공식!$A$16:$A$200,0)),"")</f>
        <v>1.3422818791946309</v>
      </c>
      <c r="Z538" s="7">
        <f>IFERROR(INDEX(환산공식!R$16:R$200,MATCH($A538,환산공식!$A$16:$A$200,0)),"")</f>
        <v>2.0408163265306123</v>
      </c>
      <c r="AA538" s="7">
        <f>IFERROR(INDEX(환산공식!U$16:U$200,MATCH($A538,환산공식!$A$16:$A$200,0)),"")</f>
        <v>1.7573457050470971</v>
      </c>
      <c r="AB538" s="7">
        <f t="shared" si="95"/>
        <v>0.26112178296153338</v>
      </c>
      <c r="AC538" s="7">
        <f t="shared" si="96"/>
        <v>0.39701169042110684</v>
      </c>
      <c r="AD538" s="7">
        <f t="shared" si="97"/>
        <v>0.34186652661735972</v>
      </c>
      <c r="AE538" s="7">
        <f>INDEX(환산공식!$AF$16:$AF$301,MATCH('배치점수 계산기'!W538,환산공식!$A$16:$A$301,0))</f>
        <v>12</v>
      </c>
      <c r="AF538" s="7">
        <f>INDEX(환산공식!$AP$16:$AP$301,MATCH('배치점수 계산기'!W538,환산공식!$A$16:$A$301,0))</f>
        <v>42</v>
      </c>
      <c r="AG538" s="7" t="str">
        <f t="shared" si="98"/>
        <v>표점/만점</v>
      </c>
      <c r="AH538" s="7" t="str">
        <f t="shared" si="99"/>
        <v>변표/만점</v>
      </c>
      <c r="BO538" s="210"/>
      <c r="BP538" s="210"/>
      <c r="BQ538" s="210"/>
      <c r="BR538" s="210"/>
      <c r="BS538" s="210"/>
      <c r="BT538" s="210"/>
      <c r="BU538" s="210"/>
      <c r="BV538" s="210"/>
      <c r="BW538" s="210"/>
      <c r="BX538" s="210"/>
      <c r="BY538" s="210"/>
      <c r="BZ538" s="210"/>
      <c r="CA538" s="210"/>
      <c r="CB538" s="210"/>
      <c r="CC538" s="210"/>
      <c r="EM538" s="120"/>
      <c r="ET538" s="210"/>
      <c r="EU538" s="210"/>
      <c r="EV538" s="210"/>
      <c r="EW538" s="210"/>
      <c r="EX538" s="210"/>
      <c r="EY538" s="210"/>
      <c r="EZ538" s="210"/>
      <c r="FA538" s="210"/>
      <c r="FB538" s="210"/>
      <c r="FC538" s="210"/>
      <c r="FD538" s="210"/>
      <c r="FE538" s="210"/>
      <c r="FF538" s="210"/>
      <c r="FG538" s="210"/>
      <c r="FH538" s="210"/>
      <c r="HR538" s="120"/>
      <c r="HY538" s="210"/>
      <c r="HZ538" s="210"/>
      <c r="IA538" s="210"/>
      <c r="IB538" s="210"/>
      <c r="IC538" s="210"/>
      <c r="ID538" s="210"/>
      <c r="IE538" s="210"/>
      <c r="IF538" s="210"/>
      <c r="IG538" s="210"/>
      <c r="IH538" s="210"/>
      <c r="II538" s="210"/>
      <c r="IJ538" s="210"/>
      <c r="IK538" s="210"/>
      <c r="IL538" s="210"/>
      <c r="IM538" s="210"/>
      <c r="KW538" s="120"/>
      <c r="LD538" s="210"/>
      <c r="LE538" s="210"/>
      <c r="LF538" s="210"/>
      <c r="LG538" s="210"/>
      <c r="LH538" s="210"/>
      <c r="LI538" s="210"/>
      <c r="LJ538" s="210"/>
      <c r="LK538" s="210"/>
      <c r="LL538" s="210"/>
      <c r="LM538" s="210"/>
      <c r="LN538" s="210"/>
      <c r="LO538" s="210"/>
      <c r="LP538" s="210"/>
      <c r="LQ538" s="210"/>
      <c r="LR538" s="210"/>
      <c r="OB538" s="120"/>
      <c r="OI538" s="210"/>
      <c r="OJ538" s="210"/>
      <c r="OK538" s="210"/>
      <c r="OL538" s="210"/>
      <c r="OM538" s="210"/>
      <c r="ON538" s="210"/>
      <c r="OO538" s="210"/>
      <c r="OP538" s="210"/>
      <c r="OQ538" s="210"/>
      <c r="OR538" s="210"/>
      <c r="OS538" s="210"/>
      <c r="OT538" s="210"/>
      <c r="OU538" s="210"/>
      <c r="OV538" s="210"/>
      <c r="OW538" s="210"/>
      <c r="RG538" s="120"/>
    </row>
    <row r="539" spans="1:475" x14ac:dyDescent="0.3">
      <c r="A539" s="7">
        <v>103</v>
      </c>
      <c r="B539" s="7">
        <v>529</v>
      </c>
      <c r="C539" s="7" t="s">
        <v>378</v>
      </c>
      <c r="D539" s="7" t="s">
        <v>857</v>
      </c>
      <c r="E539" s="7" t="s">
        <v>845</v>
      </c>
      <c r="F539" s="7" t="s">
        <v>274</v>
      </c>
      <c r="G539" s="41" t="str">
        <f t="shared" si="91"/>
        <v>X</v>
      </c>
      <c r="H539" s="41">
        <f>INDEX(환산공식!CI$16:CI$301,MATCH('배치점수 계산기'!$W539,환산공식!$A$16:$A$301,0))</f>
        <v>57.6</v>
      </c>
      <c r="I539" s="41" t="str">
        <f>CONCATENATE(ROUND(INDEX(환산공식!CJ$16:CJ$301,MATCH('배치점수 계산기'!$W539,환산공식!$A$16:$A$301,0)),1),"%")</f>
        <v>100%</v>
      </c>
      <c r="J539" s="41">
        <f>INDEX(환산공식!CK$16:CK$301,MATCH('배치점수 계산기'!$W539,환산공식!$A$16:$A$301,0))</f>
        <v>0</v>
      </c>
      <c r="K539" s="7">
        <f>INDEX(환산공식!$EF$16:$EF$301,MATCH('배치점수 계산기'!W539,환산공식!$A$16:$A$301,0))</f>
        <v>800</v>
      </c>
      <c r="L539" s="41" t="str">
        <f t="shared" si="89"/>
        <v>1% 이하</v>
      </c>
      <c r="M539" s="7">
        <v>1006.78</v>
      </c>
      <c r="N539" s="7">
        <v>1006.3</v>
      </c>
      <c r="O539" s="7">
        <v>1006</v>
      </c>
      <c r="P539" s="7">
        <v>1005.92</v>
      </c>
      <c r="Q539" s="7">
        <v>1005.7</v>
      </c>
      <c r="R539" s="7">
        <f t="shared" si="90"/>
        <v>6</v>
      </c>
      <c r="T539" s="7">
        <f>COUNTIF($C$11:C539,C539)</f>
        <v>21</v>
      </c>
      <c r="U539" s="7" t="str">
        <f t="shared" si="92"/>
        <v>다21</v>
      </c>
      <c r="V539" s="7" t="str">
        <f>INDEX(환산공식!$C$16:$C$301,MATCH('배치점수 계산기'!W539,환산공식!$A$16:$A$301,0))</f>
        <v>순천향 의</v>
      </c>
      <c r="W539" s="7">
        <f t="shared" si="93"/>
        <v>103</v>
      </c>
      <c r="X539" s="7">
        <f t="shared" si="94"/>
        <v>1</v>
      </c>
      <c r="Y539" s="7">
        <f>IFERROR(INDEX(환산공식!Q$16:Q$200,MATCH($A539,환산공식!$A$16:$A$200,0)),"")</f>
        <v>0.4</v>
      </c>
      <c r="Z539" s="7">
        <f>IFERROR(INDEX(환산공식!R$16:R$200,MATCH($A539,환산공식!$A$16:$A$200,0)),"")</f>
        <v>0.6</v>
      </c>
      <c r="AA539" s="7">
        <f>IFERROR(INDEX(환산공식!U$16:U$200,MATCH($A539,환산공식!$A$16:$A$200,0)),"")</f>
        <v>0.4</v>
      </c>
      <c r="AB539" s="7">
        <f t="shared" si="95"/>
        <v>0.28571428571428575</v>
      </c>
      <c r="AC539" s="7">
        <f t="shared" si="96"/>
        <v>0.4285714285714286</v>
      </c>
      <c r="AD539" s="7">
        <f t="shared" si="97"/>
        <v>0.28571428571428575</v>
      </c>
      <c r="AE539" s="7">
        <f>INDEX(환산공식!$AF$16:$AF$301,MATCH('배치점수 계산기'!W539,환산공식!$A$16:$A$301,0))</f>
        <v>2</v>
      </c>
      <c r="AF539" s="7">
        <f>INDEX(환산공식!$AP$16:$AP$301,MATCH('배치점수 계산기'!W539,환산공식!$A$16:$A$301,0))</f>
        <v>2</v>
      </c>
      <c r="AG539" s="7" t="str">
        <f t="shared" si="98"/>
        <v>백분위</v>
      </c>
      <c r="AH539" s="7" t="str">
        <f t="shared" si="99"/>
        <v>백분위</v>
      </c>
      <c r="BO539" s="210"/>
      <c r="BP539" s="210"/>
      <c r="BQ539" s="210"/>
      <c r="BR539" s="210"/>
      <c r="BS539" s="210"/>
      <c r="BT539" s="210"/>
      <c r="BU539" s="210"/>
      <c r="BV539" s="210"/>
      <c r="BW539" s="210"/>
      <c r="BX539" s="210"/>
      <c r="BY539" s="210"/>
      <c r="BZ539" s="210"/>
      <c r="CA539" s="210"/>
      <c r="CB539" s="210"/>
      <c r="CC539" s="210"/>
      <c r="EM539" s="120"/>
      <c r="ET539" s="210"/>
      <c r="EU539" s="210"/>
      <c r="EV539" s="210"/>
      <c r="EW539" s="210"/>
      <c r="EX539" s="210"/>
      <c r="EY539" s="210"/>
      <c r="EZ539" s="210"/>
      <c r="FA539" s="210"/>
      <c r="FB539" s="210"/>
      <c r="FC539" s="210"/>
      <c r="FD539" s="210"/>
      <c r="FE539" s="210"/>
      <c r="FF539" s="210"/>
      <c r="FG539" s="210"/>
      <c r="FH539" s="210"/>
      <c r="HR539" s="120"/>
      <c r="HY539" s="210"/>
      <c r="HZ539" s="210"/>
      <c r="IA539" s="210"/>
      <c r="IB539" s="210"/>
      <c r="IC539" s="210"/>
      <c r="ID539" s="210"/>
      <c r="IE539" s="210"/>
      <c r="IF539" s="210"/>
      <c r="IG539" s="210"/>
      <c r="IH539" s="210"/>
      <c r="II539" s="210"/>
      <c r="IJ539" s="210"/>
      <c r="IK539" s="210"/>
      <c r="IL539" s="210"/>
      <c r="IM539" s="210"/>
      <c r="KW539" s="120"/>
      <c r="LD539" s="210"/>
      <c r="LE539" s="210"/>
      <c r="LF539" s="210"/>
      <c r="LG539" s="210"/>
      <c r="LH539" s="210"/>
      <c r="LI539" s="210"/>
      <c r="LJ539" s="210"/>
      <c r="LK539" s="210"/>
      <c r="LL539" s="210"/>
      <c r="LM539" s="210"/>
      <c r="LN539" s="210"/>
      <c r="LO539" s="210"/>
      <c r="LP539" s="210"/>
      <c r="LQ539" s="210"/>
      <c r="LR539" s="210"/>
      <c r="OB539" s="120"/>
      <c r="OI539" s="210"/>
      <c r="OJ539" s="210"/>
      <c r="OK539" s="210"/>
      <c r="OL539" s="210"/>
      <c r="OM539" s="210"/>
      <c r="ON539" s="210"/>
      <c r="OO539" s="210"/>
      <c r="OP539" s="210"/>
      <c r="OQ539" s="210"/>
      <c r="OR539" s="210"/>
      <c r="OS539" s="210"/>
      <c r="OT539" s="210"/>
      <c r="OU539" s="210"/>
      <c r="OV539" s="210"/>
      <c r="OW539" s="210"/>
      <c r="RG539" s="120"/>
    </row>
    <row r="540" spans="1:475" x14ac:dyDescent="0.3">
      <c r="A540" s="7">
        <v>87</v>
      </c>
      <c r="B540" s="7">
        <v>530</v>
      </c>
      <c r="C540" s="7" t="s">
        <v>378</v>
      </c>
      <c r="D540" s="7" t="s">
        <v>693</v>
      </c>
      <c r="E540" s="7" t="s">
        <v>845</v>
      </c>
      <c r="F540" s="7" t="s">
        <v>274</v>
      </c>
      <c r="G540" s="41" t="str">
        <f t="shared" si="91"/>
        <v>X</v>
      </c>
      <c r="H540" s="41">
        <f>INDEX(환산공식!CI$16:CI$301,MATCH('배치점수 계산기'!$W540,환산공식!$A$16:$A$301,0))</f>
        <v>200</v>
      </c>
      <c r="I540" s="41" t="str">
        <f>CONCATENATE(ROUND(INDEX(환산공식!CJ$16:CJ$301,MATCH('배치점수 계산기'!$W540,환산공식!$A$16:$A$301,0)),1),"%")</f>
        <v>100%</v>
      </c>
      <c r="J540" s="41">
        <f>INDEX(환산공식!CK$16:CK$301,MATCH('배치점수 계산기'!$W540,환산공식!$A$16:$A$301,0))</f>
        <v>10</v>
      </c>
      <c r="K540" s="7">
        <f>INDEX(환산공식!$EF$16:$EF$301,MATCH('배치점수 계산기'!W540,환산공식!$A$16:$A$301,0))</f>
        <v>0</v>
      </c>
      <c r="L540" s="41" t="str">
        <f t="shared" si="89"/>
        <v>1% 이하</v>
      </c>
      <c r="M540" s="7">
        <v>775.58581912878788</v>
      </c>
      <c r="N540" s="7">
        <v>773.1914156983637</v>
      </c>
      <c r="O540" s="7">
        <v>768.74136178861784</v>
      </c>
      <c r="P540" s="7">
        <v>766.25</v>
      </c>
      <c r="Q540" s="7">
        <v>762.75</v>
      </c>
      <c r="R540" s="7">
        <f t="shared" si="90"/>
        <v>6</v>
      </c>
      <c r="T540" s="7">
        <f>COUNTIF($C$11:C540,C540)</f>
        <v>22</v>
      </c>
      <c r="U540" s="7" t="str">
        <f t="shared" si="92"/>
        <v>다22</v>
      </c>
      <c r="V540" s="7" t="str">
        <f>INDEX(환산공식!$C$16:$C$301,MATCH('배치점수 계산기'!W540,환산공식!$A$16:$A$301,0))</f>
        <v>동국경주 의</v>
      </c>
      <c r="W540" s="7">
        <f t="shared" si="93"/>
        <v>87</v>
      </c>
      <c r="X540" s="7">
        <f t="shared" si="94"/>
        <v>1</v>
      </c>
      <c r="Y540" s="7">
        <f>IFERROR(INDEX(환산공식!Q$16:Q$200,MATCH($A540,환산공식!$A$16:$A$200,0)),"")</f>
        <v>1.25</v>
      </c>
      <c r="Z540" s="7">
        <f>IFERROR(INDEX(환산공식!R$16:R$200,MATCH($A540,환산공식!$A$16:$A$200,0)),"")</f>
        <v>1.5</v>
      </c>
      <c r="AA540" s="7">
        <f>IFERROR(INDEX(환산공식!U$16:U$200,MATCH($A540,환산공식!$A$16:$A$200,0)),"")</f>
        <v>1.25</v>
      </c>
      <c r="AB540" s="7">
        <f t="shared" si="95"/>
        <v>0.3125</v>
      </c>
      <c r="AC540" s="7">
        <f t="shared" si="96"/>
        <v>0.375</v>
      </c>
      <c r="AD540" s="7">
        <f t="shared" si="97"/>
        <v>0.3125</v>
      </c>
      <c r="AE540" s="7">
        <f>INDEX(환산공식!$AF$16:$AF$301,MATCH('배치점수 계산기'!W540,환산공식!$A$16:$A$301,0))</f>
        <v>1</v>
      </c>
      <c r="AF540" s="7">
        <f>INDEX(환산공식!$AP$16:$AP$301,MATCH('배치점수 계산기'!W540,환산공식!$A$16:$A$301,0))</f>
        <v>1</v>
      </c>
      <c r="AG540" s="7" t="str">
        <f t="shared" si="98"/>
        <v>표점</v>
      </c>
      <c r="AH540" s="7" t="str">
        <f t="shared" si="99"/>
        <v>표점</v>
      </c>
      <c r="BO540" s="210"/>
      <c r="BP540" s="210"/>
      <c r="BQ540" s="210"/>
      <c r="BR540" s="210"/>
      <c r="BS540" s="210"/>
      <c r="BT540" s="210"/>
      <c r="BU540" s="210"/>
      <c r="BV540" s="210"/>
      <c r="BW540" s="210"/>
      <c r="BX540" s="210"/>
      <c r="BY540" s="210"/>
      <c r="BZ540" s="210"/>
      <c r="CA540" s="210"/>
      <c r="CB540" s="210"/>
      <c r="CC540" s="210"/>
      <c r="EM540" s="120"/>
      <c r="ET540" s="210"/>
      <c r="EU540" s="210"/>
      <c r="EV540" s="210"/>
      <c r="EW540" s="210"/>
      <c r="EX540" s="210"/>
      <c r="EY540" s="210"/>
      <c r="EZ540" s="210"/>
      <c r="FA540" s="210"/>
      <c r="FB540" s="210"/>
      <c r="FC540" s="210"/>
      <c r="FD540" s="210"/>
      <c r="FE540" s="210"/>
      <c r="FF540" s="210"/>
      <c r="FG540" s="210"/>
      <c r="FH540" s="210"/>
      <c r="HR540" s="120"/>
      <c r="HY540" s="210"/>
      <c r="HZ540" s="210"/>
      <c r="IA540" s="210"/>
      <c r="IB540" s="210"/>
      <c r="IC540" s="210"/>
      <c r="ID540" s="210"/>
      <c r="IE540" s="210"/>
      <c r="IF540" s="210"/>
      <c r="IG540" s="210"/>
      <c r="IH540" s="210"/>
      <c r="II540" s="210"/>
      <c r="IJ540" s="210"/>
      <c r="IK540" s="210"/>
      <c r="IL540" s="210"/>
      <c r="IM540" s="210"/>
      <c r="KW540" s="120"/>
      <c r="LD540" s="210"/>
      <c r="LE540" s="210"/>
      <c r="LF540" s="210"/>
      <c r="LG540" s="210"/>
      <c r="LH540" s="210"/>
      <c r="LI540" s="210"/>
      <c r="LJ540" s="210"/>
      <c r="LK540" s="210"/>
      <c r="LL540" s="210"/>
      <c r="LM540" s="210"/>
      <c r="LN540" s="210"/>
      <c r="LO540" s="210"/>
      <c r="LP540" s="210"/>
      <c r="LQ540" s="210"/>
      <c r="LR540" s="210"/>
      <c r="OB540" s="120"/>
      <c r="OI540" s="210"/>
      <c r="OJ540" s="210"/>
      <c r="OK540" s="210"/>
      <c r="OL540" s="210"/>
      <c r="OM540" s="210"/>
      <c r="ON540" s="210"/>
      <c r="OO540" s="210"/>
      <c r="OP540" s="210"/>
      <c r="OQ540" s="210"/>
      <c r="OR540" s="210"/>
      <c r="OS540" s="210"/>
      <c r="OT540" s="210"/>
      <c r="OU540" s="210"/>
      <c r="OV540" s="210"/>
      <c r="OW540" s="210"/>
      <c r="RG540" s="120"/>
    </row>
    <row r="541" spans="1:475" x14ac:dyDescent="0.3">
      <c r="A541" s="7">
        <v>80</v>
      </c>
      <c r="B541" s="7">
        <v>531</v>
      </c>
      <c r="C541" s="7" t="s">
        <v>378</v>
      </c>
      <c r="D541" s="7" t="s">
        <v>858</v>
      </c>
      <c r="E541" s="7" t="s">
        <v>845</v>
      </c>
      <c r="F541" s="7" t="s">
        <v>274</v>
      </c>
      <c r="G541" s="41" t="str">
        <f t="shared" si="91"/>
        <v>X</v>
      </c>
      <c r="H541" s="41">
        <f>INDEX(환산공식!CI$16:CI$301,MATCH('배치점수 계산기'!$W541,환산공식!$A$16:$A$301,0))</f>
        <v>150</v>
      </c>
      <c r="I541" s="41" t="str">
        <f>CONCATENATE(ROUND(INDEX(환산공식!CJ$16:CJ$301,MATCH('배치점수 계산기'!$W541,환산공식!$A$16:$A$301,0)),1),"%")</f>
        <v>100%</v>
      </c>
      <c r="J541" s="41">
        <f>INDEX(환산공식!CK$16:CK$301,MATCH('배치점수 계산기'!$W541,환산공식!$A$16:$A$301,0))</f>
        <v>5</v>
      </c>
      <c r="K541" s="7">
        <f>INDEX(환산공식!$EF$16:$EF$301,MATCH('배치점수 계산기'!W541,환산공식!$A$16:$A$301,0))</f>
        <v>0</v>
      </c>
      <c r="L541" s="41" t="str">
        <f t="shared" si="89"/>
        <v>1% 이하</v>
      </c>
      <c r="M541" s="7">
        <v>970.75244812204994</v>
      </c>
      <c r="N541" s="7">
        <v>965.14476060958236</v>
      </c>
      <c r="O541" s="7">
        <v>963.35272617914848</v>
      </c>
      <c r="P541" s="7">
        <v>961.78145695364219</v>
      </c>
      <c r="Q541" s="7">
        <v>956.17695290261781</v>
      </c>
      <c r="R541" s="7">
        <f t="shared" si="90"/>
        <v>6</v>
      </c>
      <c r="T541" s="7">
        <f>COUNTIF($C$11:C541,C541)</f>
        <v>23</v>
      </c>
      <c r="U541" s="7" t="str">
        <f t="shared" si="92"/>
        <v>다23</v>
      </c>
      <c r="V541" s="7" t="str">
        <f>INDEX(환산공식!$C$16:$C$301,MATCH('배치점수 계산기'!W541,환산공식!$A$16:$A$301,0))</f>
        <v>단국 의치약</v>
      </c>
      <c r="W541" s="7">
        <f t="shared" si="93"/>
        <v>80</v>
      </c>
      <c r="X541" s="7">
        <f t="shared" si="94"/>
        <v>1</v>
      </c>
      <c r="Y541" s="7">
        <f>IFERROR(INDEX(환산공식!Q$16:Q$200,MATCH($A541,환산공식!$A$16:$A$200,0)),"")</f>
        <v>1.3422818791946309</v>
      </c>
      <c r="Z541" s="7">
        <f>IFERROR(INDEX(환산공식!R$16:R$200,MATCH($A541,환산공식!$A$16:$A$200,0)),"")</f>
        <v>2.7210884353741496</v>
      </c>
      <c r="AA541" s="7">
        <f>IFERROR(INDEX(환산공식!U$16:U$200,MATCH($A541,환산공식!$A$16:$A$200,0)),"")</f>
        <v>2.5</v>
      </c>
      <c r="AB541" s="7">
        <f t="shared" si="95"/>
        <v>0.20451106898770499</v>
      </c>
      <c r="AC541" s="7">
        <f t="shared" si="96"/>
        <v>0.41458706502269443</v>
      </c>
      <c r="AD541" s="7">
        <f t="shared" si="97"/>
        <v>0.38090186598960052</v>
      </c>
      <c r="AE541" s="7">
        <f>INDEX(환산공식!$AF$16:$AF$301,MATCH('배치점수 계산기'!W541,환산공식!$A$16:$A$301,0))</f>
        <v>12</v>
      </c>
      <c r="AF541" s="7">
        <f>INDEX(환산공식!$AP$16:$AP$301,MATCH('배치점수 계산기'!W541,환산공식!$A$16:$A$301,0))</f>
        <v>2</v>
      </c>
      <c r="AG541" s="7" t="str">
        <f t="shared" si="98"/>
        <v>표점/만점</v>
      </c>
      <c r="AH541" s="7" t="str">
        <f t="shared" si="99"/>
        <v>백분위</v>
      </c>
      <c r="BO541" s="210"/>
      <c r="BP541" s="210"/>
      <c r="BQ541" s="210"/>
      <c r="BR541" s="210"/>
      <c r="BS541" s="210"/>
      <c r="BT541" s="210"/>
      <c r="BU541" s="210"/>
      <c r="BV541" s="210"/>
      <c r="BW541" s="210"/>
      <c r="BX541" s="210"/>
      <c r="BY541" s="210"/>
      <c r="BZ541" s="210"/>
      <c r="CA541" s="210"/>
      <c r="CB541" s="210"/>
      <c r="CC541" s="210"/>
      <c r="EM541" s="120"/>
      <c r="ET541" s="210"/>
      <c r="EU541" s="210"/>
      <c r="EV541" s="210"/>
      <c r="EW541" s="210"/>
      <c r="EX541" s="210"/>
      <c r="EY541" s="210"/>
      <c r="EZ541" s="210"/>
      <c r="FA541" s="210"/>
      <c r="FB541" s="210"/>
      <c r="FC541" s="210"/>
      <c r="FD541" s="210"/>
      <c r="FE541" s="210"/>
      <c r="FF541" s="210"/>
      <c r="FG541" s="210"/>
      <c r="FH541" s="210"/>
      <c r="HR541" s="120"/>
      <c r="HY541" s="210"/>
      <c r="HZ541" s="210"/>
      <c r="IA541" s="210"/>
      <c r="IB541" s="210"/>
      <c r="IC541" s="210"/>
      <c r="ID541" s="210"/>
      <c r="IE541" s="210"/>
      <c r="IF541" s="210"/>
      <c r="IG541" s="210"/>
      <c r="IH541" s="210"/>
      <c r="II541" s="210"/>
      <c r="IJ541" s="210"/>
      <c r="IK541" s="210"/>
      <c r="IL541" s="210"/>
      <c r="IM541" s="210"/>
      <c r="KW541" s="120"/>
      <c r="LD541" s="210"/>
      <c r="LE541" s="210"/>
      <c r="LF541" s="210"/>
      <c r="LG541" s="210"/>
      <c r="LH541" s="210"/>
      <c r="LI541" s="210"/>
      <c r="LJ541" s="210"/>
      <c r="LK541" s="210"/>
      <c r="LL541" s="210"/>
      <c r="LM541" s="210"/>
      <c r="LN541" s="210"/>
      <c r="LO541" s="210"/>
      <c r="LP541" s="210"/>
      <c r="LQ541" s="210"/>
      <c r="LR541" s="210"/>
      <c r="OB541" s="120"/>
      <c r="OI541" s="210"/>
      <c r="OJ541" s="210"/>
      <c r="OK541" s="210"/>
      <c r="OL541" s="210"/>
      <c r="OM541" s="210"/>
      <c r="ON541" s="210"/>
      <c r="OO541" s="210"/>
      <c r="OP541" s="210"/>
      <c r="OQ541" s="210"/>
      <c r="OR541" s="210"/>
      <c r="OS541" s="210"/>
      <c r="OT541" s="210"/>
      <c r="OU541" s="210"/>
      <c r="OV541" s="210"/>
      <c r="OW541" s="210"/>
      <c r="RG541" s="120"/>
    </row>
    <row r="542" spans="1:475" x14ac:dyDescent="0.3">
      <c r="A542" s="7">
        <v>76</v>
      </c>
      <c r="B542" s="7">
        <v>532</v>
      </c>
      <c r="C542" s="7" t="s">
        <v>378</v>
      </c>
      <c r="D542" s="7" t="s">
        <v>710</v>
      </c>
      <c r="E542" s="7" t="s">
        <v>845</v>
      </c>
      <c r="F542" s="7" t="s">
        <v>274</v>
      </c>
      <c r="G542" s="41" t="str">
        <f t="shared" si="91"/>
        <v>X</v>
      </c>
      <c r="H542" s="41">
        <f>INDEX(환산공식!CI$16:CI$301,MATCH('배치점수 계산기'!$W542,환산공식!$A$16:$A$301,0))</f>
        <v>100</v>
      </c>
      <c r="I542" s="41" t="str">
        <f>CONCATENATE(ROUND(INDEX(환산공식!CJ$16:CJ$301,MATCH('배치점수 계산기'!$W542,환산공식!$A$16:$A$301,0)),1),"%")</f>
        <v>100%</v>
      </c>
      <c r="J542" s="41">
        <f>INDEX(환산공식!CK$16:CK$301,MATCH('배치점수 계산기'!$W542,환산공식!$A$16:$A$301,0))</f>
        <v>5</v>
      </c>
      <c r="K542" s="7">
        <f>INDEX(환산공식!$EF$16:$EF$301,MATCH('배치점수 계산기'!W542,환산공식!$A$16:$A$301,0))</f>
        <v>0</v>
      </c>
      <c r="L542" s="41" t="str">
        <f t="shared" si="89"/>
        <v>1% 이하</v>
      </c>
      <c r="M542" s="7">
        <v>400.7</v>
      </c>
      <c r="N542" s="7">
        <v>399.8</v>
      </c>
      <c r="O542" s="7">
        <v>399</v>
      </c>
      <c r="P542" s="7">
        <v>398.7</v>
      </c>
      <c r="Q542" s="7">
        <v>398.5</v>
      </c>
      <c r="R542" s="7">
        <f t="shared" si="90"/>
        <v>6</v>
      </c>
      <c r="T542" s="7">
        <f>COUNTIF($C$11:C542,C542)</f>
        <v>24</v>
      </c>
      <c r="U542" s="7" t="str">
        <f t="shared" si="92"/>
        <v>다24</v>
      </c>
      <c r="V542" s="7" t="str">
        <f>INDEX(환산공식!$C$16:$C$301,MATCH('배치점수 계산기'!W542,환산공식!$A$16:$A$301,0))</f>
        <v>계명 의약</v>
      </c>
      <c r="W542" s="7">
        <f t="shared" si="93"/>
        <v>76</v>
      </c>
      <c r="X542" s="7">
        <f t="shared" si="94"/>
        <v>1</v>
      </c>
      <c r="Y542" s="7">
        <f>IFERROR(INDEX(환산공식!Q$16:Q$200,MATCH($A542,환산공식!$A$16:$A$200,0)),"")</f>
        <v>1</v>
      </c>
      <c r="Z542" s="7">
        <f>IFERROR(INDEX(환산공식!R$16:R$200,MATCH($A542,환산공식!$A$16:$A$200,0)),"")</f>
        <v>1</v>
      </c>
      <c r="AA542" s="7">
        <f>IFERROR(INDEX(환산공식!U$16:U$200,MATCH($A542,환산공식!$A$16:$A$200,0)),"")</f>
        <v>1</v>
      </c>
      <c r="AB542" s="7">
        <f t="shared" si="95"/>
        <v>0.33333333333333331</v>
      </c>
      <c r="AC542" s="7">
        <f t="shared" si="96"/>
        <v>0.33333333333333331</v>
      </c>
      <c r="AD542" s="7">
        <f t="shared" si="97"/>
        <v>0.33333333333333331</v>
      </c>
      <c r="AE542" s="7">
        <f>INDEX(환산공식!$AF$16:$AF$301,MATCH('배치점수 계산기'!W542,환산공식!$A$16:$A$301,0))</f>
        <v>2</v>
      </c>
      <c r="AF542" s="7">
        <f>INDEX(환산공식!$AP$16:$AP$301,MATCH('배치점수 계산기'!W542,환산공식!$A$16:$A$301,0))</f>
        <v>2</v>
      </c>
      <c r="AG542" s="7" t="str">
        <f t="shared" si="98"/>
        <v>백분위</v>
      </c>
      <c r="AH542" s="7" t="str">
        <f t="shared" si="99"/>
        <v>백분위</v>
      </c>
      <c r="BO542" s="210"/>
      <c r="BP542" s="210"/>
      <c r="BQ542" s="210"/>
      <c r="BR542" s="210"/>
      <c r="BS542" s="210"/>
      <c r="BT542" s="210"/>
      <c r="BU542" s="210"/>
      <c r="BV542" s="210"/>
      <c r="BW542" s="210"/>
      <c r="BX542" s="210"/>
      <c r="BY542" s="210"/>
      <c r="BZ542" s="210"/>
      <c r="CA542" s="210"/>
      <c r="CB542" s="210"/>
      <c r="CC542" s="210"/>
      <c r="EM542" s="120"/>
      <c r="ET542" s="210"/>
      <c r="EU542" s="210"/>
      <c r="EV542" s="210"/>
      <c r="EW542" s="210"/>
      <c r="EX542" s="210"/>
      <c r="EY542" s="210"/>
      <c r="EZ542" s="210"/>
      <c r="FA542" s="210"/>
      <c r="FB542" s="210"/>
      <c r="FC542" s="210"/>
      <c r="FD542" s="210"/>
      <c r="FE542" s="210"/>
      <c r="FF542" s="210"/>
      <c r="FG542" s="210"/>
      <c r="FH542" s="210"/>
      <c r="HR542" s="120"/>
      <c r="HY542" s="210"/>
      <c r="HZ542" s="210"/>
      <c r="IA542" s="210"/>
      <c r="IB542" s="210"/>
      <c r="IC542" s="210"/>
      <c r="ID542" s="210"/>
      <c r="IE542" s="210"/>
      <c r="IF542" s="210"/>
      <c r="IG542" s="210"/>
      <c r="IH542" s="210"/>
      <c r="II542" s="210"/>
      <c r="IJ542" s="210"/>
      <c r="IK542" s="210"/>
      <c r="IL542" s="210"/>
      <c r="IM542" s="210"/>
      <c r="KW542" s="120"/>
      <c r="LD542" s="210"/>
      <c r="LE542" s="210"/>
      <c r="LF542" s="210"/>
      <c r="LG542" s="210"/>
      <c r="LH542" s="210"/>
      <c r="LI542" s="210"/>
      <c r="LJ542" s="210"/>
      <c r="LK542" s="210"/>
      <c r="LL542" s="210"/>
      <c r="LM542" s="210"/>
      <c r="LN542" s="210"/>
      <c r="LO542" s="210"/>
      <c r="LP542" s="210"/>
      <c r="LQ542" s="210"/>
      <c r="LR542" s="210"/>
      <c r="OB542" s="120"/>
      <c r="OI542" s="210"/>
      <c r="OJ542" s="210"/>
      <c r="OK542" s="210"/>
      <c r="OL542" s="210"/>
      <c r="OM542" s="210"/>
      <c r="ON542" s="210"/>
      <c r="OO542" s="210"/>
      <c r="OP542" s="210"/>
      <c r="OQ542" s="210"/>
      <c r="OR542" s="210"/>
      <c r="OS542" s="210"/>
      <c r="OT542" s="210"/>
      <c r="OU542" s="210"/>
      <c r="OV542" s="210"/>
      <c r="OW542" s="210"/>
      <c r="RG542" s="120"/>
    </row>
    <row r="543" spans="1:475" x14ac:dyDescent="0.3">
      <c r="A543" s="7">
        <v>122</v>
      </c>
      <c r="B543" s="7">
        <v>533</v>
      </c>
      <c r="C543" s="7" t="s">
        <v>378</v>
      </c>
      <c r="D543" s="7" t="s">
        <v>703</v>
      </c>
      <c r="E543" s="7" t="s">
        <v>845</v>
      </c>
      <c r="F543" s="7" t="s">
        <v>274</v>
      </c>
      <c r="G543" s="41" t="str">
        <f t="shared" si="91"/>
        <v>X</v>
      </c>
      <c r="H543" s="41">
        <f>INDEX(환산공식!CI$16:CI$301,MATCH('배치점수 계산기'!$W543,환산공식!$A$16:$A$301,0))</f>
        <v>200</v>
      </c>
      <c r="I543" s="41" t="str">
        <f>CONCATENATE(ROUND(INDEX(환산공식!CJ$16:CJ$301,MATCH('배치점수 계산기'!$W543,환산공식!$A$16:$A$301,0)),1),"%")</f>
        <v>100%</v>
      </c>
      <c r="J543" s="41">
        <f>INDEX(환산공식!CK$16:CK$301,MATCH('배치점수 계산기'!$W543,환산공식!$A$16:$A$301,0))</f>
        <v>10</v>
      </c>
      <c r="K543" s="7">
        <f>INDEX(환산공식!$EF$16:$EF$301,MATCH('배치점수 계산기'!W543,환산공식!$A$16:$A$301,0))</f>
        <v>0</v>
      </c>
      <c r="L543" s="41" t="str">
        <f t="shared" si="89"/>
        <v>1% 이하</v>
      </c>
      <c r="M543" s="7">
        <v>1055.9000000000001</v>
      </c>
      <c r="N543" s="7">
        <v>1053.3000000000002</v>
      </c>
      <c r="O543" s="7">
        <v>1051.5</v>
      </c>
      <c r="P543" s="7">
        <v>1050.3</v>
      </c>
      <c r="Q543" s="7">
        <v>1049.1000000000001</v>
      </c>
      <c r="R543" s="7">
        <f t="shared" si="90"/>
        <v>6</v>
      </c>
      <c r="T543" s="7">
        <f>COUNTIF($C$11:C543,C543)</f>
        <v>25</v>
      </c>
      <c r="U543" s="7" t="str">
        <f t="shared" si="92"/>
        <v>다25</v>
      </c>
      <c r="V543" s="7" t="str">
        <f>INDEX(환산공식!$C$16:$C$301,MATCH('배치점수 계산기'!W543,환산공식!$A$16:$A$301,0))</f>
        <v>제주 의약수</v>
      </c>
      <c r="W543" s="7">
        <f t="shared" si="93"/>
        <v>122</v>
      </c>
      <c r="X543" s="7">
        <f t="shared" si="94"/>
        <v>1</v>
      </c>
      <c r="Y543" s="7">
        <f>IFERROR(INDEX(환산공식!Q$16:Q$200,MATCH($A543,환산공식!$A$16:$A$200,0)),"")</f>
        <v>2</v>
      </c>
      <c r="Z543" s="7">
        <f>IFERROR(INDEX(환산공식!R$16:R$200,MATCH($A543,환산공식!$A$16:$A$200,0)),"")</f>
        <v>3</v>
      </c>
      <c r="AA543" s="7">
        <f>IFERROR(INDEX(환산공식!U$16:U$200,MATCH($A543,환산공식!$A$16:$A$200,0)),"")</f>
        <v>3</v>
      </c>
      <c r="AB543" s="7">
        <f t="shared" si="95"/>
        <v>0.25</v>
      </c>
      <c r="AC543" s="7">
        <f t="shared" si="96"/>
        <v>0.375</v>
      </c>
      <c r="AD543" s="7">
        <f t="shared" si="97"/>
        <v>0.375</v>
      </c>
      <c r="AE543" s="7">
        <f>INDEX(환산공식!$AF$16:$AF$301,MATCH('배치점수 계산기'!W543,환산공식!$A$16:$A$301,0))</f>
        <v>2</v>
      </c>
      <c r="AF543" s="7">
        <f>INDEX(환산공식!$AP$16:$AP$301,MATCH('배치점수 계산기'!W543,환산공식!$A$16:$A$301,0))</f>
        <v>2</v>
      </c>
      <c r="AG543" s="7" t="str">
        <f t="shared" si="98"/>
        <v>백분위</v>
      </c>
      <c r="AH543" s="7" t="str">
        <f t="shared" si="99"/>
        <v>백분위</v>
      </c>
      <c r="BO543" s="210"/>
      <c r="BP543" s="210"/>
      <c r="BQ543" s="210"/>
      <c r="BR543" s="210"/>
      <c r="BS543" s="210"/>
      <c r="BT543" s="210"/>
      <c r="BU543" s="210"/>
      <c r="BV543" s="210"/>
      <c r="BW543" s="210"/>
      <c r="BX543" s="210"/>
      <c r="BY543" s="210"/>
      <c r="BZ543" s="210"/>
      <c r="CA543" s="210"/>
      <c r="CB543" s="210"/>
      <c r="CC543" s="210"/>
      <c r="EM543" s="120"/>
      <c r="ET543" s="210"/>
      <c r="EU543" s="210"/>
      <c r="EV543" s="210"/>
      <c r="EW543" s="210"/>
      <c r="EX543" s="210"/>
      <c r="EY543" s="210"/>
      <c r="EZ543" s="210"/>
      <c r="FA543" s="210"/>
      <c r="FB543" s="210"/>
      <c r="FC543" s="210"/>
      <c r="FD543" s="210"/>
      <c r="FE543" s="210"/>
      <c r="FF543" s="210"/>
      <c r="FG543" s="210"/>
      <c r="FH543" s="210"/>
      <c r="HR543" s="120"/>
      <c r="HY543" s="210"/>
      <c r="HZ543" s="210"/>
      <c r="IA543" s="210"/>
      <c r="IB543" s="210"/>
      <c r="IC543" s="210"/>
      <c r="ID543" s="210"/>
      <c r="IE543" s="210"/>
      <c r="IF543" s="210"/>
      <c r="IG543" s="210"/>
      <c r="IH543" s="210"/>
      <c r="II543" s="210"/>
      <c r="IJ543" s="210"/>
      <c r="IK543" s="210"/>
      <c r="IL543" s="210"/>
      <c r="IM543" s="210"/>
      <c r="KW543" s="120"/>
      <c r="LD543" s="210"/>
      <c r="LE543" s="210"/>
      <c r="LF543" s="210"/>
      <c r="LG543" s="210"/>
      <c r="LH543" s="210"/>
      <c r="LI543" s="210"/>
      <c r="LJ543" s="210"/>
      <c r="LK543" s="210"/>
      <c r="LL543" s="210"/>
      <c r="LM543" s="210"/>
      <c r="LN543" s="210"/>
      <c r="LO543" s="210"/>
      <c r="LP543" s="210"/>
      <c r="LQ543" s="210"/>
      <c r="LR543" s="210"/>
      <c r="OB543" s="120"/>
      <c r="OI543" s="210"/>
      <c r="OJ543" s="210"/>
      <c r="OK543" s="210"/>
      <c r="OL543" s="210"/>
      <c r="OM543" s="210"/>
      <c r="ON543" s="210"/>
      <c r="OO543" s="210"/>
      <c r="OP543" s="210"/>
      <c r="OQ543" s="210"/>
      <c r="OR543" s="210"/>
      <c r="OS543" s="210"/>
      <c r="OT543" s="210"/>
      <c r="OU543" s="210"/>
      <c r="OV543" s="210"/>
      <c r="OW543" s="210"/>
      <c r="RG543" s="120"/>
    </row>
    <row r="544" spans="1:475" x14ac:dyDescent="0.3">
      <c r="A544" s="7">
        <v>78</v>
      </c>
      <c r="B544" s="7">
        <v>534</v>
      </c>
      <c r="C544" s="7" t="s">
        <v>378</v>
      </c>
      <c r="D544" s="7" t="s">
        <v>859</v>
      </c>
      <c r="E544" s="7" t="s">
        <v>845</v>
      </c>
      <c r="F544" s="7" t="s">
        <v>274</v>
      </c>
      <c r="G544" s="41" t="str">
        <f t="shared" si="91"/>
        <v>X</v>
      </c>
      <c r="H544" s="41">
        <f>INDEX(환산공식!CI$16:CI$301,MATCH('배치점수 계산기'!$W544,환산공식!$A$16:$A$301,0))</f>
        <v>202.5</v>
      </c>
      <c r="I544" s="41" t="str">
        <f>CONCATENATE(ROUND(INDEX(환산공식!CJ$16:CJ$301,MATCH('배치점수 계산기'!$W544,환산공식!$A$16:$A$301,0)),1),"%")</f>
        <v>100%</v>
      </c>
      <c r="J544" s="41">
        <f>INDEX(환산공식!CK$16:CK$301,MATCH('배치점수 계산기'!$W544,환산공식!$A$16:$A$301,0))</f>
        <v>0</v>
      </c>
      <c r="K544" s="7">
        <f>INDEX(환산공식!$EF$16:$EF$301,MATCH('배치점수 계산기'!W544,환산공식!$A$16:$A$301,0))</f>
        <v>0</v>
      </c>
      <c r="L544" s="41" t="str">
        <f t="shared" si="89"/>
        <v>1% 이하</v>
      </c>
      <c r="M544" s="7">
        <v>691.55000000000007</v>
      </c>
      <c r="N544" s="7">
        <v>689.69999999999982</v>
      </c>
      <c r="O544" s="7">
        <v>687.75</v>
      </c>
      <c r="P544" s="7">
        <v>686</v>
      </c>
      <c r="Q544" s="7">
        <v>684.55</v>
      </c>
      <c r="R544" s="7">
        <f t="shared" si="90"/>
        <v>6</v>
      </c>
      <c r="T544" s="7">
        <f>COUNTIF($C$11:C544,C544)</f>
        <v>26</v>
      </c>
      <c r="U544" s="7" t="str">
        <f t="shared" si="92"/>
        <v>다26</v>
      </c>
      <c r="V544" s="7" t="str">
        <f>INDEX(환산공식!$C$16:$C$301,MATCH('배치점수 계산기'!W544,환산공식!$A$16:$A$301,0))</f>
        <v>고신 의</v>
      </c>
      <c r="W544" s="7">
        <f t="shared" si="93"/>
        <v>78</v>
      </c>
      <c r="X544" s="7">
        <f t="shared" si="94"/>
        <v>1</v>
      </c>
      <c r="Y544" s="7">
        <f>IFERROR(INDEX(환산공식!Q$16:Q$200,MATCH($A544,환산공식!$A$16:$A$200,0)),"")</f>
        <v>1</v>
      </c>
      <c r="Z544" s="7">
        <f>IFERROR(INDEX(환산공식!R$16:R$200,MATCH($A544,환산공식!$A$16:$A$200,0)),"")</f>
        <v>1.5</v>
      </c>
      <c r="AA544" s="7">
        <f>IFERROR(INDEX(환산공식!U$16:U$200,MATCH($A544,환산공식!$A$16:$A$200,0)),"")</f>
        <v>1</v>
      </c>
      <c r="AB544" s="7">
        <f t="shared" si="95"/>
        <v>0.2857142857142857</v>
      </c>
      <c r="AC544" s="7">
        <f t="shared" si="96"/>
        <v>0.42857142857142855</v>
      </c>
      <c r="AD544" s="7">
        <f t="shared" si="97"/>
        <v>0.2857142857142857</v>
      </c>
      <c r="AE544" s="7">
        <f>INDEX(환산공식!$AF$16:$AF$301,MATCH('배치점수 계산기'!W544,환산공식!$A$16:$A$301,0))</f>
        <v>1</v>
      </c>
      <c r="AF544" s="7">
        <f>INDEX(환산공식!$AP$16:$AP$301,MATCH('배치점수 계산기'!W544,환산공식!$A$16:$A$301,0))</f>
        <v>1</v>
      </c>
      <c r="AG544" s="7" t="str">
        <f t="shared" si="98"/>
        <v>표점</v>
      </c>
      <c r="AH544" s="7" t="str">
        <f t="shared" si="99"/>
        <v>표점</v>
      </c>
      <c r="BO544" s="210"/>
      <c r="BP544" s="210"/>
      <c r="BQ544" s="210"/>
      <c r="BR544" s="210"/>
      <c r="BS544" s="210"/>
      <c r="BT544" s="210"/>
      <c r="BU544" s="210"/>
      <c r="BV544" s="210"/>
      <c r="BW544" s="210"/>
      <c r="BX544" s="210"/>
      <c r="BY544" s="210"/>
      <c r="BZ544" s="210"/>
      <c r="CA544" s="210"/>
      <c r="CB544" s="210"/>
      <c r="CC544" s="210"/>
      <c r="EM544" s="120"/>
      <c r="ET544" s="210"/>
      <c r="EU544" s="210"/>
      <c r="EV544" s="210"/>
      <c r="EW544" s="210"/>
      <c r="EX544" s="210"/>
      <c r="EY544" s="210"/>
      <c r="EZ544" s="210"/>
      <c r="FA544" s="210"/>
      <c r="FB544" s="210"/>
      <c r="FC544" s="210"/>
      <c r="FD544" s="210"/>
      <c r="FE544" s="210"/>
      <c r="FF544" s="210"/>
      <c r="FG544" s="210"/>
      <c r="FH544" s="210"/>
      <c r="HR544" s="120"/>
      <c r="HY544" s="210"/>
      <c r="HZ544" s="210"/>
      <c r="IA544" s="210"/>
      <c r="IB544" s="210"/>
      <c r="IC544" s="210"/>
      <c r="ID544" s="210"/>
      <c r="IE544" s="210"/>
      <c r="IF544" s="210"/>
      <c r="IG544" s="210"/>
      <c r="IH544" s="210"/>
      <c r="II544" s="210"/>
      <c r="IJ544" s="210"/>
      <c r="IK544" s="210"/>
      <c r="IL544" s="210"/>
      <c r="IM544" s="210"/>
      <c r="KW544" s="120"/>
      <c r="LD544" s="210"/>
      <c r="LE544" s="210"/>
      <c r="LF544" s="210"/>
      <c r="LG544" s="210"/>
      <c r="LH544" s="210"/>
      <c r="LI544" s="210"/>
      <c r="LJ544" s="210"/>
      <c r="LK544" s="210"/>
      <c r="LL544" s="210"/>
      <c r="LM544" s="210"/>
      <c r="LN544" s="210"/>
      <c r="LO544" s="210"/>
      <c r="LP544" s="210"/>
      <c r="LQ544" s="210"/>
      <c r="LR544" s="210"/>
      <c r="OB544" s="120"/>
      <c r="OI544" s="210"/>
      <c r="OJ544" s="210"/>
      <c r="OK544" s="210"/>
      <c r="OL544" s="210"/>
      <c r="OM544" s="210"/>
      <c r="ON544" s="210"/>
      <c r="OO544" s="210"/>
      <c r="OP544" s="210"/>
      <c r="OQ544" s="210"/>
      <c r="OR544" s="210"/>
      <c r="OS544" s="210"/>
      <c r="OT544" s="210"/>
      <c r="OU544" s="210"/>
      <c r="OV544" s="210"/>
      <c r="OW544" s="210"/>
      <c r="RG544" s="120"/>
    </row>
    <row r="545" spans="1:475" x14ac:dyDescent="0.3">
      <c r="A545" s="7">
        <v>82</v>
      </c>
      <c r="B545" s="7">
        <v>535</v>
      </c>
      <c r="C545" s="7" t="s">
        <v>378</v>
      </c>
      <c r="D545" s="7" t="s">
        <v>713</v>
      </c>
      <c r="E545" s="7" t="s">
        <v>845</v>
      </c>
      <c r="F545" s="7" t="s">
        <v>274</v>
      </c>
      <c r="G545" s="41" t="str">
        <f t="shared" si="91"/>
        <v>X</v>
      </c>
      <c r="H545" s="41">
        <f>INDEX(환산공식!CI$16:CI$301,MATCH('배치점수 계산기'!$W545,환산공식!$A$16:$A$301,0))</f>
        <v>120</v>
      </c>
      <c r="I545" s="41" t="str">
        <f>CONCATENATE(ROUND(INDEX(환산공식!CJ$16:CJ$301,MATCH('배치점수 계산기'!$W545,환산공식!$A$16:$A$301,0)),1),"%")</f>
        <v>100%</v>
      </c>
      <c r="J545" s="41">
        <f>INDEX(환산공식!CK$16:CK$301,MATCH('배치점수 계산기'!$W545,환산공식!$A$16:$A$301,0))</f>
        <v>5</v>
      </c>
      <c r="K545" s="7">
        <f>INDEX(환산공식!$EF$16:$EF$301,MATCH('배치점수 계산기'!W545,환산공식!$A$16:$A$301,0))</f>
        <v>0</v>
      </c>
      <c r="L545" s="41" t="str">
        <f t="shared" si="89"/>
        <v>1% 이하</v>
      </c>
      <c r="M545" s="7">
        <v>570.00193215991033</v>
      </c>
      <c r="N545" s="7">
        <v>569.29653146792839</v>
      </c>
      <c r="O545" s="7">
        <v>567.54573008396483</v>
      </c>
      <c r="P545" s="7">
        <v>565.18222835401025</v>
      </c>
      <c r="Q545" s="7">
        <v>562.65682766202826</v>
      </c>
      <c r="R545" s="7">
        <f t="shared" si="90"/>
        <v>6</v>
      </c>
      <c r="T545" s="7">
        <f>COUNTIF($C$11:C545,C545)</f>
        <v>27</v>
      </c>
      <c r="U545" s="7" t="str">
        <f t="shared" si="92"/>
        <v>다27</v>
      </c>
      <c r="V545" s="7" t="str">
        <f>INDEX(환산공식!$C$16:$C$301,MATCH('배치점수 계산기'!W545,환산공식!$A$16:$A$301,0))</f>
        <v>대가 의</v>
      </c>
      <c r="W545" s="7">
        <f t="shared" si="93"/>
        <v>82</v>
      </c>
      <c r="X545" s="7">
        <f t="shared" si="94"/>
        <v>1</v>
      </c>
      <c r="Y545" s="7">
        <f>IFERROR(INDEX(환산공식!Q$16:Q$200,MATCH($A545,환산공식!$A$16:$A$200,0)),"")</f>
        <v>1</v>
      </c>
      <c r="Z545" s="7">
        <f>IFERROR(INDEX(환산공식!R$16:R$200,MATCH($A545,환산공식!$A$16:$A$200,0)),"")</f>
        <v>1.6</v>
      </c>
      <c r="AA545" s="7">
        <f>IFERROR(INDEX(환산공식!U$16:U$200,MATCH($A545,환산공식!$A$16:$A$200,0)),"")</f>
        <v>1.1267605633802817</v>
      </c>
      <c r="AB545" s="7">
        <f t="shared" si="95"/>
        <v>0.26832955404383979</v>
      </c>
      <c r="AC545" s="7">
        <f t="shared" si="96"/>
        <v>0.42932728647014362</v>
      </c>
      <c r="AD545" s="7">
        <f t="shared" si="97"/>
        <v>0.30234315948601664</v>
      </c>
      <c r="AE545" s="7">
        <f>INDEX(환산공식!$AF$16:$AF$301,MATCH('배치점수 계산기'!W545,환산공식!$A$16:$A$301,0))</f>
        <v>1</v>
      </c>
      <c r="AF545" s="7">
        <f>INDEX(환산공식!$AP$16:$AP$301,MATCH('배치점수 계산기'!W545,환산공식!$A$16:$A$301,0))</f>
        <v>12</v>
      </c>
      <c r="AG545" s="7" t="str">
        <f t="shared" si="98"/>
        <v>표점</v>
      </c>
      <c r="AH545" s="7" t="str">
        <f t="shared" si="99"/>
        <v>표점/만점</v>
      </c>
      <c r="BO545" s="210"/>
      <c r="BP545" s="210"/>
      <c r="BQ545" s="210"/>
      <c r="BR545" s="210"/>
      <c r="BS545" s="210"/>
      <c r="BT545" s="210"/>
      <c r="BU545" s="210"/>
      <c r="BV545" s="210"/>
      <c r="BW545" s="210"/>
      <c r="BX545" s="210"/>
      <c r="BY545" s="210"/>
      <c r="BZ545" s="210"/>
      <c r="CA545" s="210"/>
      <c r="CB545" s="210"/>
      <c r="CC545" s="210"/>
      <c r="EM545" s="120"/>
      <c r="ET545" s="210"/>
      <c r="EU545" s="210"/>
      <c r="EV545" s="210"/>
      <c r="EW545" s="210"/>
      <c r="EX545" s="210"/>
      <c r="EY545" s="210"/>
      <c r="EZ545" s="210"/>
      <c r="FA545" s="210"/>
      <c r="FB545" s="210"/>
      <c r="FC545" s="210"/>
      <c r="FD545" s="210"/>
      <c r="FE545" s="210"/>
      <c r="FF545" s="210"/>
      <c r="FG545" s="210"/>
      <c r="FH545" s="210"/>
      <c r="HR545" s="120"/>
      <c r="HY545" s="210"/>
      <c r="HZ545" s="210"/>
      <c r="IA545" s="210"/>
      <c r="IB545" s="210"/>
      <c r="IC545" s="210"/>
      <c r="ID545" s="210"/>
      <c r="IE545" s="210"/>
      <c r="IF545" s="210"/>
      <c r="IG545" s="210"/>
      <c r="IH545" s="210"/>
      <c r="II545" s="210"/>
      <c r="IJ545" s="210"/>
      <c r="IK545" s="210"/>
      <c r="IL545" s="210"/>
      <c r="IM545" s="210"/>
      <c r="KW545" s="120"/>
      <c r="LD545" s="210"/>
      <c r="LE545" s="210"/>
      <c r="LF545" s="210"/>
      <c r="LG545" s="210"/>
      <c r="LH545" s="210"/>
      <c r="LI545" s="210"/>
      <c r="LJ545" s="210"/>
      <c r="LK545" s="210"/>
      <c r="LL545" s="210"/>
      <c r="LM545" s="210"/>
      <c r="LN545" s="210"/>
      <c r="LO545" s="210"/>
      <c r="LP545" s="210"/>
      <c r="LQ545" s="210"/>
      <c r="LR545" s="210"/>
      <c r="OB545" s="120"/>
      <c r="OI545" s="210"/>
      <c r="OJ545" s="210"/>
      <c r="OK545" s="210"/>
      <c r="OL545" s="210"/>
      <c r="OM545" s="210"/>
      <c r="ON545" s="210"/>
      <c r="OO545" s="210"/>
      <c r="OP545" s="210"/>
      <c r="OQ545" s="210"/>
      <c r="OR545" s="210"/>
      <c r="OS545" s="210"/>
      <c r="OT545" s="210"/>
      <c r="OU545" s="210"/>
      <c r="OV545" s="210"/>
      <c r="OW545" s="210"/>
      <c r="RG545" s="120"/>
    </row>
    <row r="546" spans="1:475" x14ac:dyDescent="0.3">
      <c r="A546" s="7">
        <v>16</v>
      </c>
      <c r="B546" s="7">
        <v>536</v>
      </c>
      <c r="C546" s="7" t="s">
        <v>346</v>
      </c>
      <c r="D546" s="7" t="s">
        <v>681</v>
      </c>
      <c r="E546" s="7" t="s">
        <v>860</v>
      </c>
      <c r="F546" s="7" t="s">
        <v>274</v>
      </c>
      <c r="G546" s="41" t="str">
        <f t="shared" si="91"/>
        <v>X</v>
      </c>
      <c r="H546" s="41">
        <f>INDEX(환산공식!CI$16:CI$301,MATCH('배치점수 계산기'!$W546,환산공식!$A$16:$A$301,0))</f>
        <v>0</v>
      </c>
      <c r="I546" s="41" t="e">
        <f>CONCATENATE(ROUND(INDEX(환산공식!CJ$16:CJ$301,MATCH('배치점수 계산기'!$W546,환산공식!$A$16:$A$301,0)),1),"%")</f>
        <v>#DIV/0!</v>
      </c>
      <c r="J546" s="41">
        <f>INDEX(환산공식!CK$16:CK$301,MATCH('배치점수 계산기'!$W546,환산공식!$A$16:$A$301,0))</f>
        <v>0</v>
      </c>
      <c r="K546" s="7">
        <f>INDEX(환산공식!$EF$16:$EF$301,MATCH('배치점수 계산기'!W546,환산공식!$A$16:$A$301,0))</f>
        <v>0</v>
      </c>
      <c r="L546" s="41" t="str">
        <f t="shared" si="89"/>
        <v>1% 이하</v>
      </c>
      <c r="M546" s="7">
        <v>430.12</v>
      </c>
      <c r="N546" s="7">
        <v>429.6400000000001</v>
      </c>
      <c r="O546" s="7">
        <v>429.3208518605195</v>
      </c>
      <c r="P546" s="7">
        <v>428.15999999999991</v>
      </c>
      <c r="Q546" s="7">
        <v>426.05953795379537</v>
      </c>
      <c r="R546" s="7">
        <f t="shared" si="90"/>
        <v>6</v>
      </c>
      <c r="T546" s="7">
        <f>COUNTIF($C$11:C546,C546)</f>
        <v>221</v>
      </c>
      <c r="U546" s="7" t="str">
        <f t="shared" si="92"/>
        <v>나221</v>
      </c>
      <c r="V546" s="7" t="str">
        <f>INDEX(환산공식!$C$16:$C$301,MATCH('배치점수 계산기'!W546,환산공식!$A$16:$A$301,0))</f>
        <v>서울대 자연</v>
      </c>
      <c r="W546" s="7">
        <f t="shared" si="93"/>
        <v>16</v>
      </c>
      <c r="X546" s="7">
        <f t="shared" si="94"/>
        <v>1</v>
      </c>
      <c r="Y546" s="7">
        <f>IFERROR(INDEX(환산공식!Q$16:Q$200,MATCH($A546,환산공식!$A$16:$A$200,0)),"")</f>
        <v>1</v>
      </c>
      <c r="Z546" s="7">
        <f>IFERROR(INDEX(환산공식!R$16:R$200,MATCH($A546,환산공식!$A$16:$A$200,0)),"")</f>
        <v>1.2</v>
      </c>
      <c r="AA546" s="7">
        <f>IFERROR(INDEX(환산공식!U$16:U$200,MATCH($A546,환산공식!$A$16:$A$200,0)),"")</f>
        <v>0.8</v>
      </c>
      <c r="AB546" s="7">
        <f t="shared" si="95"/>
        <v>0.33333333333333331</v>
      </c>
      <c r="AC546" s="7">
        <f t="shared" si="96"/>
        <v>0.39999999999999997</v>
      </c>
      <c r="AD546" s="7">
        <f t="shared" si="97"/>
        <v>0.26666666666666666</v>
      </c>
      <c r="AE546" s="7">
        <f>INDEX(환산공식!$AF$16:$AF$301,MATCH('배치점수 계산기'!W546,환산공식!$A$16:$A$301,0))</f>
        <v>1</v>
      </c>
      <c r="AF546" s="7">
        <f>INDEX(환산공식!$AP$16:$AP$301,MATCH('배치점수 계산기'!W546,환산공식!$A$16:$A$301,0))</f>
        <v>1</v>
      </c>
      <c r="AG546" s="7" t="str">
        <f t="shared" si="98"/>
        <v>표점</v>
      </c>
      <c r="AH546" s="7" t="str">
        <f t="shared" si="99"/>
        <v>표점</v>
      </c>
      <c r="BO546" s="210"/>
      <c r="BP546" s="210"/>
      <c r="BQ546" s="210"/>
      <c r="BR546" s="210"/>
      <c r="BS546" s="210"/>
      <c r="BT546" s="210"/>
      <c r="BU546" s="210"/>
      <c r="BV546" s="210"/>
      <c r="BW546" s="210"/>
      <c r="BX546" s="210"/>
      <c r="BY546" s="210"/>
      <c r="BZ546" s="210"/>
      <c r="CA546" s="210"/>
      <c r="CB546" s="210"/>
      <c r="CC546" s="210"/>
      <c r="EM546" s="120"/>
      <c r="ET546" s="210"/>
      <c r="EU546" s="210"/>
      <c r="EV546" s="210"/>
      <c r="EW546" s="210"/>
      <c r="EX546" s="210"/>
      <c r="EY546" s="210"/>
      <c r="EZ546" s="210"/>
      <c r="FA546" s="210"/>
      <c r="FB546" s="210"/>
      <c r="FC546" s="210"/>
      <c r="FD546" s="210"/>
      <c r="FE546" s="210"/>
      <c r="FF546" s="210"/>
      <c r="FG546" s="210"/>
      <c r="FH546" s="210"/>
      <c r="HR546" s="120"/>
      <c r="HY546" s="210"/>
      <c r="HZ546" s="210"/>
      <c r="IA546" s="210"/>
      <c r="IB546" s="210"/>
      <c r="IC546" s="210"/>
      <c r="ID546" s="210"/>
      <c r="IE546" s="210"/>
      <c r="IF546" s="210"/>
      <c r="IG546" s="210"/>
      <c r="IH546" s="210"/>
      <c r="II546" s="210"/>
      <c r="IJ546" s="210"/>
      <c r="IK546" s="210"/>
      <c r="IL546" s="210"/>
      <c r="IM546" s="210"/>
      <c r="KW546" s="120"/>
      <c r="LD546" s="210"/>
      <c r="LE546" s="210"/>
      <c r="LF546" s="210"/>
      <c r="LG546" s="210"/>
      <c r="LH546" s="210"/>
      <c r="LI546" s="210"/>
      <c r="LJ546" s="210"/>
      <c r="LK546" s="210"/>
      <c r="LL546" s="210"/>
      <c r="LM546" s="210"/>
      <c r="LN546" s="210"/>
      <c r="LO546" s="210"/>
      <c r="LP546" s="210"/>
      <c r="LQ546" s="210"/>
      <c r="LR546" s="210"/>
      <c r="OB546" s="120"/>
      <c r="OI546" s="210"/>
      <c r="OJ546" s="210"/>
      <c r="OK546" s="210"/>
      <c r="OL546" s="210"/>
      <c r="OM546" s="210"/>
      <c r="ON546" s="210"/>
      <c r="OO546" s="210"/>
      <c r="OP546" s="210"/>
      <c r="OQ546" s="210"/>
      <c r="OR546" s="210"/>
      <c r="OS546" s="210"/>
      <c r="OT546" s="210"/>
      <c r="OU546" s="210"/>
      <c r="OV546" s="210"/>
      <c r="OW546" s="210"/>
      <c r="RG546" s="120"/>
    </row>
    <row r="547" spans="1:475" x14ac:dyDescent="0.3">
      <c r="A547" s="7">
        <v>19</v>
      </c>
      <c r="B547" s="7">
        <v>537</v>
      </c>
      <c r="C547" s="7" t="s">
        <v>276</v>
      </c>
      <c r="D547" s="7" t="s">
        <v>277</v>
      </c>
      <c r="E547" s="7" t="s">
        <v>860</v>
      </c>
      <c r="F547" s="7" t="s">
        <v>274</v>
      </c>
      <c r="G547" s="41" t="str">
        <f t="shared" si="91"/>
        <v>X</v>
      </c>
      <c r="H547" s="41">
        <f>INDEX(환산공식!CI$16:CI$301,MATCH('배치점수 계산기'!$W547,환산공식!$A$16:$A$301,0))</f>
        <v>111.1</v>
      </c>
      <c r="I547" s="41" t="str">
        <f>CONCATENATE(ROUND(INDEX(환산공식!CJ$16:CJ$301,MATCH('배치점수 계산기'!$W547,환산공식!$A$16:$A$301,0)),1),"%")</f>
        <v>100%</v>
      </c>
      <c r="J547" s="41">
        <f>INDEX(환산공식!CK$16:CK$301,MATCH('배치점수 계산기'!$W547,환산공식!$A$16:$A$301,0))</f>
        <v>10</v>
      </c>
      <c r="K547" s="7">
        <f>INDEX(환산공식!$EF$16:$EF$301,MATCH('배치점수 계산기'!W547,환산공식!$A$16:$A$301,0))</f>
        <v>0</v>
      </c>
      <c r="L547" s="41" t="str">
        <f t="shared" si="89"/>
        <v>1% 이하</v>
      </c>
      <c r="M547" s="7">
        <v>755.68520679372477</v>
      </c>
      <c r="N547" s="7">
        <v>752.72222222222217</v>
      </c>
      <c r="O547" s="7">
        <v>751.07410019328211</v>
      </c>
      <c r="P547" s="7">
        <v>750.70366013071884</v>
      </c>
      <c r="Q547" s="7">
        <v>746.7777777777776</v>
      </c>
      <c r="R547" s="7">
        <f t="shared" si="90"/>
        <v>6</v>
      </c>
      <c r="T547" s="7">
        <f>COUNTIF($C$11:C547,C547)</f>
        <v>277</v>
      </c>
      <c r="U547" s="7" t="str">
        <f t="shared" si="92"/>
        <v>가277</v>
      </c>
      <c r="V547" s="7" t="str">
        <f>INDEX(환산공식!$C$16:$C$301,MATCH('배치점수 계산기'!W547,환산공식!$A$16:$A$301,0))</f>
        <v>연세대 자연</v>
      </c>
      <c r="W547" s="7">
        <f t="shared" si="93"/>
        <v>19</v>
      </c>
      <c r="X547" s="7">
        <f t="shared" si="94"/>
        <v>1</v>
      </c>
      <c r="Y547" s="7">
        <f>IFERROR(INDEX(환산공식!Q$16:Q$200,MATCH($A547,환산공식!$A$16:$A$200,0)),"")</f>
        <v>1.1111111111111109</v>
      </c>
      <c r="Z547" s="7">
        <f>IFERROR(INDEX(환산공식!R$16:R$200,MATCH($A547,환산공식!$A$16:$A$200,0)),"")</f>
        <v>1.6666666666666665</v>
      </c>
      <c r="AA547" s="7">
        <f>IFERROR(INDEX(환산공식!U$16:U$200,MATCH($A547,환산공식!$A$16:$A$200,0)),"")</f>
        <v>1.6666666666666665</v>
      </c>
      <c r="AB547" s="7">
        <f t="shared" si="95"/>
        <v>0.24999999999999994</v>
      </c>
      <c r="AC547" s="7">
        <f t="shared" si="96"/>
        <v>0.37499999999999994</v>
      </c>
      <c r="AD547" s="7">
        <f t="shared" si="97"/>
        <v>0.37499999999999994</v>
      </c>
      <c r="AE547" s="7">
        <f>INDEX(환산공식!$AF$16:$AF$301,MATCH('배치점수 계산기'!W547,환산공식!$A$16:$A$301,0))</f>
        <v>1</v>
      </c>
      <c r="AF547" s="7">
        <f>INDEX(환산공식!$AP$16:$AP$301,MATCH('배치점수 계산기'!W547,환산공식!$A$16:$A$301,0))</f>
        <v>1</v>
      </c>
      <c r="AG547" s="7" t="str">
        <f t="shared" si="98"/>
        <v>표점</v>
      </c>
      <c r="AH547" s="7" t="str">
        <f t="shared" si="99"/>
        <v>표점</v>
      </c>
      <c r="BO547" s="210"/>
      <c r="BP547" s="210"/>
      <c r="BQ547" s="210"/>
      <c r="BR547" s="210"/>
      <c r="BS547" s="210"/>
      <c r="BT547" s="210"/>
      <c r="BU547" s="210"/>
      <c r="BV547" s="210"/>
      <c r="BW547" s="210"/>
      <c r="BX547" s="210"/>
      <c r="BY547" s="210"/>
      <c r="BZ547" s="210"/>
      <c r="CA547" s="210"/>
      <c r="CB547" s="210"/>
      <c r="CC547" s="210"/>
      <c r="EM547" s="120"/>
      <c r="ET547" s="210"/>
      <c r="EU547" s="210"/>
      <c r="EV547" s="210"/>
      <c r="EW547" s="210"/>
      <c r="EX547" s="210"/>
      <c r="EY547" s="210"/>
      <c r="EZ547" s="210"/>
      <c r="FA547" s="210"/>
      <c r="FB547" s="210"/>
      <c r="FC547" s="210"/>
      <c r="FD547" s="210"/>
      <c r="FE547" s="210"/>
      <c r="FF547" s="210"/>
      <c r="FG547" s="210"/>
      <c r="FH547" s="210"/>
      <c r="HR547" s="120"/>
      <c r="HY547" s="210"/>
      <c r="HZ547" s="210"/>
      <c r="IA547" s="210"/>
      <c r="IB547" s="210"/>
      <c r="IC547" s="210"/>
      <c r="ID547" s="210"/>
      <c r="IE547" s="210"/>
      <c r="IF547" s="210"/>
      <c r="IG547" s="210"/>
      <c r="IH547" s="210"/>
      <c r="II547" s="210"/>
      <c r="IJ547" s="210"/>
      <c r="IK547" s="210"/>
      <c r="IL547" s="210"/>
      <c r="IM547" s="210"/>
      <c r="KW547" s="120"/>
      <c r="LD547" s="210"/>
      <c r="LE547" s="210"/>
      <c r="LF547" s="210"/>
      <c r="LG547" s="210"/>
      <c r="LH547" s="210"/>
      <c r="LI547" s="210"/>
      <c r="LJ547" s="210"/>
      <c r="LK547" s="210"/>
      <c r="LL547" s="210"/>
      <c r="LM547" s="210"/>
      <c r="LN547" s="210"/>
      <c r="LO547" s="210"/>
      <c r="LP547" s="210"/>
      <c r="LQ547" s="210"/>
      <c r="LR547" s="210"/>
      <c r="OB547" s="120"/>
      <c r="OI547" s="210"/>
      <c r="OJ547" s="210"/>
      <c r="OK547" s="210"/>
      <c r="OL547" s="210"/>
      <c r="OM547" s="210"/>
      <c r="ON547" s="210"/>
      <c r="OO547" s="210"/>
      <c r="OP547" s="210"/>
      <c r="OQ547" s="210"/>
      <c r="OR547" s="210"/>
      <c r="OS547" s="210"/>
      <c r="OT547" s="210"/>
      <c r="OU547" s="210"/>
      <c r="OV547" s="210"/>
      <c r="OW547" s="210"/>
      <c r="RG547" s="120"/>
    </row>
    <row r="548" spans="1:475" x14ac:dyDescent="0.3">
      <c r="A548" s="7">
        <v>33</v>
      </c>
      <c r="B548" s="7">
        <v>538</v>
      </c>
      <c r="C548" s="7" t="s">
        <v>346</v>
      </c>
      <c r="D548" s="7" t="s">
        <v>380</v>
      </c>
      <c r="E548" s="7" t="s">
        <v>860</v>
      </c>
      <c r="F548" s="7" t="s">
        <v>274</v>
      </c>
      <c r="G548" s="41" t="str">
        <f t="shared" si="91"/>
        <v>X</v>
      </c>
      <c r="H548" s="41">
        <f>INDEX(환산공식!CI$16:CI$301,MATCH('배치점수 계산기'!$W548,환산공식!$A$16:$A$301,0))</f>
        <v>120</v>
      </c>
      <c r="I548" s="41" t="str">
        <f>CONCATENATE(ROUND(INDEX(환산공식!CJ$16:CJ$301,MATCH('배치점수 계산기'!$W548,환산공식!$A$16:$A$301,0)),1),"%")</f>
        <v>100%</v>
      </c>
      <c r="J548" s="41">
        <f>INDEX(환산공식!CK$16:CK$301,MATCH('배치점수 계산기'!$W548,환산공식!$A$16:$A$301,0))</f>
        <v>40</v>
      </c>
      <c r="K548" s="7">
        <f>INDEX(환산공식!$EF$16:$EF$301,MATCH('배치점수 계산기'!W548,환산공식!$A$16:$A$301,0))</f>
        <v>0</v>
      </c>
      <c r="L548" s="41" t="str">
        <f t="shared" si="89"/>
        <v>1% 이하</v>
      </c>
      <c r="M548" s="7">
        <v>607.01903586800574</v>
      </c>
      <c r="N548" s="7">
        <v>604.68399999999997</v>
      </c>
      <c r="O548" s="7">
        <v>602.96999999999991</v>
      </c>
      <c r="P548" s="7">
        <v>599.80999999999995</v>
      </c>
      <c r="Q548" s="7">
        <v>597.58000000000004</v>
      </c>
      <c r="R548" s="7">
        <f t="shared" si="90"/>
        <v>6</v>
      </c>
      <c r="T548" s="7">
        <f>COUNTIF($C$11:C548,C548)</f>
        <v>222</v>
      </c>
      <c r="U548" s="7" t="str">
        <f t="shared" si="92"/>
        <v>나222</v>
      </c>
      <c r="V548" s="7" t="str">
        <f>INDEX(환산공식!$C$16:$C$301,MATCH('배치점수 계산기'!W548,환산공식!$A$16:$A$301,0))</f>
        <v>경희 자연</v>
      </c>
      <c r="W548" s="7">
        <f t="shared" si="93"/>
        <v>33</v>
      </c>
      <c r="X548" s="7">
        <f t="shared" si="94"/>
        <v>1</v>
      </c>
      <c r="Y548" s="7">
        <f>IFERROR(INDEX(환산공식!Q$16:Q$200,MATCH($A548,환산공식!$A$16:$A$200,0)),"")</f>
        <v>0.8</v>
      </c>
      <c r="Z548" s="7">
        <f>IFERROR(INDEX(환산공식!R$16:R$200,MATCH($A548,환산공식!$A$16:$A$200,0)),"")</f>
        <v>1.4</v>
      </c>
      <c r="AA548" s="7">
        <f>IFERROR(INDEX(환산공식!U$16:U$200,MATCH($A548,환산공식!$A$16:$A$200,0)),"")</f>
        <v>1</v>
      </c>
      <c r="AB548" s="7">
        <f t="shared" si="95"/>
        <v>0.25</v>
      </c>
      <c r="AC548" s="7">
        <f t="shared" si="96"/>
        <v>0.43749999999999994</v>
      </c>
      <c r="AD548" s="7">
        <f t="shared" si="97"/>
        <v>0.3125</v>
      </c>
      <c r="AE548" s="7">
        <f>INDEX(환산공식!$AF$16:$AF$301,MATCH('배치점수 계산기'!W548,환산공식!$A$16:$A$301,0))</f>
        <v>1</v>
      </c>
      <c r="AF548" s="7">
        <f>INDEX(환산공식!$AP$16:$AP$301,MATCH('배치점수 계산기'!W548,환산공식!$A$16:$A$301,0))</f>
        <v>4</v>
      </c>
      <c r="AG548" s="7" t="str">
        <f t="shared" si="98"/>
        <v>표점</v>
      </c>
      <c r="AH548" s="7" t="str">
        <f t="shared" si="99"/>
        <v>변표</v>
      </c>
      <c r="BO548" s="210"/>
      <c r="BP548" s="210"/>
      <c r="BQ548" s="210"/>
      <c r="BR548" s="210"/>
      <c r="BS548" s="210"/>
      <c r="BT548" s="210"/>
      <c r="BU548" s="210"/>
      <c r="BV548" s="210"/>
      <c r="BW548" s="210"/>
      <c r="BX548" s="210"/>
      <c r="BY548" s="210"/>
      <c r="BZ548" s="210"/>
      <c r="CA548" s="210"/>
      <c r="CB548" s="210"/>
      <c r="CC548" s="210"/>
      <c r="EM548" s="120"/>
      <c r="ET548" s="210"/>
      <c r="EU548" s="210"/>
      <c r="EV548" s="210"/>
      <c r="EW548" s="210"/>
      <c r="EX548" s="210"/>
      <c r="EY548" s="210"/>
      <c r="EZ548" s="210"/>
      <c r="FA548" s="210"/>
      <c r="FB548" s="210"/>
      <c r="FC548" s="210"/>
      <c r="FD548" s="210"/>
      <c r="FE548" s="210"/>
      <c r="FF548" s="210"/>
      <c r="FG548" s="210"/>
      <c r="FH548" s="210"/>
      <c r="HR548" s="120"/>
      <c r="HY548" s="210"/>
      <c r="HZ548" s="210"/>
      <c r="IA548" s="210"/>
      <c r="IB548" s="210"/>
      <c r="IC548" s="210"/>
      <c r="ID548" s="210"/>
      <c r="IE548" s="210"/>
      <c r="IF548" s="210"/>
      <c r="IG548" s="210"/>
      <c r="IH548" s="210"/>
      <c r="II548" s="210"/>
      <c r="IJ548" s="210"/>
      <c r="IK548" s="210"/>
      <c r="IL548" s="210"/>
      <c r="IM548" s="210"/>
      <c r="KW548" s="120"/>
      <c r="LD548" s="210"/>
      <c r="LE548" s="210"/>
      <c r="LF548" s="210"/>
      <c r="LG548" s="210"/>
      <c r="LH548" s="210"/>
      <c r="LI548" s="210"/>
      <c r="LJ548" s="210"/>
      <c r="LK548" s="210"/>
      <c r="LL548" s="210"/>
      <c r="LM548" s="210"/>
      <c r="LN548" s="210"/>
      <c r="LO548" s="210"/>
      <c r="LP548" s="210"/>
      <c r="LQ548" s="210"/>
      <c r="LR548" s="210"/>
      <c r="OB548" s="120"/>
      <c r="OI548" s="210"/>
      <c r="OJ548" s="210"/>
      <c r="OK548" s="210"/>
      <c r="OL548" s="210"/>
      <c r="OM548" s="210"/>
      <c r="ON548" s="210"/>
      <c r="OO548" s="210"/>
      <c r="OP548" s="210"/>
      <c r="OQ548" s="210"/>
      <c r="OR548" s="210"/>
      <c r="OS548" s="210"/>
      <c r="OT548" s="210"/>
      <c r="OU548" s="210"/>
      <c r="OV548" s="210"/>
      <c r="OW548" s="210"/>
      <c r="RG548" s="120"/>
    </row>
    <row r="549" spans="1:475" x14ac:dyDescent="0.3">
      <c r="A549" s="7">
        <v>112</v>
      </c>
      <c r="B549" s="7">
        <v>539</v>
      </c>
      <c r="C549" s="7" t="s">
        <v>346</v>
      </c>
      <c r="D549" s="7" t="s">
        <v>690</v>
      </c>
      <c r="E549" s="7" t="s">
        <v>861</v>
      </c>
      <c r="F549" s="7" t="s">
        <v>275</v>
      </c>
      <c r="G549" s="41" t="str">
        <f t="shared" si="91"/>
        <v>X</v>
      </c>
      <c r="H549" s="41">
        <f>INDEX(환산공식!CI$16:CI$301,MATCH('배치점수 계산기'!$W549,환산공식!$A$16:$A$301,0))</f>
        <v>100</v>
      </c>
      <c r="I549" s="41" t="str">
        <f>CONCATENATE(ROUND(INDEX(환산공식!CJ$16:CJ$301,MATCH('배치점수 계산기'!$W549,환산공식!$A$16:$A$301,0)),1),"%")</f>
        <v>100%</v>
      </c>
      <c r="J549" s="41">
        <f>INDEX(환산공식!CK$16:CK$301,MATCH('배치점수 계산기'!$W549,환산공식!$A$16:$A$301,0))</f>
        <v>5</v>
      </c>
      <c r="K549" s="7">
        <f>INDEX(환산공식!$EF$16:$EF$301,MATCH('배치점수 계산기'!W549,환산공식!$A$16:$A$301,0))</f>
        <v>0</v>
      </c>
      <c r="L549" s="41" t="str">
        <f t="shared" si="89"/>
        <v>1% 이하</v>
      </c>
      <c r="M549" s="7">
        <v>516.5</v>
      </c>
      <c r="N549" s="7">
        <v>513</v>
      </c>
      <c r="O549" s="7">
        <v>510.80000000000007</v>
      </c>
      <c r="P549" s="7">
        <v>506.89999999999986</v>
      </c>
      <c r="Q549" s="7">
        <v>502.9</v>
      </c>
      <c r="R549" s="7">
        <f t="shared" si="90"/>
        <v>6</v>
      </c>
      <c r="T549" s="7">
        <f>COUNTIF($C$11:C549,C549)</f>
        <v>223</v>
      </c>
      <c r="U549" s="7" t="str">
        <f t="shared" si="92"/>
        <v>나223</v>
      </c>
      <c r="V549" s="7" t="str">
        <f>INDEX(환산공식!$C$16:$C$301,MATCH('배치점수 계산기'!W549,환산공식!$A$16:$A$301,0))</f>
        <v>원광 통합 치한</v>
      </c>
      <c r="W549" s="7">
        <f t="shared" si="93"/>
        <v>112</v>
      </c>
      <c r="X549" s="7">
        <f t="shared" si="94"/>
        <v>1</v>
      </c>
      <c r="Y549" s="7">
        <f>IFERROR(INDEX(환산공식!Q$16:Q$200,MATCH($A549,환산공식!$A$16:$A$200,0)),"")</f>
        <v>1</v>
      </c>
      <c r="Z549" s="7">
        <f>IFERROR(INDEX(환산공식!R$16:R$200,MATCH($A549,환산공식!$A$16:$A$200,0)),"")</f>
        <v>1</v>
      </c>
      <c r="AA549" s="7">
        <f>IFERROR(INDEX(환산공식!U$16:U$200,MATCH($A549,환산공식!$A$16:$A$200,0)),"")</f>
        <v>1</v>
      </c>
      <c r="AB549" s="7">
        <f t="shared" si="95"/>
        <v>0.33333333333333331</v>
      </c>
      <c r="AC549" s="7">
        <f t="shared" si="96"/>
        <v>0.33333333333333331</v>
      </c>
      <c r="AD549" s="7">
        <f t="shared" si="97"/>
        <v>0.33333333333333331</v>
      </c>
      <c r="AE549" s="7">
        <f>INDEX(환산공식!$AF$16:$AF$301,MATCH('배치점수 계산기'!W549,환산공식!$A$16:$A$301,0))</f>
        <v>1</v>
      </c>
      <c r="AF549" s="7">
        <f>INDEX(환산공식!$AP$16:$AP$301,MATCH('배치점수 계산기'!W549,환산공식!$A$16:$A$301,0))</f>
        <v>1</v>
      </c>
      <c r="AG549" s="7" t="str">
        <f t="shared" si="98"/>
        <v>표점</v>
      </c>
      <c r="AH549" s="7" t="str">
        <f t="shared" si="99"/>
        <v>표점</v>
      </c>
      <c r="BO549" s="210"/>
      <c r="BP549" s="210"/>
      <c r="BQ549" s="210"/>
      <c r="BR549" s="210"/>
      <c r="BS549" s="210"/>
      <c r="BT549" s="210"/>
      <c r="BU549" s="210"/>
      <c r="BV549" s="210"/>
      <c r="BW549" s="210"/>
      <c r="BX549" s="210"/>
      <c r="BY549" s="210"/>
      <c r="BZ549" s="210"/>
      <c r="CA549" s="210"/>
      <c r="CB549" s="210"/>
      <c r="CC549" s="210"/>
      <c r="EM549" s="120"/>
      <c r="ET549" s="210"/>
      <c r="EU549" s="210"/>
      <c r="EV549" s="210"/>
      <c r="EW549" s="210"/>
      <c r="EX549" s="210"/>
      <c r="EY549" s="210"/>
      <c r="EZ549" s="210"/>
      <c r="FA549" s="210"/>
      <c r="FB549" s="210"/>
      <c r="FC549" s="210"/>
      <c r="FD549" s="210"/>
      <c r="FE549" s="210"/>
      <c r="FF549" s="210"/>
      <c r="FG549" s="210"/>
      <c r="FH549" s="210"/>
      <c r="HR549" s="120"/>
      <c r="HY549" s="210"/>
      <c r="HZ549" s="210"/>
      <c r="IA549" s="210"/>
      <c r="IB549" s="210"/>
      <c r="IC549" s="210"/>
      <c r="ID549" s="210"/>
      <c r="IE549" s="210"/>
      <c r="IF549" s="210"/>
      <c r="IG549" s="210"/>
      <c r="IH549" s="210"/>
      <c r="II549" s="210"/>
      <c r="IJ549" s="210"/>
      <c r="IK549" s="210"/>
      <c r="IL549" s="210"/>
      <c r="IM549" s="210"/>
      <c r="KW549" s="120"/>
      <c r="LD549" s="210"/>
      <c r="LE549" s="210"/>
      <c r="LF549" s="210"/>
      <c r="LG549" s="210"/>
      <c r="LH549" s="210"/>
      <c r="LI549" s="210"/>
      <c r="LJ549" s="210"/>
      <c r="LK549" s="210"/>
      <c r="LL549" s="210"/>
      <c r="LM549" s="210"/>
      <c r="LN549" s="210"/>
      <c r="LO549" s="210"/>
      <c r="LP549" s="210"/>
      <c r="LQ549" s="210"/>
      <c r="LR549" s="210"/>
      <c r="OB549" s="120"/>
      <c r="OI549" s="210"/>
      <c r="OJ549" s="210"/>
      <c r="OK549" s="210"/>
      <c r="OL549" s="210"/>
      <c r="OM549" s="210"/>
      <c r="ON549" s="210"/>
      <c r="OO549" s="210"/>
      <c r="OP549" s="210"/>
      <c r="OQ549" s="210"/>
      <c r="OR549" s="210"/>
      <c r="OS549" s="210"/>
      <c r="OT549" s="210"/>
      <c r="OU549" s="210"/>
      <c r="OV549" s="210"/>
      <c r="OW549" s="210"/>
      <c r="RG549" s="120"/>
    </row>
    <row r="550" spans="1:475" x14ac:dyDescent="0.3">
      <c r="A550" s="7">
        <v>73</v>
      </c>
      <c r="B550" s="7">
        <v>540</v>
      </c>
      <c r="C550" s="7" t="s">
        <v>276</v>
      </c>
      <c r="D550" s="7" t="s">
        <v>706</v>
      </c>
      <c r="E550" s="7" t="s">
        <v>860</v>
      </c>
      <c r="F550" s="7" t="s">
        <v>274</v>
      </c>
      <c r="G550" s="41" t="str">
        <f t="shared" si="91"/>
        <v>X</v>
      </c>
      <c r="H550" s="41">
        <f>INDEX(환산공식!CI$16:CI$301,MATCH('배치점수 계산기'!$W550,환산공식!$A$16:$A$301,0))</f>
        <v>125</v>
      </c>
      <c r="I550" s="41" t="str">
        <f>CONCATENATE(ROUND(INDEX(환산공식!CJ$16:CJ$301,MATCH('배치점수 계산기'!$W550,환산공식!$A$16:$A$301,0)),1),"%")</f>
        <v>100%</v>
      </c>
      <c r="J550" s="41">
        <f>INDEX(환산공식!CK$16:CK$301,MATCH('배치점수 계산기'!$W550,환산공식!$A$16:$A$301,0))</f>
        <v>10</v>
      </c>
      <c r="K550" s="7">
        <f>INDEX(환산공식!$EF$16:$EF$301,MATCH('배치점수 계산기'!W550,환산공식!$A$16:$A$301,0))</f>
        <v>0</v>
      </c>
      <c r="L550" s="41" t="str">
        <f t="shared" si="89"/>
        <v>1% 이하</v>
      </c>
      <c r="M550" s="7">
        <v>739.24999999999989</v>
      </c>
      <c r="N550" s="7">
        <v>738.39419621175318</v>
      </c>
      <c r="O550" s="7">
        <v>735.2</v>
      </c>
      <c r="P550" s="7">
        <v>732.5625</v>
      </c>
      <c r="Q550" s="7">
        <v>731.00592574379152</v>
      </c>
      <c r="R550" s="7">
        <f t="shared" si="90"/>
        <v>6</v>
      </c>
      <c r="T550" s="7">
        <f>COUNTIF($C$11:C550,C550)</f>
        <v>278</v>
      </c>
      <c r="U550" s="7" t="str">
        <f t="shared" si="92"/>
        <v>가278</v>
      </c>
      <c r="V550" s="7" t="str">
        <f>INDEX(환산공식!$C$16:$C$301,MATCH('배치점수 계산기'!W550,환산공식!$A$16:$A$301,0))</f>
        <v>경북 의치약수</v>
      </c>
      <c r="W550" s="7">
        <f t="shared" si="93"/>
        <v>73</v>
      </c>
      <c r="X550" s="7">
        <f t="shared" si="94"/>
        <v>1</v>
      </c>
      <c r="Y550" s="7">
        <f>IFERROR(INDEX(환산공식!Q$16:Q$200,MATCH($A550,환산공식!$A$16:$A$200,0)),"")</f>
        <v>1.25</v>
      </c>
      <c r="Z550" s="7">
        <f>IFERROR(INDEX(환산공식!R$16:R$200,MATCH($A550,환산공식!$A$16:$A$200,0)),"")</f>
        <v>1.875</v>
      </c>
      <c r="AA550" s="7">
        <f>IFERROR(INDEX(환산공식!U$16:U$200,MATCH($A550,환산공식!$A$16:$A$200,0)),"")</f>
        <v>1.25</v>
      </c>
      <c r="AB550" s="7">
        <f t="shared" si="95"/>
        <v>0.2857142857142857</v>
      </c>
      <c r="AC550" s="7">
        <f t="shared" si="96"/>
        <v>0.42857142857142855</v>
      </c>
      <c r="AD550" s="7">
        <f t="shared" si="97"/>
        <v>0.2857142857142857</v>
      </c>
      <c r="AE550" s="7">
        <f>INDEX(환산공식!$AF$16:$AF$301,MATCH('배치점수 계산기'!W550,환산공식!$A$16:$A$301,0))</f>
        <v>1</v>
      </c>
      <c r="AF550" s="7">
        <f>INDEX(환산공식!$AP$16:$AP$301,MATCH('배치점수 계산기'!W550,환산공식!$A$16:$A$301,0))</f>
        <v>4</v>
      </c>
      <c r="AG550" s="7" t="str">
        <f t="shared" si="98"/>
        <v>표점</v>
      </c>
      <c r="AH550" s="7" t="str">
        <f t="shared" si="99"/>
        <v>변표</v>
      </c>
      <c r="BO550" s="210"/>
      <c r="BP550" s="210"/>
      <c r="BQ550" s="210"/>
      <c r="BR550" s="210"/>
      <c r="BS550" s="210"/>
      <c r="BT550" s="210"/>
      <c r="BU550" s="210"/>
      <c r="BV550" s="210"/>
      <c r="BW550" s="210"/>
      <c r="BX550" s="210"/>
      <c r="BY550" s="210"/>
      <c r="BZ550" s="210"/>
      <c r="CA550" s="210"/>
      <c r="CB550" s="210"/>
      <c r="CC550" s="210"/>
      <c r="EM550" s="120"/>
      <c r="ET550" s="210"/>
      <c r="EU550" s="210"/>
      <c r="EV550" s="210"/>
      <c r="EW550" s="210"/>
      <c r="EX550" s="210"/>
      <c r="EY550" s="210"/>
      <c r="EZ550" s="210"/>
      <c r="FA550" s="210"/>
      <c r="FB550" s="210"/>
      <c r="FC550" s="210"/>
      <c r="FD550" s="210"/>
      <c r="FE550" s="210"/>
      <c r="FF550" s="210"/>
      <c r="FG550" s="210"/>
      <c r="FH550" s="210"/>
      <c r="HR550" s="120"/>
      <c r="HY550" s="210"/>
      <c r="HZ550" s="210"/>
      <c r="IA550" s="210"/>
      <c r="IB550" s="210"/>
      <c r="IC550" s="210"/>
      <c r="ID550" s="210"/>
      <c r="IE550" s="210"/>
      <c r="IF550" s="210"/>
      <c r="IG550" s="210"/>
      <c r="IH550" s="210"/>
      <c r="II550" s="210"/>
      <c r="IJ550" s="210"/>
      <c r="IK550" s="210"/>
      <c r="IL550" s="210"/>
      <c r="IM550" s="210"/>
      <c r="KW550" s="120"/>
      <c r="LD550" s="210"/>
      <c r="LE550" s="210"/>
      <c r="LF550" s="210"/>
      <c r="LG550" s="210"/>
      <c r="LH550" s="210"/>
      <c r="LI550" s="210"/>
      <c r="LJ550" s="210"/>
      <c r="LK550" s="210"/>
      <c r="LL550" s="210"/>
      <c r="LM550" s="210"/>
      <c r="LN550" s="210"/>
      <c r="LO550" s="210"/>
      <c r="LP550" s="210"/>
      <c r="LQ550" s="210"/>
      <c r="LR550" s="210"/>
      <c r="OB550" s="120"/>
      <c r="OI550" s="210"/>
      <c r="OJ550" s="210"/>
      <c r="OK550" s="210"/>
      <c r="OL550" s="210"/>
      <c r="OM550" s="210"/>
      <c r="ON550" s="210"/>
      <c r="OO550" s="210"/>
      <c r="OP550" s="210"/>
      <c r="OQ550" s="210"/>
      <c r="OR550" s="210"/>
      <c r="OS550" s="210"/>
      <c r="OT550" s="210"/>
      <c r="OU550" s="210"/>
      <c r="OV550" s="210"/>
      <c r="OW550" s="210"/>
      <c r="RG550" s="120"/>
    </row>
    <row r="551" spans="1:475" x14ac:dyDescent="0.3">
      <c r="A551" s="7">
        <v>96</v>
      </c>
      <c r="B551" s="7">
        <v>541</v>
      </c>
      <c r="C551" s="7" t="s">
        <v>276</v>
      </c>
      <c r="D551" s="7" t="s">
        <v>699</v>
      </c>
      <c r="E551" s="7" t="s">
        <v>860</v>
      </c>
      <c r="F551" s="7" t="s">
        <v>274</v>
      </c>
      <c r="G551" s="41" t="str">
        <f t="shared" si="91"/>
        <v>X</v>
      </c>
      <c r="H551" s="41">
        <f>INDEX(환산공식!CI$16:CI$301,MATCH('배치점수 계산기'!$W551,환산공식!$A$16:$A$301,0))</f>
        <v>200</v>
      </c>
      <c r="I551" s="41" t="str">
        <f>CONCATENATE(ROUND(INDEX(환산공식!CJ$16:CJ$301,MATCH('배치점수 계산기'!$W551,환산공식!$A$16:$A$301,0)),1),"%")</f>
        <v>100%</v>
      </c>
      <c r="J551" s="41">
        <f>INDEX(환산공식!CK$16:CK$301,MATCH('배치점수 계산기'!$W551,환산공식!$A$16:$A$301,0))</f>
        <v>10</v>
      </c>
      <c r="K551" s="7">
        <f>INDEX(환산공식!$EF$16:$EF$301,MATCH('배치점수 계산기'!W551,환산공식!$A$16:$A$301,0))</f>
        <v>0</v>
      </c>
      <c r="L551" s="41" t="str">
        <f t="shared" si="89"/>
        <v>1% 이하</v>
      </c>
      <c r="M551" s="7">
        <v>759.0999999999998</v>
      </c>
      <c r="N551" s="7">
        <v>758.28035696940253</v>
      </c>
      <c r="O551" s="7">
        <v>755.59</v>
      </c>
      <c r="P551" s="7">
        <v>754.15</v>
      </c>
      <c r="Q551" s="7">
        <v>752.14478250184322</v>
      </c>
      <c r="R551" s="7">
        <f t="shared" si="90"/>
        <v>6</v>
      </c>
      <c r="T551" s="7">
        <f>COUNTIF($C$11:C551,C551)</f>
        <v>279</v>
      </c>
      <c r="U551" s="7" t="str">
        <f t="shared" si="92"/>
        <v>가279</v>
      </c>
      <c r="V551" s="7" t="str">
        <f>INDEX(환산공식!$C$16:$C$301,MATCH('배치점수 계산기'!W551,환산공식!$A$16:$A$301,0))</f>
        <v>부산 의치약한</v>
      </c>
      <c r="W551" s="7">
        <f t="shared" si="93"/>
        <v>96</v>
      </c>
      <c r="X551" s="7">
        <f t="shared" si="94"/>
        <v>1</v>
      </c>
      <c r="Y551" s="7">
        <f>IFERROR(INDEX(환산공식!Q$16:Q$200,MATCH($A551,환산공식!$A$16:$A$200,0)),"")</f>
        <v>1</v>
      </c>
      <c r="Z551" s="7">
        <f>IFERROR(INDEX(환산공식!R$16:R$200,MATCH($A551,환산공식!$A$16:$A$200,0)),"")</f>
        <v>1.5</v>
      </c>
      <c r="AA551" s="7">
        <f>IFERROR(INDEX(환산공식!U$16:U$200,MATCH($A551,환산공식!$A$16:$A$200,0)),"")</f>
        <v>1.5</v>
      </c>
      <c r="AB551" s="7">
        <f t="shared" si="95"/>
        <v>0.25</v>
      </c>
      <c r="AC551" s="7">
        <f t="shared" si="96"/>
        <v>0.375</v>
      </c>
      <c r="AD551" s="7">
        <f t="shared" si="97"/>
        <v>0.375</v>
      </c>
      <c r="AE551" s="7">
        <f>INDEX(환산공식!$AF$16:$AF$301,MATCH('배치점수 계산기'!W551,환산공식!$A$16:$A$301,0))</f>
        <v>1</v>
      </c>
      <c r="AF551" s="7">
        <f>INDEX(환산공식!$AP$16:$AP$301,MATCH('배치점수 계산기'!W551,환산공식!$A$16:$A$301,0))</f>
        <v>4</v>
      </c>
      <c r="AG551" s="7" t="str">
        <f t="shared" si="98"/>
        <v>표점</v>
      </c>
      <c r="AH551" s="7" t="str">
        <f t="shared" si="99"/>
        <v>변표</v>
      </c>
      <c r="BO551" s="210"/>
      <c r="BP551" s="210"/>
      <c r="BQ551" s="210"/>
      <c r="BR551" s="210"/>
      <c r="BS551" s="210"/>
      <c r="BT551" s="210"/>
      <c r="BU551" s="210"/>
      <c r="BV551" s="210"/>
      <c r="BW551" s="210"/>
      <c r="BX551" s="210"/>
      <c r="BY551" s="210"/>
      <c r="BZ551" s="210"/>
      <c r="CA551" s="210"/>
      <c r="CB551" s="210"/>
      <c r="CC551" s="210"/>
      <c r="EM551" s="120"/>
      <c r="ET551" s="210"/>
      <c r="EU551" s="210"/>
      <c r="EV551" s="210"/>
      <c r="EW551" s="210"/>
      <c r="EX551" s="210"/>
      <c r="EY551" s="210"/>
      <c r="EZ551" s="210"/>
      <c r="FA551" s="210"/>
      <c r="FB551" s="210"/>
      <c r="FC551" s="210"/>
      <c r="FD551" s="210"/>
      <c r="FE551" s="210"/>
      <c r="FF551" s="210"/>
      <c r="FG551" s="210"/>
      <c r="FH551" s="210"/>
      <c r="HR551" s="120"/>
      <c r="HY551" s="210"/>
      <c r="HZ551" s="210"/>
      <c r="IA551" s="210"/>
      <c r="IB551" s="210"/>
      <c r="IC551" s="210"/>
      <c r="ID551" s="210"/>
      <c r="IE551" s="210"/>
      <c r="IF551" s="210"/>
      <c r="IG551" s="210"/>
      <c r="IH551" s="210"/>
      <c r="II551" s="210"/>
      <c r="IJ551" s="210"/>
      <c r="IK551" s="210"/>
      <c r="IL551" s="210"/>
      <c r="IM551" s="210"/>
      <c r="KW551" s="120"/>
      <c r="LD551" s="210"/>
      <c r="LE551" s="210"/>
      <c r="LF551" s="210"/>
      <c r="LG551" s="210"/>
      <c r="LH551" s="210"/>
      <c r="LI551" s="210"/>
      <c r="LJ551" s="210"/>
      <c r="LK551" s="210"/>
      <c r="LL551" s="210"/>
      <c r="LM551" s="210"/>
      <c r="LN551" s="210"/>
      <c r="LO551" s="210"/>
      <c r="LP551" s="210"/>
      <c r="LQ551" s="210"/>
      <c r="LR551" s="210"/>
      <c r="OB551" s="120"/>
      <c r="OI551" s="210"/>
      <c r="OJ551" s="210"/>
      <c r="OK551" s="210"/>
      <c r="OL551" s="210"/>
      <c r="OM551" s="210"/>
      <c r="ON551" s="210"/>
      <c r="OO551" s="210"/>
      <c r="OP551" s="210"/>
      <c r="OQ551" s="210"/>
      <c r="OR551" s="210"/>
      <c r="OS551" s="210"/>
      <c r="OT551" s="210"/>
      <c r="OU551" s="210"/>
      <c r="OV551" s="210"/>
      <c r="OW551" s="210"/>
      <c r="RG551" s="120"/>
    </row>
    <row r="552" spans="1:475" x14ac:dyDescent="0.3">
      <c r="A552" s="7">
        <v>111</v>
      </c>
      <c r="B552" s="7">
        <v>542</v>
      </c>
      <c r="C552" s="7" t="s">
        <v>346</v>
      </c>
      <c r="D552" s="7" t="s">
        <v>690</v>
      </c>
      <c r="E552" s="7" t="s">
        <v>860</v>
      </c>
      <c r="F552" s="7" t="s">
        <v>274</v>
      </c>
      <c r="G552" s="41" t="str">
        <f t="shared" si="91"/>
        <v>X</v>
      </c>
      <c r="H552" s="41">
        <f>INDEX(환산공식!CI$16:CI$301,MATCH('배치점수 계산기'!$W552,환산공식!$A$16:$A$301,0))</f>
        <v>100</v>
      </c>
      <c r="I552" s="41" t="str">
        <f>CONCATENATE(ROUND(INDEX(환산공식!CJ$16:CJ$301,MATCH('배치점수 계산기'!$W552,환산공식!$A$16:$A$301,0)),1),"%")</f>
        <v>100%</v>
      </c>
      <c r="J552" s="41">
        <f>INDEX(환산공식!CK$16:CK$301,MATCH('배치점수 계산기'!$W552,환산공식!$A$16:$A$301,0))</f>
        <v>5</v>
      </c>
      <c r="K552" s="7">
        <f>INDEX(환산공식!$EF$16:$EF$301,MATCH('배치점수 계산기'!W552,환산공식!$A$16:$A$301,0))</f>
        <v>0</v>
      </c>
      <c r="L552" s="41" t="str">
        <f t="shared" si="89"/>
        <v>1% 이하</v>
      </c>
      <c r="M552" s="7">
        <v>515.79999999999995</v>
      </c>
      <c r="N552" s="7">
        <v>514.70000000000005</v>
      </c>
      <c r="O552" s="7">
        <v>513.59999999999991</v>
      </c>
      <c r="P552" s="7">
        <v>512.30000000000018</v>
      </c>
      <c r="Q552" s="7">
        <v>511.59999999999991</v>
      </c>
      <c r="R552" s="7">
        <f t="shared" si="90"/>
        <v>6</v>
      </c>
      <c r="T552" s="7">
        <f>COUNTIF($C$11:C552,C552)</f>
        <v>224</v>
      </c>
      <c r="U552" s="7" t="str">
        <f t="shared" si="92"/>
        <v>나224</v>
      </c>
      <c r="V552" s="7" t="str">
        <f>INDEX(환산공식!$C$16:$C$301,MATCH('배치점수 계산기'!W552,환산공식!$A$16:$A$301,0))</f>
        <v>원광 의치약한</v>
      </c>
      <c r="W552" s="7">
        <f t="shared" si="93"/>
        <v>111</v>
      </c>
      <c r="X552" s="7">
        <f t="shared" si="94"/>
        <v>1</v>
      </c>
      <c r="Y552" s="7">
        <f>IFERROR(INDEX(환산공식!Q$16:Q$200,MATCH($A552,환산공식!$A$16:$A$200,0)),"")</f>
        <v>1</v>
      </c>
      <c r="Z552" s="7">
        <f>IFERROR(INDEX(환산공식!R$16:R$200,MATCH($A552,환산공식!$A$16:$A$200,0)),"")</f>
        <v>1</v>
      </c>
      <c r="AA552" s="7">
        <f>IFERROR(INDEX(환산공식!U$16:U$200,MATCH($A552,환산공식!$A$16:$A$200,0)),"")</f>
        <v>1</v>
      </c>
      <c r="AB552" s="7">
        <f t="shared" si="95"/>
        <v>0.33333333333333331</v>
      </c>
      <c r="AC552" s="7">
        <f t="shared" si="96"/>
        <v>0.33333333333333331</v>
      </c>
      <c r="AD552" s="7">
        <f t="shared" si="97"/>
        <v>0.33333333333333331</v>
      </c>
      <c r="AE552" s="7">
        <f>INDEX(환산공식!$AF$16:$AF$301,MATCH('배치점수 계산기'!W552,환산공식!$A$16:$A$301,0))</f>
        <v>1</v>
      </c>
      <c r="AF552" s="7">
        <f>INDEX(환산공식!$AP$16:$AP$301,MATCH('배치점수 계산기'!W552,환산공식!$A$16:$A$301,0))</f>
        <v>1</v>
      </c>
      <c r="AG552" s="7" t="str">
        <f t="shared" si="98"/>
        <v>표점</v>
      </c>
      <c r="AH552" s="7" t="str">
        <f t="shared" si="99"/>
        <v>표점</v>
      </c>
      <c r="BO552" s="210"/>
      <c r="BP552" s="210"/>
      <c r="BQ552" s="210"/>
      <c r="BR552" s="210"/>
      <c r="BS552" s="210"/>
      <c r="BT552" s="210"/>
      <c r="BU552" s="210"/>
      <c r="BV552" s="210"/>
      <c r="BW552" s="210"/>
      <c r="BX552" s="210"/>
      <c r="BY552" s="210"/>
      <c r="BZ552" s="210"/>
      <c r="CA552" s="210"/>
      <c r="CB552" s="210"/>
      <c r="CC552" s="210"/>
      <c r="EM552" s="120"/>
      <c r="ET552" s="210"/>
      <c r="EU552" s="210"/>
      <c r="EV552" s="210"/>
      <c r="EW552" s="210"/>
      <c r="EX552" s="210"/>
      <c r="EY552" s="210"/>
      <c r="EZ552" s="210"/>
      <c r="FA552" s="210"/>
      <c r="FB552" s="210"/>
      <c r="FC552" s="210"/>
      <c r="FD552" s="210"/>
      <c r="FE552" s="210"/>
      <c r="FF552" s="210"/>
      <c r="FG552" s="210"/>
      <c r="FH552" s="210"/>
      <c r="HR552" s="120"/>
      <c r="HY552" s="210"/>
      <c r="HZ552" s="210"/>
      <c r="IA552" s="210"/>
      <c r="IB552" s="210"/>
      <c r="IC552" s="210"/>
      <c r="ID552" s="210"/>
      <c r="IE552" s="210"/>
      <c r="IF552" s="210"/>
      <c r="IG552" s="210"/>
      <c r="IH552" s="210"/>
      <c r="II552" s="210"/>
      <c r="IJ552" s="210"/>
      <c r="IK552" s="210"/>
      <c r="IL552" s="210"/>
      <c r="IM552" s="210"/>
      <c r="KW552" s="120"/>
      <c r="LD552" s="210"/>
      <c r="LE552" s="210"/>
      <c r="LF552" s="210"/>
      <c r="LG552" s="210"/>
      <c r="LH552" s="210"/>
      <c r="LI552" s="210"/>
      <c r="LJ552" s="210"/>
      <c r="LK552" s="210"/>
      <c r="LL552" s="210"/>
      <c r="LM552" s="210"/>
      <c r="LN552" s="210"/>
      <c r="LO552" s="210"/>
      <c r="LP552" s="210"/>
      <c r="LQ552" s="210"/>
      <c r="LR552" s="210"/>
      <c r="OB552" s="120"/>
      <c r="OI552" s="210"/>
      <c r="OJ552" s="210"/>
      <c r="OK552" s="210"/>
      <c r="OL552" s="210"/>
      <c r="OM552" s="210"/>
      <c r="ON552" s="210"/>
      <c r="OO552" s="210"/>
      <c r="OP552" s="210"/>
      <c r="OQ552" s="210"/>
      <c r="OR552" s="210"/>
      <c r="OS552" s="210"/>
      <c r="OT552" s="210"/>
      <c r="OU552" s="210"/>
      <c r="OV552" s="210"/>
      <c r="OW552" s="210"/>
      <c r="RG552" s="120"/>
    </row>
    <row r="553" spans="1:475" x14ac:dyDescent="0.3">
      <c r="A553" s="7">
        <v>69</v>
      </c>
      <c r="B553" s="7">
        <v>543</v>
      </c>
      <c r="C553" s="7" t="s">
        <v>378</v>
      </c>
      <c r="D553" s="7" t="s">
        <v>862</v>
      </c>
      <c r="E553" s="7" t="s">
        <v>860</v>
      </c>
      <c r="F553" s="7" t="s">
        <v>274</v>
      </c>
      <c r="G553" s="41" t="str">
        <f t="shared" si="91"/>
        <v>X</v>
      </c>
      <c r="H553" s="41">
        <f>INDEX(환산공식!CI$16:CI$301,MATCH('배치점수 계산기'!$W553,환산공식!$A$16:$A$301,0))</f>
        <v>200</v>
      </c>
      <c r="I553" s="41" t="str">
        <f>CONCATENATE(ROUND(INDEX(환산공식!CJ$16:CJ$301,MATCH('배치점수 계산기'!$W553,환산공식!$A$16:$A$301,0)),1),"%")</f>
        <v>100%</v>
      </c>
      <c r="J553" s="41">
        <f>INDEX(환산공식!CK$16:CK$301,MATCH('배치점수 계산기'!$W553,환산공식!$A$16:$A$301,0))</f>
        <v>50</v>
      </c>
      <c r="K553" s="7">
        <f>INDEX(환산공식!$EF$16:$EF$301,MATCH('배치점수 계산기'!W553,환산공식!$A$16:$A$301,0))</f>
        <v>0</v>
      </c>
      <c r="L553" s="41" t="str">
        <f t="shared" si="89"/>
        <v>1% 이하</v>
      </c>
      <c r="M553" s="7">
        <v>982.3</v>
      </c>
      <c r="N553" s="7">
        <v>980.5</v>
      </c>
      <c r="O553" s="7">
        <v>979.40000000000009</v>
      </c>
      <c r="P553" s="7">
        <v>978.05</v>
      </c>
      <c r="Q553" s="7">
        <v>976.55000000000007</v>
      </c>
      <c r="R553" s="7">
        <f t="shared" si="90"/>
        <v>6</v>
      </c>
      <c r="T553" s="7">
        <f>COUNTIF($C$11:C553,C553)</f>
        <v>28</v>
      </c>
      <c r="U553" s="7" t="str">
        <f t="shared" si="92"/>
        <v>다28</v>
      </c>
      <c r="V553" s="7" t="str">
        <f>INDEX(환산공식!$C$16:$C$301,MATCH('배치점수 계산기'!W553,환산공식!$A$16:$A$301,0))</f>
        <v>강릉 치</v>
      </c>
      <c r="W553" s="7">
        <f t="shared" si="93"/>
        <v>69</v>
      </c>
      <c r="X553" s="7">
        <f t="shared" si="94"/>
        <v>1</v>
      </c>
      <c r="Y553" s="7">
        <f>IFERROR(INDEX(환산공식!Q$16:Q$200,MATCH($A553,환산공식!$A$16:$A$200,0)),"")</f>
        <v>2</v>
      </c>
      <c r="Z553" s="7">
        <f>IFERROR(INDEX(환산공식!R$16:R$200,MATCH($A553,환산공식!$A$16:$A$200,0)),"")</f>
        <v>2.5</v>
      </c>
      <c r="AA553" s="7">
        <f>IFERROR(INDEX(환산공식!U$16:U$200,MATCH($A553,환산공식!$A$16:$A$200,0)),"")</f>
        <v>3</v>
      </c>
      <c r="AB553" s="7">
        <f t="shared" si="95"/>
        <v>0.26666666666666666</v>
      </c>
      <c r="AC553" s="7">
        <f t="shared" si="96"/>
        <v>0.33333333333333331</v>
      </c>
      <c r="AD553" s="7">
        <f t="shared" si="97"/>
        <v>0.4</v>
      </c>
      <c r="AE553" s="7">
        <f>INDEX(환산공식!$AF$16:$AF$301,MATCH('배치점수 계산기'!W553,환산공식!$A$16:$A$301,0))</f>
        <v>2</v>
      </c>
      <c r="AF553" s="7">
        <f>INDEX(환산공식!$AP$16:$AP$301,MATCH('배치점수 계산기'!W553,환산공식!$A$16:$A$301,0))</f>
        <v>2</v>
      </c>
      <c r="AG553" s="7" t="str">
        <f t="shared" si="98"/>
        <v>백분위</v>
      </c>
      <c r="AH553" s="7" t="str">
        <f t="shared" si="99"/>
        <v>백분위</v>
      </c>
      <c r="BO553" s="210"/>
      <c r="BP553" s="210"/>
      <c r="BQ553" s="210"/>
      <c r="BR553" s="210"/>
      <c r="BS553" s="210"/>
      <c r="BT553" s="210"/>
      <c r="BU553" s="210"/>
      <c r="BV553" s="210"/>
      <c r="BW553" s="210"/>
      <c r="BX553" s="210"/>
      <c r="BY553" s="210"/>
      <c r="BZ553" s="210"/>
      <c r="CA553" s="210"/>
      <c r="CB553" s="210"/>
      <c r="CC553" s="210"/>
      <c r="EM553" s="120"/>
      <c r="ET553" s="210"/>
      <c r="EU553" s="210"/>
      <c r="EV553" s="210"/>
      <c r="EW553" s="210"/>
      <c r="EX553" s="210"/>
      <c r="EY553" s="210"/>
      <c r="EZ553" s="210"/>
      <c r="FA553" s="210"/>
      <c r="FB553" s="210"/>
      <c r="FC553" s="210"/>
      <c r="FD553" s="210"/>
      <c r="FE553" s="210"/>
      <c r="FF553" s="210"/>
      <c r="FG553" s="210"/>
      <c r="FH553" s="210"/>
      <c r="HR553" s="120"/>
      <c r="HY553" s="210"/>
      <c r="HZ553" s="210"/>
      <c r="IA553" s="210"/>
      <c r="IB553" s="210"/>
      <c r="IC553" s="210"/>
      <c r="ID553" s="210"/>
      <c r="IE553" s="210"/>
      <c r="IF553" s="210"/>
      <c r="IG553" s="210"/>
      <c r="IH553" s="210"/>
      <c r="II553" s="210"/>
      <c r="IJ553" s="210"/>
      <c r="IK553" s="210"/>
      <c r="IL553" s="210"/>
      <c r="IM553" s="210"/>
      <c r="KW553" s="120"/>
      <c r="LD553" s="210"/>
      <c r="LE553" s="210"/>
      <c r="LF553" s="210"/>
      <c r="LG553" s="210"/>
      <c r="LH553" s="210"/>
      <c r="LI553" s="210"/>
      <c r="LJ553" s="210"/>
      <c r="LK553" s="210"/>
      <c r="LL553" s="210"/>
      <c r="LM553" s="210"/>
      <c r="LN553" s="210"/>
      <c r="LO553" s="210"/>
      <c r="LP553" s="210"/>
      <c r="LQ553" s="210"/>
      <c r="LR553" s="210"/>
      <c r="OB553" s="120"/>
      <c r="OI553" s="210"/>
      <c r="OJ553" s="210"/>
      <c r="OK553" s="210"/>
      <c r="OL553" s="210"/>
      <c r="OM553" s="210"/>
      <c r="ON553" s="210"/>
      <c r="OO553" s="210"/>
      <c r="OP553" s="210"/>
      <c r="OQ553" s="210"/>
      <c r="OR553" s="210"/>
      <c r="OS553" s="210"/>
      <c r="OT553" s="210"/>
      <c r="OU553" s="210"/>
      <c r="OV553" s="210"/>
      <c r="OW553" s="210"/>
      <c r="RG553" s="120"/>
    </row>
    <row r="554" spans="1:475" x14ac:dyDescent="0.3">
      <c r="A554" s="7">
        <v>80</v>
      </c>
      <c r="B554" s="7">
        <v>544</v>
      </c>
      <c r="C554" s="7" t="s">
        <v>346</v>
      </c>
      <c r="D554" s="7" t="s">
        <v>858</v>
      </c>
      <c r="E554" s="7" t="s">
        <v>860</v>
      </c>
      <c r="F554" s="7" t="s">
        <v>274</v>
      </c>
      <c r="G554" s="41" t="str">
        <f t="shared" si="91"/>
        <v>X</v>
      </c>
      <c r="H554" s="41">
        <f>INDEX(환산공식!CI$16:CI$301,MATCH('배치점수 계산기'!$W554,환산공식!$A$16:$A$301,0))</f>
        <v>150</v>
      </c>
      <c r="I554" s="41" t="str">
        <f>CONCATENATE(ROUND(INDEX(환산공식!CJ$16:CJ$301,MATCH('배치점수 계산기'!$W554,환산공식!$A$16:$A$301,0)),1),"%")</f>
        <v>100%</v>
      </c>
      <c r="J554" s="41">
        <f>INDEX(환산공식!CK$16:CK$301,MATCH('배치점수 계산기'!$W554,환산공식!$A$16:$A$301,0))</f>
        <v>5</v>
      </c>
      <c r="K554" s="7">
        <f>INDEX(환산공식!$EF$16:$EF$301,MATCH('배치점수 계산기'!W554,환산공식!$A$16:$A$301,0))</f>
        <v>0</v>
      </c>
      <c r="L554" s="41" t="str">
        <f t="shared" si="89"/>
        <v>1% 이하</v>
      </c>
      <c r="M554" s="7">
        <v>953.80960264900659</v>
      </c>
      <c r="N554" s="7">
        <v>949.73193440030332</v>
      </c>
      <c r="O554" s="7">
        <v>948.03863134657831</v>
      </c>
      <c r="P554" s="7">
        <v>947.14128035320095</v>
      </c>
      <c r="Q554" s="7">
        <v>945.70649778462416</v>
      </c>
      <c r="R554" s="7">
        <f t="shared" si="90"/>
        <v>6</v>
      </c>
      <c r="T554" s="7">
        <f>COUNTIF($C$11:C554,C554)</f>
        <v>225</v>
      </c>
      <c r="U554" s="7" t="str">
        <f t="shared" si="92"/>
        <v>나225</v>
      </c>
      <c r="V554" s="7" t="str">
        <f>INDEX(환산공식!$C$16:$C$301,MATCH('배치점수 계산기'!W554,환산공식!$A$16:$A$301,0))</f>
        <v>단국 의치약</v>
      </c>
      <c r="W554" s="7">
        <f t="shared" si="93"/>
        <v>80</v>
      </c>
      <c r="X554" s="7">
        <f t="shared" si="94"/>
        <v>1</v>
      </c>
      <c r="Y554" s="7">
        <f>IFERROR(INDEX(환산공식!Q$16:Q$200,MATCH($A554,환산공식!$A$16:$A$200,0)),"")</f>
        <v>1.3422818791946309</v>
      </c>
      <c r="Z554" s="7">
        <f>IFERROR(INDEX(환산공식!R$16:R$200,MATCH($A554,환산공식!$A$16:$A$200,0)),"")</f>
        <v>2.7210884353741496</v>
      </c>
      <c r="AA554" s="7">
        <f>IFERROR(INDEX(환산공식!U$16:U$200,MATCH($A554,환산공식!$A$16:$A$200,0)),"")</f>
        <v>2.5</v>
      </c>
      <c r="AB554" s="7">
        <f t="shared" si="95"/>
        <v>0.20451106898770499</v>
      </c>
      <c r="AC554" s="7">
        <f t="shared" si="96"/>
        <v>0.41458706502269443</v>
      </c>
      <c r="AD554" s="7">
        <f t="shared" si="97"/>
        <v>0.38090186598960052</v>
      </c>
      <c r="AE554" s="7">
        <f>INDEX(환산공식!$AF$16:$AF$301,MATCH('배치점수 계산기'!W554,환산공식!$A$16:$A$301,0))</f>
        <v>12</v>
      </c>
      <c r="AF554" s="7">
        <f>INDEX(환산공식!$AP$16:$AP$301,MATCH('배치점수 계산기'!W554,환산공식!$A$16:$A$301,0))</f>
        <v>2</v>
      </c>
      <c r="AG554" s="7" t="str">
        <f t="shared" si="98"/>
        <v>표점/만점</v>
      </c>
      <c r="AH554" s="7" t="str">
        <f t="shared" si="99"/>
        <v>백분위</v>
      </c>
      <c r="BO554" s="210"/>
      <c r="BP554" s="210"/>
      <c r="BQ554" s="210"/>
      <c r="BR554" s="210"/>
      <c r="BS554" s="210"/>
      <c r="BT554" s="210"/>
      <c r="BU554" s="210"/>
      <c r="BV554" s="210"/>
      <c r="BW554" s="210"/>
      <c r="BX554" s="210"/>
      <c r="BY554" s="210"/>
      <c r="BZ554" s="210"/>
      <c r="CA554" s="210"/>
      <c r="CB554" s="210"/>
      <c r="CC554" s="210"/>
      <c r="EM554" s="120"/>
      <c r="ET554" s="210"/>
      <c r="EU554" s="210"/>
      <c r="EV554" s="210"/>
      <c r="EW554" s="210"/>
      <c r="EX554" s="210"/>
      <c r="EY554" s="210"/>
      <c r="EZ554" s="210"/>
      <c r="FA554" s="210"/>
      <c r="FB554" s="210"/>
      <c r="FC554" s="210"/>
      <c r="FD554" s="210"/>
      <c r="FE554" s="210"/>
      <c r="FF554" s="210"/>
      <c r="FG554" s="210"/>
      <c r="FH554" s="210"/>
      <c r="HR554" s="120"/>
      <c r="HY554" s="210"/>
      <c r="HZ554" s="210"/>
      <c r="IA554" s="210"/>
      <c r="IB554" s="210"/>
      <c r="IC554" s="210"/>
      <c r="ID554" s="210"/>
      <c r="IE554" s="210"/>
      <c r="IF554" s="210"/>
      <c r="IG554" s="210"/>
      <c r="IH554" s="210"/>
      <c r="II554" s="210"/>
      <c r="IJ554" s="210"/>
      <c r="IK554" s="210"/>
      <c r="IL554" s="210"/>
      <c r="IM554" s="210"/>
      <c r="KW554" s="120"/>
      <c r="LD554" s="210"/>
      <c r="LE554" s="210"/>
      <c r="LF554" s="210"/>
      <c r="LG554" s="210"/>
      <c r="LH554" s="210"/>
      <c r="LI554" s="210"/>
      <c r="LJ554" s="210"/>
      <c r="LK554" s="210"/>
      <c r="LL554" s="210"/>
      <c r="LM554" s="210"/>
      <c r="LN554" s="210"/>
      <c r="LO554" s="210"/>
      <c r="LP554" s="210"/>
      <c r="LQ554" s="210"/>
      <c r="LR554" s="210"/>
      <c r="OB554" s="120"/>
      <c r="OI554" s="210"/>
      <c r="OJ554" s="210"/>
      <c r="OK554" s="210"/>
      <c r="OL554" s="210"/>
      <c r="OM554" s="210"/>
      <c r="ON554" s="210"/>
      <c r="OO554" s="210"/>
      <c r="OP554" s="210"/>
      <c r="OQ554" s="210"/>
      <c r="OR554" s="210"/>
      <c r="OS554" s="210"/>
      <c r="OT554" s="210"/>
      <c r="OU554" s="210"/>
      <c r="OV554" s="210"/>
      <c r="OW554" s="210"/>
      <c r="RG554" s="120"/>
    </row>
    <row r="555" spans="1:475" x14ac:dyDescent="0.3">
      <c r="A555" s="7">
        <v>121</v>
      </c>
      <c r="B555" s="7">
        <v>545</v>
      </c>
      <c r="C555" s="7" t="s">
        <v>276</v>
      </c>
      <c r="D555" s="7" t="s">
        <v>701</v>
      </c>
      <c r="E555" s="7" t="s">
        <v>860</v>
      </c>
      <c r="F555" s="7" t="s">
        <v>274</v>
      </c>
      <c r="G555" s="41" t="str">
        <f t="shared" si="91"/>
        <v>X</v>
      </c>
      <c r="H555" s="41">
        <f>INDEX(환산공식!CI$16:CI$301,MATCH('배치점수 계산기'!$W555,환산공식!$A$16:$A$301,0))</f>
        <v>30</v>
      </c>
      <c r="I555" s="41" t="str">
        <f>CONCATENATE(ROUND(INDEX(환산공식!CJ$16:CJ$301,MATCH('배치점수 계산기'!$W555,환산공식!$A$16:$A$301,0)),1),"%")</f>
        <v>100%</v>
      </c>
      <c r="J555" s="41">
        <f>INDEX(환산공식!CK$16:CK$301,MATCH('배치점수 계산기'!$W555,환산공식!$A$16:$A$301,0))</f>
        <v>5</v>
      </c>
      <c r="K555" s="7">
        <f>INDEX(환산공식!$EF$16:$EF$301,MATCH('배치점수 계산기'!W555,환산공식!$A$16:$A$301,0))</f>
        <v>0</v>
      </c>
      <c r="L555" s="41" t="str">
        <f t="shared" si="89"/>
        <v>1% 이하</v>
      </c>
      <c r="M555" s="7">
        <v>378.23749999999995</v>
      </c>
      <c r="N555" s="7">
        <v>376.52540249571814</v>
      </c>
      <c r="O555" s="7">
        <v>375.85</v>
      </c>
      <c r="P555" s="7">
        <v>375.08042762349476</v>
      </c>
      <c r="Q555" s="7">
        <v>374.33750000000009</v>
      </c>
      <c r="R555" s="7">
        <f t="shared" si="90"/>
        <v>6</v>
      </c>
      <c r="T555" s="7">
        <f>COUNTIF($C$11:C555,C555)</f>
        <v>280</v>
      </c>
      <c r="U555" s="7" t="str">
        <f t="shared" si="92"/>
        <v>가280</v>
      </c>
      <c r="V555" s="7" t="str">
        <f>INDEX(환산공식!$C$16:$C$301,MATCH('배치점수 계산기'!W555,환산공식!$A$16:$A$301,0))</f>
        <v>전북 의치약수</v>
      </c>
      <c r="W555" s="7">
        <f t="shared" si="93"/>
        <v>121</v>
      </c>
      <c r="X555" s="7">
        <f t="shared" si="94"/>
        <v>1</v>
      </c>
      <c r="Y555" s="7">
        <f>IFERROR(INDEX(환산공식!Q$16:Q$200,MATCH($A555,환산공식!$A$16:$A$200,0)),"")</f>
        <v>0.75</v>
      </c>
      <c r="Z555" s="7">
        <f>IFERROR(INDEX(환산공식!R$16:R$200,MATCH($A555,환산공식!$A$16:$A$200,0)),"")</f>
        <v>1</v>
      </c>
      <c r="AA555" s="7">
        <f>IFERROR(INDEX(환산공식!U$16:U$200,MATCH($A555,환산공식!$A$16:$A$200,0)),"")</f>
        <v>0.75</v>
      </c>
      <c r="AB555" s="7">
        <f t="shared" si="95"/>
        <v>0.3</v>
      </c>
      <c r="AC555" s="7">
        <f t="shared" si="96"/>
        <v>0.4</v>
      </c>
      <c r="AD555" s="7">
        <f t="shared" si="97"/>
        <v>0.3</v>
      </c>
      <c r="AE555" s="7">
        <f>INDEX(환산공식!$AF$16:$AF$301,MATCH('배치점수 계산기'!W555,환산공식!$A$16:$A$301,0))</f>
        <v>1</v>
      </c>
      <c r="AF555" s="7">
        <f>INDEX(환산공식!$AP$16:$AP$301,MATCH('배치점수 계산기'!W555,환산공식!$A$16:$A$301,0))</f>
        <v>4</v>
      </c>
      <c r="AG555" s="7" t="str">
        <f t="shared" si="98"/>
        <v>표점</v>
      </c>
      <c r="AH555" s="7" t="str">
        <f t="shared" si="99"/>
        <v>변표</v>
      </c>
      <c r="BO555" s="210"/>
      <c r="BP555" s="210"/>
      <c r="BQ555" s="210"/>
      <c r="BR555" s="210"/>
      <c r="BS555" s="210"/>
      <c r="BT555" s="210"/>
      <c r="BU555" s="210"/>
      <c r="BV555" s="210"/>
      <c r="BW555" s="210"/>
      <c r="BX555" s="210"/>
      <c r="BY555" s="210"/>
      <c r="BZ555" s="210"/>
      <c r="CA555" s="210"/>
      <c r="CB555" s="210"/>
      <c r="CC555" s="210"/>
      <c r="EM555" s="120"/>
      <c r="ET555" s="210"/>
      <c r="EU555" s="210"/>
      <c r="EV555" s="210"/>
      <c r="EW555" s="210"/>
      <c r="EX555" s="210"/>
      <c r="EY555" s="210"/>
      <c r="EZ555" s="210"/>
      <c r="FA555" s="210"/>
      <c r="FB555" s="210"/>
      <c r="FC555" s="210"/>
      <c r="FD555" s="210"/>
      <c r="FE555" s="210"/>
      <c r="FF555" s="210"/>
      <c r="FG555" s="210"/>
      <c r="FH555" s="210"/>
      <c r="HR555" s="120"/>
      <c r="HY555" s="210"/>
      <c r="HZ555" s="210"/>
      <c r="IA555" s="210"/>
      <c r="IB555" s="210"/>
      <c r="IC555" s="210"/>
      <c r="ID555" s="210"/>
      <c r="IE555" s="210"/>
      <c r="IF555" s="210"/>
      <c r="IG555" s="210"/>
      <c r="IH555" s="210"/>
      <c r="II555" s="210"/>
      <c r="IJ555" s="210"/>
      <c r="IK555" s="210"/>
      <c r="IL555" s="210"/>
      <c r="IM555" s="210"/>
      <c r="KW555" s="120"/>
      <c r="LD555" s="210"/>
      <c r="LE555" s="210"/>
      <c r="LF555" s="210"/>
      <c r="LG555" s="210"/>
      <c r="LH555" s="210"/>
      <c r="LI555" s="210"/>
      <c r="LJ555" s="210"/>
      <c r="LK555" s="210"/>
      <c r="LL555" s="210"/>
      <c r="LM555" s="210"/>
      <c r="LN555" s="210"/>
      <c r="LO555" s="210"/>
      <c r="LP555" s="210"/>
      <c r="LQ555" s="210"/>
      <c r="LR555" s="210"/>
      <c r="OB555" s="120"/>
      <c r="OI555" s="210"/>
      <c r="OJ555" s="210"/>
      <c r="OK555" s="210"/>
      <c r="OL555" s="210"/>
      <c r="OM555" s="210"/>
      <c r="ON555" s="210"/>
      <c r="OO555" s="210"/>
      <c r="OP555" s="210"/>
      <c r="OQ555" s="210"/>
      <c r="OR555" s="210"/>
      <c r="OS555" s="210"/>
      <c r="OT555" s="210"/>
      <c r="OU555" s="210"/>
      <c r="OV555" s="210"/>
      <c r="OW555" s="210"/>
      <c r="RG555" s="120"/>
    </row>
    <row r="556" spans="1:475" x14ac:dyDescent="0.3">
      <c r="A556" s="7">
        <v>123</v>
      </c>
      <c r="B556" s="7">
        <v>546</v>
      </c>
      <c r="C556" s="7" t="s">
        <v>276</v>
      </c>
      <c r="D556" s="7" t="s">
        <v>850</v>
      </c>
      <c r="E556" s="7" t="s">
        <v>860</v>
      </c>
      <c r="F556" s="7" t="s">
        <v>274</v>
      </c>
      <c r="G556" s="41" t="str">
        <f t="shared" si="91"/>
        <v>X</v>
      </c>
      <c r="H556" s="41">
        <f>INDEX(환산공식!CI$16:CI$301,MATCH('배치점수 계산기'!$W556,환산공식!$A$16:$A$301,0))</f>
        <v>200</v>
      </c>
      <c r="I556" s="41" t="str">
        <f>CONCATENATE(ROUND(INDEX(환산공식!CJ$16:CJ$301,MATCH('배치점수 계산기'!$W556,환산공식!$A$16:$A$301,0)),1),"%")</f>
        <v>100%</v>
      </c>
      <c r="J556" s="41">
        <f>INDEX(환산공식!CK$16:CK$301,MATCH('배치점수 계산기'!$W556,환산공식!$A$16:$A$301,0))</f>
        <v>10</v>
      </c>
      <c r="K556" s="7">
        <f>INDEX(환산공식!$EF$16:$EF$301,MATCH('배치점수 계산기'!W556,환산공식!$A$16:$A$301,0))</f>
        <v>0</v>
      </c>
      <c r="L556" s="41" t="str">
        <f t="shared" si="89"/>
        <v>1% 이하</v>
      </c>
      <c r="M556" s="7">
        <v>799.56</v>
      </c>
      <c r="N556" s="7">
        <v>799.2</v>
      </c>
      <c r="O556" s="7">
        <v>798.4</v>
      </c>
      <c r="P556" s="7">
        <v>797.07999999999993</v>
      </c>
      <c r="Q556" s="7">
        <v>795.87999999999988</v>
      </c>
      <c r="R556" s="7">
        <f t="shared" si="90"/>
        <v>6</v>
      </c>
      <c r="T556" s="7">
        <f>COUNTIF($C$11:C556,C556)</f>
        <v>281</v>
      </c>
      <c r="U556" s="7" t="str">
        <f t="shared" si="92"/>
        <v>가281</v>
      </c>
      <c r="V556" s="7" t="str">
        <f>INDEX(환산공식!$C$16:$C$301,MATCH('배치점수 계산기'!W556,환산공식!$A$16:$A$301,0))</f>
        <v>조선 의치약</v>
      </c>
      <c r="W556" s="7">
        <f t="shared" si="93"/>
        <v>123</v>
      </c>
      <c r="X556" s="7">
        <f t="shared" si="94"/>
        <v>1</v>
      </c>
      <c r="Y556" s="7">
        <f>IFERROR(INDEX(환산공식!Q$16:Q$200,MATCH($A556,환산공식!$A$16:$A$200,0)),"")</f>
        <v>2</v>
      </c>
      <c r="Z556" s="7">
        <f>IFERROR(INDEX(환산공식!R$16:R$200,MATCH($A556,환산공식!$A$16:$A$200,0)),"")</f>
        <v>2.8</v>
      </c>
      <c r="AA556" s="7">
        <f>IFERROR(INDEX(환산공식!U$16:U$200,MATCH($A556,환산공식!$A$16:$A$200,0)),"")</f>
        <v>1.2</v>
      </c>
      <c r="AB556" s="7">
        <f t="shared" si="95"/>
        <v>0.33333333333333331</v>
      </c>
      <c r="AC556" s="7">
        <f t="shared" si="96"/>
        <v>0.46666666666666662</v>
      </c>
      <c r="AD556" s="7">
        <f t="shared" si="97"/>
        <v>0.19999999999999998</v>
      </c>
      <c r="AE556" s="7">
        <f>INDEX(환산공식!$AF$16:$AF$301,MATCH('배치점수 계산기'!W556,환산공식!$A$16:$A$301,0))</f>
        <v>2</v>
      </c>
      <c r="AF556" s="7">
        <f>INDEX(환산공식!$AP$16:$AP$301,MATCH('배치점수 계산기'!W556,환산공식!$A$16:$A$301,0))</f>
        <v>2</v>
      </c>
      <c r="AG556" s="7" t="str">
        <f t="shared" si="98"/>
        <v>백분위</v>
      </c>
      <c r="AH556" s="7" t="str">
        <f t="shared" si="99"/>
        <v>백분위</v>
      </c>
      <c r="BO556" s="210"/>
      <c r="BP556" s="210"/>
      <c r="BQ556" s="210"/>
      <c r="BR556" s="210"/>
      <c r="BS556" s="210"/>
      <c r="BT556" s="210"/>
      <c r="BU556" s="210"/>
      <c r="BV556" s="210"/>
      <c r="BW556" s="210"/>
      <c r="BX556" s="210"/>
      <c r="BY556" s="210"/>
      <c r="BZ556" s="210"/>
      <c r="CA556" s="210"/>
      <c r="CB556" s="210"/>
      <c r="CC556" s="210"/>
      <c r="EM556" s="120"/>
      <c r="ET556" s="210"/>
      <c r="EU556" s="210"/>
      <c r="EV556" s="210"/>
      <c r="EW556" s="210"/>
      <c r="EX556" s="210"/>
      <c r="EY556" s="210"/>
      <c r="EZ556" s="210"/>
      <c r="FA556" s="210"/>
      <c r="FB556" s="210"/>
      <c r="FC556" s="210"/>
      <c r="FD556" s="210"/>
      <c r="FE556" s="210"/>
      <c r="FF556" s="210"/>
      <c r="FG556" s="210"/>
      <c r="FH556" s="210"/>
      <c r="HR556" s="120"/>
      <c r="HY556" s="210"/>
      <c r="HZ556" s="210"/>
      <c r="IA556" s="210"/>
      <c r="IB556" s="210"/>
      <c r="IC556" s="210"/>
      <c r="ID556" s="210"/>
      <c r="IE556" s="210"/>
      <c r="IF556" s="210"/>
      <c r="IG556" s="210"/>
      <c r="IH556" s="210"/>
      <c r="II556" s="210"/>
      <c r="IJ556" s="210"/>
      <c r="IK556" s="210"/>
      <c r="IL556" s="210"/>
      <c r="IM556" s="210"/>
      <c r="KW556" s="120"/>
      <c r="LD556" s="210"/>
      <c r="LE556" s="210"/>
      <c r="LF556" s="210"/>
      <c r="LG556" s="210"/>
      <c r="LH556" s="210"/>
      <c r="LI556" s="210"/>
      <c r="LJ556" s="210"/>
      <c r="LK556" s="210"/>
      <c r="LL556" s="210"/>
      <c r="LM556" s="210"/>
      <c r="LN556" s="210"/>
      <c r="LO556" s="210"/>
      <c r="LP556" s="210"/>
      <c r="LQ556" s="210"/>
      <c r="LR556" s="210"/>
      <c r="OB556" s="120"/>
      <c r="OI556" s="210"/>
      <c r="OJ556" s="210"/>
      <c r="OK556" s="210"/>
      <c r="OL556" s="210"/>
      <c r="OM556" s="210"/>
      <c r="ON556" s="210"/>
      <c r="OO556" s="210"/>
      <c r="OP556" s="210"/>
      <c r="OQ556" s="210"/>
      <c r="OR556" s="210"/>
      <c r="OS556" s="210"/>
      <c r="OT556" s="210"/>
      <c r="OU556" s="210"/>
      <c r="OV556" s="210"/>
      <c r="OW556" s="210"/>
      <c r="RG556" s="120"/>
    </row>
    <row r="557" spans="1:475" x14ac:dyDescent="0.3">
      <c r="A557" s="7">
        <v>120</v>
      </c>
      <c r="B557" s="7">
        <v>547</v>
      </c>
      <c r="C557" s="7" t="s">
        <v>276</v>
      </c>
      <c r="D557" s="7" t="s">
        <v>702</v>
      </c>
      <c r="E557" s="7" t="s">
        <v>860</v>
      </c>
      <c r="F557" s="7" t="s">
        <v>274</v>
      </c>
      <c r="G557" s="41" t="str">
        <f t="shared" si="91"/>
        <v>X</v>
      </c>
      <c r="H557" s="41">
        <f>INDEX(환산공식!CI$16:CI$301,MATCH('배치점수 계산기'!$W557,환산공식!$A$16:$A$301,0))</f>
        <v>200</v>
      </c>
      <c r="I557" s="41" t="str">
        <f>CONCATENATE(ROUND(INDEX(환산공식!CJ$16:CJ$301,MATCH('배치점수 계산기'!$W557,환산공식!$A$16:$A$301,0)),1),"%")</f>
        <v>100%</v>
      </c>
      <c r="J557" s="41">
        <f>INDEX(환산공식!CK$16:CK$301,MATCH('배치점수 계산기'!$W557,환산공식!$A$16:$A$301,0))</f>
        <v>10</v>
      </c>
      <c r="K557" s="7">
        <f>INDEX(환산공식!$EF$16:$EF$301,MATCH('배치점수 계산기'!W557,환산공식!$A$16:$A$301,0))</f>
        <v>0</v>
      </c>
      <c r="L557" s="41" t="str">
        <f t="shared" si="89"/>
        <v>1% 이하</v>
      </c>
      <c r="M557" s="7">
        <v>952.19096645168838</v>
      </c>
      <c r="N557" s="7">
        <v>948.34905580026498</v>
      </c>
      <c r="O557" s="7">
        <v>946.29280368097602</v>
      </c>
      <c r="P557" s="7">
        <v>945.11778785162278</v>
      </c>
      <c r="Q557" s="7">
        <v>943.19881459467479</v>
      </c>
      <c r="R557" s="7">
        <f t="shared" si="90"/>
        <v>6</v>
      </c>
      <c r="T557" s="7">
        <f>COUNTIF($C$11:C557,C557)</f>
        <v>282</v>
      </c>
      <c r="U557" s="7" t="str">
        <f t="shared" si="92"/>
        <v>가282</v>
      </c>
      <c r="V557" s="7" t="str">
        <f>INDEX(환산공식!$C$16:$C$301,MATCH('배치점수 계산기'!W557,환산공식!$A$16:$A$301,0))</f>
        <v>전남 의치약수</v>
      </c>
      <c r="W557" s="7">
        <f t="shared" si="93"/>
        <v>120</v>
      </c>
      <c r="X557" s="7">
        <f t="shared" si="94"/>
        <v>1</v>
      </c>
      <c r="Y557" s="7">
        <f>IFERROR(INDEX(환산공식!Q$16:Q$200,MATCH($A557,환산공식!$A$16:$A$200,0)),"")</f>
        <v>1.6107382550335569</v>
      </c>
      <c r="Z557" s="7">
        <f>IFERROR(INDEX(환산공식!R$16:R$200,MATCH($A557,환산공식!$A$16:$A$200,0)),"")</f>
        <v>2.1768707482993199</v>
      </c>
      <c r="AA557" s="7">
        <f>IFERROR(INDEX(환산공식!U$16:U$200,MATCH($A557,환산공식!$A$16:$A$200,0)),"")</f>
        <v>1.6870518768452132</v>
      </c>
      <c r="AB557" s="7">
        <f t="shared" si="95"/>
        <v>0.2942169917529503</v>
      </c>
      <c r="AC557" s="7">
        <f t="shared" si="96"/>
        <v>0.39762659202893064</v>
      </c>
      <c r="AD557" s="7">
        <f t="shared" si="97"/>
        <v>0.30815641621811896</v>
      </c>
      <c r="AE557" s="7">
        <f>INDEX(환산공식!$AF$16:$AF$301,MATCH('배치점수 계산기'!W557,환산공식!$A$16:$A$301,0))</f>
        <v>12</v>
      </c>
      <c r="AF557" s="7">
        <f>INDEX(환산공식!$AP$16:$AP$301,MATCH('배치점수 계산기'!W557,환산공식!$A$16:$A$301,0))</f>
        <v>42</v>
      </c>
      <c r="AG557" s="7" t="str">
        <f t="shared" si="98"/>
        <v>표점/만점</v>
      </c>
      <c r="AH557" s="7" t="str">
        <f t="shared" si="99"/>
        <v>변표/만점</v>
      </c>
      <c r="BO557" s="210"/>
      <c r="BP557" s="210"/>
      <c r="BQ557" s="210"/>
      <c r="BR557" s="210"/>
      <c r="BS557" s="210"/>
      <c r="BT557" s="210"/>
      <c r="BU557" s="210"/>
      <c r="BV557" s="210"/>
      <c r="BW557" s="210"/>
      <c r="BX557" s="210"/>
      <c r="BY557" s="210"/>
      <c r="BZ557" s="210"/>
      <c r="CA557" s="210"/>
      <c r="CB557" s="210"/>
      <c r="CC557" s="210"/>
      <c r="EM557" s="120"/>
      <c r="ET557" s="210"/>
      <c r="EU557" s="210"/>
      <c r="EV557" s="210"/>
      <c r="EW557" s="210"/>
      <c r="EX557" s="210"/>
      <c r="EY557" s="210"/>
      <c r="EZ557" s="210"/>
      <c r="FA557" s="210"/>
      <c r="FB557" s="210"/>
      <c r="FC557" s="210"/>
      <c r="FD557" s="210"/>
      <c r="FE557" s="210"/>
      <c r="FF557" s="210"/>
      <c r="FG557" s="210"/>
      <c r="FH557" s="210"/>
      <c r="HR557" s="120"/>
      <c r="HY557" s="210"/>
      <c r="HZ557" s="210"/>
      <c r="IA557" s="210"/>
      <c r="IB557" s="210"/>
      <c r="IC557" s="210"/>
      <c r="ID557" s="210"/>
      <c r="IE557" s="210"/>
      <c r="IF557" s="210"/>
      <c r="IG557" s="210"/>
      <c r="IH557" s="210"/>
      <c r="II557" s="210"/>
      <c r="IJ557" s="210"/>
      <c r="IK557" s="210"/>
      <c r="IL557" s="210"/>
      <c r="IM557" s="210"/>
      <c r="KW557" s="120"/>
      <c r="LD557" s="210"/>
      <c r="LE557" s="210"/>
      <c r="LF557" s="210"/>
      <c r="LG557" s="210"/>
      <c r="LH557" s="210"/>
      <c r="LI557" s="210"/>
      <c r="LJ557" s="210"/>
      <c r="LK557" s="210"/>
      <c r="LL557" s="210"/>
      <c r="LM557" s="210"/>
      <c r="LN557" s="210"/>
      <c r="LO557" s="210"/>
      <c r="LP557" s="210"/>
      <c r="LQ557" s="210"/>
      <c r="LR557" s="210"/>
      <c r="OB557" s="120"/>
      <c r="OI557" s="210"/>
      <c r="OJ557" s="210"/>
      <c r="OK557" s="210"/>
      <c r="OL557" s="210"/>
      <c r="OM557" s="210"/>
      <c r="ON557" s="210"/>
      <c r="OO557" s="210"/>
      <c r="OP557" s="210"/>
      <c r="OQ557" s="210"/>
      <c r="OR557" s="210"/>
      <c r="OS557" s="210"/>
      <c r="OT557" s="210"/>
      <c r="OU557" s="210"/>
      <c r="OV557" s="210"/>
      <c r="OW557" s="210"/>
      <c r="RG557" s="120"/>
    </row>
    <row r="558" spans="1:475" x14ac:dyDescent="0.3">
      <c r="A558" s="7">
        <v>19</v>
      </c>
      <c r="B558" s="7">
        <v>548</v>
      </c>
      <c r="C558" s="7" t="s">
        <v>276</v>
      </c>
      <c r="D558" s="7" t="s">
        <v>277</v>
      </c>
      <c r="E558" s="7" t="s">
        <v>685</v>
      </c>
      <c r="F558" s="7" t="s">
        <v>274</v>
      </c>
      <c r="G558" s="41" t="str">
        <f t="shared" si="91"/>
        <v>X</v>
      </c>
      <c r="H558" s="41">
        <f>INDEX(환산공식!CI$16:CI$301,MATCH('배치점수 계산기'!$W558,환산공식!$A$16:$A$301,0))</f>
        <v>111.1</v>
      </c>
      <c r="I558" s="41" t="str">
        <f>CONCATENATE(ROUND(INDEX(환산공식!CJ$16:CJ$301,MATCH('배치점수 계산기'!$W558,환산공식!$A$16:$A$301,0)),1),"%")</f>
        <v>100%</v>
      </c>
      <c r="J558" s="41">
        <f>INDEX(환산공식!CK$16:CK$301,MATCH('배치점수 계산기'!$W558,환산공식!$A$16:$A$301,0))</f>
        <v>10</v>
      </c>
      <c r="K558" s="7">
        <f>INDEX(환산공식!$EF$16:$EF$301,MATCH('배치점수 계산기'!W558,환산공식!$A$16:$A$301,0))</f>
        <v>0</v>
      </c>
      <c r="L558" s="41" t="str">
        <f t="shared" si="89"/>
        <v>1% 이하</v>
      </c>
      <c r="M558" s="7">
        <v>735.11111111111109</v>
      </c>
      <c r="N558" s="7">
        <v>732.55555555555532</v>
      </c>
      <c r="O558" s="7">
        <v>729.83333333333314</v>
      </c>
      <c r="P558" s="7">
        <v>727.70375801020953</v>
      </c>
      <c r="Q558" s="7">
        <v>725.61111111111097</v>
      </c>
      <c r="R558" s="7">
        <f t="shared" si="90"/>
        <v>6</v>
      </c>
      <c r="T558" s="7">
        <f>COUNTIF($C$11:C558,C558)</f>
        <v>283</v>
      </c>
      <c r="U558" s="7" t="str">
        <f t="shared" si="92"/>
        <v>가283</v>
      </c>
      <c r="V558" s="7" t="str">
        <f>INDEX(환산공식!$C$16:$C$301,MATCH('배치점수 계산기'!W558,환산공식!$A$16:$A$301,0))</f>
        <v>연세대 자연</v>
      </c>
      <c r="W558" s="7">
        <f t="shared" si="93"/>
        <v>19</v>
      </c>
      <c r="X558" s="7">
        <f t="shared" si="94"/>
        <v>1</v>
      </c>
      <c r="Y558" s="7">
        <f>IFERROR(INDEX(환산공식!Q$16:Q$200,MATCH($A558,환산공식!$A$16:$A$200,0)),"")</f>
        <v>1.1111111111111109</v>
      </c>
      <c r="Z558" s="7">
        <f>IFERROR(INDEX(환산공식!R$16:R$200,MATCH($A558,환산공식!$A$16:$A$200,0)),"")</f>
        <v>1.6666666666666665</v>
      </c>
      <c r="AA558" s="7">
        <f>IFERROR(INDEX(환산공식!U$16:U$200,MATCH($A558,환산공식!$A$16:$A$200,0)),"")</f>
        <v>1.6666666666666665</v>
      </c>
      <c r="AB558" s="7">
        <f t="shared" si="95"/>
        <v>0.24999999999999994</v>
      </c>
      <c r="AC558" s="7">
        <f t="shared" si="96"/>
        <v>0.37499999999999994</v>
      </c>
      <c r="AD558" s="7">
        <f t="shared" si="97"/>
        <v>0.37499999999999994</v>
      </c>
      <c r="AE558" s="7">
        <f>INDEX(환산공식!$AF$16:$AF$301,MATCH('배치점수 계산기'!W558,환산공식!$A$16:$A$301,0))</f>
        <v>1</v>
      </c>
      <c r="AF558" s="7">
        <f>INDEX(환산공식!$AP$16:$AP$301,MATCH('배치점수 계산기'!W558,환산공식!$A$16:$A$301,0))</f>
        <v>1</v>
      </c>
      <c r="AG558" s="7" t="str">
        <f t="shared" si="98"/>
        <v>표점</v>
      </c>
      <c r="AH558" s="7" t="str">
        <f t="shared" si="99"/>
        <v>표점</v>
      </c>
      <c r="BO558" s="210"/>
      <c r="BP558" s="210"/>
      <c r="BQ558" s="210"/>
      <c r="BR558" s="210"/>
      <c r="BS558" s="210"/>
      <c r="BT558" s="210"/>
      <c r="BU558" s="210"/>
      <c r="BV558" s="210"/>
      <c r="BW558" s="210"/>
      <c r="BX558" s="210"/>
      <c r="BY558" s="210"/>
      <c r="BZ558" s="210"/>
      <c r="CA558" s="210"/>
      <c r="CB558" s="210"/>
      <c r="CC558" s="210"/>
      <c r="EM558" s="120"/>
      <c r="ET558" s="210"/>
      <c r="EU558" s="210"/>
      <c r="EV558" s="210"/>
      <c r="EW558" s="210"/>
      <c r="EX558" s="210"/>
      <c r="EY558" s="210"/>
      <c r="EZ558" s="210"/>
      <c r="FA558" s="210"/>
      <c r="FB558" s="210"/>
      <c r="FC558" s="210"/>
      <c r="FD558" s="210"/>
      <c r="FE558" s="210"/>
      <c r="FF558" s="210"/>
      <c r="FG558" s="210"/>
      <c r="FH558" s="210"/>
      <c r="HR558" s="120"/>
      <c r="HY558" s="210"/>
      <c r="HZ558" s="210"/>
      <c r="IA558" s="210"/>
      <c r="IB558" s="210"/>
      <c r="IC558" s="210"/>
      <c r="ID558" s="210"/>
      <c r="IE558" s="210"/>
      <c r="IF558" s="210"/>
      <c r="IG558" s="210"/>
      <c r="IH558" s="210"/>
      <c r="II558" s="210"/>
      <c r="IJ558" s="210"/>
      <c r="IK558" s="210"/>
      <c r="IL558" s="210"/>
      <c r="IM558" s="210"/>
      <c r="KW558" s="120"/>
      <c r="LD558" s="210"/>
      <c r="LE558" s="210"/>
      <c r="LF558" s="210"/>
      <c r="LG558" s="210"/>
      <c r="LH558" s="210"/>
      <c r="LI558" s="210"/>
      <c r="LJ558" s="210"/>
      <c r="LK558" s="210"/>
      <c r="LL558" s="210"/>
      <c r="LM558" s="210"/>
      <c r="LN558" s="210"/>
      <c r="LO558" s="210"/>
      <c r="LP558" s="210"/>
      <c r="LQ558" s="210"/>
      <c r="LR558" s="210"/>
      <c r="OB558" s="120"/>
      <c r="OI558" s="210"/>
      <c r="OJ558" s="210"/>
      <c r="OK558" s="210"/>
      <c r="OL558" s="210"/>
      <c r="OM558" s="210"/>
      <c r="ON558" s="210"/>
      <c r="OO558" s="210"/>
      <c r="OP558" s="210"/>
      <c r="OQ558" s="210"/>
      <c r="OR558" s="210"/>
      <c r="OS558" s="210"/>
      <c r="OT558" s="210"/>
      <c r="OU558" s="210"/>
      <c r="OV558" s="210"/>
      <c r="OW558" s="210"/>
      <c r="RG558" s="120"/>
    </row>
    <row r="559" spans="1:475" x14ac:dyDescent="0.3">
      <c r="A559" s="7">
        <v>29</v>
      </c>
      <c r="B559" s="7">
        <v>549</v>
      </c>
      <c r="C559" s="7" t="s">
        <v>276</v>
      </c>
      <c r="D559" s="7" t="s">
        <v>747</v>
      </c>
      <c r="E559" s="7" t="s">
        <v>685</v>
      </c>
      <c r="F559" s="7" t="s">
        <v>274</v>
      </c>
      <c r="G559" s="41" t="str">
        <f t="shared" si="91"/>
        <v>X</v>
      </c>
      <c r="H559" s="41">
        <f>INDEX(환산공식!CI$16:CI$301,MATCH('배치점수 계산기'!$W559,환산공식!$A$16:$A$301,0))</f>
        <v>100</v>
      </c>
      <c r="I559" s="41" t="str">
        <f>CONCATENATE(ROUND(INDEX(환산공식!CJ$16:CJ$301,MATCH('배치점수 계산기'!$W559,환산공식!$A$16:$A$301,0)),1),"%")</f>
        <v>100%</v>
      </c>
      <c r="J559" s="41">
        <f>INDEX(환산공식!CK$16:CK$301,MATCH('배치점수 계산기'!$W559,환산공식!$A$16:$A$301,0))</f>
        <v>10</v>
      </c>
      <c r="K559" s="7">
        <f>INDEX(환산공식!$EF$16:$EF$301,MATCH('배치점수 계산기'!W559,환산공식!$A$16:$A$301,0))</f>
        <v>0</v>
      </c>
      <c r="L559" s="41" t="str">
        <f t="shared" si="89"/>
        <v>1% 이하</v>
      </c>
      <c r="M559" s="7">
        <v>793.53749999999991</v>
      </c>
      <c r="N559" s="7">
        <v>792.80094819159342</v>
      </c>
      <c r="O559" s="7">
        <v>791.6</v>
      </c>
      <c r="P559" s="7">
        <v>789.81000000000006</v>
      </c>
      <c r="Q559" s="7">
        <v>788.7340828620604</v>
      </c>
      <c r="R559" s="7">
        <f t="shared" si="90"/>
        <v>6</v>
      </c>
      <c r="T559" s="7">
        <f>COUNTIF($C$11:C559,C559)</f>
        <v>284</v>
      </c>
      <c r="U559" s="7" t="str">
        <f t="shared" si="92"/>
        <v>가284</v>
      </c>
      <c r="V559" s="7" t="str">
        <f>INDEX(환산공식!$C$16:$C$301,MATCH('배치점수 계산기'!W559,환산공식!$A$16:$A$301,0))</f>
        <v>중앙 자연</v>
      </c>
      <c r="W559" s="7">
        <f t="shared" si="93"/>
        <v>29</v>
      </c>
      <c r="X559" s="7">
        <f t="shared" si="94"/>
        <v>1</v>
      </c>
      <c r="Y559" s="7">
        <f>IFERROR(INDEX(환산공식!Q$16:Q$200,MATCH($A559,환산공식!$A$16:$A$200,0)),"")</f>
        <v>1.25</v>
      </c>
      <c r="Z559" s="7">
        <f>IFERROR(INDEX(환산공식!R$16:R$200,MATCH($A559,환산공식!$A$16:$A$200,0)),"")</f>
        <v>2</v>
      </c>
      <c r="AA559" s="7">
        <f>IFERROR(INDEX(환산공식!U$16:U$200,MATCH($A559,환산공식!$A$16:$A$200,0)),"")</f>
        <v>1.75</v>
      </c>
      <c r="AB559" s="7">
        <f t="shared" si="95"/>
        <v>0.25</v>
      </c>
      <c r="AC559" s="7">
        <f t="shared" si="96"/>
        <v>0.4</v>
      </c>
      <c r="AD559" s="7">
        <f t="shared" si="97"/>
        <v>0.35</v>
      </c>
      <c r="AE559" s="7">
        <f>INDEX(환산공식!$AF$16:$AF$301,MATCH('배치점수 계산기'!W559,환산공식!$A$16:$A$301,0))</f>
        <v>1</v>
      </c>
      <c r="AF559" s="7">
        <f>INDEX(환산공식!$AP$16:$AP$301,MATCH('배치점수 계산기'!W559,환산공식!$A$16:$A$301,0))</f>
        <v>4</v>
      </c>
      <c r="AG559" s="7" t="str">
        <f t="shared" si="98"/>
        <v>표점</v>
      </c>
      <c r="AH559" s="7" t="str">
        <f t="shared" si="99"/>
        <v>변표</v>
      </c>
      <c r="BO559" s="210"/>
      <c r="BP559" s="210"/>
      <c r="BQ559" s="210"/>
      <c r="BR559" s="210"/>
      <c r="BS559" s="210"/>
      <c r="BT559" s="210"/>
      <c r="BU559" s="210"/>
      <c r="BV559" s="210"/>
      <c r="BW559" s="210"/>
      <c r="BX559" s="210"/>
      <c r="BY559" s="210"/>
      <c r="BZ559" s="210"/>
      <c r="CA559" s="210"/>
      <c r="CB559" s="210"/>
      <c r="CC559" s="210"/>
      <c r="EM559" s="120"/>
      <c r="ET559" s="210"/>
      <c r="EU559" s="210"/>
      <c r="EV559" s="210"/>
      <c r="EW559" s="210"/>
      <c r="EX559" s="210"/>
      <c r="EY559" s="210"/>
      <c r="EZ559" s="210"/>
      <c r="FA559" s="210"/>
      <c r="FB559" s="210"/>
      <c r="FC559" s="210"/>
      <c r="FD559" s="210"/>
      <c r="FE559" s="210"/>
      <c r="FF559" s="210"/>
      <c r="FG559" s="210"/>
      <c r="FH559" s="210"/>
      <c r="HR559" s="120"/>
      <c r="HY559" s="210"/>
      <c r="HZ559" s="210"/>
      <c r="IA559" s="210"/>
      <c r="IB559" s="210"/>
      <c r="IC559" s="210"/>
      <c r="ID559" s="210"/>
      <c r="IE559" s="210"/>
      <c r="IF559" s="210"/>
      <c r="IG559" s="210"/>
      <c r="IH559" s="210"/>
      <c r="II559" s="210"/>
      <c r="IJ559" s="210"/>
      <c r="IK559" s="210"/>
      <c r="IL559" s="210"/>
      <c r="IM559" s="210"/>
      <c r="KW559" s="120"/>
      <c r="LD559" s="210"/>
      <c r="LE559" s="210"/>
      <c r="LF559" s="210"/>
      <c r="LG559" s="210"/>
      <c r="LH559" s="210"/>
      <c r="LI559" s="210"/>
      <c r="LJ559" s="210"/>
      <c r="LK559" s="210"/>
      <c r="LL559" s="210"/>
      <c r="LM559" s="210"/>
      <c r="LN559" s="210"/>
      <c r="LO559" s="210"/>
      <c r="LP559" s="210"/>
      <c r="LQ559" s="210"/>
      <c r="LR559" s="210"/>
      <c r="OB559" s="120"/>
      <c r="OI559" s="210"/>
      <c r="OJ559" s="210"/>
      <c r="OK559" s="210"/>
      <c r="OL559" s="210"/>
      <c r="OM559" s="210"/>
      <c r="ON559" s="210"/>
      <c r="OO559" s="210"/>
      <c r="OP559" s="210"/>
      <c r="OQ559" s="210"/>
      <c r="OR559" s="210"/>
      <c r="OS559" s="210"/>
      <c r="OT559" s="210"/>
      <c r="OU559" s="210"/>
      <c r="OV559" s="210"/>
      <c r="OW559" s="210"/>
      <c r="RG559" s="120"/>
    </row>
    <row r="560" spans="1:475" x14ac:dyDescent="0.3">
      <c r="A560" s="7">
        <v>25</v>
      </c>
      <c r="B560" s="7">
        <v>550</v>
      </c>
      <c r="C560" s="7" t="s">
        <v>276</v>
      </c>
      <c r="D560" s="7" t="s">
        <v>342</v>
      </c>
      <c r="E560" s="7" t="s">
        <v>685</v>
      </c>
      <c r="F560" s="7" t="s">
        <v>274</v>
      </c>
      <c r="G560" s="41" t="str">
        <f t="shared" si="91"/>
        <v>X</v>
      </c>
      <c r="H560" s="41">
        <f>INDEX(환산공식!CI$16:CI$301,MATCH('배치점수 계산기'!$W560,환산공식!$A$16:$A$301,0))</f>
        <v>100</v>
      </c>
      <c r="I560" s="41" t="str">
        <f>CONCATENATE(ROUND(INDEX(환산공식!CJ$16:CJ$301,MATCH('배치점수 계산기'!$W560,환산공식!$A$16:$A$301,0)),1),"%")</f>
        <v>100%</v>
      </c>
      <c r="J560" s="41">
        <f>INDEX(환산공식!CK$16:CK$301,MATCH('배치점수 계산기'!$W560,환산공식!$A$16:$A$301,0))</f>
        <v>10</v>
      </c>
      <c r="K560" s="7">
        <f>INDEX(환산공식!$EF$16:$EF$301,MATCH('배치점수 계산기'!W560,환산공식!$A$16:$A$301,0))</f>
        <v>0</v>
      </c>
      <c r="L560" s="41" t="str">
        <f t="shared" si="89"/>
        <v>1% 이하</v>
      </c>
      <c r="M560" s="7">
        <v>793.53749999999991</v>
      </c>
      <c r="N560" s="7">
        <v>792.80094819159342</v>
      </c>
      <c r="O560" s="7">
        <v>790.5</v>
      </c>
      <c r="P560" s="7">
        <v>789.81000000000006</v>
      </c>
      <c r="Q560" s="7">
        <v>787.58750000000009</v>
      </c>
      <c r="R560" s="7">
        <f t="shared" si="90"/>
        <v>6</v>
      </c>
      <c r="T560" s="7">
        <f>COUNTIF($C$11:C560,C560)</f>
        <v>285</v>
      </c>
      <c r="U560" s="7" t="str">
        <f t="shared" si="92"/>
        <v>가285</v>
      </c>
      <c r="V560" s="7" t="str">
        <f>INDEX(환산공식!$C$16:$C$301,MATCH('배치점수 계산기'!W560,환산공식!$A$16:$A$301,0))</f>
        <v>성균 자연</v>
      </c>
      <c r="W560" s="7">
        <f t="shared" si="93"/>
        <v>25</v>
      </c>
      <c r="X560" s="7">
        <f t="shared" si="94"/>
        <v>1</v>
      </c>
      <c r="Y560" s="7">
        <f>IFERROR(INDEX(환산공식!Q$16:Q$200,MATCH($A560,환산공식!$A$16:$A$200,0)),"")</f>
        <v>1.25</v>
      </c>
      <c r="Z560" s="7">
        <f>IFERROR(INDEX(환산공식!R$16:R$200,MATCH($A560,환산공식!$A$16:$A$200,0)),"")</f>
        <v>2</v>
      </c>
      <c r="AA560" s="7">
        <f>IFERROR(INDEX(환산공식!U$16:U$200,MATCH($A560,환산공식!$A$16:$A$200,0)),"")</f>
        <v>1.75</v>
      </c>
      <c r="AB560" s="7">
        <f t="shared" si="95"/>
        <v>0.25</v>
      </c>
      <c r="AC560" s="7">
        <f t="shared" si="96"/>
        <v>0.4</v>
      </c>
      <c r="AD560" s="7">
        <f t="shared" si="97"/>
        <v>0.35</v>
      </c>
      <c r="AE560" s="7">
        <f>INDEX(환산공식!$AF$16:$AF$301,MATCH('배치점수 계산기'!W560,환산공식!$A$16:$A$301,0))</f>
        <v>1</v>
      </c>
      <c r="AF560" s="7">
        <f>INDEX(환산공식!$AP$16:$AP$301,MATCH('배치점수 계산기'!W560,환산공식!$A$16:$A$301,0))</f>
        <v>4</v>
      </c>
      <c r="AG560" s="7" t="str">
        <f t="shared" si="98"/>
        <v>표점</v>
      </c>
      <c r="AH560" s="7" t="str">
        <f t="shared" si="99"/>
        <v>변표</v>
      </c>
      <c r="BO560" s="210"/>
      <c r="BP560" s="210"/>
      <c r="BQ560" s="210"/>
      <c r="BR560" s="210"/>
      <c r="BS560" s="210"/>
      <c r="BT560" s="210"/>
      <c r="BU560" s="210"/>
      <c r="BV560" s="210"/>
      <c r="BW560" s="210"/>
      <c r="BX560" s="210"/>
      <c r="BY560" s="210"/>
      <c r="BZ560" s="210"/>
      <c r="CA560" s="210"/>
      <c r="CB560" s="210"/>
      <c r="CC560" s="210"/>
      <c r="EM560" s="120"/>
      <c r="ET560" s="210"/>
      <c r="EU560" s="210"/>
      <c r="EV560" s="210"/>
      <c r="EW560" s="210"/>
      <c r="EX560" s="210"/>
      <c r="EY560" s="210"/>
      <c r="EZ560" s="210"/>
      <c r="FA560" s="210"/>
      <c r="FB560" s="210"/>
      <c r="FC560" s="210"/>
      <c r="FD560" s="210"/>
      <c r="FE560" s="210"/>
      <c r="FF560" s="210"/>
      <c r="FG560" s="210"/>
      <c r="FH560" s="210"/>
      <c r="HR560" s="120"/>
      <c r="HY560" s="210"/>
      <c r="HZ560" s="210"/>
      <c r="IA560" s="210"/>
      <c r="IB560" s="210"/>
      <c r="IC560" s="210"/>
      <c r="ID560" s="210"/>
      <c r="IE560" s="210"/>
      <c r="IF560" s="210"/>
      <c r="IG560" s="210"/>
      <c r="IH560" s="210"/>
      <c r="II560" s="210"/>
      <c r="IJ560" s="210"/>
      <c r="IK560" s="210"/>
      <c r="IL560" s="210"/>
      <c r="IM560" s="210"/>
      <c r="KW560" s="120"/>
      <c r="LD560" s="210"/>
      <c r="LE560" s="210"/>
      <c r="LF560" s="210"/>
      <c r="LG560" s="210"/>
      <c r="LH560" s="210"/>
      <c r="LI560" s="210"/>
      <c r="LJ560" s="210"/>
      <c r="LK560" s="210"/>
      <c r="LL560" s="210"/>
      <c r="LM560" s="210"/>
      <c r="LN560" s="210"/>
      <c r="LO560" s="210"/>
      <c r="LP560" s="210"/>
      <c r="LQ560" s="210"/>
      <c r="LR560" s="210"/>
      <c r="OB560" s="120"/>
      <c r="OI560" s="210"/>
      <c r="OJ560" s="210"/>
      <c r="OK560" s="210"/>
      <c r="OL560" s="210"/>
      <c r="OM560" s="210"/>
      <c r="ON560" s="210"/>
      <c r="OO560" s="210"/>
      <c r="OP560" s="210"/>
      <c r="OQ560" s="210"/>
      <c r="OR560" s="210"/>
      <c r="OS560" s="210"/>
      <c r="OT560" s="210"/>
      <c r="OU560" s="210"/>
      <c r="OV560" s="210"/>
      <c r="OW560" s="210"/>
      <c r="RG560" s="120"/>
    </row>
    <row r="561" spans="1:475" x14ac:dyDescent="0.3">
      <c r="A561" s="7">
        <v>33</v>
      </c>
      <c r="B561" s="7">
        <v>551</v>
      </c>
      <c r="C561" s="7" t="s">
        <v>276</v>
      </c>
      <c r="D561" s="7" t="s">
        <v>380</v>
      </c>
      <c r="E561" s="7" t="s">
        <v>685</v>
      </c>
      <c r="F561" s="7" t="s">
        <v>274</v>
      </c>
      <c r="G561" s="41" t="str">
        <f t="shared" si="91"/>
        <v>X</v>
      </c>
      <c r="H561" s="41">
        <f>INDEX(환산공식!CI$16:CI$301,MATCH('배치점수 계산기'!$W561,환산공식!$A$16:$A$301,0))</f>
        <v>120</v>
      </c>
      <c r="I561" s="41" t="str">
        <f>CONCATENATE(ROUND(INDEX(환산공식!CJ$16:CJ$301,MATCH('배치점수 계산기'!$W561,환산공식!$A$16:$A$301,0)),1),"%")</f>
        <v>100%</v>
      </c>
      <c r="J561" s="41">
        <f>INDEX(환산공식!CK$16:CK$301,MATCH('배치점수 계산기'!$W561,환산공식!$A$16:$A$301,0))</f>
        <v>40</v>
      </c>
      <c r="K561" s="7">
        <f>INDEX(환산공식!$EF$16:$EF$301,MATCH('배치점수 계산기'!W561,환산공식!$A$16:$A$301,0))</f>
        <v>0</v>
      </c>
      <c r="L561" s="41" t="str">
        <f t="shared" si="89"/>
        <v>1% 이하</v>
      </c>
      <c r="M561" s="7">
        <v>598.35517106549366</v>
      </c>
      <c r="N561" s="7">
        <v>597.58000000000004</v>
      </c>
      <c r="O561" s="7">
        <v>596.41999999999996</v>
      </c>
      <c r="P561" s="7">
        <v>595.72484386525696</v>
      </c>
      <c r="Q561" s="7">
        <v>594.63200000000006</v>
      </c>
      <c r="R561" s="7">
        <f t="shared" si="90"/>
        <v>6</v>
      </c>
      <c r="T561" s="7">
        <f>COUNTIF($C$11:C561,C561)</f>
        <v>286</v>
      </c>
      <c r="U561" s="7" t="str">
        <f t="shared" si="92"/>
        <v>가286</v>
      </c>
      <c r="V561" s="7" t="str">
        <f>INDEX(환산공식!$C$16:$C$301,MATCH('배치점수 계산기'!W561,환산공식!$A$16:$A$301,0))</f>
        <v>경희 자연</v>
      </c>
      <c r="W561" s="7">
        <f t="shared" si="93"/>
        <v>33</v>
      </c>
      <c r="X561" s="7">
        <f t="shared" si="94"/>
        <v>1</v>
      </c>
      <c r="Y561" s="7">
        <f>IFERROR(INDEX(환산공식!Q$16:Q$200,MATCH($A561,환산공식!$A$16:$A$200,0)),"")</f>
        <v>0.8</v>
      </c>
      <c r="Z561" s="7">
        <f>IFERROR(INDEX(환산공식!R$16:R$200,MATCH($A561,환산공식!$A$16:$A$200,0)),"")</f>
        <v>1.4</v>
      </c>
      <c r="AA561" s="7">
        <f>IFERROR(INDEX(환산공식!U$16:U$200,MATCH($A561,환산공식!$A$16:$A$200,0)),"")</f>
        <v>1</v>
      </c>
      <c r="AB561" s="7">
        <f t="shared" si="95"/>
        <v>0.25</v>
      </c>
      <c r="AC561" s="7">
        <f t="shared" si="96"/>
        <v>0.43749999999999994</v>
      </c>
      <c r="AD561" s="7">
        <f t="shared" si="97"/>
        <v>0.3125</v>
      </c>
      <c r="AE561" s="7">
        <f>INDEX(환산공식!$AF$16:$AF$301,MATCH('배치점수 계산기'!W561,환산공식!$A$16:$A$301,0))</f>
        <v>1</v>
      </c>
      <c r="AF561" s="7">
        <f>INDEX(환산공식!$AP$16:$AP$301,MATCH('배치점수 계산기'!W561,환산공식!$A$16:$A$301,0))</f>
        <v>4</v>
      </c>
      <c r="AG561" s="7" t="str">
        <f t="shared" si="98"/>
        <v>표점</v>
      </c>
      <c r="AH561" s="7" t="str">
        <f t="shared" si="99"/>
        <v>변표</v>
      </c>
      <c r="BO561" s="210"/>
      <c r="BP561" s="210"/>
      <c r="BQ561" s="210"/>
      <c r="BR561" s="210"/>
      <c r="BS561" s="210"/>
      <c r="BT561" s="210"/>
      <c r="BU561" s="210"/>
      <c r="BV561" s="210"/>
      <c r="BW561" s="210"/>
      <c r="BX561" s="210"/>
      <c r="BY561" s="210"/>
      <c r="BZ561" s="210"/>
      <c r="CA561" s="210"/>
      <c r="CB561" s="210"/>
      <c r="CC561" s="210"/>
      <c r="EM561" s="120"/>
      <c r="ET561" s="210"/>
      <c r="EU561" s="210"/>
      <c r="EV561" s="210"/>
      <c r="EW561" s="210"/>
      <c r="EX561" s="210"/>
      <c r="EY561" s="210"/>
      <c r="EZ561" s="210"/>
      <c r="FA561" s="210"/>
      <c r="FB561" s="210"/>
      <c r="FC561" s="210"/>
      <c r="FD561" s="210"/>
      <c r="FE561" s="210"/>
      <c r="FF561" s="210"/>
      <c r="FG561" s="210"/>
      <c r="FH561" s="210"/>
      <c r="HR561" s="120"/>
      <c r="HY561" s="210"/>
      <c r="HZ561" s="210"/>
      <c r="IA561" s="210"/>
      <c r="IB561" s="210"/>
      <c r="IC561" s="210"/>
      <c r="ID561" s="210"/>
      <c r="IE561" s="210"/>
      <c r="IF561" s="210"/>
      <c r="IG561" s="210"/>
      <c r="IH561" s="210"/>
      <c r="II561" s="210"/>
      <c r="IJ561" s="210"/>
      <c r="IK561" s="210"/>
      <c r="IL561" s="210"/>
      <c r="IM561" s="210"/>
      <c r="KW561" s="120"/>
      <c r="LD561" s="210"/>
      <c r="LE561" s="210"/>
      <c r="LF561" s="210"/>
      <c r="LG561" s="210"/>
      <c r="LH561" s="210"/>
      <c r="LI561" s="210"/>
      <c r="LJ561" s="210"/>
      <c r="LK561" s="210"/>
      <c r="LL561" s="210"/>
      <c r="LM561" s="210"/>
      <c r="LN561" s="210"/>
      <c r="LO561" s="210"/>
      <c r="LP561" s="210"/>
      <c r="LQ561" s="210"/>
      <c r="LR561" s="210"/>
      <c r="OB561" s="120"/>
      <c r="OI561" s="210"/>
      <c r="OJ561" s="210"/>
      <c r="OK561" s="210"/>
      <c r="OL561" s="210"/>
      <c r="OM561" s="210"/>
      <c r="ON561" s="210"/>
      <c r="OO561" s="210"/>
      <c r="OP561" s="210"/>
      <c r="OQ561" s="210"/>
      <c r="OR561" s="210"/>
      <c r="OS561" s="210"/>
      <c r="OT561" s="210"/>
      <c r="OU561" s="210"/>
      <c r="OV561" s="210"/>
      <c r="OW561" s="210"/>
      <c r="RG561" s="120"/>
    </row>
    <row r="562" spans="1:475" x14ac:dyDescent="0.3">
      <c r="A562" s="7">
        <v>48</v>
      </c>
      <c r="B562" s="7">
        <v>552</v>
      </c>
      <c r="C562" s="7" t="s">
        <v>276</v>
      </c>
      <c r="D562" s="7" t="s">
        <v>801</v>
      </c>
      <c r="E562" s="7" t="s">
        <v>685</v>
      </c>
      <c r="F562" s="7" t="s">
        <v>274</v>
      </c>
      <c r="G562" s="41" t="str">
        <f t="shared" si="91"/>
        <v>X</v>
      </c>
      <c r="H562" s="41">
        <f>INDEX(환산공식!CI$16:CI$301,MATCH('배치점수 계산기'!$W562,환산공식!$A$16:$A$301,0))</f>
        <v>200</v>
      </c>
      <c r="I562" s="41" t="str">
        <f>CONCATENATE(ROUND(INDEX(환산공식!CJ$16:CJ$301,MATCH('배치점수 계산기'!$W562,환산공식!$A$16:$A$301,0)),1),"%")</f>
        <v>100%</v>
      </c>
      <c r="J562" s="41">
        <f>INDEX(환산공식!CK$16:CK$301,MATCH('배치점수 계산기'!$W562,환산공식!$A$16:$A$301,0))</f>
        <v>50</v>
      </c>
      <c r="K562" s="7">
        <f>INDEX(환산공식!$EF$16:$EF$301,MATCH('배치점수 계산기'!W562,환산공식!$A$16:$A$301,0))</f>
        <v>0</v>
      </c>
      <c r="L562" s="41" t="str">
        <f t="shared" si="89"/>
        <v>1% 이하</v>
      </c>
      <c r="M562" s="7">
        <v>760.39645438898447</v>
      </c>
      <c r="N562" s="7">
        <v>759.45</v>
      </c>
      <c r="O562" s="7">
        <v>758.72199999999998</v>
      </c>
      <c r="P562" s="7">
        <v>757.98952286773795</v>
      </c>
      <c r="Q562" s="7">
        <v>756.15047482014393</v>
      </c>
      <c r="R562" s="7">
        <f t="shared" si="90"/>
        <v>6</v>
      </c>
      <c r="T562" s="7">
        <f>COUNTIF($C$11:C562,C562)</f>
        <v>287</v>
      </c>
      <c r="U562" s="7" t="str">
        <f t="shared" si="92"/>
        <v>가287</v>
      </c>
      <c r="V562" s="7" t="str">
        <f>INDEX(환산공식!$C$16:$C$301,MATCH('배치점수 계산기'!W562,환산공식!$A$16:$A$301,0))</f>
        <v>동국 자연</v>
      </c>
      <c r="W562" s="7">
        <f t="shared" si="93"/>
        <v>48</v>
      </c>
      <c r="X562" s="7">
        <f t="shared" si="94"/>
        <v>1</v>
      </c>
      <c r="Y562" s="7">
        <f>IFERROR(INDEX(환산공식!Q$16:Q$200,MATCH($A562,환산공식!$A$16:$A$200,0)),"")</f>
        <v>1.25</v>
      </c>
      <c r="Z562" s="7">
        <f>IFERROR(INDEX(환산공식!R$16:R$200,MATCH($A562,환산공식!$A$16:$A$200,0)),"")</f>
        <v>1.5</v>
      </c>
      <c r="AA562" s="7">
        <f>IFERROR(INDEX(환산공식!U$16:U$200,MATCH($A562,환산공식!$A$16:$A$200,0)),"")</f>
        <v>1</v>
      </c>
      <c r="AB562" s="7">
        <f t="shared" si="95"/>
        <v>0.33333333333333331</v>
      </c>
      <c r="AC562" s="7">
        <f t="shared" si="96"/>
        <v>0.4</v>
      </c>
      <c r="AD562" s="7">
        <f t="shared" si="97"/>
        <v>0.26666666666666666</v>
      </c>
      <c r="AE562" s="7">
        <f>INDEX(환산공식!$AF$16:$AF$301,MATCH('배치점수 계산기'!W562,환산공식!$A$16:$A$301,0))</f>
        <v>1</v>
      </c>
      <c r="AF562" s="7">
        <f>INDEX(환산공식!$AP$16:$AP$301,MATCH('배치점수 계산기'!W562,환산공식!$A$16:$A$301,0))</f>
        <v>4</v>
      </c>
      <c r="AG562" s="7" t="str">
        <f t="shared" si="98"/>
        <v>표점</v>
      </c>
      <c r="AH562" s="7" t="str">
        <f t="shared" si="99"/>
        <v>변표</v>
      </c>
      <c r="BO562" s="210"/>
      <c r="BP562" s="210"/>
      <c r="BQ562" s="210"/>
      <c r="BR562" s="210"/>
      <c r="BS562" s="210"/>
      <c r="BT562" s="210"/>
      <c r="BU562" s="210"/>
      <c r="BV562" s="210"/>
      <c r="BW562" s="210"/>
      <c r="BX562" s="210"/>
      <c r="BY562" s="210"/>
      <c r="BZ562" s="210"/>
      <c r="CA562" s="210"/>
      <c r="CB562" s="210"/>
      <c r="CC562" s="210"/>
      <c r="EM562" s="120"/>
      <c r="ET562" s="210"/>
      <c r="EU562" s="210"/>
      <c r="EV562" s="210"/>
      <c r="EW562" s="210"/>
      <c r="EX562" s="210"/>
      <c r="EY562" s="210"/>
      <c r="EZ562" s="210"/>
      <c r="FA562" s="210"/>
      <c r="FB562" s="210"/>
      <c r="FC562" s="210"/>
      <c r="FD562" s="210"/>
      <c r="FE562" s="210"/>
      <c r="FF562" s="210"/>
      <c r="FG562" s="210"/>
      <c r="FH562" s="210"/>
      <c r="HR562" s="120"/>
      <c r="HY562" s="210"/>
      <c r="HZ562" s="210"/>
      <c r="IA562" s="210"/>
      <c r="IB562" s="210"/>
      <c r="IC562" s="210"/>
      <c r="ID562" s="210"/>
      <c r="IE562" s="210"/>
      <c r="IF562" s="210"/>
      <c r="IG562" s="210"/>
      <c r="IH562" s="210"/>
      <c r="II562" s="210"/>
      <c r="IJ562" s="210"/>
      <c r="IK562" s="210"/>
      <c r="IL562" s="210"/>
      <c r="IM562" s="210"/>
      <c r="KW562" s="120"/>
      <c r="LD562" s="210"/>
      <c r="LE562" s="210"/>
      <c r="LF562" s="210"/>
      <c r="LG562" s="210"/>
      <c r="LH562" s="210"/>
      <c r="LI562" s="210"/>
      <c r="LJ562" s="210"/>
      <c r="LK562" s="210"/>
      <c r="LL562" s="210"/>
      <c r="LM562" s="210"/>
      <c r="LN562" s="210"/>
      <c r="LO562" s="210"/>
      <c r="LP562" s="210"/>
      <c r="LQ562" s="210"/>
      <c r="LR562" s="210"/>
      <c r="OB562" s="120"/>
      <c r="OI562" s="210"/>
      <c r="OJ562" s="210"/>
      <c r="OK562" s="210"/>
      <c r="OL562" s="210"/>
      <c r="OM562" s="210"/>
      <c r="ON562" s="210"/>
      <c r="OO562" s="210"/>
      <c r="OP562" s="210"/>
      <c r="OQ562" s="210"/>
      <c r="OR562" s="210"/>
      <c r="OS562" s="210"/>
      <c r="OT562" s="210"/>
      <c r="OU562" s="210"/>
      <c r="OV562" s="210"/>
      <c r="OW562" s="210"/>
      <c r="RG562" s="120"/>
    </row>
    <row r="563" spans="1:475" x14ac:dyDescent="0.3">
      <c r="A563" s="7">
        <v>68</v>
      </c>
      <c r="B563" s="7">
        <v>553</v>
      </c>
      <c r="C563" s="7" t="s">
        <v>276</v>
      </c>
      <c r="D563" s="7" t="s">
        <v>844</v>
      </c>
      <c r="E563" s="7" t="s">
        <v>685</v>
      </c>
      <c r="F563" s="7" t="s">
        <v>274</v>
      </c>
      <c r="G563" s="41" t="str">
        <f t="shared" si="91"/>
        <v>X</v>
      </c>
      <c r="H563" s="41">
        <f>INDEX(환산공식!CI$16:CI$301,MATCH('배치점수 계산기'!$W563,환산공식!$A$16:$A$301,0))</f>
        <v>10</v>
      </c>
      <c r="I563" s="41" t="str">
        <f>CONCATENATE(ROUND(INDEX(환산공식!CJ$16:CJ$301,MATCH('배치점수 계산기'!$W563,환산공식!$A$16:$A$301,0)),1),"%")</f>
        <v>100%</v>
      </c>
      <c r="J563" s="41">
        <f>INDEX(환산공식!CK$16:CK$301,MATCH('배치점수 계산기'!$W563,환산공식!$A$16:$A$301,0))</f>
        <v>10</v>
      </c>
      <c r="K563" s="7">
        <f>INDEX(환산공식!$EF$16:$EF$301,MATCH('배치점수 계산기'!W563,환산공식!$A$16:$A$301,0))</f>
        <v>0</v>
      </c>
      <c r="L563" s="41" t="str">
        <f t="shared" si="89"/>
        <v>1% 이하</v>
      </c>
      <c r="M563" s="7">
        <v>699.84079665601189</v>
      </c>
      <c r="N563" s="7">
        <v>698.62500000000023</v>
      </c>
      <c r="O563" s="7">
        <v>697.65800000000002</v>
      </c>
      <c r="P563" s="7">
        <v>696.71318417799762</v>
      </c>
      <c r="Q563" s="7">
        <v>694.34679880922852</v>
      </c>
      <c r="R563" s="7">
        <f t="shared" si="90"/>
        <v>6</v>
      </c>
      <c r="T563" s="7">
        <f>COUNTIF($C$11:C563,C563)</f>
        <v>288</v>
      </c>
      <c r="U563" s="7" t="str">
        <f t="shared" si="92"/>
        <v>가288</v>
      </c>
      <c r="V563" s="7" t="str">
        <f>INDEX(환산공식!$C$16:$C$301,MATCH('배치점수 계산기'!W563,환산공식!$A$16:$A$301,0))</f>
        <v>가톨 의약</v>
      </c>
      <c r="W563" s="7">
        <f t="shared" si="93"/>
        <v>68</v>
      </c>
      <c r="X563" s="7">
        <f t="shared" si="94"/>
        <v>1</v>
      </c>
      <c r="Y563" s="7">
        <f>IFERROR(INDEX(환산공식!Q$16:Q$200,MATCH($A563,환산공식!$A$16:$A$200,0)),"")</f>
        <v>1.5</v>
      </c>
      <c r="Z563" s="7">
        <f>IFERROR(INDEX(환산공식!R$16:R$200,MATCH($A563,환산공식!$A$16:$A$200,0)),"")</f>
        <v>2</v>
      </c>
      <c r="AA563" s="7">
        <f>IFERROR(INDEX(환산공식!U$16:U$200,MATCH($A563,환산공식!$A$16:$A$200,0)),"")</f>
        <v>1.5</v>
      </c>
      <c r="AB563" s="7">
        <f t="shared" si="95"/>
        <v>0.3</v>
      </c>
      <c r="AC563" s="7">
        <f t="shared" si="96"/>
        <v>0.4</v>
      </c>
      <c r="AD563" s="7">
        <f t="shared" si="97"/>
        <v>0.3</v>
      </c>
      <c r="AE563" s="7">
        <f>INDEX(환산공식!$AF$16:$AF$301,MATCH('배치점수 계산기'!W563,환산공식!$A$16:$A$301,0))</f>
        <v>1</v>
      </c>
      <c r="AF563" s="7">
        <f>INDEX(환산공식!$AP$16:$AP$301,MATCH('배치점수 계산기'!W563,환산공식!$A$16:$A$301,0))</f>
        <v>4</v>
      </c>
      <c r="AG563" s="7" t="str">
        <f t="shared" si="98"/>
        <v>표점</v>
      </c>
      <c r="AH563" s="7" t="str">
        <f t="shared" si="99"/>
        <v>변표</v>
      </c>
      <c r="BO563" s="210"/>
      <c r="BP563" s="210"/>
      <c r="BQ563" s="210"/>
      <c r="BR563" s="210"/>
      <c r="BS563" s="210"/>
      <c r="BT563" s="210"/>
      <c r="BU563" s="210"/>
      <c r="BV563" s="210"/>
      <c r="BW563" s="210"/>
      <c r="BX563" s="210"/>
      <c r="BY563" s="210"/>
      <c r="BZ563" s="210"/>
      <c r="CA563" s="210"/>
      <c r="CB563" s="210"/>
      <c r="CC563" s="210"/>
      <c r="EM563" s="120"/>
      <c r="ET563" s="210"/>
      <c r="EU563" s="210"/>
      <c r="EV563" s="210"/>
      <c r="EW563" s="210"/>
      <c r="EX563" s="210"/>
      <c r="EY563" s="210"/>
      <c r="EZ563" s="210"/>
      <c r="FA563" s="210"/>
      <c r="FB563" s="210"/>
      <c r="FC563" s="210"/>
      <c r="FD563" s="210"/>
      <c r="FE563" s="210"/>
      <c r="FF563" s="210"/>
      <c r="FG563" s="210"/>
      <c r="FH563" s="210"/>
      <c r="HR563" s="120"/>
      <c r="HY563" s="210"/>
      <c r="HZ563" s="210"/>
      <c r="IA563" s="210"/>
      <c r="IB563" s="210"/>
      <c r="IC563" s="210"/>
      <c r="ID563" s="210"/>
      <c r="IE563" s="210"/>
      <c r="IF563" s="210"/>
      <c r="IG563" s="210"/>
      <c r="IH563" s="210"/>
      <c r="II563" s="210"/>
      <c r="IJ563" s="210"/>
      <c r="IK563" s="210"/>
      <c r="IL563" s="210"/>
      <c r="IM563" s="210"/>
      <c r="KW563" s="120"/>
      <c r="LD563" s="210"/>
      <c r="LE563" s="210"/>
      <c r="LF563" s="210"/>
      <c r="LG563" s="210"/>
      <c r="LH563" s="210"/>
      <c r="LI563" s="210"/>
      <c r="LJ563" s="210"/>
      <c r="LK563" s="210"/>
      <c r="LL563" s="210"/>
      <c r="LM563" s="210"/>
      <c r="LN563" s="210"/>
      <c r="LO563" s="210"/>
      <c r="LP563" s="210"/>
      <c r="LQ563" s="210"/>
      <c r="LR563" s="210"/>
      <c r="OB563" s="120"/>
      <c r="OI563" s="210"/>
      <c r="OJ563" s="210"/>
      <c r="OK563" s="210"/>
      <c r="OL563" s="210"/>
      <c r="OM563" s="210"/>
      <c r="ON563" s="210"/>
      <c r="OO563" s="210"/>
      <c r="OP563" s="210"/>
      <c r="OQ563" s="210"/>
      <c r="OR563" s="210"/>
      <c r="OS563" s="210"/>
      <c r="OT563" s="210"/>
      <c r="OU563" s="210"/>
      <c r="OV563" s="210"/>
      <c r="OW563" s="210"/>
      <c r="RG563" s="120"/>
    </row>
    <row r="564" spans="1:475" x14ac:dyDescent="0.3">
      <c r="A564" s="7">
        <v>66</v>
      </c>
      <c r="B564" s="7">
        <v>554</v>
      </c>
      <c r="C564" s="7" t="s">
        <v>276</v>
      </c>
      <c r="D564" s="7" t="s">
        <v>679</v>
      </c>
      <c r="E564" s="7" t="s">
        <v>685</v>
      </c>
      <c r="F564" s="7" t="s">
        <v>274</v>
      </c>
      <c r="G564" s="41" t="str">
        <f t="shared" si="91"/>
        <v>X</v>
      </c>
      <c r="H564" s="41">
        <f>INDEX(환산공식!CI$16:CI$301,MATCH('배치점수 계산기'!$W564,환산공식!$A$16:$A$301,0))</f>
        <v>78.400000000000006</v>
      </c>
      <c r="I564" s="41" t="str">
        <f>CONCATENATE(ROUND(INDEX(환산공식!CJ$16:CJ$301,MATCH('배치점수 계산기'!$W564,환산공식!$A$16:$A$301,0)),1),"%")</f>
        <v>100%</v>
      </c>
      <c r="J564" s="41">
        <f>INDEX(환산공식!CK$16:CK$301,MATCH('배치점수 계산기'!$W564,환산공식!$A$16:$A$301,0))</f>
        <v>0</v>
      </c>
      <c r="K564" s="7">
        <f>INDEX(환산공식!$EF$16:$EF$301,MATCH('배치점수 계산기'!W564,환산공식!$A$16:$A$301,0))</f>
        <v>0</v>
      </c>
      <c r="L564" s="41" t="str">
        <f t="shared" si="89"/>
        <v>1% 이하</v>
      </c>
      <c r="M564" s="7">
        <v>388.82000000000005</v>
      </c>
      <c r="N564" s="7">
        <v>387.86</v>
      </c>
      <c r="O564" s="7">
        <v>387.46000000000004</v>
      </c>
      <c r="P564" s="7">
        <v>387.26000000000005</v>
      </c>
      <c r="Q564" s="7">
        <v>386.85999999999996</v>
      </c>
      <c r="R564" s="7">
        <f t="shared" si="90"/>
        <v>6</v>
      </c>
      <c r="T564" s="7">
        <f>COUNTIF($C$11:C564,C564)</f>
        <v>289</v>
      </c>
      <c r="U564" s="7" t="str">
        <f t="shared" si="92"/>
        <v>가289</v>
      </c>
      <c r="V564" s="7" t="str">
        <f>INDEX(환산공식!$C$16:$C$301,MATCH('배치점수 계산기'!W564,환산공식!$A$16:$A$301,0))</f>
        <v>가천 의약</v>
      </c>
      <c r="W564" s="7">
        <f t="shared" si="93"/>
        <v>66</v>
      </c>
      <c r="X564" s="7">
        <f t="shared" si="94"/>
        <v>1</v>
      </c>
      <c r="Y564" s="7">
        <f>IFERROR(INDEX(환산공식!Q$16:Q$200,MATCH($A564,환산공식!$A$16:$A$200,0)),"")</f>
        <v>1</v>
      </c>
      <c r="Z564" s="7">
        <f>IFERROR(INDEX(환산공식!R$16:R$200,MATCH($A564,환산공식!$A$16:$A$200,0)),"")</f>
        <v>1.2</v>
      </c>
      <c r="AA564" s="7">
        <f>IFERROR(INDEX(환산공식!U$16:U$200,MATCH($A564,환산공식!$A$16:$A$200,0)),"")</f>
        <v>1</v>
      </c>
      <c r="AB564" s="7">
        <f t="shared" si="95"/>
        <v>0.3125</v>
      </c>
      <c r="AC564" s="7">
        <f t="shared" si="96"/>
        <v>0.37499999999999994</v>
      </c>
      <c r="AD564" s="7">
        <f t="shared" si="97"/>
        <v>0.3125</v>
      </c>
      <c r="AE564" s="7">
        <f>INDEX(환산공식!$AF$16:$AF$301,MATCH('배치점수 계산기'!W564,환산공식!$A$16:$A$301,0))</f>
        <v>2</v>
      </c>
      <c r="AF564" s="7">
        <f>INDEX(환산공식!$AP$16:$AP$301,MATCH('배치점수 계산기'!W564,환산공식!$A$16:$A$301,0))</f>
        <v>2</v>
      </c>
      <c r="AG564" s="7" t="str">
        <f t="shared" si="98"/>
        <v>백분위</v>
      </c>
      <c r="AH564" s="7" t="str">
        <f t="shared" si="99"/>
        <v>백분위</v>
      </c>
      <c r="BO564" s="210"/>
      <c r="BP564" s="210"/>
      <c r="BQ564" s="210"/>
      <c r="BR564" s="210"/>
      <c r="BS564" s="210"/>
      <c r="BT564" s="210"/>
      <c r="BU564" s="210"/>
      <c r="BV564" s="210"/>
      <c r="BW564" s="210"/>
      <c r="BX564" s="210"/>
      <c r="BY564" s="210"/>
      <c r="BZ564" s="210"/>
      <c r="CA564" s="210"/>
      <c r="CB564" s="210"/>
      <c r="CC564" s="210"/>
      <c r="EM564" s="120"/>
      <c r="ET564" s="210"/>
      <c r="EU564" s="210"/>
      <c r="EV564" s="210"/>
      <c r="EW564" s="210"/>
      <c r="EX564" s="210"/>
      <c r="EY564" s="210"/>
      <c r="EZ564" s="210"/>
      <c r="FA564" s="210"/>
      <c r="FB564" s="210"/>
      <c r="FC564" s="210"/>
      <c r="FD564" s="210"/>
      <c r="FE564" s="210"/>
      <c r="FF564" s="210"/>
      <c r="FG564" s="210"/>
      <c r="FH564" s="210"/>
      <c r="HR564" s="120"/>
      <c r="HY564" s="210"/>
      <c r="HZ564" s="210"/>
      <c r="IA564" s="210"/>
      <c r="IB564" s="210"/>
      <c r="IC564" s="210"/>
      <c r="ID564" s="210"/>
      <c r="IE564" s="210"/>
      <c r="IF564" s="210"/>
      <c r="IG564" s="210"/>
      <c r="IH564" s="210"/>
      <c r="II564" s="210"/>
      <c r="IJ564" s="210"/>
      <c r="IK564" s="210"/>
      <c r="IL564" s="210"/>
      <c r="IM564" s="210"/>
      <c r="KW564" s="120"/>
      <c r="LD564" s="210"/>
      <c r="LE564" s="210"/>
      <c r="LF564" s="210"/>
      <c r="LG564" s="210"/>
      <c r="LH564" s="210"/>
      <c r="LI564" s="210"/>
      <c r="LJ564" s="210"/>
      <c r="LK564" s="210"/>
      <c r="LL564" s="210"/>
      <c r="LM564" s="210"/>
      <c r="LN564" s="210"/>
      <c r="LO564" s="210"/>
      <c r="LP564" s="210"/>
      <c r="LQ564" s="210"/>
      <c r="LR564" s="210"/>
      <c r="OB564" s="120"/>
      <c r="OI564" s="210"/>
      <c r="OJ564" s="210"/>
      <c r="OK564" s="210"/>
      <c r="OL564" s="210"/>
      <c r="OM564" s="210"/>
      <c r="ON564" s="210"/>
      <c r="OO564" s="210"/>
      <c r="OP564" s="210"/>
      <c r="OQ564" s="210"/>
      <c r="OR564" s="210"/>
      <c r="OS564" s="210"/>
      <c r="OT564" s="210"/>
      <c r="OU564" s="210"/>
      <c r="OV564" s="210"/>
      <c r="OW564" s="210"/>
      <c r="RG564" s="120"/>
    </row>
    <row r="565" spans="1:475" x14ac:dyDescent="0.3">
      <c r="A565" s="7">
        <v>70</v>
      </c>
      <c r="B565" s="7">
        <v>555</v>
      </c>
      <c r="C565" s="7" t="s">
        <v>276</v>
      </c>
      <c r="D565" s="7" t="s">
        <v>684</v>
      </c>
      <c r="E565" s="7" t="s">
        <v>685</v>
      </c>
      <c r="F565" s="7" t="s">
        <v>274</v>
      </c>
      <c r="G565" s="41" t="str">
        <f t="shared" si="91"/>
        <v>X</v>
      </c>
      <c r="H565" s="41">
        <f>INDEX(환산공식!CI$16:CI$301,MATCH('배치점수 계산기'!$W565,환산공식!$A$16:$A$301,0))</f>
        <v>100</v>
      </c>
      <c r="I565" s="41" t="str">
        <f>CONCATENATE(ROUND(INDEX(환산공식!CJ$16:CJ$301,MATCH('배치점수 계산기'!$W565,환산공식!$A$16:$A$301,0)),1),"%")</f>
        <v>100%</v>
      </c>
      <c r="J565" s="41">
        <f>INDEX(환산공식!CK$16:CK$301,MATCH('배치점수 계산기'!$W565,환산공식!$A$16:$A$301,0))</f>
        <v>1.5</v>
      </c>
      <c r="K565" s="7">
        <f>INDEX(환산공식!$EF$16:$EF$301,MATCH('배치점수 계산기'!W565,환산공식!$A$16:$A$301,0))</f>
        <v>0</v>
      </c>
      <c r="L565" s="41" t="str">
        <f t="shared" si="89"/>
        <v>1% 이하</v>
      </c>
      <c r="M565" s="7">
        <v>515.54999999999995</v>
      </c>
      <c r="N565" s="7">
        <v>515.25</v>
      </c>
      <c r="O565" s="7">
        <v>514.19999999999993</v>
      </c>
      <c r="P565" s="7">
        <v>512.9</v>
      </c>
      <c r="Q565" s="7">
        <v>510.25000000000006</v>
      </c>
      <c r="R565" s="7">
        <f t="shared" si="90"/>
        <v>6</v>
      </c>
      <c r="T565" s="7">
        <f>COUNTIF($C$11:C565,C565)</f>
        <v>290</v>
      </c>
      <c r="U565" s="7" t="str">
        <f t="shared" si="92"/>
        <v>가290</v>
      </c>
      <c r="V565" s="7" t="str">
        <f>INDEX(환산공식!$C$16:$C$301,MATCH('배치점수 계산기'!W565,환산공식!$A$16:$A$301,0))</f>
        <v>강원 의약수</v>
      </c>
      <c r="W565" s="7">
        <f t="shared" si="93"/>
        <v>70</v>
      </c>
      <c r="X565" s="7">
        <f t="shared" si="94"/>
        <v>1</v>
      </c>
      <c r="Y565" s="7">
        <f>IFERROR(INDEX(환산공식!Q$16:Q$200,MATCH($A565,환산공식!$A$16:$A$200,0)),"")</f>
        <v>1</v>
      </c>
      <c r="Z565" s="7">
        <f>IFERROR(INDEX(환산공식!R$16:R$200,MATCH($A565,환산공식!$A$16:$A$200,0)),"")</f>
        <v>1.5</v>
      </c>
      <c r="AA565" s="7">
        <f>IFERROR(INDEX(환산공식!U$16:U$200,MATCH($A565,환산공식!$A$16:$A$200,0)),"")</f>
        <v>1.5</v>
      </c>
      <c r="AB565" s="7">
        <f t="shared" si="95"/>
        <v>0.25</v>
      </c>
      <c r="AC565" s="7">
        <f t="shared" si="96"/>
        <v>0.375</v>
      </c>
      <c r="AD565" s="7">
        <f t="shared" si="97"/>
        <v>0.375</v>
      </c>
      <c r="AE565" s="7">
        <f>INDEX(환산공식!$AF$16:$AF$301,MATCH('배치점수 계산기'!W565,환산공식!$A$16:$A$301,0))</f>
        <v>2</v>
      </c>
      <c r="AF565" s="7">
        <f>INDEX(환산공식!$AP$16:$AP$301,MATCH('배치점수 계산기'!W565,환산공식!$A$16:$A$301,0))</f>
        <v>2</v>
      </c>
      <c r="AG565" s="7" t="str">
        <f t="shared" si="98"/>
        <v>백분위</v>
      </c>
      <c r="AH565" s="7" t="str">
        <f t="shared" si="99"/>
        <v>백분위</v>
      </c>
      <c r="BO565" s="210"/>
      <c r="BP565" s="210"/>
      <c r="BQ565" s="210"/>
      <c r="BR565" s="210"/>
      <c r="BS565" s="210"/>
      <c r="BT565" s="210"/>
      <c r="BU565" s="210"/>
      <c r="BV565" s="210"/>
      <c r="BW565" s="210"/>
      <c r="BX565" s="210"/>
      <c r="BY565" s="210"/>
      <c r="BZ565" s="210"/>
      <c r="CA565" s="210"/>
      <c r="CB565" s="210"/>
      <c r="CC565" s="210"/>
      <c r="EM565" s="120"/>
      <c r="ET565" s="210"/>
      <c r="EU565" s="210"/>
      <c r="EV565" s="210"/>
      <c r="EW565" s="210"/>
      <c r="EX565" s="210"/>
      <c r="EY565" s="210"/>
      <c r="EZ565" s="210"/>
      <c r="FA565" s="210"/>
      <c r="FB565" s="210"/>
      <c r="FC565" s="210"/>
      <c r="FD565" s="210"/>
      <c r="FE565" s="210"/>
      <c r="FF565" s="210"/>
      <c r="FG565" s="210"/>
      <c r="FH565" s="210"/>
      <c r="HR565" s="120"/>
      <c r="HY565" s="210"/>
      <c r="HZ565" s="210"/>
      <c r="IA565" s="210"/>
      <c r="IB565" s="210"/>
      <c r="IC565" s="210"/>
      <c r="ID565" s="210"/>
      <c r="IE565" s="210"/>
      <c r="IF565" s="210"/>
      <c r="IG565" s="210"/>
      <c r="IH565" s="210"/>
      <c r="II565" s="210"/>
      <c r="IJ565" s="210"/>
      <c r="IK565" s="210"/>
      <c r="IL565" s="210"/>
      <c r="IM565" s="210"/>
      <c r="KW565" s="120"/>
      <c r="LD565" s="210"/>
      <c r="LE565" s="210"/>
      <c r="LF565" s="210"/>
      <c r="LG565" s="210"/>
      <c r="LH565" s="210"/>
      <c r="LI565" s="210"/>
      <c r="LJ565" s="210"/>
      <c r="LK565" s="210"/>
      <c r="LL565" s="210"/>
      <c r="LM565" s="210"/>
      <c r="LN565" s="210"/>
      <c r="LO565" s="210"/>
      <c r="LP565" s="210"/>
      <c r="LQ565" s="210"/>
      <c r="LR565" s="210"/>
      <c r="OB565" s="120"/>
      <c r="OI565" s="210"/>
      <c r="OJ565" s="210"/>
      <c r="OK565" s="210"/>
      <c r="OL565" s="210"/>
      <c r="OM565" s="210"/>
      <c r="ON565" s="210"/>
      <c r="OO565" s="210"/>
      <c r="OP565" s="210"/>
      <c r="OQ565" s="210"/>
      <c r="OR565" s="210"/>
      <c r="OS565" s="210"/>
      <c r="OT565" s="210"/>
      <c r="OU565" s="210"/>
      <c r="OV565" s="210"/>
      <c r="OW565" s="210"/>
      <c r="RG565" s="120"/>
    </row>
    <row r="566" spans="1:475" x14ac:dyDescent="0.3">
      <c r="A566" s="7">
        <v>126</v>
      </c>
      <c r="B566" s="7">
        <v>556</v>
      </c>
      <c r="C566" s="7" t="s">
        <v>276</v>
      </c>
      <c r="D566" s="7" t="s">
        <v>705</v>
      </c>
      <c r="E566" s="7" t="s">
        <v>685</v>
      </c>
      <c r="F566" s="7" t="s">
        <v>274</v>
      </c>
      <c r="G566" s="41" t="str">
        <f t="shared" si="91"/>
        <v>X</v>
      </c>
      <c r="H566" s="41">
        <f>INDEX(환산공식!CI$16:CI$301,MATCH('배치점수 계산기'!$W566,환산공식!$A$16:$A$301,0))</f>
        <v>40</v>
      </c>
      <c r="I566" s="41" t="str">
        <f>CONCATENATE(ROUND(INDEX(환산공식!CJ$16:CJ$301,MATCH('배치점수 계산기'!$W566,환산공식!$A$16:$A$301,0)),1),"%")</f>
        <v>100%</v>
      </c>
      <c r="J566" s="41">
        <f>INDEX(환산공식!CK$16:CK$301,MATCH('배치점수 계산기'!$W566,환산공식!$A$16:$A$301,0))</f>
        <v>0</v>
      </c>
      <c r="K566" s="7">
        <f>INDEX(환산공식!$EF$16:$EF$301,MATCH('배치점수 계산기'!W566,환산공식!$A$16:$A$301,0))</f>
        <v>800</v>
      </c>
      <c r="L566" s="41" t="str">
        <f t="shared" si="89"/>
        <v>1% 이하</v>
      </c>
      <c r="M566" s="7">
        <v>986.48954152179181</v>
      </c>
      <c r="N566" s="7">
        <v>986.28930883313126</v>
      </c>
      <c r="O566" s="7">
        <v>985.85937132730157</v>
      </c>
      <c r="P566" s="7">
        <v>985.51790691166866</v>
      </c>
      <c r="Q566" s="7">
        <v>985.27392967073968</v>
      </c>
      <c r="R566" s="7">
        <f t="shared" si="90"/>
        <v>6</v>
      </c>
      <c r="T566" s="7">
        <f>COUNTIF($C$11:C566,C566)</f>
        <v>291</v>
      </c>
      <c r="U566" s="7" t="str">
        <f t="shared" si="92"/>
        <v>가291</v>
      </c>
      <c r="V566" s="7" t="str">
        <f>INDEX(환산공식!$C$16:$C$301,MATCH('배치점수 계산기'!W566,환산공식!$A$16:$A$301,0))</f>
        <v>충북 의약수</v>
      </c>
      <c r="W566" s="7">
        <f t="shared" si="93"/>
        <v>126</v>
      </c>
      <c r="X566" s="7">
        <f t="shared" si="94"/>
        <v>1</v>
      </c>
      <c r="Y566" s="7">
        <f>IFERROR(INDEX(환산공식!Q$16:Q$200,MATCH($A566,환산공식!$A$16:$A$200,0)),"")</f>
        <v>0.26845637583892618</v>
      </c>
      <c r="Z566" s="7">
        <f>IFERROR(INDEX(환산공식!R$16:R$200,MATCH($A566,환산공식!$A$16:$A$200,0)),"")</f>
        <v>0.40816326530612246</v>
      </c>
      <c r="AA566" s="7">
        <f>IFERROR(INDEX(환산공식!U$16:U$200,MATCH($A566,환산공식!$A$16:$A$200,0)),"")</f>
        <v>0.42253521126760563</v>
      </c>
      <c r="AB566" s="7">
        <f t="shared" si="95"/>
        <v>0.24423890341716833</v>
      </c>
      <c r="AC566" s="7">
        <f t="shared" si="96"/>
        <v>0.37134282254242945</v>
      </c>
      <c r="AD566" s="7">
        <f t="shared" si="97"/>
        <v>0.3844182740404023</v>
      </c>
      <c r="AE566" s="7">
        <f>INDEX(환산공식!$AF$16:$AF$301,MATCH('배치점수 계산기'!W566,환산공식!$A$16:$A$301,0))</f>
        <v>12</v>
      </c>
      <c r="AF566" s="7">
        <f>INDEX(환산공식!$AP$16:$AP$301,MATCH('배치점수 계산기'!W566,환산공식!$A$16:$A$301,0))</f>
        <v>12</v>
      </c>
      <c r="AG566" s="7" t="str">
        <f t="shared" si="98"/>
        <v>표점/만점</v>
      </c>
      <c r="AH566" s="7" t="str">
        <f t="shared" si="99"/>
        <v>표점/만점</v>
      </c>
      <c r="BO566" s="210"/>
      <c r="BP566" s="210"/>
      <c r="BQ566" s="210"/>
      <c r="BR566" s="210"/>
      <c r="BS566" s="210"/>
      <c r="BT566" s="210"/>
      <c r="BU566" s="210"/>
      <c r="BV566" s="210"/>
      <c r="BW566" s="210"/>
      <c r="BX566" s="210"/>
      <c r="BY566" s="210"/>
      <c r="BZ566" s="210"/>
      <c r="CA566" s="210"/>
      <c r="CB566" s="210"/>
      <c r="CC566" s="210"/>
      <c r="EM566" s="120"/>
      <c r="ET566" s="210"/>
      <c r="EU566" s="210"/>
      <c r="EV566" s="210"/>
      <c r="EW566" s="210"/>
      <c r="EX566" s="210"/>
      <c r="EY566" s="210"/>
      <c r="EZ566" s="210"/>
      <c r="FA566" s="210"/>
      <c r="FB566" s="210"/>
      <c r="FC566" s="210"/>
      <c r="FD566" s="210"/>
      <c r="FE566" s="210"/>
      <c r="FF566" s="210"/>
      <c r="FG566" s="210"/>
      <c r="FH566" s="210"/>
      <c r="HR566" s="120"/>
      <c r="HY566" s="210"/>
      <c r="HZ566" s="210"/>
      <c r="IA566" s="210"/>
      <c r="IB566" s="210"/>
      <c r="IC566" s="210"/>
      <c r="ID566" s="210"/>
      <c r="IE566" s="210"/>
      <c r="IF566" s="210"/>
      <c r="IG566" s="210"/>
      <c r="IH566" s="210"/>
      <c r="II566" s="210"/>
      <c r="IJ566" s="210"/>
      <c r="IK566" s="210"/>
      <c r="IL566" s="210"/>
      <c r="IM566" s="210"/>
      <c r="KW566" s="120"/>
      <c r="LD566" s="210"/>
      <c r="LE566" s="210"/>
      <c r="LF566" s="210"/>
      <c r="LG566" s="210"/>
      <c r="LH566" s="210"/>
      <c r="LI566" s="210"/>
      <c r="LJ566" s="210"/>
      <c r="LK566" s="210"/>
      <c r="LL566" s="210"/>
      <c r="LM566" s="210"/>
      <c r="LN566" s="210"/>
      <c r="LO566" s="210"/>
      <c r="LP566" s="210"/>
      <c r="LQ566" s="210"/>
      <c r="LR566" s="210"/>
      <c r="OB566" s="120"/>
      <c r="OI566" s="210"/>
      <c r="OJ566" s="210"/>
      <c r="OK566" s="210"/>
      <c r="OL566" s="210"/>
      <c r="OM566" s="210"/>
      <c r="ON566" s="210"/>
      <c r="OO566" s="210"/>
      <c r="OP566" s="210"/>
      <c r="OQ566" s="210"/>
      <c r="OR566" s="210"/>
      <c r="OS566" s="210"/>
      <c r="OT566" s="210"/>
      <c r="OU566" s="210"/>
      <c r="OV566" s="210"/>
      <c r="OW566" s="210"/>
      <c r="RG566" s="120"/>
    </row>
    <row r="567" spans="1:475" x14ac:dyDescent="0.3">
      <c r="A567" s="7">
        <v>101</v>
      </c>
      <c r="B567" s="7">
        <v>557</v>
      </c>
      <c r="C567" s="7" t="s">
        <v>276</v>
      </c>
      <c r="D567" s="7" t="s">
        <v>863</v>
      </c>
      <c r="E567" s="7" t="s">
        <v>685</v>
      </c>
      <c r="F567" s="7" t="s">
        <v>274</v>
      </c>
      <c r="G567" s="41" t="str">
        <f t="shared" si="91"/>
        <v>X</v>
      </c>
      <c r="H567" s="41">
        <f>INDEX(환산공식!CI$16:CI$301,MATCH('배치점수 계산기'!$W567,환산공식!$A$16:$A$301,0))</f>
        <v>200</v>
      </c>
      <c r="I567" s="41" t="str">
        <f>CONCATENATE(ROUND(INDEX(환산공식!CJ$16:CJ$301,MATCH('배치점수 계산기'!$W567,환산공식!$A$16:$A$301,0)),1),"%")</f>
        <v>100%</v>
      </c>
      <c r="J567" s="41">
        <f>INDEX(환산공식!CK$16:CK$301,MATCH('배치점수 계산기'!$W567,환산공식!$A$16:$A$301,0))</f>
        <v>3</v>
      </c>
      <c r="K567" s="7">
        <f>INDEX(환산공식!$EF$16:$EF$301,MATCH('배치점수 계산기'!W567,환산공식!$A$16:$A$301,0))</f>
        <v>0</v>
      </c>
      <c r="L567" s="41" t="str">
        <f t="shared" si="89"/>
        <v>1% 이하</v>
      </c>
      <c r="M567" s="7">
        <v>934.29567227760231</v>
      </c>
      <c r="N567" s="7">
        <v>933.41562264038521</v>
      </c>
      <c r="O567" s="7">
        <v>931.07591463443032</v>
      </c>
      <c r="P567" s="7">
        <v>929.35152351398369</v>
      </c>
      <c r="Q567" s="7">
        <v>927.96954741016134</v>
      </c>
      <c r="R567" s="7">
        <f t="shared" si="90"/>
        <v>6</v>
      </c>
      <c r="T567" s="7">
        <f>COUNTIF($C$11:C567,C567)</f>
        <v>292</v>
      </c>
      <c r="U567" s="7" t="str">
        <f t="shared" si="92"/>
        <v>가292</v>
      </c>
      <c r="V567" s="7" t="str">
        <f>INDEX(환산공식!$C$16:$C$301,MATCH('배치점수 계산기'!W567,환산공식!$A$16:$A$301,0))</f>
        <v>숙명 약</v>
      </c>
      <c r="W567" s="7">
        <f t="shared" si="93"/>
        <v>101</v>
      </c>
      <c r="X567" s="7">
        <f t="shared" si="94"/>
        <v>1</v>
      </c>
      <c r="Y567" s="7">
        <f>IFERROR(INDEX(환산공식!Q$16:Q$200,MATCH($A567,환산공식!$A$16:$A$200,0)),"")</f>
        <v>1.6778523489932886</v>
      </c>
      <c r="Z567" s="7">
        <f>IFERROR(INDEX(환산공식!R$16:R$200,MATCH($A567,환산공식!$A$16:$A$200,0)),"")</f>
        <v>2.3809523809523809</v>
      </c>
      <c r="AA567" s="7">
        <f>IFERROR(INDEX(환산공식!U$16:U$200,MATCH($A567,환산공식!$A$16:$A$200,0)),"")</f>
        <v>1.4058765640376776</v>
      </c>
      <c r="AB567" s="7">
        <f t="shared" si="95"/>
        <v>0.30703571877844293</v>
      </c>
      <c r="AC567" s="7">
        <f t="shared" si="96"/>
        <v>0.4356983056951238</v>
      </c>
      <c r="AD567" s="7">
        <f t="shared" si="97"/>
        <v>0.25726597552643332</v>
      </c>
      <c r="AE567" s="7">
        <f>INDEX(환산공식!$AF$16:$AF$301,MATCH('배치점수 계산기'!W567,환산공식!$A$16:$A$301,0))</f>
        <v>12</v>
      </c>
      <c r="AF567" s="7">
        <f>INDEX(환산공식!$AP$16:$AP$301,MATCH('배치점수 계산기'!W567,환산공식!$A$16:$A$301,0))</f>
        <v>42</v>
      </c>
      <c r="AG567" s="7" t="str">
        <f t="shared" si="98"/>
        <v>표점/만점</v>
      </c>
      <c r="AH567" s="7" t="str">
        <f t="shared" si="99"/>
        <v>변표/만점</v>
      </c>
      <c r="BO567" s="210"/>
      <c r="BP567" s="210"/>
      <c r="BQ567" s="210"/>
      <c r="BR567" s="210"/>
      <c r="BS567" s="210"/>
      <c r="BT567" s="210"/>
      <c r="BU567" s="210"/>
      <c r="BV567" s="210"/>
      <c r="BW567" s="210"/>
      <c r="BX567" s="210"/>
      <c r="BY567" s="210"/>
      <c r="BZ567" s="210"/>
      <c r="CA567" s="210"/>
      <c r="CB567" s="210"/>
      <c r="CC567" s="210"/>
      <c r="EM567" s="120"/>
      <c r="ET567" s="210"/>
      <c r="EU567" s="210"/>
      <c r="EV567" s="210"/>
      <c r="EW567" s="210"/>
      <c r="EX567" s="210"/>
      <c r="EY567" s="210"/>
      <c r="EZ567" s="210"/>
      <c r="FA567" s="210"/>
      <c r="FB567" s="210"/>
      <c r="FC567" s="210"/>
      <c r="FD567" s="210"/>
      <c r="FE567" s="210"/>
      <c r="FF567" s="210"/>
      <c r="FG567" s="210"/>
      <c r="FH567" s="210"/>
      <c r="HR567" s="120"/>
      <c r="HY567" s="210"/>
      <c r="HZ567" s="210"/>
      <c r="IA567" s="210"/>
      <c r="IB567" s="210"/>
      <c r="IC567" s="210"/>
      <c r="ID567" s="210"/>
      <c r="IE567" s="210"/>
      <c r="IF567" s="210"/>
      <c r="IG567" s="210"/>
      <c r="IH567" s="210"/>
      <c r="II567" s="210"/>
      <c r="IJ567" s="210"/>
      <c r="IK567" s="210"/>
      <c r="IL567" s="210"/>
      <c r="IM567" s="210"/>
      <c r="KW567" s="120"/>
      <c r="LD567" s="210"/>
      <c r="LE567" s="210"/>
      <c r="LF567" s="210"/>
      <c r="LG567" s="210"/>
      <c r="LH567" s="210"/>
      <c r="LI567" s="210"/>
      <c r="LJ567" s="210"/>
      <c r="LK567" s="210"/>
      <c r="LL567" s="210"/>
      <c r="LM567" s="210"/>
      <c r="LN567" s="210"/>
      <c r="LO567" s="210"/>
      <c r="LP567" s="210"/>
      <c r="LQ567" s="210"/>
      <c r="LR567" s="210"/>
      <c r="OB567" s="120"/>
      <c r="OI567" s="210"/>
      <c r="OJ567" s="210"/>
      <c r="OK567" s="210"/>
      <c r="OL567" s="210"/>
      <c r="OM567" s="210"/>
      <c r="ON567" s="210"/>
      <c r="OO567" s="210"/>
      <c r="OP567" s="210"/>
      <c r="OQ567" s="210"/>
      <c r="OR567" s="210"/>
      <c r="OS567" s="210"/>
      <c r="OT567" s="210"/>
      <c r="OU567" s="210"/>
      <c r="OV567" s="210"/>
      <c r="OW567" s="210"/>
      <c r="RG567" s="120"/>
    </row>
    <row r="568" spans="1:475" x14ac:dyDescent="0.3">
      <c r="A568" s="7">
        <v>73</v>
      </c>
      <c r="B568" s="7">
        <v>558</v>
      </c>
      <c r="C568" s="7" t="s">
        <v>276</v>
      </c>
      <c r="D568" s="7" t="s">
        <v>706</v>
      </c>
      <c r="E568" s="7" t="s">
        <v>685</v>
      </c>
      <c r="F568" s="7" t="s">
        <v>274</v>
      </c>
      <c r="G568" s="41" t="str">
        <f t="shared" si="91"/>
        <v>X</v>
      </c>
      <c r="H568" s="41">
        <f>INDEX(환산공식!CI$16:CI$301,MATCH('배치점수 계산기'!$W568,환산공식!$A$16:$A$301,0))</f>
        <v>125</v>
      </c>
      <c r="I568" s="41" t="str">
        <f>CONCATENATE(ROUND(INDEX(환산공식!CJ$16:CJ$301,MATCH('배치점수 계산기'!$W568,환산공식!$A$16:$A$301,0)),1),"%")</f>
        <v>100%</v>
      </c>
      <c r="J568" s="41">
        <f>INDEX(환산공식!CK$16:CK$301,MATCH('배치점수 계산기'!$W568,환산공식!$A$16:$A$301,0))</f>
        <v>10</v>
      </c>
      <c r="K568" s="7">
        <f>INDEX(환산공식!$EF$16:$EF$301,MATCH('배치점수 계산기'!W568,환산공식!$A$16:$A$301,0))</f>
        <v>0</v>
      </c>
      <c r="L568" s="41" t="str">
        <f t="shared" si="89"/>
        <v>1% 이하</v>
      </c>
      <c r="M568" s="7">
        <v>727.91406674907307</v>
      </c>
      <c r="N568" s="7">
        <v>725.88590424212362</v>
      </c>
      <c r="O568" s="7">
        <v>725.02250000000004</v>
      </c>
      <c r="P568" s="7">
        <v>724.11249999999995</v>
      </c>
      <c r="Q568" s="7">
        <v>723.13750000000005</v>
      </c>
      <c r="R568" s="7">
        <f t="shared" si="90"/>
        <v>6</v>
      </c>
      <c r="T568" s="7">
        <f>COUNTIF($C$11:C568,C568)</f>
        <v>293</v>
      </c>
      <c r="U568" s="7" t="str">
        <f t="shared" si="92"/>
        <v>가293</v>
      </c>
      <c r="V568" s="7" t="str">
        <f>INDEX(환산공식!$C$16:$C$301,MATCH('배치점수 계산기'!W568,환산공식!$A$16:$A$301,0))</f>
        <v>경북 의치약수</v>
      </c>
      <c r="W568" s="7">
        <f t="shared" si="93"/>
        <v>73</v>
      </c>
      <c r="X568" s="7">
        <f t="shared" si="94"/>
        <v>1</v>
      </c>
      <c r="Y568" s="7">
        <f>IFERROR(INDEX(환산공식!Q$16:Q$200,MATCH($A568,환산공식!$A$16:$A$200,0)),"")</f>
        <v>1.25</v>
      </c>
      <c r="Z568" s="7">
        <f>IFERROR(INDEX(환산공식!R$16:R$200,MATCH($A568,환산공식!$A$16:$A$200,0)),"")</f>
        <v>1.875</v>
      </c>
      <c r="AA568" s="7">
        <f>IFERROR(INDEX(환산공식!U$16:U$200,MATCH($A568,환산공식!$A$16:$A$200,0)),"")</f>
        <v>1.25</v>
      </c>
      <c r="AB568" s="7">
        <f t="shared" si="95"/>
        <v>0.2857142857142857</v>
      </c>
      <c r="AC568" s="7">
        <f t="shared" si="96"/>
        <v>0.42857142857142855</v>
      </c>
      <c r="AD568" s="7">
        <f t="shared" si="97"/>
        <v>0.2857142857142857</v>
      </c>
      <c r="AE568" s="7">
        <f>INDEX(환산공식!$AF$16:$AF$301,MATCH('배치점수 계산기'!W568,환산공식!$A$16:$A$301,0))</f>
        <v>1</v>
      </c>
      <c r="AF568" s="7">
        <f>INDEX(환산공식!$AP$16:$AP$301,MATCH('배치점수 계산기'!W568,환산공식!$A$16:$A$301,0))</f>
        <v>4</v>
      </c>
      <c r="AG568" s="7" t="str">
        <f t="shared" si="98"/>
        <v>표점</v>
      </c>
      <c r="AH568" s="7" t="str">
        <f t="shared" si="99"/>
        <v>변표</v>
      </c>
      <c r="BO568" s="210"/>
      <c r="BP568" s="210"/>
      <c r="BQ568" s="210"/>
      <c r="BR568" s="210"/>
      <c r="BS568" s="210"/>
      <c r="BT568" s="210"/>
      <c r="BU568" s="210"/>
      <c r="BV568" s="210"/>
      <c r="BW568" s="210"/>
      <c r="BX568" s="210"/>
      <c r="BY568" s="210"/>
      <c r="BZ568" s="210"/>
      <c r="CA568" s="210"/>
      <c r="CB568" s="210"/>
      <c r="CC568" s="210"/>
      <c r="EM568" s="120"/>
      <c r="ET568" s="210"/>
      <c r="EU568" s="210"/>
      <c r="EV568" s="210"/>
      <c r="EW568" s="210"/>
      <c r="EX568" s="210"/>
      <c r="EY568" s="210"/>
      <c r="EZ568" s="210"/>
      <c r="FA568" s="210"/>
      <c r="FB568" s="210"/>
      <c r="FC568" s="210"/>
      <c r="FD568" s="210"/>
      <c r="FE568" s="210"/>
      <c r="FF568" s="210"/>
      <c r="FG568" s="210"/>
      <c r="FH568" s="210"/>
      <c r="HR568" s="120"/>
      <c r="HY568" s="210"/>
      <c r="HZ568" s="210"/>
      <c r="IA568" s="210"/>
      <c r="IB568" s="210"/>
      <c r="IC568" s="210"/>
      <c r="ID568" s="210"/>
      <c r="IE568" s="210"/>
      <c r="IF568" s="210"/>
      <c r="IG568" s="210"/>
      <c r="IH568" s="210"/>
      <c r="II568" s="210"/>
      <c r="IJ568" s="210"/>
      <c r="IK568" s="210"/>
      <c r="IL568" s="210"/>
      <c r="IM568" s="210"/>
      <c r="KW568" s="120"/>
      <c r="LD568" s="210"/>
      <c r="LE568" s="210"/>
      <c r="LF568" s="210"/>
      <c r="LG568" s="210"/>
      <c r="LH568" s="210"/>
      <c r="LI568" s="210"/>
      <c r="LJ568" s="210"/>
      <c r="LK568" s="210"/>
      <c r="LL568" s="210"/>
      <c r="LM568" s="210"/>
      <c r="LN568" s="210"/>
      <c r="LO568" s="210"/>
      <c r="LP568" s="210"/>
      <c r="LQ568" s="210"/>
      <c r="LR568" s="210"/>
      <c r="OB568" s="120"/>
      <c r="OI568" s="210"/>
      <c r="OJ568" s="210"/>
      <c r="OK568" s="210"/>
      <c r="OL568" s="210"/>
      <c r="OM568" s="210"/>
      <c r="ON568" s="210"/>
      <c r="OO568" s="210"/>
      <c r="OP568" s="210"/>
      <c r="OQ568" s="210"/>
      <c r="OR568" s="210"/>
      <c r="OS568" s="210"/>
      <c r="OT568" s="210"/>
      <c r="OU568" s="210"/>
      <c r="OV568" s="210"/>
      <c r="OW568" s="210"/>
      <c r="RG568" s="120"/>
    </row>
    <row r="569" spans="1:475" x14ac:dyDescent="0.3">
      <c r="A569" s="7">
        <v>86</v>
      </c>
      <c r="B569" s="7">
        <v>559</v>
      </c>
      <c r="C569" s="7" t="s">
        <v>276</v>
      </c>
      <c r="D569" s="7" t="s">
        <v>864</v>
      </c>
      <c r="E569" s="7" t="s">
        <v>685</v>
      </c>
      <c r="F569" s="7" t="s">
        <v>274</v>
      </c>
      <c r="G569" s="41" t="str">
        <f t="shared" si="91"/>
        <v>X</v>
      </c>
      <c r="H569" s="41">
        <f>INDEX(환산공식!CI$16:CI$301,MATCH('배치점수 계산기'!$W569,환산공식!$A$16:$A$301,0))</f>
        <v>250</v>
      </c>
      <c r="I569" s="41" t="str">
        <f>CONCATENATE(ROUND(INDEX(환산공식!CJ$16:CJ$301,MATCH('배치점수 계산기'!$W569,환산공식!$A$16:$A$301,0)),1),"%")</f>
        <v>100%</v>
      </c>
      <c r="J569" s="41">
        <f>INDEX(환산공식!CK$16:CK$301,MATCH('배치점수 계산기'!$W569,환산공식!$A$16:$A$301,0))</f>
        <v>10</v>
      </c>
      <c r="K569" s="7">
        <f>INDEX(환산공식!$EF$16:$EF$301,MATCH('배치점수 계산기'!W569,환산공식!$A$16:$A$301,0))</f>
        <v>0</v>
      </c>
      <c r="L569" s="41" t="str">
        <f t="shared" si="89"/>
        <v>1% 이하</v>
      </c>
      <c r="M569" s="7">
        <v>983.75</v>
      </c>
      <c r="N569" s="7">
        <v>982.75</v>
      </c>
      <c r="O569" s="7">
        <v>981.25</v>
      </c>
      <c r="P569" s="7">
        <v>980.15</v>
      </c>
      <c r="Q569" s="7">
        <v>978.85</v>
      </c>
      <c r="R569" s="7">
        <f t="shared" si="90"/>
        <v>6</v>
      </c>
      <c r="T569" s="7">
        <f>COUNTIF($C$11:C569,C569)</f>
        <v>294</v>
      </c>
      <c r="U569" s="7" t="str">
        <f t="shared" si="92"/>
        <v>가294</v>
      </c>
      <c r="V569" s="7" t="str">
        <f>INDEX(환산공식!$C$16:$C$301,MATCH('배치점수 계산기'!W569,환산공식!$A$16:$A$301,0))</f>
        <v>덕성 약</v>
      </c>
      <c r="W569" s="7">
        <f t="shared" si="93"/>
        <v>86</v>
      </c>
      <c r="X569" s="7">
        <f t="shared" si="94"/>
        <v>1</v>
      </c>
      <c r="Y569" s="7">
        <f>IFERROR(INDEX(환산공식!Q$16:Q$200,MATCH($A569,환산공식!$A$16:$A$200,0)),"")</f>
        <v>2</v>
      </c>
      <c r="Z569" s="7">
        <f>IFERROR(INDEX(환산공식!R$16:R$200,MATCH($A569,환산공식!$A$16:$A$200,0)),"")</f>
        <v>3</v>
      </c>
      <c r="AA569" s="7">
        <f>IFERROR(INDEX(환산공식!U$16:U$200,MATCH($A569,환산공식!$A$16:$A$200,0)),"")</f>
        <v>2.5</v>
      </c>
      <c r="AB569" s="7">
        <f t="shared" si="95"/>
        <v>0.26666666666666666</v>
      </c>
      <c r="AC569" s="7">
        <f t="shared" si="96"/>
        <v>0.4</v>
      </c>
      <c r="AD569" s="7">
        <f t="shared" si="97"/>
        <v>0.33333333333333331</v>
      </c>
      <c r="AE569" s="7">
        <f>INDEX(환산공식!$AF$16:$AF$301,MATCH('배치점수 계산기'!W569,환산공식!$A$16:$A$301,0))</f>
        <v>2</v>
      </c>
      <c r="AF569" s="7">
        <f>INDEX(환산공식!$AP$16:$AP$301,MATCH('배치점수 계산기'!W569,환산공식!$A$16:$A$301,0))</f>
        <v>2</v>
      </c>
      <c r="AG569" s="7" t="str">
        <f t="shared" si="98"/>
        <v>백분위</v>
      </c>
      <c r="AH569" s="7" t="str">
        <f t="shared" si="99"/>
        <v>백분위</v>
      </c>
      <c r="BO569" s="210"/>
      <c r="BP569" s="210"/>
      <c r="BQ569" s="210"/>
      <c r="BR569" s="210"/>
      <c r="BS569" s="210"/>
      <c r="BT569" s="210"/>
      <c r="BU569" s="210"/>
      <c r="BV569" s="210"/>
      <c r="BW569" s="210"/>
      <c r="BX569" s="210"/>
      <c r="BY569" s="210"/>
      <c r="BZ569" s="210"/>
      <c r="CA569" s="210"/>
      <c r="CB569" s="210"/>
      <c r="CC569" s="210"/>
      <c r="EM569" s="120"/>
      <c r="ET569" s="210"/>
      <c r="EU569" s="210"/>
      <c r="EV569" s="210"/>
      <c r="EW569" s="210"/>
      <c r="EX569" s="210"/>
      <c r="EY569" s="210"/>
      <c r="EZ569" s="210"/>
      <c r="FA569" s="210"/>
      <c r="FB569" s="210"/>
      <c r="FC569" s="210"/>
      <c r="FD569" s="210"/>
      <c r="FE569" s="210"/>
      <c r="FF569" s="210"/>
      <c r="FG569" s="210"/>
      <c r="FH569" s="210"/>
      <c r="HR569" s="120"/>
      <c r="HY569" s="210"/>
      <c r="HZ569" s="210"/>
      <c r="IA569" s="210"/>
      <c r="IB569" s="210"/>
      <c r="IC569" s="210"/>
      <c r="ID569" s="210"/>
      <c r="IE569" s="210"/>
      <c r="IF569" s="210"/>
      <c r="IG569" s="210"/>
      <c r="IH569" s="210"/>
      <c r="II569" s="210"/>
      <c r="IJ569" s="210"/>
      <c r="IK569" s="210"/>
      <c r="IL569" s="210"/>
      <c r="IM569" s="210"/>
      <c r="KW569" s="120"/>
      <c r="LD569" s="210"/>
      <c r="LE569" s="210"/>
      <c r="LF569" s="210"/>
      <c r="LG569" s="210"/>
      <c r="LH569" s="210"/>
      <c r="LI569" s="210"/>
      <c r="LJ569" s="210"/>
      <c r="LK569" s="210"/>
      <c r="LL569" s="210"/>
      <c r="LM569" s="210"/>
      <c r="LN569" s="210"/>
      <c r="LO569" s="210"/>
      <c r="LP569" s="210"/>
      <c r="LQ569" s="210"/>
      <c r="LR569" s="210"/>
      <c r="OB569" s="120"/>
      <c r="OI569" s="210"/>
      <c r="OJ569" s="210"/>
      <c r="OK569" s="210"/>
      <c r="OL569" s="210"/>
      <c r="OM569" s="210"/>
      <c r="ON569" s="210"/>
      <c r="OO569" s="210"/>
      <c r="OP569" s="210"/>
      <c r="OQ569" s="210"/>
      <c r="OR569" s="210"/>
      <c r="OS569" s="210"/>
      <c r="OT569" s="210"/>
      <c r="OU569" s="210"/>
      <c r="OV569" s="210"/>
      <c r="OW569" s="210"/>
      <c r="RG569" s="120"/>
    </row>
    <row r="570" spans="1:475" x14ac:dyDescent="0.3">
      <c r="A570" s="7">
        <v>116</v>
      </c>
      <c r="B570" s="7">
        <v>560</v>
      </c>
      <c r="C570" s="7" t="s">
        <v>276</v>
      </c>
      <c r="D570" s="7" t="s">
        <v>847</v>
      </c>
      <c r="E570" s="7" t="s">
        <v>865</v>
      </c>
      <c r="F570" s="7" t="s">
        <v>343</v>
      </c>
      <c r="G570" s="41" t="str">
        <f t="shared" si="91"/>
        <v>X</v>
      </c>
      <c r="H570" s="41">
        <f>INDEX(환산공식!CI$16:CI$301,MATCH('배치점수 계산기'!$W570,환산공식!$A$16:$A$301,0))</f>
        <v>135</v>
      </c>
      <c r="I570" s="41" t="str">
        <f>CONCATENATE(ROUND(INDEX(환산공식!CJ$16:CJ$301,MATCH('배치점수 계산기'!$W570,환산공식!$A$16:$A$301,0)),1),"%")</f>
        <v>100%</v>
      </c>
      <c r="J570" s="41">
        <f>INDEX(환산공식!CK$16:CK$301,MATCH('배치점수 계산기'!$W570,환산공식!$A$16:$A$301,0))</f>
        <v>0</v>
      </c>
      <c r="K570" s="7">
        <f>INDEX(환산공식!$EF$16:$EF$301,MATCH('배치점수 계산기'!W570,환산공식!$A$16:$A$301,0))</f>
        <v>0</v>
      </c>
      <c r="L570" s="41" t="str">
        <f t="shared" si="89"/>
        <v>1% 이하</v>
      </c>
      <c r="M570" s="7">
        <v>536.89999999999986</v>
      </c>
      <c r="N570" s="7">
        <v>533.6</v>
      </c>
      <c r="O570" s="7">
        <v>532.20000000000005</v>
      </c>
      <c r="P570" s="7">
        <v>531.9</v>
      </c>
      <c r="Q570" s="7">
        <v>531.5</v>
      </c>
      <c r="R570" s="7">
        <f t="shared" si="90"/>
        <v>6</v>
      </c>
      <c r="T570" s="7">
        <f>COUNTIF($C$11:C570,C570)</f>
        <v>295</v>
      </c>
      <c r="U570" s="7" t="str">
        <f t="shared" si="92"/>
        <v>가295</v>
      </c>
      <c r="V570" s="7" t="str">
        <f>INDEX(환산공식!$C$16:$C$301,MATCH('배치점수 계산기'!W570,환산공식!$A$16:$A$301,0))</f>
        <v>인제 약문</v>
      </c>
      <c r="W570" s="7">
        <f t="shared" si="93"/>
        <v>116</v>
      </c>
      <c r="X570" s="7">
        <f t="shared" si="94"/>
        <v>1</v>
      </c>
      <c r="Y570" s="7">
        <f>IFERROR(INDEX(환산공식!Q$16:Q$200,MATCH($A570,환산공식!$A$16:$A$200,0)),"")</f>
        <v>1</v>
      </c>
      <c r="Z570" s="7">
        <f>IFERROR(INDEX(환산공식!R$16:R$200,MATCH($A570,환산공식!$A$16:$A$200,0)),"")</f>
        <v>1</v>
      </c>
      <c r="AA570" s="7">
        <f>IFERROR(INDEX(환산공식!U$16:U$200,MATCH($A570,환산공식!$A$16:$A$200,0)),"")</f>
        <v>1</v>
      </c>
      <c r="AB570" s="7">
        <f t="shared" si="95"/>
        <v>0.33333333333333331</v>
      </c>
      <c r="AC570" s="7">
        <f t="shared" si="96"/>
        <v>0.33333333333333331</v>
      </c>
      <c r="AD570" s="7">
        <f t="shared" si="97"/>
        <v>0.33333333333333331</v>
      </c>
      <c r="AE570" s="7">
        <f>INDEX(환산공식!$AF$16:$AF$301,MATCH('배치점수 계산기'!W570,환산공식!$A$16:$A$301,0))</f>
        <v>1</v>
      </c>
      <c r="AF570" s="7">
        <f>INDEX(환산공식!$AP$16:$AP$301,MATCH('배치점수 계산기'!W570,환산공식!$A$16:$A$301,0))</f>
        <v>1</v>
      </c>
      <c r="AG570" s="7" t="str">
        <f t="shared" si="98"/>
        <v>표점</v>
      </c>
      <c r="AH570" s="7" t="str">
        <f t="shared" si="99"/>
        <v>표점</v>
      </c>
      <c r="BO570" s="210"/>
      <c r="BP570" s="210"/>
      <c r="BQ570" s="210"/>
      <c r="BR570" s="210"/>
      <c r="BS570" s="210"/>
      <c r="BT570" s="210"/>
      <c r="BU570" s="210"/>
      <c r="BV570" s="210"/>
      <c r="BW570" s="210"/>
      <c r="BX570" s="210"/>
      <c r="BY570" s="210"/>
      <c r="BZ570" s="210"/>
      <c r="CA570" s="210"/>
      <c r="CB570" s="210"/>
      <c r="CC570" s="210"/>
      <c r="EM570" s="120"/>
      <c r="ET570" s="210"/>
      <c r="EU570" s="210"/>
      <c r="EV570" s="210"/>
      <c r="EW570" s="210"/>
      <c r="EX570" s="210"/>
      <c r="EY570" s="210"/>
      <c r="EZ570" s="210"/>
      <c r="FA570" s="210"/>
      <c r="FB570" s="210"/>
      <c r="FC570" s="210"/>
      <c r="FD570" s="210"/>
      <c r="FE570" s="210"/>
      <c r="FF570" s="210"/>
      <c r="FG570" s="210"/>
      <c r="FH570" s="210"/>
      <c r="HR570" s="120"/>
      <c r="HY570" s="210"/>
      <c r="HZ570" s="210"/>
      <c r="IA570" s="210"/>
      <c r="IB570" s="210"/>
      <c r="IC570" s="210"/>
      <c r="ID570" s="210"/>
      <c r="IE570" s="210"/>
      <c r="IF570" s="210"/>
      <c r="IG570" s="210"/>
      <c r="IH570" s="210"/>
      <c r="II570" s="210"/>
      <c r="IJ570" s="210"/>
      <c r="IK570" s="210"/>
      <c r="IL570" s="210"/>
      <c r="IM570" s="210"/>
      <c r="KW570" s="120"/>
      <c r="LD570" s="210"/>
      <c r="LE570" s="210"/>
      <c r="LF570" s="210"/>
      <c r="LG570" s="210"/>
      <c r="LH570" s="210"/>
      <c r="LI570" s="210"/>
      <c r="LJ570" s="210"/>
      <c r="LK570" s="210"/>
      <c r="LL570" s="210"/>
      <c r="LM570" s="210"/>
      <c r="LN570" s="210"/>
      <c r="LO570" s="210"/>
      <c r="LP570" s="210"/>
      <c r="LQ570" s="210"/>
      <c r="LR570" s="210"/>
      <c r="OB570" s="120"/>
      <c r="OI570" s="210"/>
      <c r="OJ570" s="210"/>
      <c r="OK570" s="210"/>
      <c r="OL570" s="210"/>
      <c r="OM570" s="210"/>
      <c r="ON570" s="210"/>
      <c r="OO570" s="210"/>
      <c r="OP570" s="210"/>
      <c r="OQ570" s="210"/>
      <c r="OR570" s="210"/>
      <c r="OS570" s="210"/>
      <c r="OT570" s="210"/>
      <c r="OU570" s="210"/>
      <c r="OV570" s="210"/>
      <c r="OW570" s="210"/>
      <c r="RG570" s="120"/>
    </row>
    <row r="571" spans="1:475" x14ac:dyDescent="0.3">
      <c r="A571" s="7">
        <v>80</v>
      </c>
      <c r="B571" s="7">
        <v>561</v>
      </c>
      <c r="C571" s="7" t="s">
        <v>276</v>
      </c>
      <c r="D571" s="7" t="s">
        <v>858</v>
      </c>
      <c r="E571" s="7" t="s">
        <v>685</v>
      </c>
      <c r="F571" s="7" t="s">
        <v>274</v>
      </c>
      <c r="G571" s="41" t="str">
        <f t="shared" si="91"/>
        <v>X</v>
      </c>
      <c r="H571" s="41">
        <f>INDEX(환산공식!CI$16:CI$301,MATCH('배치점수 계산기'!$W571,환산공식!$A$16:$A$301,0))</f>
        <v>150</v>
      </c>
      <c r="I571" s="41" t="str">
        <f>CONCATENATE(ROUND(INDEX(환산공식!CJ$16:CJ$301,MATCH('배치점수 계산기'!$W571,환산공식!$A$16:$A$301,0)),1),"%")</f>
        <v>100%</v>
      </c>
      <c r="J571" s="41">
        <f>INDEX(환산공식!CK$16:CK$301,MATCH('배치점수 계산기'!$W571,환산공식!$A$16:$A$301,0))</f>
        <v>5</v>
      </c>
      <c r="K571" s="7">
        <f>INDEX(환산공식!$EF$16:$EF$301,MATCH('배치점수 계산기'!W571,환산공식!$A$16:$A$301,0))</f>
        <v>0</v>
      </c>
      <c r="L571" s="41" t="str">
        <f t="shared" si="89"/>
        <v>1% 이하</v>
      </c>
      <c r="M571" s="7">
        <v>936.83638150683578</v>
      </c>
      <c r="N571" s="7">
        <v>934.38002207505519</v>
      </c>
      <c r="O571" s="7">
        <v>932.54604111877745</v>
      </c>
      <c r="P571" s="7">
        <v>929.42218543046374</v>
      </c>
      <c r="Q571" s="7">
        <v>923.99128785038943</v>
      </c>
      <c r="R571" s="7">
        <f t="shared" si="90"/>
        <v>6</v>
      </c>
      <c r="T571" s="7">
        <f>COUNTIF($C$11:C571,C571)</f>
        <v>296</v>
      </c>
      <c r="U571" s="7" t="str">
        <f t="shared" si="92"/>
        <v>가296</v>
      </c>
      <c r="V571" s="7" t="str">
        <f>INDEX(환산공식!$C$16:$C$301,MATCH('배치점수 계산기'!W571,환산공식!$A$16:$A$301,0))</f>
        <v>단국 의치약</v>
      </c>
      <c r="W571" s="7">
        <f t="shared" si="93"/>
        <v>80</v>
      </c>
      <c r="X571" s="7">
        <f t="shared" si="94"/>
        <v>1</v>
      </c>
      <c r="Y571" s="7">
        <f>IFERROR(INDEX(환산공식!Q$16:Q$200,MATCH($A571,환산공식!$A$16:$A$200,0)),"")</f>
        <v>1.3422818791946309</v>
      </c>
      <c r="Z571" s="7">
        <f>IFERROR(INDEX(환산공식!R$16:R$200,MATCH($A571,환산공식!$A$16:$A$200,0)),"")</f>
        <v>2.7210884353741496</v>
      </c>
      <c r="AA571" s="7">
        <f>IFERROR(INDEX(환산공식!U$16:U$200,MATCH($A571,환산공식!$A$16:$A$200,0)),"")</f>
        <v>2.5</v>
      </c>
      <c r="AB571" s="7">
        <f t="shared" si="95"/>
        <v>0.20451106898770499</v>
      </c>
      <c r="AC571" s="7">
        <f t="shared" si="96"/>
        <v>0.41458706502269443</v>
      </c>
      <c r="AD571" s="7">
        <f t="shared" si="97"/>
        <v>0.38090186598960052</v>
      </c>
      <c r="AE571" s="7">
        <f>INDEX(환산공식!$AF$16:$AF$301,MATCH('배치점수 계산기'!W571,환산공식!$A$16:$A$301,0))</f>
        <v>12</v>
      </c>
      <c r="AF571" s="7">
        <f>INDEX(환산공식!$AP$16:$AP$301,MATCH('배치점수 계산기'!W571,환산공식!$A$16:$A$301,0))</f>
        <v>2</v>
      </c>
      <c r="AG571" s="7" t="str">
        <f t="shared" si="98"/>
        <v>표점/만점</v>
      </c>
      <c r="AH571" s="7" t="str">
        <f t="shared" si="99"/>
        <v>백분위</v>
      </c>
      <c r="BO571" s="210"/>
      <c r="BP571" s="210"/>
      <c r="BQ571" s="210"/>
      <c r="BR571" s="210"/>
      <c r="BS571" s="210"/>
      <c r="BT571" s="210"/>
      <c r="BU571" s="210"/>
      <c r="BV571" s="210"/>
      <c r="BW571" s="210"/>
      <c r="BX571" s="210"/>
      <c r="BY571" s="210"/>
      <c r="BZ571" s="210"/>
      <c r="CA571" s="210"/>
      <c r="CB571" s="210"/>
      <c r="CC571" s="210"/>
      <c r="EM571" s="120"/>
      <c r="ET571" s="210"/>
      <c r="EU571" s="210"/>
      <c r="EV571" s="210"/>
      <c r="EW571" s="210"/>
      <c r="EX571" s="210"/>
      <c r="EY571" s="210"/>
      <c r="EZ571" s="210"/>
      <c r="FA571" s="210"/>
      <c r="FB571" s="210"/>
      <c r="FC571" s="210"/>
      <c r="FD571" s="210"/>
      <c r="FE571" s="210"/>
      <c r="FF571" s="210"/>
      <c r="FG571" s="210"/>
      <c r="FH571" s="210"/>
      <c r="HR571" s="120"/>
      <c r="HY571" s="210"/>
      <c r="HZ571" s="210"/>
      <c r="IA571" s="210"/>
      <c r="IB571" s="210"/>
      <c r="IC571" s="210"/>
      <c r="ID571" s="210"/>
      <c r="IE571" s="210"/>
      <c r="IF571" s="210"/>
      <c r="IG571" s="210"/>
      <c r="IH571" s="210"/>
      <c r="II571" s="210"/>
      <c r="IJ571" s="210"/>
      <c r="IK571" s="210"/>
      <c r="IL571" s="210"/>
      <c r="IM571" s="210"/>
      <c r="KW571" s="120"/>
      <c r="LD571" s="210"/>
      <c r="LE571" s="210"/>
      <c r="LF571" s="210"/>
      <c r="LG571" s="210"/>
      <c r="LH571" s="210"/>
      <c r="LI571" s="210"/>
      <c r="LJ571" s="210"/>
      <c r="LK571" s="210"/>
      <c r="LL571" s="210"/>
      <c r="LM571" s="210"/>
      <c r="LN571" s="210"/>
      <c r="LO571" s="210"/>
      <c r="LP571" s="210"/>
      <c r="LQ571" s="210"/>
      <c r="LR571" s="210"/>
      <c r="OB571" s="120"/>
      <c r="OI571" s="210"/>
      <c r="OJ571" s="210"/>
      <c r="OK571" s="210"/>
      <c r="OL571" s="210"/>
      <c r="OM571" s="210"/>
      <c r="ON571" s="210"/>
      <c r="OO571" s="210"/>
      <c r="OP571" s="210"/>
      <c r="OQ571" s="210"/>
      <c r="OR571" s="210"/>
      <c r="OS571" s="210"/>
      <c r="OT571" s="210"/>
      <c r="OU571" s="210"/>
      <c r="OV571" s="210"/>
      <c r="OW571" s="210"/>
      <c r="RG571" s="120"/>
    </row>
    <row r="572" spans="1:475" x14ac:dyDescent="0.3">
      <c r="A572" s="7">
        <v>75</v>
      </c>
      <c r="B572" s="7">
        <v>562</v>
      </c>
      <c r="C572" s="7" t="s">
        <v>276</v>
      </c>
      <c r="D572" s="7" t="s">
        <v>866</v>
      </c>
      <c r="E572" s="7" t="s">
        <v>685</v>
      </c>
      <c r="F572" s="7" t="s">
        <v>274</v>
      </c>
      <c r="G572" s="41" t="str">
        <f t="shared" si="91"/>
        <v>X</v>
      </c>
      <c r="H572" s="41">
        <f>INDEX(환산공식!CI$16:CI$301,MATCH('배치점수 계산기'!$W572,환산공식!$A$16:$A$301,0))</f>
        <v>108</v>
      </c>
      <c r="I572" s="41" t="str">
        <f>CONCATENATE(ROUND(INDEX(환산공식!CJ$16:CJ$301,MATCH('배치점수 계산기'!$W572,환산공식!$A$16:$A$301,0)),1),"%")</f>
        <v>100%</v>
      </c>
      <c r="J572" s="41">
        <f>INDEX(환산공식!CK$16:CK$301,MATCH('배치점수 계산기'!$W572,환산공식!$A$16:$A$301,0))</f>
        <v>0</v>
      </c>
      <c r="K572" s="7">
        <f>INDEX(환산공식!$EF$16:$EF$301,MATCH('배치점수 계산기'!W572,환산공식!$A$16:$A$301,0))</f>
        <v>0</v>
      </c>
      <c r="L572" s="41" t="str">
        <f t="shared" si="89"/>
        <v>1% 이하</v>
      </c>
      <c r="M572" s="7">
        <v>536.01</v>
      </c>
      <c r="N572" s="7">
        <v>535.03526236881544</v>
      </c>
      <c r="O572" s="7">
        <v>533.65000000000009</v>
      </c>
      <c r="P572" s="7">
        <v>531.54999999999995</v>
      </c>
      <c r="Q572" s="7">
        <v>530.23544351781652</v>
      </c>
      <c r="R572" s="7">
        <f t="shared" si="90"/>
        <v>6</v>
      </c>
      <c r="T572" s="7">
        <f>COUNTIF($C$11:C572,C572)</f>
        <v>297</v>
      </c>
      <c r="U572" s="7" t="str">
        <f t="shared" si="92"/>
        <v>가297</v>
      </c>
      <c r="V572" s="7" t="str">
        <f>INDEX(환산공식!$C$16:$C$301,MATCH('배치점수 계산기'!W572,환산공식!$A$16:$A$301,0))</f>
        <v>경성 약</v>
      </c>
      <c r="W572" s="7">
        <f t="shared" si="93"/>
        <v>75</v>
      </c>
      <c r="X572" s="7">
        <f t="shared" si="94"/>
        <v>1</v>
      </c>
      <c r="Y572" s="7">
        <f>IFERROR(INDEX(환산공식!Q$16:Q$200,MATCH($A572,환산공식!$A$16:$A$200,0)),"")</f>
        <v>1</v>
      </c>
      <c r="Z572" s="7">
        <f>IFERROR(INDEX(환산공식!R$16:R$200,MATCH($A572,환산공식!$A$16:$A$200,0)),"")</f>
        <v>1.2</v>
      </c>
      <c r="AA572" s="7">
        <f>IFERROR(INDEX(환산공식!U$16:U$200,MATCH($A572,환산공식!$A$16:$A$200,0)),"")</f>
        <v>1</v>
      </c>
      <c r="AB572" s="7">
        <f t="shared" si="95"/>
        <v>0.3125</v>
      </c>
      <c r="AC572" s="7">
        <f t="shared" si="96"/>
        <v>0.37499999999999994</v>
      </c>
      <c r="AD572" s="7">
        <f t="shared" si="97"/>
        <v>0.3125</v>
      </c>
      <c r="AE572" s="7">
        <f>INDEX(환산공식!$AF$16:$AF$301,MATCH('배치점수 계산기'!W572,환산공식!$A$16:$A$301,0))</f>
        <v>1</v>
      </c>
      <c r="AF572" s="7">
        <f>INDEX(환산공식!$AP$16:$AP$301,MATCH('배치점수 계산기'!W572,환산공식!$A$16:$A$301,0))</f>
        <v>4</v>
      </c>
      <c r="AG572" s="7" t="str">
        <f t="shared" si="98"/>
        <v>표점</v>
      </c>
      <c r="AH572" s="7" t="str">
        <f t="shared" si="99"/>
        <v>변표</v>
      </c>
      <c r="BO572" s="210"/>
      <c r="BP572" s="210"/>
      <c r="BQ572" s="210"/>
      <c r="BR572" s="210"/>
      <c r="BS572" s="210"/>
      <c r="BT572" s="210"/>
      <c r="BU572" s="210"/>
      <c r="BV572" s="210"/>
      <c r="BW572" s="210"/>
      <c r="BX572" s="210"/>
      <c r="BY572" s="210"/>
      <c r="BZ572" s="210"/>
      <c r="CA572" s="210"/>
      <c r="CB572" s="210"/>
      <c r="CC572" s="210"/>
      <c r="EM572" s="120"/>
      <c r="ET572" s="210"/>
      <c r="EU572" s="210"/>
      <c r="EV572" s="210"/>
      <c r="EW572" s="210"/>
      <c r="EX572" s="210"/>
      <c r="EY572" s="210"/>
      <c r="EZ572" s="210"/>
      <c r="FA572" s="210"/>
      <c r="FB572" s="210"/>
      <c r="FC572" s="210"/>
      <c r="FD572" s="210"/>
      <c r="FE572" s="210"/>
      <c r="FF572" s="210"/>
      <c r="FG572" s="210"/>
      <c r="FH572" s="210"/>
      <c r="HR572" s="120"/>
      <c r="HY572" s="210"/>
      <c r="HZ572" s="210"/>
      <c r="IA572" s="210"/>
      <c r="IB572" s="210"/>
      <c r="IC572" s="210"/>
      <c r="ID572" s="210"/>
      <c r="IE572" s="210"/>
      <c r="IF572" s="210"/>
      <c r="IG572" s="210"/>
      <c r="IH572" s="210"/>
      <c r="II572" s="210"/>
      <c r="IJ572" s="210"/>
      <c r="IK572" s="210"/>
      <c r="IL572" s="210"/>
      <c r="IM572" s="210"/>
      <c r="KW572" s="120"/>
      <c r="LD572" s="210"/>
      <c r="LE572" s="210"/>
      <c r="LF572" s="210"/>
      <c r="LG572" s="210"/>
      <c r="LH572" s="210"/>
      <c r="LI572" s="210"/>
      <c r="LJ572" s="210"/>
      <c r="LK572" s="210"/>
      <c r="LL572" s="210"/>
      <c r="LM572" s="210"/>
      <c r="LN572" s="210"/>
      <c r="LO572" s="210"/>
      <c r="LP572" s="210"/>
      <c r="LQ572" s="210"/>
      <c r="LR572" s="210"/>
      <c r="OB572" s="120"/>
      <c r="OI572" s="210"/>
      <c r="OJ572" s="210"/>
      <c r="OK572" s="210"/>
      <c r="OL572" s="210"/>
      <c r="OM572" s="210"/>
      <c r="ON572" s="210"/>
      <c r="OO572" s="210"/>
      <c r="OP572" s="210"/>
      <c r="OQ572" s="210"/>
      <c r="OR572" s="210"/>
      <c r="OS572" s="210"/>
      <c r="OT572" s="210"/>
      <c r="OU572" s="210"/>
      <c r="OV572" s="210"/>
      <c r="OW572" s="210"/>
      <c r="RG572" s="120"/>
    </row>
    <row r="573" spans="1:475" x14ac:dyDescent="0.3">
      <c r="A573" s="7">
        <v>115</v>
      </c>
      <c r="B573" s="7">
        <v>563</v>
      </c>
      <c r="C573" s="7" t="s">
        <v>276</v>
      </c>
      <c r="D573" s="7" t="s">
        <v>847</v>
      </c>
      <c r="E573" s="7" t="s">
        <v>685</v>
      </c>
      <c r="F573" s="7" t="s">
        <v>274</v>
      </c>
      <c r="G573" s="41" t="str">
        <f t="shared" si="91"/>
        <v>X</v>
      </c>
      <c r="H573" s="41">
        <f>INDEX(환산공식!CI$16:CI$301,MATCH('배치점수 계산기'!$W573,환산공식!$A$16:$A$301,0))</f>
        <v>135</v>
      </c>
      <c r="I573" s="41" t="str">
        <f>CONCATENATE(ROUND(INDEX(환산공식!CJ$16:CJ$301,MATCH('배치점수 계산기'!$W573,환산공식!$A$16:$A$301,0)),1),"%")</f>
        <v>100%</v>
      </c>
      <c r="J573" s="41">
        <f>INDEX(환산공식!CK$16:CK$301,MATCH('배치점수 계산기'!$W573,환산공식!$A$16:$A$301,0))</f>
        <v>0</v>
      </c>
      <c r="K573" s="7">
        <f>INDEX(환산공식!$EF$16:$EF$301,MATCH('배치점수 계산기'!W573,환산공식!$A$16:$A$301,0))</f>
        <v>0</v>
      </c>
      <c r="L573" s="41" t="str">
        <f t="shared" si="89"/>
        <v>1% 이하</v>
      </c>
      <c r="M573" s="7">
        <v>535</v>
      </c>
      <c r="N573" s="7">
        <v>534.1</v>
      </c>
      <c r="O573" s="7">
        <v>532.79999999999995</v>
      </c>
      <c r="P573" s="7">
        <v>531.4</v>
      </c>
      <c r="Q573" s="7">
        <v>530.29999999999995</v>
      </c>
      <c r="R573" s="7">
        <f t="shared" si="90"/>
        <v>6</v>
      </c>
      <c r="T573" s="7">
        <f>COUNTIF($C$11:C573,C573)</f>
        <v>298</v>
      </c>
      <c r="U573" s="7" t="str">
        <f t="shared" si="92"/>
        <v>가298</v>
      </c>
      <c r="V573" s="7" t="str">
        <f>INDEX(환산공식!$C$16:$C$301,MATCH('배치점수 계산기'!W573,환산공식!$A$16:$A$301,0))</f>
        <v>인제 약</v>
      </c>
      <c r="W573" s="7">
        <f t="shared" si="93"/>
        <v>115</v>
      </c>
      <c r="X573" s="7">
        <f t="shared" si="94"/>
        <v>1</v>
      </c>
      <c r="Y573" s="7">
        <f>IFERROR(INDEX(환산공식!Q$16:Q$200,MATCH($A573,환산공식!$A$16:$A$200,0)),"")</f>
        <v>1</v>
      </c>
      <c r="Z573" s="7">
        <f>IFERROR(INDEX(환산공식!R$16:R$200,MATCH($A573,환산공식!$A$16:$A$200,0)),"")</f>
        <v>1</v>
      </c>
      <c r="AA573" s="7">
        <f>IFERROR(INDEX(환산공식!U$16:U$200,MATCH($A573,환산공식!$A$16:$A$200,0)),"")</f>
        <v>1</v>
      </c>
      <c r="AB573" s="7">
        <f t="shared" si="95"/>
        <v>0.33333333333333331</v>
      </c>
      <c r="AC573" s="7">
        <f t="shared" si="96"/>
        <v>0.33333333333333331</v>
      </c>
      <c r="AD573" s="7">
        <f t="shared" si="97"/>
        <v>0.33333333333333331</v>
      </c>
      <c r="AE573" s="7">
        <f>INDEX(환산공식!$AF$16:$AF$301,MATCH('배치점수 계산기'!W573,환산공식!$A$16:$A$301,0))</f>
        <v>1</v>
      </c>
      <c r="AF573" s="7">
        <f>INDEX(환산공식!$AP$16:$AP$301,MATCH('배치점수 계산기'!W573,환산공식!$A$16:$A$301,0))</f>
        <v>1</v>
      </c>
      <c r="AG573" s="7" t="str">
        <f t="shared" si="98"/>
        <v>표점</v>
      </c>
      <c r="AH573" s="7" t="str">
        <f t="shared" si="99"/>
        <v>표점</v>
      </c>
      <c r="BO573" s="210"/>
      <c r="BP573" s="210"/>
      <c r="BQ573" s="210"/>
      <c r="BR573" s="210"/>
      <c r="BS573" s="210"/>
      <c r="BT573" s="210"/>
      <c r="BU573" s="210"/>
      <c r="BV573" s="210"/>
      <c r="BW573" s="210"/>
      <c r="BX573" s="210"/>
      <c r="BY573" s="210"/>
      <c r="BZ573" s="210"/>
      <c r="CA573" s="210"/>
      <c r="CB573" s="210"/>
      <c r="CC573" s="210"/>
      <c r="EM573" s="120"/>
      <c r="ET573" s="210"/>
      <c r="EU573" s="210"/>
      <c r="EV573" s="210"/>
      <c r="EW573" s="210"/>
      <c r="EX573" s="210"/>
      <c r="EY573" s="210"/>
      <c r="EZ573" s="210"/>
      <c r="FA573" s="210"/>
      <c r="FB573" s="210"/>
      <c r="FC573" s="210"/>
      <c r="FD573" s="210"/>
      <c r="FE573" s="210"/>
      <c r="FF573" s="210"/>
      <c r="FG573" s="210"/>
      <c r="FH573" s="210"/>
      <c r="HR573" s="120"/>
      <c r="HY573" s="210"/>
      <c r="HZ573" s="210"/>
      <c r="IA573" s="210"/>
      <c r="IB573" s="210"/>
      <c r="IC573" s="210"/>
      <c r="ID573" s="210"/>
      <c r="IE573" s="210"/>
      <c r="IF573" s="210"/>
      <c r="IG573" s="210"/>
      <c r="IH573" s="210"/>
      <c r="II573" s="210"/>
      <c r="IJ573" s="210"/>
      <c r="IK573" s="210"/>
      <c r="IL573" s="210"/>
      <c r="IM573" s="210"/>
      <c r="KW573" s="120"/>
      <c r="LD573" s="210"/>
      <c r="LE573" s="210"/>
      <c r="LF573" s="210"/>
      <c r="LG573" s="210"/>
      <c r="LH573" s="210"/>
      <c r="LI573" s="210"/>
      <c r="LJ573" s="210"/>
      <c r="LK573" s="210"/>
      <c r="LL573" s="210"/>
      <c r="LM573" s="210"/>
      <c r="LN573" s="210"/>
      <c r="LO573" s="210"/>
      <c r="LP573" s="210"/>
      <c r="LQ573" s="210"/>
      <c r="LR573" s="210"/>
      <c r="OB573" s="120"/>
      <c r="OI573" s="210"/>
      <c r="OJ573" s="210"/>
      <c r="OK573" s="210"/>
      <c r="OL573" s="210"/>
      <c r="OM573" s="210"/>
      <c r="ON573" s="210"/>
      <c r="OO573" s="210"/>
      <c r="OP573" s="210"/>
      <c r="OQ573" s="210"/>
      <c r="OR573" s="210"/>
      <c r="OS573" s="210"/>
      <c r="OT573" s="210"/>
      <c r="OU573" s="210"/>
      <c r="OV573" s="210"/>
      <c r="OW573" s="210"/>
      <c r="RG573" s="120"/>
    </row>
    <row r="574" spans="1:475" x14ac:dyDescent="0.3">
      <c r="A574" s="7">
        <v>74</v>
      </c>
      <c r="B574" s="7">
        <v>564</v>
      </c>
      <c r="C574" s="7" t="s">
        <v>276</v>
      </c>
      <c r="D574" s="7" t="s">
        <v>704</v>
      </c>
      <c r="E574" s="7" t="s">
        <v>685</v>
      </c>
      <c r="F574" s="7" t="s">
        <v>274</v>
      </c>
      <c r="G574" s="41" t="str">
        <f t="shared" si="91"/>
        <v>X</v>
      </c>
      <c r="H574" s="41">
        <f>INDEX(환산공식!CI$16:CI$301,MATCH('배치점수 계산기'!$W574,환산공식!$A$16:$A$301,0))</f>
        <v>200</v>
      </c>
      <c r="I574" s="41" t="str">
        <f>CONCATENATE(ROUND(INDEX(환산공식!CJ$16:CJ$301,MATCH('배치점수 계산기'!$W574,환산공식!$A$16:$A$301,0)),1),"%")</f>
        <v>100%</v>
      </c>
      <c r="J574" s="41">
        <f>INDEX(환산공식!CK$16:CK$301,MATCH('배치점수 계산기'!$W574,환산공식!$A$16:$A$301,0))</f>
        <v>0</v>
      </c>
      <c r="K574" s="7">
        <f>INDEX(환산공식!$EF$16:$EF$301,MATCH('배치점수 계산기'!W574,환산공식!$A$16:$A$301,0))</f>
        <v>0</v>
      </c>
      <c r="L574" s="41" t="str">
        <f t="shared" si="89"/>
        <v>1% 이하</v>
      </c>
      <c r="M574" s="7">
        <v>952.85572241395403</v>
      </c>
      <c r="N574" s="7">
        <v>950.67579516836145</v>
      </c>
      <c r="O574" s="7">
        <v>946.09586792276832</v>
      </c>
      <c r="P574" s="7">
        <v>945.74939172458221</v>
      </c>
      <c r="Q574" s="7">
        <v>943.8327021733046</v>
      </c>
      <c r="R574" s="7">
        <f t="shared" si="90"/>
        <v>6</v>
      </c>
      <c r="T574" s="7">
        <f>COUNTIF($C$11:C574,C574)</f>
        <v>299</v>
      </c>
      <c r="U574" s="7" t="str">
        <f t="shared" si="92"/>
        <v>가299</v>
      </c>
      <c r="V574" s="7" t="str">
        <f>INDEX(환산공식!$C$16:$C$301,MATCH('배치점수 계산기'!W574,환산공식!$A$16:$A$301,0))</f>
        <v>경상 의약수</v>
      </c>
      <c r="W574" s="7">
        <f t="shared" si="93"/>
        <v>74</v>
      </c>
      <c r="X574" s="7">
        <f t="shared" si="94"/>
        <v>1</v>
      </c>
      <c r="Y574" s="7">
        <f>IFERROR(INDEX(환산공식!Q$16:Q$200,MATCH($A574,환산공식!$A$16:$A$200,0)),"")</f>
        <v>1.6778523489932886</v>
      </c>
      <c r="Z574" s="7">
        <f>IFERROR(INDEX(환산공식!R$16:R$200,MATCH($A574,환산공식!$A$16:$A$200,0)),"")</f>
        <v>2.0408163265306123</v>
      </c>
      <c r="AA574" s="7">
        <f>IFERROR(INDEX(환산공식!U$16:U$200,MATCH($A574,환산공식!$A$16:$A$200,0)),"")</f>
        <v>1.9025875190258752</v>
      </c>
      <c r="AB574" s="7">
        <f t="shared" si="95"/>
        <v>0.29848352235219072</v>
      </c>
      <c r="AC574" s="7">
        <f t="shared" si="96"/>
        <v>0.36305342718756256</v>
      </c>
      <c r="AD574" s="7">
        <f t="shared" si="97"/>
        <v>0.33846305046024672</v>
      </c>
      <c r="AE574" s="7">
        <f>INDEX(환산공식!$AF$16:$AF$301,MATCH('배치점수 계산기'!W574,환산공식!$A$16:$A$301,0))</f>
        <v>12</v>
      </c>
      <c r="AF574" s="7">
        <f>INDEX(환산공식!$AP$16:$AP$301,MATCH('배치점수 계산기'!W574,환산공식!$A$16:$A$301,0))</f>
        <v>12</v>
      </c>
      <c r="AG574" s="7" t="str">
        <f t="shared" si="98"/>
        <v>표점/만점</v>
      </c>
      <c r="AH574" s="7" t="str">
        <f t="shared" si="99"/>
        <v>표점/만점</v>
      </c>
      <c r="BO574" s="210"/>
      <c r="BP574" s="210"/>
      <c r="BQ574" s="210"/>
      <c r="BR574" s="210"/>
      <c r="BS574" s="210"/>
      <c r="BT574" s="210"/>
      <c r="BU574" s="210"/>
      <c r="BV574" s="210"/>
      <c r="BW574" s="210"/>
      <c r="BX574" s="210"/>
      <c r="BY574" s="210"/>
      <c r="BZ574" s="210"/>
      <c r="CA574" s="210"/>
      <c r="CB574" s="210"/>
      <c r="CC574" s="210"/>
      <c r="EM574" s="120"/>
      <c r="ET574" s="210"/>
      <c r="EU574" s="210"/>
      <c r="EV574" s="210"/>
      <c r="EW574" s="210"/>
      <c r="EX574" s="210"/>
      <c r="EY574" s="210"/>
      <c r="EZ574" s="210"/>
      <c r="FA574" s="210"/>
      <c r="FB574" s="210"/>
      <c r="FC574" s="210"/>
      <c r="FD574" s="210"/>
      <c r="FE574" s="210"/>
      <c r="FF574" s="210"/>
      <c r="FG574" s="210"/>
      <c r="FH574" s="210"/>
      <c r="HR574" s="120"/>
      <c r="HY574" s="210"/>
      <c r="HZ574" s="210"/>
      <c r="IA574" s="210"/>
      <c r="IB574" s="210"/>
      <c r="IC574" s="210"/>
      <c r="ID574" s="210"/>
      <c r="IE574" s="210"/>
      <c r="IF574" s="210"/>
      <c r="IG574" s="210"/>
      <c r="IH574" s="210"/>
      <c r="II574" s="210"/>
      <c r="IJ574" s="210"/>
      <c r="IK574" s="210"/>
      <c r="IL574" s="210"/>
      <c r="IM574" s="210"/>
      <c r="KW574" s="120"/>
      <c r="LD574" s="210"/>
      <c r="LE574" s="210"/>
      <c r="LF574" s="210"/>
      <c r="LG574" s="210"/>
      <c r="LH574" s="210"/>
      <c r="LI574" s="210"/>
      <c r="LJ574" s="210"/>
      <c r="LK574" s="210"/>
      <c r="LL574" s="210"/>
      <c r="LM574" s="210"/>
      <c r="LN574" s="210"/>
      <c r="LO574" s="210"/>
      <c r="LP574" s="210"/>
      <c r="LQ574" s="210"/>
      <c r="LR574" s="210"/>
      <c r="OB574" s="120"/>
      <c r="OI574" s="210"/>
      <c r="OJ574" s="210"/>
      <c r="OK574" s="210"/>
      <c r="OL574" s="210"/>
      <c r="OM574" s="210"/>
      <c r="ON574" s="210"/>
      <c r="OO574" s="210"/>
      <c r="OP574" s="210"/>
      <c r="OQ574" s="210"/>
      <c r="OR574" s="210"/>
      <c r="OS574" s="210"/>
      <c r="OT574" s="210"/>
      <c r="OU574" s="210"/>
      <c r="OV574" s="210"/>
      <c r="OW574" s="210"/>
      <c r="RG574" s="120"/>
    </row>
    <row r="575" spans="1:475" x14ac:dyDescent="0.3">
      <c r="A575" s="7">
        <v>123</v>
      </c>
      <c r="B575" s="7">
        <v>565</v>
      </c>
      <c r="C575" s="7" t="s">
        <v>276</v>
      </c>
      <c r="D575" s="7" t="s">
        <v>850</v>
      </c>
      <c r="E575" s="7" t="s">
        <v>685</v>
      </c>
      <c r="F575" s="7" t="s">
        <v>274</v>
      </c>
      <c r="G575" s="41" t="str">
        <f t="shared" si="91"/>
        <v>X</v>
      </c>
      <c r="H575" s="41">
        <f>INDEX(환산공식!CI$16:CI$301,MATCH('배치점수 계산기'!$W575,환산공식!$A$16:$A$301,0))</f>
        <v>200</v>
      </c>
      <c r="I575" s="41" t="str">
        <f>CONCATENATE(ROUND(INDEX(환산공식!CJ$16:CJ$301,MATCH('배치점수 계산기'!$W575,환산공식!$A$16:$A$301,0)),1),"%")</f>
        <v>100%</v>
      </c>
      <c r="J575" s="41">
        <f>INDEX(환산공식!CK$16:CK$301,MATCH('배치점수 계산기'!$W575,환산공식!$A$16:$A$301,0))</f>
        <v>10</v>
      </c>
      <c r="K575" s="7">
        <f>INDEX(환산공식!$EF$16:$EF$301,MATCH('배치점수 계산기'!W575,환산공식!$A$16:$A$301,0))</f>
        <v>0</v>
      </c>
      <c r="L575" s="41" t="str">
        <f t="shared" si="89"/>
        <v>1% 이하</v>
      </c>
      <c r="M575" s="7">
        <v>787.24</v>
      </c>
      <c r="N575" s="7">
        <v>783.19999999999993</v>
      </c>
      <c r="O575" s="7">
        <v>782.3599999999999</v>
      </c>
      <c r="P575" s="7">
        <v>781.84</v>
      </c>
      <c r="Q575" s="7">
        <v>780.56</v>
      </c>
      <c r="R575" s="7">
        <f t="shared" si="90"/>
        <v>6</v>
      </c>
      <c r="T575" s="7">
        <f>COUNTIF($C$11:C575,C575)</f>
        <v>300</v>
      </c>
      <c r="U575" s="7" t="str">
        <f t="shared" si="92"/>
        <v>가300</v>
      </c>
      <c r="V575" s="7" t="str">
        <f>INDEX(환산공식!$C$16:$C$301,MATCH('배치점수 계산기'!W575,환산공식!$A$16:$A$301,0))</f>
        <v>조선 의치약</v>
      </c>
      <c r="W575" s="7">
        <f t="shared" si="93"/>
        <v>123</v>
      </c>
      <c r="X575" s="7">
        <f t="shared" si="94"/>
        <v>1</v>
      </c>
      <c r="Y575" s="7">
        <f>IFERROR(INDEX(환산공식!Q$16:Q$200,MATCH($A575,환산공식!$A$16:$A$200,0)),"")</f>
        <v>2</v>
      </c>
      <c r="Z575" s="7">
        <f>IFERROR(INDEX(환산공식!R$16:R$200,MATCH($A575,환산공식!$A$16:$A$200,0)),"")</f>
        <v>2.8</v>
      </c>
      <c r="AA575" s="7">
        <f>IFERROR(INDEX(환산공식!U$16:U$200,MATCH($A575,환산공식!$A$16:$A$200,0)),"")</f>
        <v>1.2</v>
      </c>
      <c r="AB575" s="7">
        <f t="shared" si="95"/>
        <v>0.33333333333333331</v>
      </c>
      <c r="AC575" s="7">
        <f t="shared" si="96"/>
        <v>0.46666666666666662</v>
      </c>
      <c r="AD575" s="7">
        <f t="shared" si="97"/>
        <v>0.19999999999999998</v>
      </c>
      <c r="AE575" s="7">
        <f>INDEX(환산공식!$AF$16:$AF$301,MATCH('배치점수 계산기'!W575,환산공식!$A$16:$A$301,0))</f>
        <v>2</v>
      </c>
      <c r="AF575" s="7">
        <f>INDEX(환산공식!$AP$16:$AP$301,MATCH('배치점수 계산기'!W575,환산공식!$A$16:$A$301,0))</f>
        <v>2</v>
      </c>
      <c r="AG575" s="7" t="str">
        <f t="shared" si="98"/>
        <v>백분위</v>
      </c>
      <c r="AH575" s="7" t="str">
        <f t="shared" si="99"/>
        <v>백분위</v>
      </c>
      <c r="BO575" s="210"/>
      <c r="BP575" s="210"/>
      <c r="BQ575" s="210"/>
      <c r="BR575" s="210"/>
      <c r="BS575" s="210"/>
      <c r="BT575" s="210"/>
      <c r="BU575" s="210"/>
      <c r="BV575" s="210"/>
      <c r="BW575" s="210"/>
      <c r="BX575" s="210"/>
      <c r="BY575" s="210"/>
      <c r="BZ575" s="210"/>
      <c r="CA575" s="210"/>
      <c r="CB575" s="210"/>
      <c r="CC575" s="210"/>
      <c r="EM575" s="120"/>
      <c r="ET575" s="210"/>
      <c r="EU575" s="210"/>
      <c r="EV575" s="210"/>
      <c r="EW575" s="210"/>
      <c r="EX575" s="210"/>
      <c r="EY575" s="210"/>
      <c r="EZ575" s="210"/>
      <c r="FA575" s="210"/>
      <c r="FB575" s="210"/>
      <c r="FC575" s="210"/>
      <c r="FD575" s="210"/>
      <c r="FE575" s="210"/>
      <c r="FF575" s="210"/>
      <c r="FG575" s="210"/>
      <c r="FH575" s="210"/>
      <c r="HR575" s="120"/>
      <c r="HY575" s="210"/>
      <c r="HZ575" s="210"/>
      <c r="IA575" s="210"/>
      <c r="IB575" s="210"/>
      <c r="IC575" s="210"/>
      <c r="ID575" s="210"/>
      <c r="IE575" s="210"/>
      <c r="IF575" s="210"/>
      <c r="IG575" s="210"/>
      <c r="IH575" s="210"/>
      <c r="II575" s="210"/>
      <c r="IJ575" s="210"/>
      <c r="IK575" s="210"/>
      <c r="IL575" s="210"/>
      <c r="IM575" s="210"/>
      <c r="KW575" s="120"/>
      <c r="LD575" s="210"/>
      <c r="LE575" s="210"/>
      <c r="LF575" s="210"/>
      <c r="LG575" s="210"/>
      <c r="LH575" s="210"/>
      <c r="LI575" s="210"/>
      <c r="LJ575" s="210"/>
      <c r="LK575" s="210"/>
      <c r="LL575" s="210"/>
      <c r="LM575" s="210"/>
      <c r="LN575" s="210"/>
      <c r="LO575" s="210"/>
      <c r="LP575" s="210"/>
      <c r="LQ575" s="210"/>
      <c r="LR575" s="210"/>
      <c r="OB575" s="120"/>
      <c r="OI575" s="210"/>
      <c r="OJ575" s="210"/>
      <c r="OK575" s="210"/>
      <c r="OL575" s="210"/>
      <c r="OM575" s="210"/>
      <c r="ON575" s="210"/>
      <c r="OO575" s="210"/>
      <c r="OP575" s="210"/>
      <c r="OQ575" s="210"/>
      <c r="OR575" s="210"/>
      <c r="OS575" s="210"/>
      <c r="OT575" s="210"/>
      <c r="OU575" s="210"/>
      <c r="OV575" s="210"/>
      <c r="OW575" s="210"/>
      <c r="RG575" s="120"/>
    </row>
    <row r="576" spans="1:475" x14ac:dyDescent="0.3">
      <c r="A576" s="7">
        <v>95</v>
      </c>
      <c r="B576" s="7">
        <v>566</v>
      </c>
      <c r="C576" s="7" t="s">
        <v>276</v>
      </c>
      <c r="D576" s="7" t="s">
        <v>722</v>
      </c>
      <c r="E576" s="7" t="s">
        <v>685</v>
      </c>
      <c r="F576" s="7" t="s">
        <v>274</v>
      </c>
      <c r="G576" s="41" t="str">
        <f t="shared" si="91"/>
        <v>X</v>
      </c>
      <c r="H576" s="41">
        <f>INDEX(환산공식!CI$16:CI$301,MATCH('배치점수 계산기'!$W576,환산공식!$A$16:$A$301,0))</f>
        <v>300</v>
      </c>
      <c r="I576" s="41" t="str">
        <f>CONCATENATE(ROUND(INDEX(환산공식!CJ$16:CJ$301,MATCH('배치점수 계산기'!$W576,환산공식!$A$16:$A$301,0)),1),"%")</f>
        <v>100%</v>
      </c>
      <c r="J576" s="41">
        <f>INDEX(환산공식!CK$16:CK$301,MATCH('배치점수 계산기'!$W576,환산공식!$A$16:$A$301,0))</f>
        <v>0</v>
      </c>
      <c r="K576" s="7">
        <f>INDEX(환산공식!$EF$16:$EF$301,MATCH('배치점수 계산기'!W576,환산공식!$A$16:$A$301,0))</f>
        <v>0</v>
      </c>
      <c r="L576" s="41" t="str">
        <f t="shared" si="89"/>
        <v>1% 이하</v>
      </c>
      <c r="M576" s="7">
        <v>1020.85</v>
      </c>
      <c r="N576" s="7">
        <v>1020.25</v>
      </c>
      <c r="O576" s="7">
        <v>1017.65</v>
      </c>
      <c r="P576" s="7">
        <v>1014.5</v>
      </c>
      <c r="Q576" s="7">
        <v>1014.5</v>
      </c>
      <c r="R576" s="7">
        <f t="shared" si="90"/>
        <v>6</v>
      </c>
      <c r="T576" s="7">
        <f>COUNTIF($C$11:C576,C576)</f>
        <v>301</v>
      </c>
      <c r="U576" s="7" t="str">
        <f t="shared" si="92"/>
        <v>가301</v>
      </c>
      <c r="V576" s="7" t="str">
        <f>INDEX(환산공식!$C$16:$C$301,MATCH('배치점수 계산기'!W576,환산공식!$A$16:$A$301,0))</f>
        <v>목포 약</v>
      </c>
      <c r="W576" s="7">
        <f t="shared" si="93"/>
        <v>95</v>
      </c>
      <c r="X576" s="7">
        <f t="shared" si="94"/>
        <v>1</v>
      </c>
      <c r="Y576" s="7">
        <f>IFERROR(INDEX(환산공식!Q$16:Q$200,MATCH($A576,환산공식!$A$16:$A$200,0)),"")</f>
        <v>3</v>
      </c>
      <c r="Z576" s="7">
        <f>IFERROR(INDEX(환산공식!R$16:R$200,MATCH($A576,환산공식!$A$16:$A$200,0)),"")</f>
        <v>4</v>
      </c>
      <c r="AA576" s="7">
        <f>IFERROR(INDEX(환산공식!U$16:U$200,MATCH($A576,환산공식!$A$16:$A$200,0)),"")</f>
        <v>3</v>
      </c>
      <c r="AB576" s="7">
        <f t="shared" si="95"/>
        <v>0.3</v>
      </c>
      <c r="AC576" s="7">
        <f t="shared" si="96"/>
        <v>0.4</v>
      </c>
      <c r="AD576" s="7">
        <f t="shared" si="97"/>
        <v>0.3</v>
      </c>
      <c r="AE576" s="7">
        <f>INDEX(환산공식!$AF$16:$AF$301,MATCH('배치점수 계산기'!W576,환산공식!$A$16:$A$301,0))</f>
        <v>2</v>
      </c>
      <c r="AF576" s="7">
        <f>INDEX(환산공식!$AP$16:$AP$301,MATCH('배치점수 계산기'!W576,환산공식!$A$16:$A$301,0))</f>
        <v>2</v>
      </c>
      <c r="AG576" s="7" t="str">
        <f t="shared" si="98"/>
        <v>백분위</v>
      </c>
      <c r="AH576" s="7" t="str">
        <f t="shared" si="99"/>
        <v>백분위</v>
      </c>
      <c r="BO576" s="210"/>
      <c r="BP576" s="210"/>
      <c r="BQ576" s="210"/>
      <c r="BR576" s="210"/>
      <c r="BS576" s="210"/>
      <c r="BT576" s="210"/>
      <c r="BU576" s="210"/>
      <c r="BV576" s="210"/>
      <c r="BW576" s="210"/>
      <c r="BX576" s="210"/>
      <c r="BY576" s="210"/>
      <c r="BZ576" s="210"/>
      <c r="CA576" s="210"/>
      <c r="CB576" s="210"/>
      <c r="CC576" s="210"/>
      <c r="EM576" s="120"/>
      <c r="ET576" s="210"/>
      <c r="EU576" s="210"/>
      <c r="EV576" s="210"/>
      <c r="EW576" s="210"/>
      <c r="EX576" s="210"/>
      <c r="EY576" s="210"/>
      <c r="EZ576" s="210"/>
      <c r="FA576" s="210"/>
      <c r="FB576" s="210"/>
      <c r="FC576" s="210"/>
      <c r="FD576" s="210"/>
      <c r="FE576" s="210"/>
      <c r="FF576" s="210"/>
      <c r="FG576" s="210"/>
      <c r="FH576" s="210"/>
      <c r="HR576" s="120"/>
      <c r="HY576" s="210"/>
      <c r="HZ576" s="210"/>
      <c r="IA576" s="210"/>
      <c r="IB576" s="210"/>
      <c r="IC576" s="210"/>
      <c r="ID576" s="210"/>
      <c r="IE576" s="210"/>
      <c r="IF576" s="210"/>
      <c r="IG576" s="210"/>
      <c r="IH576" s="210"/>
      <c r="II576" s="210"/>
      <c r="IJ576" s="210"/>
      <c r="IK576" s="210"/>
      <c r="IL576" s="210"/>
      <c r="IM576" s="210"/>
      <c r="KW576" s="120"/>
      <c r="LD576" s="210"/>
      <c r="LE576" s="210"/>
      <c r="LF576" s="210"/>
      <c r="LG576" s="210"/>
      <c r="LH576" s="210"/>
      <c r="LI576" s="210"/>
      <c r="LJ576" s="210"/>
      <c r="LK576" s="210"/>
      <c r="LL576" s="210"/>
      <c r="LM576" s="210"/>
      <c r="LN576" s="210"/>
      <c r="LO576" s="210"/>
      <c r="LP576" s="210"/>
      <c r="LQ576" s="210"/>
      <c r="LR576" s="210"/>
      <c r="OB576" s="120"/>
      <c r="OI576" s="210"/>
      <c r="OJ576" s="210"/>
      <c r="OK576" s="210"/>
      <c r="OL576" s="210"/>
      <c r="OM576" s="210"/>
      <c r="ON576" s="210"/>
      <c r="OO576" s="210"/>
      <c r="OP576" s="210"/>
      <c r="OQ576" s="210"/>
      <c r="OR576" s="210"/>
      <c r="OS576" s="210"/>
      <c r="OT576" s="210"/>
      <c r="OU576" s="210"/>
      <c r="OV576" s="210"/>
      <c r="OW576" s="210"/>
      <c r="RG576" s="120"/>
    </row>
    <row r="577" spans="1:475" x14ac:dyDescent="0.3">
      <c r="A577" s="7">
        <v>16</v>
      </c>
      <c r="B577" s="7">
        <v>567</v>
      </c>
      <c r="C577" s="7" t="s">
        <v>346</v>
      </c>
      <c r="D577" s="7" t="s">
        <v>681</v>
      </c>
      <c r="E577" s="7" t="s">
        <v>685</v>
      </c>
      <c r="F577" s="7" t="s">
        <v>274</v>
      </c>
      <c r="G577" s="41" t="str">
        <f t="shared" si="91"/>
        <v>X</v>
      </c>
      <c r="H577" s="41">
        <f>INDEX(환산공식!CI$16:CI$301,MATCH('배치점수 계산기'!$W577,환산공식!$A$16:$A$301,0))</f>
        <v>0</v>
      </c>
      <c r="I577" s="41" t="e">
        <f>CONCATENATE(ROUND(INDEX(환산공식!CJ$16:CJ$301,MATCH('배치점수 계산기'!$W577,환산공식!$A$16:$A$301,0)),1),"%")</f>
        <v>#DIV/0!</v>
      </c>
      <c r="J577" s="41">
        <f>INDEX(환산공식!CK$16:CK$301,MATCH('배치점수 계산기'!$W577,환산공식!$A$16:$A$301,0))</f>
        <v>0</v>
      </c>
      <c r="K577" s="7">
        <f>INDEX(환산공식!$EF$16:$EF$301,MATCH('배치점수 계산기'!W577,환산공식!$A$16:$A$301,0))</f>
        <v>0</v>
      </c>
      <c r="L577" s="41" t="str">
        <f t="shared" si="89"/>
        <v>1% 이하</v>
      </c>
      <c r="M577" s="7">
        <v>418.85948176583491</v>
      </c>
      <c r="N577" s="7">
        <v>417.61999999999995</v>
      </c>
      <c r="O577" s="7">
        <v>415.38</v>
      </c>
      <c r="P577" s="7">
        <v>413.96000000000004</v>
      </c>
      <c r="Q577" s="7">
        <v>411.76052747252749</v>
      </c>
      <c r="R577" s="7">
        <f t="shared" si="90"/>
        <v>6</v>
      </c>
      <c r="T577" s="7">
        <f>COUNTIF($C$11:C577,C577)</f>
        <v>226</v>
      </c>
      <c r="U577" s="7" t="str">
        <f t="shared" si="92"/>
        <v>나226</v>
      </c>
      <c r="V577" s="7" t="str">
        <f>INDEX(환산공식!$C$16:$C$301,MATCH('배치점수 계산기'!W577,환산공식!$A$16:$A$301,0))</f>
        <v>서울대 자연</v>
      </c>
      <c r="W577" s="7">
        <f t="shared" si="93"/>
        <v>16</v>
      </c>
      <c r="X577" s="7">
        <f t="shared" si="94"/>
        <v>1</v>
      </c>
      <c r="Y577" s="7">
        <f>IFERROR(INDEX(환산공식!Q$16:Q$200,MATCH($A577,환산공식!$A$16:$A$200,0)),"")</f>
        <v>1</v>
      </c>
      <c r="Z577" s="7">
        <f>IFERROR(INDEX(환산공식!R$16:R$200,MATCH($A577,환산공식!$A$16:$A$200,0)),"")</f>
        <v>1.2</v>
      </c>
      <c r="AA577" s="7">
        <f>IFERROR(INDEX(환산공식!U$16:U$200,MATCH($A577,환산공식!$A$16:$A$200,0)),"")</f>
        <v>0.8</v>
      </c>
      <c r="AB577" s="7">
        <f t="shared" si="95"/>
        <v>0.33333333333333331</v>
      </c>
      <c r="AC577" s="7">
        <f t="shared" si="96"/>
        <v>0.39999999999999997</v>
      </c>
      <c r="AD577" s="7">
        <f t="shared" si="97"/>
        <v>0.26666666666666666</v>
      </c>
      <c r="AE577" s="7">
        <f>INDEX(환산공식!$AF$16:$AF$301,MATCH('배치점수 계산기'!W577,환산공식!$A$16:$A$301,0))</f>
        <v>1</v>
      </c>
      <c r="AF577" s="7">
        <f>INDEX(환산공식!$AP$16:$AP$301,MATCH('배치점수 계산기'!W577,환산공식!$A$16:$A$301,0))</f>
        <v>1</v>
      </c>
      <c r="AG577" s="7" t="str">
        <f t="shared" si="98"/>
        <v>표점</v>
      </c>
      <c r="AH577" s="7" t="str">
        <f t="shared" si="99"/>
        <v>표점</v>
      </c>
      <c r="BO577" s="210"/>
      <c r="BP577" s="210"/>
      <c r="BQ577" s="210"/>
      <c r="BR577" s="210"/>
      <c r="BS577" s="210"/>
      <c r="BT577" s="210"/>
      <c r="BU577" s="210"/>
      <c r="BV577" s="210"/>
      <c r="BW577" s="210"/>
      <c r="BX577" s="210"/>
      <c r="BY577" s="210"/>
      <c r="BZ577" s="210"/>
      <c r="CA577" s="210"/>
      <c r="CB577" s="210"/>
      <c r="CC577" s="210"/>
      <c r="EM577" s="120"/>
      <c r="ET577" s="210"/>
      <c r="EU577" s="210"/>
      <c r="EV577" s="210"/>
      <c r="EW577" s="210"/>
      <c r="EX577" s="210"/>
      <c r="EY577" s="210"/>
      <c r="EZ577" s="210"/>
      <c r="FA577" s="210"/>
      <c r="FB577" s="210"/>
      <c r="FC577" s="210"/>
      <c r="FD577" s="210"/>
      <c r="FE577" s="210"/>
      <c r="FF577" s="210"/>
      <c r="FG577" s="210"/>
      <c r="FH577" s="210"/>
      <c r="HR577" s="120"/>
      <c r="HY577" s="210"/>
      <c r="HZ577" s="210"/>
      <c r="IA577" s="210"/>
      <c r="IB577" s="210"/>
      <c r="IC577" s="210"/>
      <c r="ID577" s="210"/>
      <c r="IE577" s="210"/>
      <c r="IF577" s="210"/>
      <c r="IG577" s="210"/>
      <c r="IH577" s="210"/>
      <c r="II577" s="210"/>
      <c r="IJ577" s="210"/>
      <c r="IK577" s="210"/>
      <c r="IL577" s="210"/>
      <c r="IM577" s="210"/>
      <c r="KW577" s="120"/>
      <c r="LD577" s="210"/>
      <c r="LE577" s="210"/>
      <c r="LF577" s="210"/>
      <c r="LG577" s="210"/>
      <c r="LH577" s="210"/>
      <c r="LI577" s="210"/>
      <c r="LJ577" s="210"/>
      <c r="LK577" s="210"/>
      <c r="LL577" s="210"/>
      <c r="LM577" s="210"/>
      <c r="LN577" s="210"/>
      <c r="LO577" s="210"/>
      <c r="LP577" s="210"/>
      <c r="LQ577" s="210"/>
      <c r="LR577" s="210"/>
      <c r="OB577" s="120"/>
      <c r="OI577" s="210"/>
      <c r="OJ577" s="210"/>
      <c r="OK577" s="210"/>
      <c r="OL577" s="210"/>
      <c r="OM577" s="210"/>
      <c r="ON577" s="210"/>
      <c r="OO577" s="210"/>
      <c r="OP577" s="210"/>
      <c r="OQ577" s="210"/>
      <c r="OR577" s="210"/>
      <c r="OS577" s="210"/>
      <c r="OT577" s="210"/>
      <c r="OU577" s="210"/>
      <c r="OV577" s="210"/>
      <c r="OW577" s="210"/>
      <c r="RG577" s="120"/>
    </row>
    <row r="578" spans="1:475" x14ac:dyDescent="0.3">
      <c r="A578" s="7">
        <v>128</v>
      </c>
      <c r="B578" s="7">
        <v>568</v>
      </c>
      <c r="C578" s="7" t="s">
        <v>346</v>
      </c>
      <c r="D578" s="7" t="s">
        <v>721</v>
      </c>
      <c r="E578" s="7" t="s">
        <v>685</v>
      </c>
      <c r="F578" s="7" t="s">
        <v>274</v>
      </c>
      <c r="G578" s="41" t="str">
        <f t="shared" si="91"/>
        <v>X</v>
      </c>
      <c r="H578" s="41">
        <f>INDEX(환산공식!CI$16:CI$301,MATCH('배치점수 계산기'!$W578,환산공식!$A$16:$A$301,0))</f>
        <v>200</v>
      </c>
      <c r="I578" s="41" t="str">
        <f>CONCATENATE(ROUND(INDEX(환산공식!CJ$16:CJ$301,MATCH('배치점수 계산기'!$W578,환산공식!$A$16:$A$301,0)),1),"%")</f>
        <v>100%</v>
      </c>
      <c r="J578" s="41">
        <f>INDEX(환산공식!CK$16:CK$301,MATCH('배치점수 계산기'!$W578,환산공식!$A$16:$A$301,0))</f>
        <v>10</v>
      </c>
      <c r="K578" s="7">
        <f>INDEX(환산공식!$EF$16:$EF$301,MATCH('배치점수 계산기'!W578,환산공식!$A$16:$A$301,0))</f>
        <v>0</v>
      </c>
      <c r="L578" s="41" t="str">
        <f t="shared" si="89"/>
        <v>1% 이하</v>
      </c>
      <c r="M578" s="7">
        <v>945.52722605657209</v>
      </c>
      <c r="N578" s="7">
        <v>944.35541635740674</v>
      </c>
      <c r="O578" s="7">
        <v>943.0593652327658</v>
      </c>
      <c r="P578" s="7">
        <v>942.01543186945275</v>
      </c>
      <c r="Q578" s="7">
        <v>940.03790578392523</v>
      </c>
      <c r="R578" s="7">
        <f t="shared" si="90"/>
        <v>6</v>
      </c>
      <c r="T578" s="7">
        <f>COUNTIF($C$11:C578,C578)</f>
        <v>227</v>
      </c>
      <c r="U578" s="7" t="str">
        <f t="shared" si="92"/>
        <v>나227</v>
      </c>
      <c r="V578" s="7" t="str">
        <f>INDEX(환산공식!$C$16:$C$301,MATCH('배치점수 계산기'!W578,환산공식!$A$16:$A$301,0))</f>
        <v>한양에리카 약</v>
      </c>
      <c r="W578" s="7">
        <f t="shared" si="93"/>
        <v>128</v>
      </c>
      <c r="X578" s="7">
        <f t="shared" si="94"/>
        <v>1</v>
      </c>
      <c r="Y578" s="7">
        <f>IFERROR(INDEX(환산공식!Q$16:Q$200,MATCH($A578,환산공식!$A$16:$A$200,0)),"")</f>
        <v>1.6778523489932886</v>
      </c>
      <c r="Z578" s="7">
        <f>IFERROR(INDEX(환산공식!R$16:R$200,MATCH($A578,환산공식!$A$16:$A$200,0)),"")</f>
        <v>2.0408163265306123</v>
      </c>
      <c r="AA578" s="7">
        <f>IFERROR(INDEX(환산공식!U$16:U$200,MATCH($A578,환산공식!$A$16:$A$200,0)),"")</f>
        <v>1.7573457050470971</v>
      </c>
      <c r="AB578" s="7">
        <f t="shared" si="95"/>
        <v>0.30640028173525991</v>
      </c>
      <c r="AC578" s="7">
        <f t="shared" si="96"/>
        <v>0.37268279166166307</v>
      </c>
      <c r="AD578" s="7">
        <f t="shared" si="97"/>
        <v>0.32091692660307697</v>
      </c>
      <c r="AE578" s="7">
        <f>INDEX(환산공식!$AF$16:$AF$301,MATCH('배치점수 계산기'!W578,환산공식!$A$16:$A$301,0))</f>
        <v>12</v>
      </c>
      <c r="AF578" s="7">
        <f>INDEX(환산공식!$AP$16:$AP$301,MATCH('배치점수 계산기'!W578,환산공식!$A$16:$A$301,0))</f>
        <v>42</v>
      </c>
      <c r="AG578" s="7" t="str">
        <f t="shared" si="98"/>
        <v>표점/만점</v>
      </c>
      <c r="AH578" s="7" t="str">
        <f t="shared" si="99"/>
        <v>변표/만점</v>
      </c>
      <c r="BO578" s="210"/>
      <c r="BP578" s="210"/>
      <c r="BQ578" s="210"/>
      <c r="BR578" s="210"/>
      <c r="BS578" s="210"/>
      <c r="BT578" s="210"/>
      <c r="BU578" s="210"/>
      <c r="BV578" s="210"/>
      <c r="BW578" s="210"/>
      <c r="BX578" s="210"/>
      <c r="BY578" s="210"/>
      <c r="BZ578" s="210"/>
      <c r="CA578" s="210"/>
      <c r="CB578" s="210"/>
      <c r="CC578" s="210"/>
      <c r="EM578" s="120"/>
      <c r="ET578" s="210"/>
      <c r="EU578" s="210"/>
      <c r="EV578" s="210"/>
      <c r="EW578" s="210"/>
      <c r="EX578" s="210"/>
      <c r="EY578" s="210"/>
      <c r="EZ578" s="210"/>
      <c r="FA578" s="210"/>
      <c r="FB578" s="210"/>
      <c r="FC578" s="210"/>
      <c r="FD578" s="210"/>
      <c r="FE578" s="210"/>
      <c r="FF578" s="210"/>
      <c r="FG578" s="210"/>
      <c r="FH578" s="210"/>
      <c r="HR578" s="120"/>
      <c r="HY578" s="210"/>
      <c r="HZ578" s="210"/>
      <c r="IA578" s="210"/>
      <c r="IB578" s="210"/>
      <c r="IC578" s="210"/>
      <c r="ID578" s="210"/>
      <c r="IE578" s="210"/>
      <c r="IF578" s="210"/>
      <c r="IG578" s="210"/>
      <c r="IH578" s="210"/>
      <c r="II578" s="210"/>
      <c r="IJ578" s="210"/>
      <c r="IK578" s="210"/>
      <c r="IL578" s="210"/>
      <c r="IM578" s="210"/>
      <c r="KW578" s="120"/>
      <c r="LD578" s="210"/>
      <c r="LE578" s="210"/>
      <c r="LF578" s="210"/>
      <c r="LG578" s="210"/>
      <c r="LH578" s="210"/>
      <c r="LI578" s="210"/>
      <c r="LJ578" s="210"/>
      <c r="LK578" s="210"/>
      <c r="LL578" s="210"/>
      <c r="LM578" s="210"/>
      <c r="LN578" s="210"/>
      <c r="LO578" s="210"/>
      <c r="LP578" s="210"/>
      <c r="LQ578" s="210"/>
      <c r="LR578" s="210"/>
      <c r="OB578" s="120"/>
      <c r="OI578" s="210"/>
      <c r="OJ578" s="210"/>
      <c r="OK578" s="210"/>
      <c r="OL578" s="210"/>
      <c r="OM578" s="210"/>
      <c r="ON578" s="210"/>
      <c r="OO578" s="210"/>
      <c r="OP578" s="210"/>
      <c r="OQ578" s="210"/>
      <c r="OR578" s="210"/>
      <c r="OS578" s="210"/>
      <c r="OT578" s="210"/>
      <c r="OU578" s="210"/>
      <c r="OV578" s="210"/>
      <c r="OW578" s="210"/>
      <c r="RG578" s="120"/>
    </row>
    <row r="579" spans="1:475" x14ac:dyDescent="0.3">
      <c r="A579" s="7">
        <v>124</v>
      </c>
      <c r="B579" s="7">
        <v>569</v>
      </c>
      <c r="C579" s="7" t="s">
        <v>346</v>
      </c>
      <c r="D579" s="7" t="s">
        <v>720</v>
      </c>
      <c r="E579" s="7" t="s">
        <v>685</v>
      </c>
      <c r="F579" s="7" t="s">
        <v>274</v>
      </c>
      <c r="G579" s="41" t="str">
        <f t="shared" si="91"/>
        <v>X</v>
      </c>
      <c r="H579" s="41">
        <f>INDEX(환산공식!CI$16:CI$301,MATCH('배치점수 계산기'!$W579,환산공식!$A$16:$A$301,0))</f>
        <v>20</v>
      </c>
      <c r="I579" s="41" t="str">
        <f>CONCATENATE(ROUND(INDEX(환산공식!CJ$16:CJ$301,MATCH('배치점수 계산기'!$W579,환산공식!$A$16:$A$301,0)),1),"%")</f>
        <v>100%</v>
      </c>
      <c r="J579" s="41">
        <f>INDEX(환산공식!CK$16:CK$301,MATCH('배치점수 계산기'!$W579,환산공식!$A$16:$A$301,0))</f>
        <v>0</v>
      </c>
      <c r="K579" s="7">
        <f>INDEX(환산공식!$EF$16:$EF$301,MATCH('배치점수 계산기'!W579,환산공식!$A$16:$A$301,0))</f>
        <v>0</v>
      </c>
      <c r="L579" s="41" t="str">
        <f t="shared" si="89"/>
        <v>1% 이하</v>
      </c>
      <c r="M579" s="7">
        <v>93.505046629050142</v>
      </c>
      <c r="N579" s="7">
        <v>93.346461576276255</v>
      </c>
      <c r="O579" s="7">
        <v>93.242434605791274</v>
      </c>
      <c r="P579" s="7">
        <v>93.143677244115793</v>
      </c>
      <c r="Q579" s="7">
        <v>92.977662149790746</v>
      </c>
      <c r="R579" s="7">
        <f t="shared" si="90"/>
        <v>6</v>
      </c>
      <c r="T579" s="7">
        <f>COUNTIF($C$11:C579,C579)</f>
        <v>228</v>
      </c>
      <c r="U579" s="7" t="str">
        <f t="shared" si="92"/>
        <v>나228</v>
      </c>
      <c r="V579" s="7" t="str">
        <f>INDEX(환산공식!$C$16:$C$301,MATCH('배치점수 계산기'!W579,환산공식!$A$16:$A$301,0))</f>
        <v>차 약</v>
      </c>
      <c r="W579" s="7">
        <f t="shared" si="93"/>
        <v>124</v>
      </c>
      <c r="X579" s="7">
        <f t="shared" si="94"/>
        <v>1</v>
      </c>
      <c r="Y579" s="7">
        <f>IFERROR(INDEX(환산공식!Q$16:Q$200,MATCH($A579,환산공식!$A$16:$A$200,0)),"")</f>
        <v>0.13422818791946309</v>
      </c>
      <c r="Z579" s="7">
        <f>IFERROR(INDEX(환산공식!R$16:R$200,MATCH($A579,환산공식!$A$16:$A$200,0)),"")</f>
        <v>0.20408163265306123</v>
      </c>
      <c r="AA579" s="7">
        <f>IFERROR(INDEX(환산공식!U$16:U$200,MATCH($A579,환산공식!$A$16:$A$200,0)),"")</f>
        <v>0.21088148460565165</v>
      </c>
      <c r="AB579" s="7">
        <f t="shared" si="95"/>
        <v>0.24441062095095437</v>
      </c>
      <c r="AC579" s="7">
        <f t="shared" si="96"/>
        <v>0.37160390328257348</v>
      </c>
      <c r="AD579" s="7">
        <f t="shared" si="97"/>
        <v>0.38398547576647202</v>
      </c>
      <c r="AE579" s="7">
        <f>INDEX(환산공식!$AF$16:$AF$301,MATCH('배치점수 계산기'!W579,환산공식!$A$16:$A$301,0))</f>
        <v>12</v>
      </c>
      <c r="AF579" s="7">
        <f>INDEX(환산공식!$AP$16:$AP$301,MATCH('배치점수 계산기'!W579,환산공식!$A$16:$A$301,0))</f>
        <v>42</v>
      </c>
      <c r="AG579" s="7" t="str">
        <f t="shared" si="98"/>
        <v>표점/만점</v>
      </c>
      <c r="AH579" s="7" t="str">
        <f t="shared" si="99"/>
        <v>변표/만점</v>
      </c>
      <c r="BO579" s="210"/>
      <c r="BP579" s="210"/>
      <c r="BQ579" s="210"/>
      <c r="BR579" s="210"/>
      <c r="BS579" s="210"/>
      <c r="BT579" s="210"/>
      <c r="BU579" s="210"/>
      <c r="BV579" s="210"/>
      <c r="BW579" s="210"/>
      <c r="BX579" s="210"/>
      <c r="BY579" s="210"/>
      <c r="BZ579" s="210"/>
      <c r="CA579" s="210"/>
      <c r="CB579" s="210"/>
      <c r="CC579" s="210"/>
      <c r="EM579" s="120"/>
      <c r="ET579" s="210"/>
      <c r="EU579" s="210"/>
      <c r="EV579" s="210"/>
      <c r="EW579" s="210"/>
      <c r="EX579" s="210"/>
      <c r="EY579" s="210"/>
      <c r="EZ579" s="210"/>
      <c r="FA579" s="210"/>
      <c r="FB579" s="210"/>
      <c r="FC579" s="210"/>
      <c r="FD579" s="210"/>
      <c r="FE579" s="210"/>
      <c r="FF579" s="210"/>
      <c r="FG579" s="210"/>
      <c r="FH579" s="210"/>
      <c r="HR579" s="120"/>
      <c r="HY579" s="210"/>
      <c r="HZ579" s="210"/>
      <c r="IA579" s="210"/>
      <c r="IB579" s="210"/>
      <c r="IC579" s="210"/>
      <c r="ID579" s="210"/>
      <c r="IE579" s="210"/>
      <c r="IF579" s="210"/>
      <c r="IG579" s="210"/>
      <c r="IH579" s="210"/>
      <c r="II579" s="210"/>
      <c r="IJ579" s="210"/>
      <c r="IK579" s="210"/>
      <c r="IL579" s="210"/>
      <c r="IM579" s="210"/>
      <c r="KW579" s="120"/>
      <c r="LD579" s="210"/>
      <c r="LE579" s="210"/>
      <c r="LF579" s="210"/>
      <c r="LG579" s="210"/>
      <c r="LH579" s="210"/>
      <c r="LI579" s="210"/>
      <c r="LJ579" s="210"/>
      <c r="LK579" s="210"/>
      <c r="LL579" s="210"/>
      <c r="LM579" s="210"/>
      <c r="LN579" s="210"/>
      <c r="LO579" s="210"/>
      <c r="LP579" s="210"/>
      <c r="LQ579" s="210"/>
      <c r="LR579" s="210"/>
      <c r="OB579" s="120"/>
      <c r="OI579" s="210"/>
      <c r="OJ579" s="210"/>
      <c r="OK579" s="210"/>
      <c r="OL579" s="210"/>
      <c r="OM579" s="210"/>
      <c r="ON579" s="210"/>
      <c r="OO579" s="210"/>
      <c r="OP579" s="210"/>
      <c r="OQ579" s="210"/>
      <c r="OR579" s="210"/>
      <c r="OS579" s="210"/>
      <c r="OT579" s="210"/>
      <c r="OU579" s="210"/>
      <c r="OV579" s="210"/>
      <c r="OW579" s="210"/>
      <c r="RG579" s="120"/>
    </row>
    <row r="580" spans="1:475" x14ac:dyDescent="0.3">
      <c r="A580" s="7">
        <v>64</v>
      </c>
      <c r="B580" s="7">
        <v>570</v>
      </c>
      <c r="C580" s="7" t="s">
        <v>346</v>
      </c>
      <c r="D580" s="7" t="s">
        <v>717</v>
      </c>
      <c r="E580" s="7" t="s">
        <v>685</v>
      </c>
      <c r="F580" s="7" t="s">
        <v>274</v>
      </c>
      <c r="G580" s="41" t="str">
        <f t="shared" si="91"/>
        <v>X</v>
      </c>
      <c r="H580" s="41">
        <f>INDEX(환산공식!CI$16:CI$301,MATCH('배치점수 계산기'!$W580,환산공식!$A$16:$A$301,0))</f>
        <v>200</v>
      </c>
      <c r="I580" s="41" t="str">
        <f>CONCATENATE(ROUND(INDEX(환산공식!CJ$16:CJ$301,MATCH('배치점수 계산기'!$W580,환산공식!$A$16:$A$301,0)),1),"%")</f>
        <v>100%</v>
      </c>
      <c r="J580" s="41">
        <f>INDEX(환산공식!CK$16:CK$301,MATCH('배치점수 계산기'!$W580,환산공식!$A$16:$A$301,0))</f>
        <v>10</v>
      </c>
      <c r="K580" s="7">
        <f>INDEX(환산공식!$EF$16:$EF$301,MATCH('배치점수 계산기'!W580,환산공식!$A$16:$A$301,0))</f>
        <v>0</v>
      </c>
      <c r="L580" s="41" t="str">
        <f t="shared" si="89"/>
        <v>1% 이하</v>
      </c>
      <c r="M580" s="7">
        <v>945.52722605657209</v>
      </c>
      <c r="N580" s="7">
        <v>943.99049106058033</v>
      </c>
      <c r="O580" s="7">
        <v>942.01543186945275</v>
      </c>
      <c r="P580" s="7">
        <v>940.03790578392523</v>
      </c>
      <c r="Q580" s="7">
        <v>936.9636909566758</v>
      </c>
      <c r="R580" s="7">
        <f t="shared" si="90"/>
        <v>6</v>
      </c>
      <c r="T580" s="7">
        <f>COUNTIF($C$11:C580,C580)</f>
        <v>229</v>
      </c>
      <c r="U580" s="7" t="str">
        <f t="shared" si="92"/>
        <v>나229</v>
      </c>
      <c r="V580" s="7" t="str">
        <f>INDEX(환산공식!$C$16:$C$301,MATCH('배치점수 계산기'!W580,환산공식!$A$16:$A$301,0))</f>
        <v>이화 자연</v>
      </c>
      <c r="W580" s="7">
        <f t="shared" si="93"/>
        <v>64</v>
      </c>
      <c r="X580" s="7">
        <f t="shared" si="94"/>
        <v>1</v>
      </c>
      <c r="Y580" s="7">
        <f>IFERROR(INDEX(환산공식!Q$16:Q$200,MATCH($A580,환산공식!$A$16:$A$200,0)),"")</f>
        <v>1.6778523489932886</v>
      </c>
      <c r="Z580" s="7">
        <f>IFERROR(INDEX(환산공식!R$16:R$200,MATCH($A580,환산공식!$A$16:$A$200,0)),"")</f>
        <v>2.0408163265306123</v>
      </c>
      <c r="AA580" s="7">
        <f>IFERROR(INDEX(환산공식!U$16:U$200,MATCH($A580,환산공식!$A$16:$A$200,0)),"")</f>
        <v>1.7573457050470971</v>
      </c>
      <c r="AB580" s="7">
        <f t="shared" si="95"/>
        <v>0.30640028173525991</v>
      </c>
      <c r="AC580" s="7">
        <f t="shared" si="96"/>
        <v>0.37268279166166307</v>
      </c>
      <c r="AD580" s="7">
        <f t="shared" si="97"/>
        <v>0.32091692660307697</v>
      </c>
      <c r="AE580" s="7">
        <f>INDEX(환산공식!$AF$16:$AF$301,MATCH('배치점수 계산기'!W580,환산공식!$A$16:$A$301,0))</f>
        <v>12</v>
      </c>
      <c r="AF580" s="7">
        <f>INDEX(환산공식!$AP$16:$AP$301,MATCH('배치점수 계산기'!W580,환산공식!$A$16:$A$301,0))</f>
        <v>42</v>
      </c>
      <c r="AG580" s="7" t="str">
        <f t="shared" si="98"/>
        <v>표점/만점</v>
      </c>
      <c r="AH580" s="7" t="str">
        <f t="shared" si="99"/>
        <v>변표/만점</v>
      </c>
      <c r="BO580" s="210"/>
      <c r="BP580" s="210"/>
      <c r="BQ580" s="210"/>
      <c r="BR580" s="210"/>
      <c r="BS580" s="210"/>
      <c r="BT580" s="210"/>
      <c r="BU580" s="210"/>
      <c r="BV580" s="210"/>
      <c r="BW580" s="210"/>
      <c r="BX580" s="210"/>
      <c r="BY580" s="210"/>
      <c r="BZ580" s="210"/>
      <c r="CA580" s="210"/>
      <c r="CB580" s="210"/>
      <c r="CC580" s="210"/>
      <c r="EM580" s="120"/>
      <c r="ET580" s="210"/>
      <c r="EU580" s="210"/>
      <c r="EV580" s="210"/>
      <c r="EW580" s="210"/>
      <c r="EX580" s="210"/>
      <c r="EY580" s="210"/>
      <c r="EZ580" s="210"/>
      <c r="FA580" s="210"/>
      <c r="FB580" s="210"/>
      <c r="FC580" s="210"/>
      <c r="FD580" s="210"/>
      <c r="FE580" s="210"/>
      <c r="FF580" s="210"/>
      <c r="FG580" s="210"/>
      <c r="FH580" s="210"/>
      <c r="HR580" s="120"/>
      <c r="HY580" s="210"/>
      <c r="HZ580" s="210"/>
      <c r="IA580" s="210"/>
      <c r="IB580" s="210"/>
      <c r="IC580" s="210"/>
      <c r="ID580" s="210"/>
      <c r="IE580" s="210"/>
      <c r="IF580" s="210"/>
      <c r="IG580" s="210"/>
      <c r="IH580" s="210"/>
      <c r="II580" s="210"/>
      <c r="IJ580" s="210"/>
      <c r="IK580" s="210"/>
      <c r="IL580" s="210"/>
      <c r="IM580" s="210"/>
      <c r="KW580" s="120"/>
      <c r="LD580" s="210"/>
      <c r="LE580" s="210"/>
      <c r="LF580" s="210"/>
      <c r="LG580" s="210"/>
      <c r="LH580" s="210"/>
      <c r="LI580" s="210"/>
      <c r="LJ580" s="210"/>
      <c r="LK580" s="210"/>
      <c r="LL580" s="210"/>
      <c r="LM580" s="210"/>
      <c r="LN580" s="210"/>
      <c r="LO580" s="210"/>
      <c r="LP580" s="210"/>
      <c r="LQ580" s="210"/>
      <c r="LR580" s="210"/>
      <c r="OB580" s="120"/>
      <c r="OI580" s="210"/>
      <c r="OJ580" s="210"/>
      <c r="OK580" s="210"/>
      <c r="OL580" s="210"/>
      <c r="OM580" s="210"/>
      <c r="ON580" s="210"/>
      <c r="OO580" s="210"/>
      <c r="OP580" s="210"/>
      <c r="OQ580" s="210"/>
      <c r="OR580" s="210"/>
      <c r="OS580" s="210"/>
      <c r="OT580" s="210"/>
      <c r="OU580" s="210"/>
      <c r="OV580" s="210"/>
      <c r="OW580" s="210"/>
      <c r="RG580" s="120"/>
    </row>
    <row r="581" spans="1:475" x14ac:dyDescent="0.3">
      <c r="A581" s="7">
        <v>125</v>
      </c>
      <c r="B581" s="7">
        <v>571</v>
      </c>
      <c r="C581" s="7" t="s">
        <v>346</v>
      </c>
      <c r="D581" s="7" t="s">
        <v>707</v>
      </c>
      <c r="E581" s="7" t="s">
        <v>685</v>
      </c>
      <c r="F581" s="7" t="s">
        <v>274</v>
      </c>
      <c r="G581" s="41" t="str">
        <f t="shared" si="91"/>
        <v>X</v>
      </c>
      <c r="H581" s="41">
        <f>INDEX(환산공식!CI$16:CI$301,MATCH('배치점수 계산기'!$W581,환산공식!$A$16:$A$301,0))</f>
        <v>0</v>
      </c>
      <c r="I581" s="41" t="e">
        <f>CONCATENATE(ROUND(INDEX(환산공식!CJ$16:CJ$301,MATCH('배치점수 계산기'!$W581,환산공식!$A$16:$A$301,0)),1),"%")</f>
        <v>#DIV/0!</v>
      </c>
      <c r="J581" s="41">
        <f>INDEX(환산공식!CK$16:CK$301,MATCH('배치점수 계산기'!$W581,환산공식!$A$16:$A$301,0))</f>
        <v>0</v>
      </c>
      <c r="K581" s="7">
        <f>INDEX(환산공식!$EF$16:$EF$301,MATCH('배치점수 계산기'!W581,환산공식!$A$16:$A$301,0))</f>
        <v>0</v>
      </c>
      <c r="L581" s="41" t="str">
        <f t="shared" si="89"/>
        <v>1% 이하</v>
      </c>
      <c r="M581" s="7">
        <v>203.89750000000004</v>
      </c>
      <c r="N581" s="7">
        <v>203.45320000000004</v>
      </c>
      <c r="O581" s="7">
        <v>203.23893362175528</v>
      </c>
      <c r="P581" s="7">
        <v>202.68140009923098</v>
      </c>
      <c r="Q581" s="7">
        <v>202.31560000000005</v>
      </c>
      <c r="R581" s="7">
        <f t="shared" si="90"/>
        <v>6</v>
      </c>
      <c r="T581" s="7">
        <f>COUNTIF($C$11:C581,C581)</f>
        <v>230</v>
      </c>
      <c r="U581" s="7" t="str">
        <f t="shared" si="92"/>
        <v>나230</v>
      </c>
      <c r="V581" s="7" t="str">
        <f>INDEX(환산공식!$C$16:$C$301,MATCH('배치점수 계산기'!W581,환산공식!$A$16:$A$301,0))</f>
        <v>충남 의약수</v>
      </c>
      <c r="W581" s="7">
        <f t="shared" si="93"/>
        <v>125</v>
      </c>
      <c r="X581" s="7">
        <f t="shared" si="94"/>
        <v>1</v>
      </c>
      <c r="Y581" s="7">
        <f>IFERROR(INDEX(환산공식!Q$16:Q$200,MATCH($A581,환산공식!$A$16:$A$200,0)),"")</f>
        <v>0.375</v>
      </c>
      <c r="Z581" s="7">
        <f>IFERROR(INDEX(환산공식!R$16:R$200,MATCH($A581,환산공식!$A$16:$A$200,0)),"")</f>
        <v>0.67500000000000004</v>
      </c>
      <c r="AA581" s="7">
        <f>IFERROR(INDEX(환산공식!U$16:U$200,MATCH($A581,환산공식!$A$16:$A$200,0)),"")</f>
        <v>0.45</v>
      </c>
      <c r="AB581" s="7">
        <f t="shared" si="95"/>
        <v>0.25</v>
      </c>
      <c r="AC581" s="7">
        <f t="shared" si="96"/>
        <v>0.45</v>
      </c>
      <c r="AD581" s="7">
        <f t="shared" si="97"/>
        <v>0.3</v>
      </c>
      <c r="AE581" s="7">
        <f>INDEX(환산공식!$AF$16:$AF$301,MATCH('배치점수 계산기'!W581,환산공식!$A$16:$A$301,0))</f>
        <v>1</v>
      </c>
      <c r="AF581" s="7">
        <f>INDEX(환산공식!$AP$16:$AP$301,MATCH('배치점수 계산기'!W581,환산공식!$A$16:$A$301,0))</f>
        <v>4</v>
      </c>
      <c r="AG581" s="7" t="str">
        <f t="shared" si="98"/>
        <v>표점</v>
      </c>
      <c r="AH581" s="7" t="str">
        <f t="shared" si="99"/>
        <v>변표</v>
      </c>
      <c r="BO581" s="210"/>
      <c r="BP581" s="210"/>
      <c r="BQ581" s="210"/>
      <c r="BR581" s="210"/>
      <c r="BS581" s="210"/>
      <c r="BT581" s="210"/>
      <c r="BU581" s="210"/>
      <c r="BV581" s="210"/>
      <c r="BW581" s="210"/>
      <c r="BX581" s="210"/>
      <c r="BY581" s="210"/>
      <c r="BZ581" s="210"/>
      <c r="CA581" s="210"/>
      <c r="CB581" s="210"/>
      <c r="CC581" s="210"/>
      <c r="EM581" s="120"/>
      <c r="ET581" s="210"/>
      <c r="EU581" s="210"/>
      <c r="EV581" s="210"/>
      <c r="EW581" s="210"/>
      <c r="EX581" s="210"/>
      <c r="EY581" s="210"/>
      <c r="EZ581" s="210"/>
      <c r="FA581" s="210"/>
      <c r="FB581" s="210"/>
      <c r="FC581" s="210"/>
      <c r="FD581" s="210"/>
      <c r="FE581" s="210"/>
      <c r="FF581" s="210"/>
      <c r="FG581" s="210"/>
      <c r="FH581" s="210"/>
      <c r="HR581" s="120"/>
      <c r="HY581" s="210"/>
      <c r="HZ581" s="210"/>
      <c r="IA581" s="210"/>
      <c r="IB581" s="210"/>
      <c r="IC581" s="210"/>
      <c r="ID581" s="210"/>
      <c r="IE581" s="210"/>
      <c r="IF581" s="210"/>
      <c r="IG581" s="210"/>
      <c r="IH581" s="210"/>
      <c r="II581" s="210"/>
      <c r="IJ581" s="210"/>
      <c r="IK581" s="210"/>
      <c r="IL581" s="210"/>
      <c r="IM581" s="210"/>
      <c r="KW581" s="120"/>
      <c r="LD581" s="210"/>
      <c r="LE581" s="210"/>
      <c r="LF581" s="210"/>
      <c r="LG581" s="210"/>
      <c r="LH581" s="210"/>
      <c r="LI581" s="210"/>
      <c r="LJ581" s="210"/>
      <c r="LK581" s="210"/>
      <c r="LL581" s="210"/>
      <c r="LM581" s="210"/>
      <c r="LN581" s="210"/>
      <c r="LO581" s="210"/>
      <c r="LP581" s="210"/>
      <c r="LQ581" s="210"/>
      <c r="LR581" s="210"/>
      <c r="OB581" s="120"/>
      <c r="OI581" s="210"/>
      <c r="OJ581" s="210"/>
      <c r="OK581" s="210"/>
      <c r="OL581" s="210"/>
      <c r="OM581" s="210"/>
      <c r="ON581" s="210"/>
      <c r="OO581" s="210"/>
      <c r="OP581" s="210"/>
      <c r="OQ581" s="210"/>
      <c r="OR581" s="210"/>
      <c r="OS581" s="210"/>
      <c r="OT581" s="210"/>
      <c r="OU581" s="210"/>
      <c r="OV581" s="210"/>
      <c r="OW581" s="210"/>
      <c r="RG581" s="120"/>
    </row>
    <row r="582" spans="1:475" x14ac:dyDescent="0.3">
      <c r="A582" s="7">
        <v>77</v>
      </c>
      <c r="B582" s="7">
        <v>572</v>
      </c>
      <c r="C582" s="7" t="s">
        <v>346</v>
      </c>
      <c r="D582" s="7" t="s">
        <v>719</v>
      </c>
      <c r="E582" s="7" t="s">
        <v>685</v>
      </c>
      <c r="F582" s="7" t="s">
        <v>274</v>
      </c>
      <c r="G582" s="41" t="str">
        <f t="shared" si="91"/>
        <v>X</v>
      </c>
      <c r="H582" s="41">
        <f>INDEX(환산공식!CI$16:CI$301,MATCH('배치점수 계산기'!$W582,환산공식!$A$16:$A$301,0))</f>
        <v>333</v>
      </c>
      <c r="I582" s="41" t="str">
        <f>CONCATENATE(ROUND(INDEX(환산공식!CJ$16:CJ$301,MATCH('배치점수 계산기'!$W582,환산공식!$A$16:$A$301,0)),1),"%")</f>
        <v>100%</v>
      </c>
      <c r="J582" s="41">
        <f>INDEX(환산공식!CK$16:CK$301,MATCH('배치점수 계산기'!$W582,환산공식!$A$16:$A$301,0))</f>
        <v>0</v>
      </c>
      <c r="K582" s="7">
        <f>INDEX(환산공식!$EF$16:$EF$301,MATCH('배치점수 계산기'!W582,환산공식!$A$16:$A$301,0))</f>
        <v>0</v>
      </c>
      <c r="L582" s="41" t="str">
        <f t="shared" si="89"/>
        <v>1% 이하</v>
      </c>
      <c r="M582" s="7">
        <v>946.76290526714615</v>
      </c>
      <c r="N582" s="7">
        <v>944.36070881596333</v>
      </c>
      <c r="O582" s="7">
        <v>943.68991157957475</v>
      </c>
      <c r="P582" s="7">
        <v>942.60011966893012</v>
      </c>
      <c r="Q582" s="7">
        <v>941.19313761203966</v>
      </c>
      <c r="R582" s="7">
        <f t="shared" si="90"/>
        <v>6</v>
      </c>
      <c r="T582" s="7">
        <f>COUNTIF($C$11:C582,C582)</f>
        <v>231</v>
      </c>
      <c r="U582" s="7" t="str">
        <f t="shared" si="92"/>
        <v>나231</v>
      </c>
      <c r="V582" s="7" t="str">
        <f>INDEX(환산공식!$C$16:$C$301,MATCH('배치점수 계산기'!W582,환산공식!$A$16:$A$301,0))</f>
        <v>고려세종 약</v>
      </c>
      <c r="W582" s="7">
        <f t="shared" si="93"/>
        <v>77</v>
      </c>
      <c r="X582" s="7">
        <f t="shared" si="94"/>
        <v>1</v>
      </c>
      <c r="Y582" s="7">
        <f>IFERROR(INDEX(환산공식!Q$16:Q$200,MATCH($A582,환산공식!$A$16:$A$200,0)),"")</f>
        <v>1.1208053691275168</v>
      </c>
      <c r="Z582" s="7">
        <f>IFERROR(INDEX(환산공식!R$16:R$200,MATCH($A582,환산공식!$A$16:$A$200,0)),"")</f>
        <v>2.2653061224489797</v>
      </c>
      <c r="AA582" s="7">
        <f>IFERROR(INDEX(환산공식!U$16:U$200,MATCH($A582,환산공식!$A$16:$A$200,0)),"")</f>
        <v>1.1739069309714607</v>
      </c>
      <c r="AB582" s="7">
        <f t="shared" si="95"/>
        <v>0.24578965812626155</v>
      </c>
      <c r="AC582" s="7">
        <f t="shared" si="96"/>
        <v>0.49677565144204322</v>
      </c>
      <c r="AD582" s="7">
        <f t="shared" si="97"/>
        <v>0.25743469043169526</v>
      </c>
      <c r="AE582" s="7">
        <f>INDEX(환산공식!$AF$16:$AF$301,MATCH('배치점수 계산기'!W582,환산공식!$A$16:$A$301,0))</f>
        <v>12</v>
      </c>
      <c r="AF582" s="7">
        <f>INDEX(환산공식!$AP$16:$AP$301,MATCH('배치점수 계산기'!W582,환산공식!$A$16:$A$301,0))</f>
        <v>42</v>
      </c>
      <c r="AG582" s="7" t="str">
        <f t="shared" si="98"/>
        <v>표점/만점</v>
      </c>
      <c r="AH582" s="7" t="str">
        <f t="shared" si="99"/>
        <v>변표/만점</v>
      </c>
      <c r="BO582" s="210"/>
      <c r="BP582" s="210"/>
      <c r="BQ582" s="210"/>
      <c r="BR582" s="210"/>
      <c r="BS582" s="210"/>
      <c r="BT582" s="210"/>
      <c r="BU582" s="210"/>
      <c r="BV582" s="210"/>
      <c r="BW582" s="210"/>
      <c r="BX582" s="210"/>
      <c r="BY582" s="210"/>
      <c r="BZ582" s="210"/>
      <c r="CA582" s="210"/>
      <c r="CB582" s="210"/>
      <c r="CC582" s="210"/>
      <c r="EM582" s="120"/>
      <c r="ET582" s="210"/>
      <c r="EU582" s="210"/>
      <c r="EV582" s="210"/>
      <c r="EW582" s="210"/>
      <c r="EX582" s="210"/>
      <c r="EY582" s="210"/>
      <c r="EZ582" s="210"/>
      <c r="FA582" s="210"/>
      <c r="FB582" s="210"/>
      <c r="FC582" s="210"/>
      <c r="FD582" s="210"/>
      <c r="FE582" s="210"/>
      <c r="FF582" s="210"/>
      <c r="FG582" s="210"/>
      <c r="FH582" s="210"/>
      <c r="HR582" s="120"/>
      <c r="HY582" s="210"/>
      <c r="HZ582" s="210"/>
      <c r="IA582" s="210"/>
      <c r="IB582" s="210"/>
      <c r="IC582" s="210"/>
      <c r="ID582" s="210"/>
      <c r="IE582" s="210"/>
      <c r="IF582" s="210"/>
      <c r="IG582" s="210"/>
      <c r="IH582" s="210"/>
      <c r="II582" s="210"/>
      <c r="IJ582" s="210"/>
      <c r="IK582" s="210"/>
      <c r="IL582" s="210"/>
      <c r="IM582" s="210"/>
      <c r="KW582" s="120"/>
      <c r="LD582" s="210"/>
      <c r="LE582" s="210"/>
      <c r="LF582" s="210"/>
      <c r="LG582" s="210"/>
      <c r="LH582" s="210"/>
      <c r="LI582" s="210"/>
      <c r="LJ582" s="210"/>
      <c r="LK582" s="210"/>
      <c r="LL582" s="210"/>
      <c r="LM582" s="210"/>
      <c r="LN582" s="210"/>
      <c r="LO582" s="210"/>
      <c r="LP582" s="210"/>
      <c r="LQ582" s="210"/>
      <c r="LR582" s="210"/>
      <c r="OB582" s="120"/>
      <c r="OI582" s="210"/>
      <c r="OJ582" s="210"/>
      <c r="OK582" s="210"/>
      <c r="OL582" s="210"/>
      <c r="OM582" s="210"/>
      <c r="ON582" s="210"/>
      <c r="OO582" s="210"/>
      <c r="OP582" s="210"/>
      <c r="OQ582" s="210"/>
      <c r="OR582" s="210"/>
      <c r="OS582" s="210"/>
      <c r="OT582" s="210"/>
      <c r="OU582" s="210"/>
      <c r="OV582" s="210"/>
      <c r="OW582" s="210"/>
      <c r="RG582" s="120"/>
    </row>
    <row r="583" spans="1:475" x14ac:dyDescent="0.3">
      <c r="A583" s="7">
        <v>90</v>
      </c>
      <c r="B583" s="7">
        <v>573</v>
      </c>
      <c r="C583" s="7" t="s">
        <v>346</v>
      </c>
      <c r="D583" s="7" t="s">
        <v>718</v>
      </c>
      <c r="E583" s="7" t="s">
        <v>685</v>
      </c>
      <c r="F583" s="7" t="s">
        <v>274</v>
      </c>
      <c r="G583" s="41" t="str">
        <f t="shared" si="91"/>
        <v>X</v>
      </c>
      <c r="H583" s="41">
        <f>INDEX(환산공식!CI$16:CI$301,MATCH('배치점수 계산기'!$W583,환산공식!$A$16:$A$301,0))</f>
        <v>250</v>
      </c>
      <c r="I583" s="41" t="str">
        <f>CONCATENATE(ROUND(INDEX(환산공식!CJ$16:CJ$301,MATCH('배치점수 계산기'!$W583,환산공식!$A$16:$A$301,0)),1),"%")</f>
        <v>100%</v>
      </c>
      <c r="J583" s="41">
        <f>INDEX(환산공식!CK$16:CK$301,MATCH('배치점수 계산기'!$W583,환산공식!$A$16:$A$301,0))</f>
        <v>3</v>
      </c>
      <c r="K583" s="7">
        <f>INDEX(환산공식!$EF$16:$EF$301,MATCH('배치점수 계산기'!W583,환산공식!$A$16:$A$301,0))</f>
        <v>0</v>
      </c>
      <c r="L583" s="41" t="str">
        <f t="shared" si="89"/>
        <v>1% 이하</v>
      </c>
      <c r="M583" s="7">
        <v>979.55</v>
      </c>
      <c r="N583" s="7">
        <v>978.25</v>
      </c>
      <c r="O583" s="7">
        <v>977.84999999999991</v>
      </c>
      <c r="P583" s="7">
        <v>975.05</v>
      </c>
      <c r="Q583" s="7">
        <v>969</v>
      </c>
      <c r="R583" s="7">
        <f t="shared" si="90"/>
        <v>6</v>
      </c>
      <c r="T583" s="7">
        <f>COUNTIF($C$11:C583,C583)</f>
        <v>232</v>
      </c>
      <c r="U583" s="7" t="str">
        <f t="shared" si="92"/>
        <v>나232</v>
      </c>
      <c r="V583" s="7" t="str">
        <f>INDEX(환산공식!$C$16:$C$301,MATCH('배치점수 계산기'!W583,환산공식!$A$16:$A$301,0))</f>
        <v>동덕 약</v>
      </c>
      <c r="W583" s="7">
        <f t="shared" si="93"/>
        <v>90</v>
      </c>
      <c r="X583" s="7">
        <f t="shared" si="94"/>
        <v>1</v>
      </c>
      <c r="Y583" s="7">
        <f>IFERROR(INDEX(환산공식!Q$16:Q$200,MATCH($A583,환산공식!$A$16:$A$200,0)),"")</f>
        <v>2.5</v>
      </c>
      <c r="Z583" s="7">
        <f>IFERROR(INDEX(환산공식!R$16:R$200,MATCH($A583,환산공식!$A$16:$A$200,0)),"")</f>
        <v>3</v>
      </c>
      <c r="AA583" s="7">
        <f>IFERROR(INDEX(환산공식!U$16:U$200,MATCH($A583,환산공식!$A$16:$A$200,0)),"")</f>
        <v>2</v>
      </c>
      <c r="AB583" s="7">
        <f t="shared" si="95"/>
        <v>0.33333333333333331</v>
      </c>
      <c r="AC583" s="7">
        <f t="shared" si="96"/>
        <v>0.4</v>
      </c>
      <c r="AD583" s="7">
        <f t="shared" si="97"/>
        <v>0.26666666666666666</v>
      </c>
      <c r="AE583" s="7">
        <f>INDEX(환산공식!$AF$16:$AF$301,MATCH('배치점수 계산기'!W583,환산공식!$A$16:$A$301,0))</f>
        <v>2</v>
      </c>
      <c r="AF583" s="7">
        <f>INDEX(환산공식!$AP$16:$AP$301,MATCH('배치점수 계산기'!W583,환산공식!$A$16:$A$301,0))</f>
        <v>2</v>
      </c>
      <c r="AG583" s="7" t="str">
        <f t="shared" si="98"/>
        <v>백분위</v>
      </c>
      <c r="AH583" s="7" t="str">
        <f t="shared" si="99"/>
        <v>백분위</v>
      </c>
      <c r="BO583" s="210"/>
      <c r="BP583" s="210"/>
      <c r="BQ583" s="210"/>
      <c r="BR583" s="210"/>
      <c r="BS583" s="210"/>
      <c r="BT583" s="210"/>
      <c r="BU583" s="210"/>
      <c r="BV583" s="210"/>
      <c r="BW583" s="210"/>
      <c r="BX583" s="210"/>
      <c r="BY583" s="210"/>
      <c r="BZ583" s="210"/>
      <c r="CA583" s="210"/>
      <c r="CB583" s="210"/>
      <c r="CC583" s="210"/>
      <c r="EM583" s="120"/>
      <c r="ET583" s="210"/>
      <c r="EU583" s="210"/>
      <c r="EV583" s="210"/>
      <c r="EW583" s="210"/>
      <c r="EX583" s="210"/>
      <c r="EY583" s="210"/>
      <c r="EZ583" s="210"/>
      <c r="FA583" s="210"/>
      <c r="FB583" s="210"/>
      <c r="FC583" s="210"/>
      <c r="FD583" s="210"/>
      <c r="FE583" s="210"/>
      <c r="FF583" s="210"/>
      <c r="FG583" s="210"/>
      <c r="FH583" s="210"/>
      <c r="HR583" s="120"/>
      <c r="HY583" s="210"/>
      <c r="HZ583" s="210"/>
      <c r="IA583" s="210"/>
      <c r="IB583" s="210"/>
      <c r="IC583" s="210"/>
      <c r="ID583" s="210"/>
      <c r="IE583" s="210"/>
      <c r="IF583" s="210"/>
      <c r="IG583" s="210"/>
      <c r="IH583" s="210"/>
      <c r="II583" s="210"/>
      <c r="IJ583" s="210"/>
      <c r="IK583" s="210"/>
      <c r="IL583" s="210"/>
      <c r="IM583" s="210"/>
      <c r="KW583" s="120"/>
      <c r="LD583" s="210"/>
      <c r="LE583" s="210"/>
      <c r="LF583" s="210"/>
      <c r="LG583" s="210"/>
      <c r="LH583" s="210"/>
      <c r="LI583" s="210"/>
      <c r="LJ583" s="210"/>
      <c r="LK583" s="210"/>
      <c r="LL583" s="210"/>
      <c r="LM583" s="210"/>
      <c r="LN583" s="210"/>
      <c r="LO583" s="210"/>
      <c r="LP583" s="210"/>
      <c r="LQ583" s="210"/>
      <c r="LR583" s="210"/>
      <c r="OB583" s="120"/>
      <c r="OI583" s="210"/>
      <c r="OJ583" s="210"/>
      <c r="OK583" s="210"/>
      <c r="OL583" s="210"/>
      <c r="OM583" s="210"/>
      <c r="ON583" s="210"/>
      <c r="OO583" s="210"/>
      <c r="OP583" s="210"/>
      <c r="OQ583" s="210"/>
      <c r="OR583" s="210"/>
      <c r="OS583" s="210"/>
      <c r="OT583" s="210"/>
      <c r="OU583" s="210"/>
      <c r="OV583" s="210"/>
      <c r="OW583" s="210"/>
      <c r="RG583" s="120"/>
    </row>
    <row r="584" spans="1:475" x14ac:dyDescent="0.3">
      <c r="A584" s="7">
        <v>65</v>
      </c>
      <c r="B584" s="7">
        <v>574</v>
      </c>
      <c r="C584" s="7" t="s">
        <v>346</v>
      </c>
      <c r="D584" s="7" t="s">
        <v>717</v>
      </c>
      <c r="E584" s="7" t="s">
        <v>716</v>
      </c>
      <c r="F584" s="7" t="s">
        <v>275</v>
      </c>
      <c r="G584" s="41" t="str">
        <f t="shared" si="91"/>
        <v>X</v>
      </c>
      <c r="H584" s="41">
        <f>INDEX(환산공식!CI$16:CI$301,MATCH('배치점수 계산기'!$W584,환산공식!$A$16:$A$301,0))</f>
        <v>200</v>
      </c>
      <c r="I584" s="41" t="str">
        <f>CONCATENATE(ROUND(INDEX(환산공식!CJ$16:CJ$301,MATCH('배치점수 계산기'!$W584,환산공식!$A$16:$A$301,0)),1),"%")</f>
        <v>100%</v>
      </c>
      <c r="J584" s="41">
        <f>INDEX(환산공식!CK$16:CK$301,MATCH('배치점수 계산기'!$W584,환산공식!$A$16:$A$301,0))</f>
        <v>10</v>
      </c>
      <c r="K584" s="7">
        <f>INDEX(환산공식!$EF$16:$EF$301,MATCH('배치점수 계산기'!W584,환산공식!$A$16:$A$301,0))</f>
        <v>0</v>
      </c>
      <c r="L584" s="41" t="str">
        <f t="shared" si="89"/>
        <v>1% 이하</v>
      </c>
      <c r="M584" s="7">
        <v>951.2486554284568</v>
      </c>
      <c r="N584" s="7">
        <v>948.22787265264753</v>
      </c>
      <c r="O584" s="7">
        <v>945.79311982790318</v>
      </c>
      <c r="P584" s="7">
        <v>944.63690978077045</v>
      </c>
      <c r="Q584" s="7">
        <v>943.28292193457753</v>
      </c>
      <c r="R584" s="7">
        <f t="shared" si="90"/>
        <v>6</v>
      </c>
      <c r="T584" s="7">
        <f>COUNTIF($C$11:C584,C584)</f>
        <v>233</v>
      </c>
      <c r="U584" s="7" t="str">
        <f t="shared" si="92"/>
        <v>나233</v>
      </c>
      <c r="V584" s="7" t="str">
        <f>INDEX(환산공식!$C$16:$C$301,MATCH('배치점수 계산기'!W584,환산공식!$A$16:$A$301,0))</f>
        <v>이화 통합</v>
      </c>
      <c r="W584" s="7">
        <f t="shared" si="93"/>
        <v>65</v>
      </c>
      <c r="X584" s="7">
        <f t="shared" si="94"/>
        <v>1</v>
      </c>
      <c r="Y584" s="7">
        <f>IFERROR(INDEX(환산공식!Q$16:Q$200,MATCH($A584,환산공식!$A$16:$A$200,0)),"")</f>
        <v>2.0134228187919465</v>
      </c>
      <c r="Z584" s="7">
        <f>IFERROR(INDEX(환산공식!R$16:R$200,MATCH($A584,환산공식!$A$16:$A$200,0)),"")</f>
        <v>1.7006802721088434</v>
      </c>
      <c r="AA584" s="7">
        <f>IFERROR(INDEX(환산공식!U$16:U$200,MATCH($A584,환산공식!$A$16:$A$200,0)),"")</f>
        <v>1.893939393939394</v>
      </c>
      <c r="AB584" s="7">
        <f t="shared" si="95"/>
        <v>0.35902417362826461</v>
      </c>
      <c r="AC584" s="7">
        <f t="shared" si="96"/>
        <v>0.3032573802188856</v>
      </c>
      <c r="AD584" s="7">
        <f t="shared" si="97"/>
        <v>0.3377184461528499</v>
      </c>
      <c r="AE584" s="7">
        <f>INDEX(환산공식!$AF$16:$AF$301,MATCH('배치점수 계산기'!W584,환산공식!$A$16:$A$301,0))</f>
        <v>12</v>
      </c>
      <c r="AF584" s="7">
        <f>INDEX(환산공식!$AP$16:$AP$301,MATCH('배치점수 계산기'!W584,환산공식!$A$16:$A$301,0))</f>
        <v>42</v>
      </c>
      <c r="AG584" s="7" t="str">
        <f t="shared" si="98"/>
        <v>표점/만점</v>
      </c>
      <c r="AH584" s="7" t="str">
        <f t="shared" si="99"/>
        <v>변표/만점</v>
      </c>
      <c r="BO584" s="210"/>
      <c r="BP584" s="210"/>
      <c r="BQ584" s="210"/>
      <c r="BR584" s="210"/>
      <c r="BS584" s="210"/>
      <c r="BT584" s="210"/>
      <c r="BU584" s="210"/>
      <c r="BV584" s="210"/>
      <c r="BW584" s="210"/>
      <c r="BX584" s="210"/>
      <c r="BY584" s="210"/>
      <c r="BZ584" s="210"/>
      <c r="CA584" s="210"/>
      <c r="CB584" s="210"/>
      <c r="CC584" s="210"/>
      <c r="EM584" s="120"/>
      <c r="ET584" s="210"/>
      <c r="EU584" s="210"/>
      <c r="EV584" s="210"/>
      <c r="EW584" s="210"/>
      <c r="EX584" s="210"/>
      <c r="EY584" s="210"/>
      <c r="EZ584" s="210"/>
      <c r="FA584" s="210"/>
      <c r="FB584" s="210"/>
      <c r="FC584" s="210"/>
      <c r="FD584" s="210"/>
      <c r="FE584" s="210"/>
      <c r="FF584" s="210"/>
      <c r="FG584" s="210"/>
      <c r="FH584" s="210"/>
      <c r="HR584" s="120"/>
      <c r="HY584" s="210"/>
      <c r="HZ584" s="210"/>
      <c r="IA584" s="210"/>
      <c r="IB584" s="210"/>
      <c r="IC584" s="210"/>
      <c r="ID584" s="210"/>
      <c r="IE584" s="210"/>
      <c r="IF584" s="210"/>
      <c r="IG584" s="210"/>
      <c r="IH584" s="210"/>
      <c r="II584" s="210"/>
      <c r="IJ584" s="210"/>
      <c r="IK584" s="210"/>
      <c r="IL584" s="210"/>
      <c r="IM584" s="210"/>
      <c r="KW584" s="120"/>
      <c r="LD584" s="210"/>
      <c r="LE584" s="210"/>
      <c r="LF584" s="210"/>
      <c r="LG584" s="210"/>
      <c r="LH584" s="210"/>
      <c r="LI584" s="210"/>
      <c r="LJ584" s="210"/>
      <c r="LK584" s="210"/>
      <c r="LL584" s="210"/>
      <c r="LM584" s="210"/>
      <c r="LN584" s="210"/>
      <c r="LO584" s="210"/>
      <c r="LP584" s="210"/>
      <c r="LQ584" s="210"/>
      <c r="LR584" s="210"/>
      <c r="OB584" s="120"/>
      <c r="OI584" s="210"/>
      <c r="OJ584" s="210"/>
      <c r="OK584" s="210"/>
      <c r="OL584" s="210"/>
      <c r="OM584" s="210"/>
      <c r="ON584" s="210"/>
      <c r="OO584" s="210"/>
      <c r="OP584" s="210"/>
      <c r="OQ584" s="210"/>
      <c r="OR584" s="210"/>
      <c r="OS584" s="210"/>
      <c r="OT584" s="210"/>
      <c r="OU584" s="210"/>
      <c r="OV584" s="210"/>
      <c r="OW584" s="210"/>
      <c r="RG584" s="120"/>
    </row>
    <row r="585" spans="1:475" x14ac:dyDescent="0.3">
      <c r="A585" s="7">
        <v>96</v>
      </c>
      <c r="B585" s="7">
        <v>575</v>
      </c>
      <c r="C585" s="7" t="s">
        <v>346</v>
      </c>
      <c r="D585" s="7" t="s">
        <v>699</v>
      </c>
      <c r="E585" s="7" t="s">
        <v>685</v>
      </c>
      <c r="F585" s="7" t="s">
        <v>274</v>
      </c>
      <c r="G585" s="41" t="str">
        <f t="shared" si="91"/>
        <v>X</v>
      </c>
      <c r="H585" s="41">
        <f>INDEX(환산공식!CI$16:CI$301,MATCH('배치점수 계산기'!$W585,환산공식!$A$16:$A$301,0))</f>
        <v>200</v>
      </c>
      <c r="I585" s="41" t="str">
        <f>CONCATENATE(ROUND(INDEX(환산공식!CJ$16:CJ$301,MATCH('배치점수 계산기'!$W585,환산공식!$A$16:$A$301,0)),1),"%")</f>
        <v>100%</v>
      </c>
      <c r="J585" s="41">
        <f>INDEX(환산공식!CK$16:CK$301,MATCH('배치점수 계산기'!$W585,환산공식!$A$16:$A$301,0))</f>
        <v>10</v>
      </c>
      <c r="K585" s="7">
        <f>INDEX(환산공식!$EF$16:$EF$301,MATCH('배치점수 계산기'!W585,환산공식!$A$16:$A$301,0))</f>
        <v>0</v>
      </c>
      <c r="L585" s="41" t="str">
        <f t="shared" si="89"/>
        <v>1% 이하</v>
      </c>
      <c r="M585" s="7">
        <v>748.04475470763145</v>
      </c>
      <c r="N585" s="7">
        <v>747.06600000000003</v>
      </c>
      <c r="O585" s="7">
        <v>746.50200000000018</v>
      </c>
      <c r="P585" s="7">
        <v>745.78500000000008</v>
      </c>
      <c r="Q585" s="7">
        <v>744.81500000000005</v>
      </c>
      <c r="R585" s="7">
        <f t="shared" si="90"/>
        <v>6</v>
      </c>
      <c r="T585" s="7">
        <f>COUNTIF($C$11:C585,C585)</f>
        <v>234</v>
      </c>
      <c r="U585" s="7" t="str">
        <f t="shared" si="92"/>
        <v>나234</v>
      </c>
      <c r="V585" s="7" t="str">
        <f>INDEX(환산공식!$C$16:$C$301,MATCH('배치점수 계산기'!W585,환산공식!$A$16:$A$301,0))</f>
        <v>부산 의치약한</v>
      </c>
      <c r="W585" s="7">
        <f t="shared" si="93"/>
        <v>96</v>
      </c>
      <c r="X585" s="7">
        <f t="shared" si="94"/>
        <v>1</v>
      </c>
      <c r="Y585" s="7">
        <f>IFERROR(INDEX(환산공식!Q$16:Q$200,MATCH($A585,환산공식!$A$16:$A$200,0)),"")</f>
        <v>1</v>
      </c>
      <c r="Z585" s="7">
        <f>IFERROR(INDEX(환산공식!R$16:R$200,MATCH($A585,환산공식!$A$16:$A$200,0)),"")</f>
        <v>1.5</v>
      </c>
      <c r="AA585" s="7">
        <f>IFERROR(INDEX(환산공식!U$16:U$200,MATCH($A585,환산공식!$A$16:$A$200,0)),"")</f>
        <v>1.5</v>
      </c>
      <c r="AB585" s="7">
        <f t="shared" si="95"/>
        <v>0.25</v>
      </c>
      <c r="AC585" s="7">
        <f t="shared" si="96"/>
        <v>0.375</v>
      </c>
      <c r="AD585" s="7">
        <f t="shared" si="97"/>
        <v>0.375</v>
      </c>
      <c r="AE585" s="7">
        <f>INDEX(환산공식!$AF$16:$AF$301,MATCH('배치점수 계산기'!W585,환산공식!$A$16:$A$301,0))</f>
        <v>1</v>
      </c>
      <c r="AF585" s="7">
        <f>INDEX(환산공식!$AP$16:$AP$301,MATCH('배치점수 계산기'!W585,환산공식!$A$16:$A$301,0))</f>
        <v>4</v>
      </c>
      <c r="AG585" s="7" t="str">
        <f t="shared" si="98"/>
        <v>표점</v>
      </c>
      <c r="AH585" s="7" t="str">
        <f t="shared" si="99"/>
        <v>변표</v>
      </c>
      <c r="BO585" s="210"/>
      <c r="BP585" s="210"/>
      <c r="BQ585" s="210"/>
      <c r="BR585" s="210"/>
      <c r="BS585" s="210"/>
      <c r="BT585" s="210"/>
      <c r="BU585" s="210"/>
      <c r="BV585" s="210"/>
      <c r="BW585" s="210"/>
      <c r="BX585" s="210"/>
      <c r="BY585" s="210"/>
      <c r="BZ585" s="210"/>
      <c r="CA585" s="210"/>
      <c r="CB585" s="210"/>
      <c r="CC585" s="210"/>
      <c r="EM585" s="120"/>
      <c r="ET585" s="210"/>
      <c r="EU585" s="210"/>
      <c r="EV585" s="210"/>
      <c r="EW585" s="210"/>
      <c r="EX585" s="210"/>
      <c r="EY585" s="210"/>
      <c r="EZ585" s="210"/>
      <c r="FA585" s="210"/>
      <c r="FB585" s="210"/>
      <c r="FC585" s="210"/>
      <c r="FD585" s="210"/>
      <c r="FE585" s="210"/>
      <c r="FF585" s="210"/>
      <c r="FG585" s="210"/>
      <c r="FH585" s="210"/>
      <c r="HR585" s="120"/>
      <c r="HY585" s="210"/>
      <c r="HZ585" s="210"/>
      <c r="IA585" s="210"/>
      <c r="IB585" s="210"/>
      <c r="IC585" s="210"/>
      <c r="ID585" s="210"/>
      <c r="IE585" s="210"/>
      <c r="IF585" s="210"/>
      <c r="IG585" s="210"/>
      <c r="IH585" s="210"/>
      <c r="II585" s="210"/>
      <c r="IJ585" s="210"/>
      <c r="IK585" s="210"/>
      <c r="IL585" s="210"/>
      <c r="IM585" s="210"/>
      <c r="KW585" s="120"/>
      <c r="LD585" s="210"/>
      <c r="LE585" s="210"/>
      <c r="LF585" s="210"/>
      <c r="LG585" s="210"/>
      <c r="LH585" s="210"/>
      <c r="LI585" s="210"/>
      <c r="LJ585" s="210"/>
      <c r="LK585" s="210"/>
      <c r="LL585" s="210"/>
      <c r="LM585" s="210"/>
      <c r="LN585" s="210"/>
      <c r="LO585" s="210"/>
      <c r="LP585" s="210"/>
      <c r="LQ585" s="210"/>
      <c r="LR585" s="210"/>
      <c r="OB585" s="120"/>
      <c r="OI585" s="210"/>
      <c r="OJ585" s="210"/>
      <c r="OK585" s="210"/>
      <c r="OL585" s="210"/>
      <c r="OM585" s="210"/>
      <c r="ON585" s="210"/>
      <c r="OO585" s="210"/>
      <c r="OP585" s="210"/>
      <c r="OQ585" s="210"/>
      <c r="OR585" s="210"/>
      <c r="OS585" s="210"/>
      <c r="OT585" s="210"/>
      <c r="OU585" s="210"/>
      <c r="OV585" s="210"/>
      <c r="OW585" s="210"/>
      <c r="RG585" s="120"/>
    </row>
    <row r="586" spans="1:475" x14ac:dyDescent="0.3">
      <c r="A586" s="7">
        <v>107</v>
      </c>
      <c r="B586" s="7">
        <v>576</v>
      </c>
      <c r="C586" s="7" t="s">
        <v>346</v>
      </c>
      <c r="D586" s="7" t="s">
        <v>715</v>
      </c>
      <c r="E586" s="7" t="s">
        <v>685</v>
      </c>
      <c r="F586" s="7" t="s">
        <v>274</v>
      </c>
      <c r="G586" s="41" t="str">
        <f t="shared" si="91"/>
        <v>X</v>
      </c>
      <c r="H586" s="41">
        <f>INDEX(환산공식!CI$16:CI$301,MATCH('배치점수 계산기'!$W586,환산공식!$A$16:$A$301,0))</f>
        <v>80</v>
      </c>
      <c r="I586" s="41" t="str">
        <f>CONCATENATE(ROUND(INDEX(환산공식!CJ$16:CJ$301,MATCH('배치점수 계산기'!$W586,환산공식!$A$16:$A$301,0)),1),"%")</f>
        <v>100%</v>
      </c>
      <c r="J586" s="41">
        <f>INDEX(환산공식!CK$16:CK$301,MATCH('배치점수 계산기'!$W586,환산공식!$A$16:$A$301,0))</f>
        <v>10</v>
      </c>
      <c r="K586" s="7">
        <f>INDEX(환산공식!$EF$16:$EF$301,MATCH('배치점수 계산기'!W586,환산공식!$A$16:$A$301,0))</f>
        <v>0</v>
      </c>
      <c r="L586" s="41" t="str">
        <f t="shared" si="89"/>
        <v>1% 이하</v>
      </c>
      <c r="M586" s="7">
        <v>782.44</v>
      </c>
      <c r="N586" s="7">
        <v>780.96</v>
      </c>
      <c r="O586" s="7">
        <v>779.68000000000006</v>
      </c>
      <c r="P586" s="7">
        <v>775.39999999999986</v>
      </c>
      <c r="Q586" s="7">
        <v>774.31999999999994</v>
      </c>
      <c r="R586" s="7">
        <f t="shared" si="90"/>
        <v>6</v>
      </c>
      <c r="T586" s="7">
        <f>COUNTIF($C$11:C586,C586)</f>
        <v>235</v>
      </c>
      <c r="U586" s="7" t="str">
        <f t="shared" si="92"/>
        <v>나235</v>
      </c>
      <c r="V586" s="7" t="str">
        <f>INDEX(환산공식!$C$16:$C$301,MATCH('배치점수 계산기'!W586,환산공식!$A$16:$A$301,0))</f>
        <v>영남 의약</v>
      </c>
      <c r="W586" s="7">
        <f t="shared" si="93"/>
        <v>107</v>
      </c>
      <c r="X586" s="7">
        <f t="shared" si="94"/>
        <v>1</v>
      </c>
      <c r="Y586" s="7">
        <f>IFERROR(INDEX(환산공식!Q$16:Q$200,MATCH($A586,환산공식!$A$16:$A$200,0)),"")</f>
        <v>2</v>
      </c>
      <c r="Z586" s="7">
        <f>IFERROR(INDEX(환산공식!R$16:R$200,MATCH($A586,환산공식!$A$16:$A$200,0)),"")</f>
        <v>2.8</v>
      </c>
      <c r="AA586" s="7">
        <f>IFERROR(INDEX(환산공식!U$16:U$200,MATCH($A586,환산공식!$A$16:$A$200,0)),"")</f>
        <v>2.4</v>
      </c>
      <c r="AB586" s="7">
        <f t="shared" si="95"/>
        <v>0.27777777777777779</v>
      </c>
      <c r="AC586" s="7">
        <f t="shared" si="96"/>
        <v>0.3888888888888889</v>
      </c>
      <c r="AD586" s="7">
        <f t="shared" si="97"/>
        <v>0.33333333333333337</v>
      </c>
      <c r="AE586" s="7">
        <f>INDEX(환산공식!$AF$16:$AF$301,MATCH('배치점수 계산기'!W586,환산공식!$A$16:$A$301,0))</f>
        <v>2</v>
      </c>
      <c r="AF586" s="7">
        <f>INDEX(환산공식!$AP$16:$AP$301,MATCH('배치점수 계산기'!W586,환산공식!$A$16:$A$301,0))</f>
        <v>2</v>
      </c>
      <c r="AG586" s="7" t="str">
        <f t="shared" si="98"/>
        <v>백분위</v>
      </c>
      <c r="AH586" s="7" t="str">
        <f t="shared" si="99"/>
        <v>백분위</v>
      </c>
      <c r="BO586" s="210"/>
      <c r="BP586" s="210"/>
      <c r="BQ586" s="210"/>
      <c r="BR586" s="210"/>
      <c r="BS586" s="210"/>
      <c r="BT586" s="210"/>
      <c r="BU586" s="210"/>
      <c r="BV586" s="210"/>
      <c r="BW586" s="210"/>
      <c r="BX586" s="210"/>
      <c r="BY586" s="210"/>
      <c r="BZ586" s="210"/>
      <c r="CA586" s="210"/>
      <c r="CB586" s="210"/>
      <c r="CC586" s="210"/>
      <c r="EM586" s="120"/>
      <c r="ET586" s="210"/>
      <c r="EU586" s="210"/>
      <c r="EV586" s="210"/>
      <c r="EW586" s="210"/>
      <c r="EX586" s="210"/>
      <c r="EY586" s="210"/>
      <c r="EZ586" s="210"/>
      <c r="FA586" s="210"/>
      <c r="FB586" s="210"/>
      <c r="FC586" s="210"/>
      <c r="FD586" s="210"/>
      <c r="FE586" s="210"/>
      <c r="FF586" s="210"/>
      <c r="FG586" s="210"/>
      <c r="FH586" s="210"/>
      <c r="HR586" s="120"/>
      <c r="HY586" s="210"/>
      <c r="HZ586" s="210"/>
      <c r="IA586" s="210"/>
      <c r="IB586" s="210"/>
      <c r="IC586" s="210"/>
      <c r="ID586" s="210"/>
      <c r="IE586" s="210"/>
      <c r="IF586" s="210"/>
      <c r="IG586" s="210"/>
      <c r="IH586" s="210"/>
      <c r="II586" s="210"/>
      <c r="IJ586" s="210"/>
      <c r="IK586" s="210"/>
      <c r="IL586" s="210"/>
      <c r="IM586" s="210"/>
      <c r="KW586" s="120"/>
      <c r="LD586" s="210"/>
      <c r="LE586" s="210"/>
      <c r="LF586" s="210"/>
      <c r="LG586" s="210"/>
      <c r="LH586" s="210"/>
      <c r="LI586" s="210"/>
      <c r="LJ586" s="210"/>
      <c r="LK586" s="210"/>
      <c r="LL586" s="210"/>
      <c r="LM586" s="210"/>
      <c r="LN586" s="210"/>
      <c r="LO586" s="210"/>
      <c r="LP586" s="210"/>
      <c r="LQ586" s="210"/>
      <c r="LR586" s="210"/>
      <c r="OB586" s="120"/>
      <c r="OI586" s="210"/>
      <c r="OJ586" s="210"/>
      <c r="OK586" s="210"/>
      <c r="OL586" s="210"/>
      <c r="OM586" s="210"/>
      <c r="ON586" s="210"/>
      <c r="OO586" s="210"/>
      <c r="OP586" s="210"/>
      <c r="OQ586" s="210"/>
      <c r="OR586" s="210"/>
      <c r="OS586" s="210"/>
      <c r="OT586" s="210"/>
      <c r="OU586" s="210"/>
      <c r="OV586" s="210"/>
      <c r="OW586" s="210"/>
      <c r="RG586" s="120"/>
    </row>
    <row r="587" spans="1:475" x14ac:dyDescent="0.3">
      <c r="A587" s="7">
        <v>120</v>
      </c>
      <c r="B587" s="7">
        <v>577</v>
      </c>
      <c r="C587" s="7" t="s">
        <v>346</v>
      </c>
      <c r="D587" s="7" t="s">
        <v>702</v>
      </c>
      <c r="E587" s="7" t="s">
        <v>685</v>
      </c>
      <c r="F587" s="7" t="s">
        <v>274</v>
      </c>
      <c r="G587" s="41" t="str">
        <f t="shared" si="91"/>
        <v>X</v>
      </c>
      <c r="H587" s="41">
        <f>INDEX(환산공식!CI$16:CI$301,MATCH('배치점수 계산기'!$W587,환산공식!$A$16:$A$301,0))</f>
        <v>200</v>
      </c>
      <c r="I587" s="41" t="str">
        <f>CONCATENATE(ROUND(INDEX(환산공식!CJ$16:CJ$301,MATCH('배치점수 계산기'!$W587,환산공식!$A$16:$A$301,0)),1),"%")</f>
        <v>100%</v>
      </c>
      <c r="J587" s="41">
        <f>INDEX(환산공식!CK$16:CK$301,MATCH('배치점수 계산기'!$W587,환산공식!$A$16:$A$301,0))</f>
        <v>10</v>
      </c>
      <c r="K587" s="7">
        <f>INDEX(환산공식!$EF$16:$EF$301,MATCH('배치점수 계산기'!W587,환산공식!$A$16:$A$301,0))</f>
        <v>0</v>
      </c>
      <c r="L587" s="41" t="str">
        <f t="shared" ref="L587:L624" si="100">IF(K587&gt;M587,"90% 이상",IF(K587&gt;N587,CONCATENATE(ROUND(((K587-N587)/(M587-N587))*20+70,0),"%"),IF(K587&gt;O587,CONCATENATE(ROUND(((K587-O587)/(N587-O587))*30+40,0),"%"),IF(K587&gt;P587,CONCATENATE(ROUND(((K587-P587)/(O587-P587))*30+10,0),"%"),IF(K587&gt;Q587,CONCATENATE(ROUND(((K587-Q587)/(P587-Q587))*9+1,0),"%"),"1% 이하")))))</f>
        <v>1% 이하</v>
      </c>
      <c r="M587" s="7">
        <v>936.13369077977745</v>
      </c>
      <c r="N587" s="7">
        <v>934.98430062296154</v>
      </c>
      <c r="O587" s="7">
        <v>933.77714342640979</v>
      </c>
      <c r="P587" s="7">
        <v>931.61210543515608</v>
      </c>
      <c r="Q587" s="7">
        <v>927.02839044777568</v>
      </c>
      <c r="R587" s="7">
        <f t="shared" ref="R587:R624" si="101">IF(K587&gt;M587,1,IF(K587&gt;N587,2,IF(K587&gt;O587,3,IF(K587&gt;P587,4,IF(K587&gt;=Q587,5,IF(K587&lt;Q587,6))))))</f>
        <v>6</v>
      </c>
      <c r="T587" s="7">
        <f>COUNTIF($C$11:C587,C587)</f>
        <v>236</v>
      </c>
      <c r="U587" s="7" t="str">
        <f t="shared" si="92"/>
        <v>나236</v>
      </c>
      <c r="V587" s="7" t="str">
        <f>INDEX(환산공식!$C$16:$C$301,MATCH('배치점수 계산기'!W587,환산공식!$A$16:$A$301,0))</f>
        <v>전남 의치약수</v>
      </c>
      <c r="W587" s="7">
        <f t="shared" si="93"/>
        <v>120</v>
      </c>
      <c r="X587" s="7">
        <f t="shared" si="94"/>
        <v>1</v>
      </c>
      <c r="Y587" s="7">
        <f>IFERROR(INDEX(환산공식!Q$16:Q$200,MATCH($A587,환산공식!$A$16:$A$200,0)),"")</f>
        <v>1.6107382550335569</v>
      </c>
      <c r="Z587" s="7">
        <f>IFERROR(INDEX(환산공식!R$16:R$200,MATCH($A587,환산공식!$A$16:$A$200,0)),"")</f>
        <v>2.1768707482993199</v>
      </c>
      <c r="AA587" s="7">
        <f>IFERROR(INDEX(환산공식!U$16:U$200,MATCH($A587,환산공식!$A$16:$A$200,0)),"")</f>
        <v>1.6870518768452132</v>
      </c>
      <c r="AB587" s="7">
        <f t="shared" si="95"/>
        <v>0.2942169917529503</v>
      </c>
      <c r="AC587" s="7">
        <f t="shared" si="96"/>
        <v>0.39762659202893064</v>
      </c>
      <c r="AD587" s="7">
        <f t="shared" si="97"/>
        <v>0.30815641621811896</v>
      </c>
      <c r="AE587" s="7">
        <f>INDEX(환산공식!$AF$16:$AF$301,MATCH('배치점수 계산기'!W587,환산공식!$A$16:$A$301,0))</f>
        <v>12</v>
      </c>
      <c r="AF587" s="7">
        <f>INDEX(환산공식!$AP$16:$AP$301,MATCH('배치점수 계산기'!W587,환산공식!$A$16:$A$301,0))</f>
        <v>42</v>
      </c>
      <c r="AG587" s="7" t="str">
        <f t="shared" si="98"/>
        <v>표점/만점</v>
      </c>
      <c r="AH587" s="7" t="str">
        <f t="shared" si="99"/>
        <v>변표/만점</v>
      </c>
      <c r="BO587" s="210"/>
      <c r="BP587" s="210"/>
      <c r="BQ587" s="210"/>
      <c r="BR587" s="210"/>
      <c r="BS587" s="210"/>
      <c r="BT587" s="210"/>
      <c r="BU587" s="210"/>
      <c r="BV587" s="210"/>
      <c r="BW587" s="210"/>
      <c r="BX587" s="210"/>
      <c r="BY587" s="210"/>
      <c r="BZ587" s="210"/>
      <c r="CA587" s="210"/>
      <c r="CB587" s="210"/>
      <c r="CC587" s="210"/>
      <c r="EM587" s="120"/>
      <c r="ET587" s="210"/>
      <c r="EU587" s="210"/>
      <c r="EV587" s="210"/>
      <c r="EW587" s="210"/>
      <c r="EX587" s="210"/>
      <c r="EY587" s="210"/>
      <c r="EZ587" s="210"/>
      <c r="FA587" s="210"/>
      <c r="FB587" s="210"/>
      <c r="FC587" s="210"/>
      <c r="FD587" s="210"/>
      <c r="FE587" s="210"/>
      <c r="FF587" s="210"/>
      <c r="FG587" s="210"/>
      <c r="FH587" s="210"/>
      <c r="HR587" s="120"/>
      <c r="HY587" s="210"/>
      <c r="HZ587" s="210"/>
      <c r="IA587" s="210"/>
      <c r="IB587" s="210"/>
      <c r="IC587" s="210"/>
      <c r="ID587" s="210"/>
      <c r="IE587" s="210"/>
      <c r="IF587" s="210"/>
      <c r="IG587" s="210"/>
      <c r="IH587" s="210"/>
      <c r="II587" s="210"/>
      <c r="IJ587" s="210"/>
      <c r="IK587" s="210"/>
      <c r="IL587" s="210"/>
      <c r="IM587" s="210"/>
      <c r="KW587" s="120"/>
      <c r="LD587" s="210"/>
      <c r="LE587" s="210"/>
      <c r="LF587" s="210"/>
      <c r="LG587" s="210"/>
      <c r="LH587" s="210"/>
      <c r="LI587" s="210"/>
      <c r="LJ587" s="210"/>
      <c r="LK587" s="210"/>
      <c r="LL587" s="210"/>
      <c r="LM587" s="210"/>
      <c r="LN587" s="210"/>
      <c r="LO587" s="210"/>
      <c r="LP587" s="210"/>
      <c r="LQ587" s="210"/>
      <c r="LR587" s="210"/>
      <c r="OB587" s="120"/>
      <c r="OI587" s="210"/>
      <c r="OJ587" s="210"/>
      <c r="OK587" s="210"/>
      <c r="OL587" s="210"/>
      <c r="OM587" s="210"/>
      <c r="ON587" s="210"/>
      <c r="OO587" s="210"/>
      <c r="OP587" s="210"/>
      <c r="OQ587" s="210"/>
      <c r="OR587" s="210"/>
      <c r="OS587" s="210"/>
      <c r="OT587" s="210"/>
      <c r="OU587" s="210"/>
      <c r="OV587" s="210"/>
      <c r="OW587" s="210"/>
      <c r="RG587" s="120"/>
    </row>
    <row r="588" spans="1:475" x14ac:dyDescent="0.3">
      <c r="A588" s="7">
        <v>121</v>
      </c>
      <c r="B588" s="7">
        <v>578</v>
      </c>
      <c r="C588" s="7" t="s">
        <v>346</v>
      </c>
      <c r="D588" s="7" t="s">
        <v>701</v>
      </c>
      <c r="E588" s="7" t="s">
        <v>685</v>
      </c>
      <c r="F588" s="7" t="s">
        <v>274</v>
      </c>
      <c r="G588" s="41" t="str">
        <f t="shared" ref="G588:G624" si="102">IFERROR(IF(BJ588=0,"X","O"),"")</f>
        <v>X</v>
      </c>
      <c r="H588" s="41">
        <f>INDEX(환산공식!CI$16:CI$301,MATCH('배치점수 계산기'!$W588,환산공식!$A$16:$A$301,0))</f>
        <v>30</v>
      </c>
      <c r="I588" s="41" t="str">
        <f>CONCATENATE(ROUND(INDEX(환산공식!CJ$16:CJ$301,MATCH('배치점수 계산기'!$W588,환산공식!$A$16:$A$301,0)),1),"%")</f>
        <v>100%</v>
      </c>
      <c r="J588" s="41">
        <f>INDEX(환산공식!CK$16:CK$301,MATCH('배치점수 계산기'!$W588,환산공식!$A$16:$A$301,0))</f>
        <v>5</v>
      </c>
      <c r="K588" s="7">
        <f>INDEX(환산공식!$EF$16:$EF$301,MATCH('배치점수 계산기'!W588,환산공식!$A$16:$A$301,0))</f>
        <v>0</v>
      </c>
      <c r="L588" s="41" t="str">
        <f t="shared" si="100"/>
        <v>1% 이하</v>
      </c>
      <c r="M588" s="7">
        <v>370.95100000000008</v>
      </c>
      <c r="N588" s="7">
        <v>370.23292102640755</v>
      </c>
      <c r="O588" s="7">
        <v>369.22296101949019</v>
      </c>
      <c r="P588" s="7">
        <v>368.34749999999997</v>
      </c>
      <c r="Q588" s="7">
        <v>366.85308490566035</v>
      </c>
      <c r="R588" s="7">
        <f t="shared" si="101"/>
        <v>6</v>
      </c>
      <c r="T588" s="7">
        <f>COUNTIF($C$11:C588,C588)</f>
        <v>237</v>
      </c>
      <c r="U588" s="7" t="str">
        <f t="shared" ref="U588:U624" si="103">CONCATENATE(C588,T588)</f>
        <v>나237</v>
      </c>
      <c r="V588" s="7" t="str">
        <f>INDEX(환산공식!$C$16:$C$301,MATCH('배치점수 계산기'!W588,환산공식!$A$16:$A$301,0))</f>
        <v>전북 의치약수</v>
      </c>
      <c r="W588" s="7">
        <f t="shared" ref="W588:W624" si="104">A588</f>
        <v>121</v>
      </c>
      <c r="X588" s="7">
        <f t="shared" ref="X588:X624" si="105">IF(OR(D588=0,D588=""),"",IF(LEFT(D588,1)=LEFT(V588,1),1,2))</f>
        <v>1</v>
      </c>
      <c r="Y588" s="7">
        <f>IFERROR(INDEX(환산공식!Q$16:Q$200,MATCH($A588,환산공식!$A$16:$A$200,0)),"")</f>
        <v>0.75</v>
      </c>
      <c r="Z588" s="7">
        <f>IFERROR(INDEX(환산공식!R$16:R$200,MATCH($A588,환산공식!$A$16:$A$200,0)),"")</f>
        <v>1</v>
      </c>
      <c r="AA588" s="7">
        <f>IFERROR(INDEX(환산공식!U$16:U$200,MATCH($A588,환산공식!$A$16:$A$200,0)),"")</f>
        <v>0.75</v>
      </c>
      <c r="AB588" s="7">
        <f t="shared" ref="AB588:AB624" si="106">Y588/($Y588+$Z588+$AA588)</f>
        <v>0.3</v>
      </c>
      <c r="AC588" s="7">
        <f t="shared" ref="AC588:AC624" si="107">Z588/($Y588+$Z588+$AA588)</f>
        <v>0.4</v>
      </c>
      <c r="AD588" s="7">
        <f t="shared" ref="AD588:AD624" si="108">AA588/($Y588+$Z588+$AA588)</f>
        <v>0.3</v>
      </c>
      <c r="AE588" s="7">
        <f>INDEX(환산공식!$AF$16:$AF$301,MATCH('배치점수 계산기'!W588,환산공식!$A$16:$A$301,0))</f>
        <v>1</v>
      </c>
      <c r="AF588" s="7">
        <f>INDEX(환산공식!$AP$16:$AP$301,MATCH('배치점수 계산기'!W588,환산공식!$A$16:$A$301,0))</f>
        <v>4</v>
      </c>
      <c r="AG588" s="7" t="str">
        <f t="shared" ref="AG588:AG624" si="109">IF(AE588=1,"표점",IF(AE588=12,"표점/만점",IF(AE588=2,"백분위")))</f>
        <v>표점</v>
      </c>
      <c r="AH588" s="7" t="str">
        <f t="shared" ref="AH588:AH624" si="110">IF(AF588=1,"표점",IF(AF588=12,"표점/만점",IF(AF588=2,"백분위",IF(AF588=4,"변표",IF(AF588=42,"변표/만점")))))</f>
        <v>변표</v>
      </c>
      <c r="BO588" s="210"/>
      <c r="BP588" s="210"/>
      <c r="BQ588" s="210"/>
      <c r="BR588" s="210"/>
      <c r="BS588" s="210"/>
      <c r="BT588" s="210"/>
      <c r="BU588" s="210"/>
      <c r="BV588" s="210"/>
      <c r="BW588" s="210"/>
      <c r="BX588" s="210"/>
      <c r="BY588" s="210"/>
      <c r="BZ588" s="210"/>
      <c r="CA588" s="210"/>
      <c r="CB588" s="210"/>
      <c r="CC588" s="210"/>
      <c r="EM588" s="120"/>
      <c r="ET588" s="210"/>
      <c r="EU588" s="210"/>
      <c r="EV588" s="210"/>
      <c r="EW588" s="210"/>
      <c r="EX588" s="210"/>
      <c r="EY588" s="210"/>
      <c r="EZ588" s="210"/>
      <c r="FA588" s="210"/>
      <c r="FB588" s="210"/>
      <c r="FC588" s="210"/>
      <c r="FD588" s="210"/>
      <c r="FE588" s="210"/>
      <c r="FF588" s="210"/>
      <c r="FG588" s="210"/>
      <c r="FH588" s="210"/>
      <c r="HR588" s="120"/>
      <c r="HY588" s="210"/>
      <c r="HZ588" s="210"/>
      <c r="IA588" s="210"/>
      <c r="IB588" s="210"/>
      <c r="IC588" s="210"/>
      <c r="ID588" s="210"/>
      <c r="IE588" s="210"/>
      <c r="IF588" s="210"/>
      <c r="IG588" s="210"/>
      <c r="IH588" s="210"/>
      <c r="II588" s="210"/>
      <c r="IJ588" s="210"/>
      <c r="IK588" s="210"/>
      <c r="IL588" s="210"/>
      <c r="IM588" s="210"/>
      <c r="KW588" s="120"/>
      <c r="LD588" s="210"/>
      <c r="LE588" s="210"/>
      <c r="LF588" s="210"/>
      <c r="LG588" s="210"/>
      <c r="LH588" s="210"/>
      <c r="LI588" s="210"/>
      <c r="LJ588" s="210"/>
      <c r="LK588" s="210"/>
      <c r="LL588" s="210"/>
      <c r="LM588" s="210"/>
      <c r="LN588" s="210"/>
      <c r="LO588" s="210"/>
      <c r="LP588" s="210"/>
      <c r="LQ588" s="210"/>
      <c r="LR588" s="210"/>
      <c r="OB588" s="120"/>
      <c r="OI588" s="210"/>
      <c r="OJ588" s="210"/>
      <c r="OK588" s="210"/>
      <c r="OL588" s="210"/>
      <c r="OM588" s="210"/>
      <c r="ON588" s="210"/>
      <c r="OO588" s="210"/>
      <c r="OP588" s="210"/>
      <c r="OQ588" s="210"/>
      <c r="OR588" s="210"/>
      <c r="OS588" s="210"/>
      <c r="OT588" s="210"/>
      <c r="OU588" s="210"/>
      <c r="OV588" s="210"/>
      <c r="OW588" s="210"/>
      <c r="RG588" s="120"/>
    </row>
    <row r="589" spans="1:475" x14ac:dyDescent="0.3">
      <c r="A589" s="7">
        <v>111</v>
      </c>
      <c r="B589" s="7">
        <v>579</v>
      </c>
      <c r="C589" s="7" t="s">
        <v>346</v>
      </c>
      <c r="D589" s="7" t="s">
        <v>690</v>
      </c>
      <c r="E589" s="7" t="s">
        <v>685</v>
      </c>
      <c r="F589" s="7" t="s">
        <v>274</v>
      </c>
      <c r="G589" s="41" t="str">
        <f t="shared" si="102"/>
        <v>X</v>
      </c>
      <c r="H589" s="41">
        <f>INDEX(환산공식!CI$16:CI$301,MATCH('배치점수 계산기'!$W589,환산공식!$A$16:$A$301,0))</f>
        <v>100</v>
      </c>
      <c r="I589" s="41" t="str">
        <f>CONCATENATE(ROUND(INDEX(환산공식!CJ$16:CJ$301,MATCH('배치점수 계산기'!$W589,환산공식!$A$16:$A$301,0)),1),"%")</f>
        <v>100%</v>
      </c>
      <c r="J589" s="41">
        <f>INDEX(환산공식!CK$16:CK$301,MATCH('배치점수 계산기'!$W589,환산공식!$A$16:$A$301,0))</f>
        <v>5</v>
      </c>
      <c r="K589" s="7">
        <f>INDEX(환산공식!$EF$16:$EF$301,MATCH('배치점수 계산기'!W589,환산공식!$A$16:$A$301,0))</f>
        <v>0</v>
      </c>
      <c r="L589" s="41" t="str">
        <f t="shared" si="100"/>
        <v>1% 이하</v>
      </c>
      <c r="M589" s="7">
        <v>505.29999999999995</v>
      </c>
      <c r="N589" s="7">
        <v>504.1</v>
      </c>
      <c r="O589" s="7">
        <v>503.1</v>
      </c>
      <c r="P589" s="7">
        <v>501.4</v>
      </c>
      <c r="Q589" s="7">
        <v>500.2999999999999</v>
      </c>
      <c r="R589" s="7">
        <f t="shared" si="101"/>
        <v>6</v>
      </c>
      <c r="T589" s="7">
        <f>COUNTIF($C$11:C589,C589)</f>
        <v>238</v>
      </c>
      <c r="U589" s="7" t="str">
        <f t="shared" si="103"/>
        <v>나238</v>
      </c>
      <c r="V589" s="7" t="str">
        <f>INDEX(환산공식!$C$16:$C$301,MATCH('배치점수 계산기'!W589,환산공식!$A$16:$A$301,0))</f>
        <v>원광 의치약한</v>
      </c>
      <c r="W589" s="7">
        <f t="shared" si="104"/>
        <v>111</v>
      </c>
      <c r="X589" s="7">
        <f t="shared" si="105"/>
        <v>1</v>
      </c>
      <c r="Y589" s="7">
        <f>IFERROR(INDEX(환산공식!Q$16:Q$200,MATCH($A589,환산공식!$A$16:$A$200,0)),"")</f>
        <v>1</v>
      </c>
      <c r="Z589" s="7">
        <f>IFERROR(INDEX(환산공식!R$16:R$200,MATCH($A589,환산공식!$A$16:$A$200,0)),"")</f>
        <v>1</v>
      </c>
      <c r="AA589" s="7">
        <f>IFERROR(INDEX(환산공식!U$16:U$200,MATCH($A589,환산공식!$A$16:$A$200,0)),"")</f>
        <v>1</v>
      </c>
      <c r="AB589" s="7">
        <f t="shared" si="106"/>
        <v>0.33333333333333331</v>
      </c>
      <c r="AC589" s="7">
        <f t="shared" si="107"/>
        <v>0.33333333333333331</v>
      </c>
      <c r="AD589" s="7">
        <f t="shared" si="108"/>
        <v>0.33333333333333331</v>
      </c>
      <c r="AE589" s="7">
        <f>INDEX(환산공식!$AF$16:$AF$301,MATCH('배치점수 계산기'!W589,환산공식!$A$16:$A$301,0))</f>
        <v>1</v>
      </c>
      <c r="AF589" s="7">
        <f>INDEX(환산공식!$AP$16:$AP$301,MATCH('배치점수 계산기'!W589,환산공식!$A$16:$A$301,0))</f>
        <v>1</v>
      </c>
      <c r="AG589" s="7" t="str">
        <f t="shared" si="109"/>
        <v>표점</v>
      </c>
      <c r="AH589" s="7" t="str">
        <f t="shared" si="110"/>
        <v>표점</v>
      </c>
      <c r="BO589" s="210"/>
      <c r="BP589" s="210"/>
      <c r="BQ589" s="210"/>
      <c r="BR589" s="210"/>
      <c r="BS589" s="210"/>
      <c r="BT589" s="210"/>
      <c r="BU589" s="210"/>
      <c r="BV589" s="210"/>
      <c r="BW589" s="210"/>
      <c r="BX589" s="210"/>
      <c r="BY589" s="210"/>
      <c r="BZ589" s="210"/>
      <c r="CA589" s="210"/>
      <c r="CB589" s="210"/>
      <c r="CC589" s="210"/>
      <c r="EM589" s="120"/>
      <c r="ET589" s="210"/>
      <c r="EU589" s="210"/>
      <c r="EV589" s="210"/>
      <c r="EW589" s="210"/>
      <c r="EX589" s="210"/>
      <c r="EY589" s="210"/>
      <c r="EZ589" s="210"/>
      <c r="FA589" s="210"/>
      <c r="FB589" s="210"/>
      <c r="FC589" s="210"/>
      <c r="FD589" s="210"/>
      <c r="FE589" s="210"/>
      <c r="FF589" s="210"/>
      <c r="FG589" s="210"/>
      <c r="FH589" s="210"/>
      <c r="HR589" s="120"/>
      <c r="HY589" s="210"/>
      <c r="HZ589" s="210"/>
      <c r="IA589" s="210"/>
      <c r="IB589" s="210"/>
      <c r="IC589" s="210"/>
      <c r="ID589" s="210"/>
      <c r="IE589" s="210"/>
      <c r="IF589" s="210"/>
      <c r="IG589" s="210"/>
      <c r="IH589" s="210"/>
      <c r="II589" s="210"/>
      <c r="IJ589" s="210"/>
      <c r="IK589" s="210"/>
      <c r="IL589" s="210"/>
      <c r="IM589" s="210"/>
      <c r="KW589" s="120"/>
      <c r="LD589" s="210"/>
      <c r="LE589" s="210"/>
      <c r="LF589" s="210"/>
      <c r="LG589" s="210"/>
      <c r="LH589" s="210"/>
      <c r="LI589" s="210"/>
      <c r="LJ589" s="210"/>
      <c r="LK589" s="210"/>
      <c r="LL589" s="210"/>
      <c r="LM589" s="210"/>
      <c r="LN589" s="210"/>
      <c r="LO589" s="210"/>
      <c r="LP589" s="210"/>
      <c r="LQ589" s="210"/>
      <c r="LR589" s="210"/>
      <c r="OB589" s="120"/>
      <c r="OI589" s="210"/>
      <c r="OJ589" s="210"/>
      <c r="OK589" s="210"/>
      <c r="OL589" s="210"/>
      <c r="OM589" s="210"/>
      <c r="ON589" s="210"/>
      <c r="OO589" s="210"/>
      <c r="OP589" s="210"/>
      <c r="OQ589" s="210"/>
      <c r="OR589" s="210"/>
      <c r="OS589" s="210"/>
      <c r="OT589" s="210"/>
      <c r="OU589" s="210"/>
      <c r="OV589" s="210"/>
      <c r="OW589" s="210"/>
      <c r="RG589" s="120"/>
    </row>
    <row r="590" spans="1:475" x14ac:dyDescent="0.3">
      <c r="A590" s="7">
        <v>108</v>
      </c>
      <c r="B590" s="7">
        <v>580</v>
      </c>
      <c r="C590" s="7" t="s">
        <v>346</v>
      </c>
      <c r="D590" s="7" t="s">
        <v>714</v>
      </c>
      <c r="E590" s="7" t="s">
        <v>685</v>
      </c>
      <c r="F590" s="7" t="s">
        <v>274</v>
      </c>
      <c r="G590" s="41" t="str">
        <f t="shared" si="102"/>
        <v>X</v>
      </c>
      <c r="H590" s="41">
        <f>INDEX(환산공식!CI$16:CI$301,MATCH('배치점수 계산기'!$W590,환산공식!$A$16:$A$301,0))</f>
        <v>80</v>
      </c>
      <c r="I590" s="41" t="str">
        <f>CONCATENATE(ROUND(INDEX(환산공식!CJ$16:CJ$301,MATCH('배치점수 계산기'!$W590,환산공식!$A$16:$A$301,0)),1),"%")</f>
        <v>100%</v>
      </c>
      <c r="J590" s="41">
        <f>INDEX(환산공식!CK$16:CK$301,MATCH('배치점수 계산기'!$W590,환산공식!$A$16:$A$301,0))</f>
        <v>5</v>
      </c>
      <c r="K590" s="7">
        <f>INDEX(환산공식!$EF$16:$EF$301,MATCH('배치점수 계산기'!W590,환산공식!$A$16:$A$301,0))</f>
        <v>0</v>
      </c>
      <c r="L590" s="41" t="str">
        <f t="shared" si="100"/>
        <v>1% 이하</v>
      </c>
      <c r="M590" s="7">
        <v>402.8</v>
      </c>
      <c r="N590" s="7">
        <v>401.56</v>
      </c>
      <c r="O590" s="7">
        <v>399.96</v>
      </c>
      <c r="P590" s="7">
        <v>399.44</v>
      </c>
      <c r="Q590" s="7">
        <v>398.76</v>
      </c>
      <c r="R590" s="7">
        <f t="shared" si="101"/>
        <v>6</v>
      </c>
      <c r="T590" s="7">
        <f>COUNTIF($C$11:C590,C590)</f>
        <v>239</v>
      </c>
      <c r="U590" s="7" t="str">
        <f t="shared" si="103"/>
        <v>나239</v>
      </c>
      <c r="V590" s="7" t="str">
        <f>INDEX(환산공식!$C$16:$C$301,MATCH('배치점수 계산기'!W590,환산공식!$A$16:$A$301,0))</f>
        <v>우석 약</v>
      </c>
      <c r="W590" s="7">
        <f t="shared" si="104"/>
        <v>108</v>
      </c>
      <c r="X590" s="7">
        <f t="shared" si="105"/>
        <v>1</v>
      </c>
      <c r="Y590" s="7">
        <f>IFERROR(INDEX(환산공식!Q$16:Q$200,MATCH($A590,환산공식!$A$16:$A$200,0)),"")</f>
        <v>0.8</v>
      </c>
      <c r="Z590" s="7">
        <f>IFERROR(INDEX(환산공식!R$16:R$200,MATCH($A590,환산공식!$A$16:$A$200,0)),"")</f>
        <v>1.2</v>
      </c>
      <c r="AA590" s="7">
        <f>IFERROR(INDEX(환산공식!U$16:U$200,MATCH($A590,환산공식!$A$16:$A$200,0)),"")</f>
        <v>1.2</v>
      </c>
      <c r="AB590" s="7">
        <f t="shared" si="106"/>
        <v>0.25</v>
      </c>
      <c r="AC590" s="7">
        <f t="shared" si="107"/>
        <v>0.37499999999999994</v>
      </c>
      <c r="AD590" s="7">
        <f t="shared" si="108"/>
        <v>0.37499999999999994</v>
      </c>
      <c r="AE590" s="7">
        <f>INDEX(환산공식!$AF$16:$AF$301,MATCH('배치점수 계산기'!W590,환산공식!$A$16:$A$301,0))</f>
        <v>2</v>
      </c>
      <c r="AF590" s="7">
        <f>INDEX(환산공식!$AP$16:$AP$301,MATCH('배치점수 계산기'!W590,환산공식!$A$16:$A$301,0))</f>
        <v>2</v>
      </c>
      <c r="AG590" s="7" t="str">
        <f t="shared" si="109"/>
        <v>백분위</v>
      </c>
      <c r="AH590" s="7" t="str">
        <f t="shared" si="110"/>
        <v>백분위</v>
      </c>
      <c r="BO590" s="210"/>
      <c r="BP590" s="210"/>
      <c r="BQ590" s="210"/>
      <c r="BR590" s="210"/>
      <c r="BS590" s="210"/>
      <c r="BT590" s="210"/>
      <c r="BU590" s="210"/>
      <c r="BV590" s="210"/>
      <c r="BW590" s="210"/>
      <c r="BX590" s="210"/>
      <c r="BY590" s="210"/>
      <c r="BZ590" s="210"/>
      <c r="CA590" s="210"/>
      <c r="CB590" s="210"/>
      <c r="CC590" s="210"/>
      <c r="EM590" s="120"/>
      <c r="ET590" s="210"/>
      <c r="EU590" s="210"/>
      <c r="EV590" s="210"/>
      <c r="EW590" s="210"/>
      <c r="EX590" s="210"/>
      <c r="EY590" s="210"/>
      <c r="EZ590" s="210"/>
      <c r="FA590" s="210"/>
      <c r="FB590" s="210"/>
      <c r="FC590" s="210"/>
      <c r="FD590" s="210"/>
      <c r="FE590" s="210"/>
      <c r="FF590" s="210"/>
      <c r="FG590" s="210"/>
      <c r="FH590" s="210"/>
      <c r="HR590" s="120"/>
      <c r="HY590" s="210"/>
      <c r="HZ590" s="210"/>
      <c r="IA590" s="210"/>
      <c r="IB590" s="210"/>
      <c r="IC590" s="210"/>
      <c r="ID590" s="210"/>
      <c r="IE590" s="210"/>
      <c r="IF590" s="210"/>
      <c r="IG590" s="210"/>
      <c r="IH590" s="210"/>
      <c r="II590" s="210"/>
      <c r="IJ590" s="210"/>
      <c r="IK590" s="210"/>
      <c r="IL590" s="210"/>
      <c r="IM590" s="210"/>
      <c r="KW590" s="120"/>
      <c r="LD590" s="210"/>
      <c r="LE590" s="210"/>
      <c r="LF590" s="210"/>
      <c r="LG590" s="210"/>
      <c r="LH590" s="210"/>
      <c r="LI590" s="210"/>
      <c r="LJ590" s="210"/>
      <c r="LK590" s="210"/>
      <c r="LL590" s="210"/>
      <c r="LM590" s="210"/>
      <c r="LN590" s="210"/>
      <c r="LO590" s="210"/>
      <c r="LP590" s="210"/>
      <c r="LQ590" s="210"/>
      <c r="LR590" s="210"/>
      <c r="OB590" s="120"/>
      <c r="OI590" s="210"/>
      <c r="OJ590" s="210"/>
      <c r="OK590" s="210"/>
      <c r="OL590" s="210"/>
      <c r="OM590" s="210"/>
      <c r="ON590" s="210"/>
      <c r="OO590" s="210"/>
      <c r="OP590" s="210"/>
      <c r="OQ590" s="210"/>
      <c r="OR590" s="210"/>
      <c r="OS590" s="210"/>
      <c r="OT590" s="210"/>
      <c r="OU590" s="210"/>
      <c r="OV590" s="210"/>
      <c r="OW590" s="210"/>
      <c r="RG590" s="120"/>
    </row>
    <row r="591" spans="1:475" x14ac:dyDescent="0.3">
      <c r="A591" s="7">
        <v>83</v>
      </c>
      <c r="B591" s="7">
        <v>581</v>
      </c>
      <c r="C591" s="7" t="s">
        <v>346</v>
      </c>
      <c r="D591" s="7" t="s">
        <v>713</v>
      </c>
      <c r="E591" s="7" t="s">
        <v>685</v>
      </c>
      <c r="F591" s="7" t="s">
        <v>274</v>
      </c>
      <c r="G591" s="41" t="str">
        <f t="shared" si="102"/>
        <v>X</v>
      </c>
      <c r="H591" s="41">
        <f>INDEX(환산공식!CI$16:CI$301,MATCH('배치점수 계산기'!$W591,환산공식!$A$16:$A$301,0))</f>
        <v>200</v>
      </c>
      <c r="I591" s="41" t="str">
        <f>CONCATENATE(ROUND(INDEX(환산공식!CJ$16:CJ$301,MATCH('배치점수 계산기'!$W591,환산공식!$A$16:$A$301,0)),1),"%")</f>
        <v>100%</v>
      </c>
      <c r="J591" s="41">
        <f>INDEX(환산공식!CK$16:CK$301,MATCH('배치점수 계산기'!$W591,환산공식!$A$16:$A$301,0))</f>
        <v>5</v>
      </c>
      <c r="K591" s="7">
        <f>INDEX(환산공식!$EF$16:$EF$301,MATCH('배치점수 계산기'!W591,환산공식!$A$16:$A$301,0))</f>
        <v>0</v>
      </c>
      <c r="L591" s="41" t="str">
        <f t="shared" si="100"/>
        <v>1% 이하</v>
      </c>
      <c r="M591" s="7">
        <v>564.11504470172542</v>
      </c>
      <c r="N591" s="7">
        <v>563.66465395518287</v>
      </c>
      <c r="O591" s="7">
        <v>562.72377852269426</v>
      </c>
      <c r="P591" s="7">
        <v>560.58290309020549</v>
      </c>
      <c r="Q591" s="7">
        <v>559.65159609037187</v>
      </c>
      <c r="R591" s="7">
        <f t="shared" si="101"/>
        <v>6</v>
      </c>
      <c r="T591" s="7">
        <f>COUNTIF($C$11:C591,C591)</f>
        <v>240</v>
      </c>
      <c r="U591" s="7" t="str">
        <f t="shared" si="103"/>
        <v>나240</v>
      </c>
      <c r="V591" s="7" t="str">
        <f>INDEX(환산공식!$C$16:$C$301,MATCH('배치점수 계산기'!W591,환산공식!$A$16:$A$301,0))</f>
        <v>대가 약</v>
      </c>
      <c r="W591" s="7">
        <f t="shared" si="104"/>
        <v>83</v>
      </c>
      <c r="X591" s="7">
        <f t="shared" si="105"/>
        <v>1</v>
      </c>
      <c r="Y591" s="7">
        <f>IFERROR(INDEX(환산공식!Q$16:Q$200,MATCH($A591,환산공식!$A$16:$A$200,0)),"")</f>
        <v>1</v>
      </c>
      <c r="Z591" s="7">
        <f>IFERROR(INDEX(환산공식!R$16:R$200,MATCH($A591,환산공식!$A$16:$A$200,0)),"")</f>
        <v>1</v>
      </c>
      <c r="AA591" s="7">
        <f>IFERROR(INDEX(환산공식!U$16:U$200,MATCH($A591,환산공식!$A$16:$A$200,0)),"")</f>
        <v>1.408450704225352</v>
      </c>
      <c r="AB591" s="7">
        <f t="shared" si="106"/>
        <v>0.29338842975206614</v>
      </c>
      <c r="AC591" s="7">
        <f t="shared" si="107"/>
        <v>0.29338842975206614</v>
      </c>
      <c r="AD591" s="7">
        <f t="shared" si="108"/>
        <v>0.41322314049586772</v>
      </c>
      <c r="AE591" s="7">
        <f>INDEX(환산공식!$AF$16:$AF$301,MATCH('배치점수 계산기'!W591,환산공식!$A$16:$A$301,0))</f>
        <v>1</v>
      </c>
      <c r="AF591" s="7">
        <f>INDEX(환산공식!$AP$16:$AP$301,MATCH('배치점수 계산기'!W591,환산공식!$A$16:$A$301,0))</f>
        <v>12</v>
      </c>
      <c r="AG591" s="7" t="str">
        <f t="shared" si="109"/>
        <v>표점</v>
      </c>
      <c r="AH591" s="7" t="str">
        <f t="shared" si="110"/>
        <v>표점/만점</v>
      </c>
      <c r="BO591" s="210"/>
      <c r="BP591" s="210"/>
      <c r="BQ591" s="210"/>
      <c r="BR591" s="210"/>
      <c r="BS591" s="210"/>
      <c r="BT591" s="210"/>
      <c r="BU591" s="210"/>
      <c r="BV591" s="210"/>
      <c r="BW591" s="210"/>
      <c r="BX591" s="210"/>
      <c r="BY591" s="210"/>
      <c r="BZ591" s="210"/>
      <c r="CA591" s="210"/>
      <c r="CB591" s="210"/>
      <c r="CC591" s="210"/>
      <c r="EM591" s="120"/>
      <c r="ET591" s="210"/>
      <c r="EU591" s="210"/>
      <c r="EV591" s="210"/>
      <c r="EW591" s="210"/>
      <c r="EX591" s="210"/>
      <c r="EY591" s="210"/>
      <c r="EZ591" s="210"/>
      <c r="FA591" s="210"/>
      <c r="FB591" s="210"/>
      <c r="FC591" s="210"/>
      <c r="FD591" s="210"/>
      <c r="FE591" s="210"/>
      <c r="FF591" s="210"/>
      <c r="FG591" s="210"/>
      <c r="FH591" s="210"/>
      <c r="HR591" s="120"/>
      <c r="HY591" s="210"/>
      <c r="HZ591" s="210"/>
      <c r="IA591" s="210"/>
      <c r="IB591" s="210"/>
      <c r="IC591" s="210"/>
      <c r="ID591" s="210"/>
      <c r="IE591" s="210"/>
      <c r="IF591" s="210"/>
      <c r="IG591" s="210"/>
      <c r="IH591" s="210"/>
      <c r="II591" s="210"/>
      <c r="IJ591" s="210"/>
      <c r="IK591" s="210"/>
      <c r="IL591" s="210"/>
      <c r="IM591" s="210"/>
      <c r="KW591" s="120"/>
      <c r="LD591" s="210"/>
      <c r="LE591" s="210"/>
      <c r="LF591" s="210"/>
      <c r="LG591" s="210"/>
      <c r="LH591" s="210"/>
      <c r="LI591" s="210"/>
      <c r="LJ591" s="210"/>
      <c r="LK591" s="210"/>
      <c r="LL591" s="210"/>
      <c r="LM591" s="210"/>
      <c r="LN591" s="210"/>
      <c r="LO591" s="210"/>
      <c r="LP591" s="210"/>
      <c r="LQ591" s="210"/>
      <c r="LR591" s="210"/>
      <c r="OB591" s="120"/>
      <c r="OI591" s="210"/>
      <c r="OJ591" s="210"/>
      <c r="OK591" s="210"/>
      <c r="OL591" s="210"/>
      <c r="OM591" s="210"/>
      <c r="ON591" s="210"/>
      <c r="OO591" s="210"/>
      <c r="OP591" s="210"/>
      <c r="OQ591" s="210"/>
      <c r="OR591" s="210"/>
      <c r="OS591" s="210"/>
      <c r="OT591" s="210"/>
      <c r="OU591" s="210"/>
      <c r="OV591" s="210"/>
      <c r="OW591" s="210"/>
      <c r="RG591" s="120"/>
    </row>
    <row r="592" spans="1:475" x14ac:dyDescent="0.3">
      <c r="A592" s="7">
        <v>105</v>
      </c>
      <c r="B592" s="7">
        <v>582</v>
      </c>
      <c r="C592" s="7" t="s">
        <v>378</v>
      </c>
      <c r="D592" s="7" t="s">
        <v>712</v>
      </c>
      <c r="E592" s="7" t="s">
        <v>685</v>
      </c>
      <c r="F592" s="7" t="s">
        <v>274</v>
      </c>
      <c r="G592" s="41" t="str">
        <f t="shared" si="102"/>
        <v>X</v>
      </c>
      <c r="H592" s="41">
        <f>INDEX(환산공식!CI$16:CI$301,MATCH('배치점수 계산기'!$W592,환산공식!$A$16:$A$301,0))</f>
        <v>200</v>
      </c>
      <c r="I592" s="41" t="str">
        <f>CONCATENATE(ROUND(INDEX(환산공식!CJ$16:CJ$301,MATCH('배치점수 계산기'!$W592,환산공식!$A$16:$A$301,0)),1),"%")</f>
        <v>100%</v>
      </c>
      <c r="J592" s="41">
        <f>INDEX(환산공식!CK$16:CK$301,MATCH('배치점수 계산기'!$W592,환산공식!$A$16:$A$301,0))</f>
        <v>0</v>
      </c>
      <c r="K592" s="7">
        <f>INDEX(환산공식!$EF$16:$EF$301,MATCH('배치점수 계산기'!W592,환산공식!$A$16:$A$301,0))</f>
        <v>0</v>
      </c>
      <c r="L592" s="41" t="str">
        <f t="shared" si="100"/>
        <v>1% 이하</v>
      </c>
      <c r="M592" s="7">
        <v>939.9353805130612</v>
      </c>
      <c r="N592" s="7">
        <v>937.99190596827191</v>
      </c>
      <c r="O592" s="7">
        <v>936.52095463673925</v>
      </c>
      <c r="P592" s="7">
        <v>934.97834577673757</v>
      </c>
      <c r="Q592" s="7">
        <v>933.56422528998689</v>
      </c>
      <c r="R592" s="7">
        <f t="shared" si="101"/>
        <v>6</v>
      </c>
      <c r="T592" s="7">
        <f>COUNTIF($C$11:C592,C592)</f>
        <v>29</v>
      </c>
      <c r="U592" s="7" t="str">
        <f t="shared" si="103"/>
        <v>다29</v>
      </c>
      <c r="V592" s="7" t="str">
        <f>INDEX(환산공식!$C$16:$C$301,MATCH('배치점수 계산기'!W592,환산공식!$A$16:$A$301,0))</f>
        <v>아주 약</v>
      </c>
      <c r="W592" s="7">
        <f t="shared" si="104"/>
        <v>105</v>
      </c>
      <c r="X592" s="7">
        <f t="shared" si="105"/>
        <v>1</v>
      </c>
      <c r="Y592" s="7">
        <f>IFERROR(INDEX(환산공식!Q$16:Q$200,MATCH($A592,환산공식!$A$16:$A$200,0)),"")</f>
        <v>1.3422818791946309</v>
      </c>
      <c r="Z592" s="7">
        <f>IFERROR(INDEX(환산공식!R$16:R$200,MATCH($A592,환산공식!$A$16:$A$200,0)),"")</f>
        <v>2.3809523809523809</v>
      </c>
      <c r="AA592" s="7">
        <f>IFERROR(INDEX(환산공식!U$16:U$200,MATCH($A592,환산공식!$A$16:$A$200,0)),"")</f>
        <v>1.7573457050470971</v>
      </c>
      <c r="AB592" s="7">
        <f t="shared" si="106"/>
        <v>0.2449160285442693</v>
      </c>
      <c r="AC592" s="7">
        <f t="shared" si="107"/>
        <v>0.43443438396543005</v>
      </c>
      <c r="AD592" s="7">
        <f t="shared" si="108"/>
        <v>0.32064958749030059</v>
      </c>
      <c r="AE592" s="7">
        <f>INDEX(환산공식!$AF$16:$AF$301,MATCH('배치점수 계산기'!W592,환산공식!$A$16:$A$301,0))</f>
        <v>12</v>
      </c>
      <c r="AF592" s="7">
        <f>INDEX(환산공식!$AP$16:$AP$301,MATCH('배치점수 계산기'!W592,환산공식!$A$16:$A$301,0))</f>
        <v>42</v>
      </c>
      <c r="AG592" s="7" t="str">
        <f t="shared" si="109"/>
        <v>표점/만점</v>
      </c>
      <c r="AH592" s="7" t="str">
        <f t="shared" si="110"/>
        <v>변표/만점</v>
      </c>
      <c r="BO592" s="210"/>
      <c r="BP592" s="210"/>
      <c r="BQ592" s="210"/>
      <c r="BR592" s="210"/>
      <c r="BS592" s="210"/>
      <c r="BT592" s="210"/>
      <c r="BU592" s="210"/>
      <c r="BV592" s="210"/>
      <c r="BW592" s="210"/>
      <c r="BX592" s="210"/>
      <c r="BY592" s="210"/>
      <c r="BZ592" s="210"/>
      <c r="CA592" s="210"/>
      <c r="CB592" s="210"/>
      <c r="CC592" s="210"/>
      <c r="EM592" s="120"/>
      <c r="ET592" s="210"/>
      <c r="EU592" s="210"/>
      <c r="EV592" s="210"/>
      <c r="EW592" s="210"/>
      <c r="EX592" s="210"/>
      <c r="EY592" s="210"/>
      <c r="EZ592" s="210"/>
      <c r="FA592" s="210"/>
      <c r="FB592" s="210"/>
      <c r="FC592" s="210"/>
      <c r="FD592" s="210"/>
      <c r="FE592" s="210"/>
      <c r="FF592" s="210"/>
      <c r="FG592" s="210"/>
      <c r="FH592" s="210"/>
      <c r="HR592" s="120"/>
      <c r="HY592" s="210"/>
      <c r="HZ592" s="210"/>
      <c r="IA592" s="210"/>
      <c r="IB592" s="210"/>
      <c r="IC592" s="210"/>
      <c r="ID592" s="210"/>
      <c r="IE592" s="210"/>
      <c r="IF592" s="210"/>
      <c r="IG592" s="210"/>
      <c r="IH592" s="210"/>
      <c r="II592" s="210"/>
      <c r="IJ592" s="210"/>
      <c r="IK592" s="210"/>
      <c r="IL592" s="210"/>
      <c r="IM592" s="210"/>
      <c r="KW592" s="120"/>
      <c r="LD592" s="210"/>
      <c r="LE592" s="210"/>
      <c r="LF592" s="210"/>
      <c r="LG592" s="210"/>
      <c r="LH592" s="210"/>
      <c r="LI592" s="210"/>
      <c r="LJ592" s="210"/>
      <c r="LK592" s="210"/>
      <c r="LL592" s="210"/>
      <c r="LM592" s="210"/>
      <c r="LN592" s="210"/>
      <c r="LO592" s="210"/>
      <c r="LP592" s="210"/>
      <c r="LQ592" s="210"/>
      <c r="LR592" s="210"/>
      <c r="OB592" s="120"/>
      <c r="OI592" s="210"/>
      <c r="OJ592" s="210"/>
      <c r="OK592" s="210"/>
      <c r="OL592" s="210"/>
      <c r="OM592" s="210"/>
      <c r="ON592" s="210"/>
      <c r="OO592" s="210"/>
      <c r="OP592" s="210"/>
      <c r="OQ592" s="210"/>
      <c r="OR592" s="210"/>
      <c r="OS592" s="210"/>
      <c r="OT592" s="210"/>
      <c r="OU592" s="210"/>
      <c r="OV592" s="210"/>
      <c r="OW592" s="210"/>
      <c r="RG592" s="120"/>
    </row>
    <row r="593" spans="1:475" x14ac:dyDescent="0.3">
      <c r="A593" s="7">
        <v>97</v>
      </c>
      <c r="B593" s="7">
        <v>583</v>
      </c>
      <c r="C593" s="7" t="s">
        <v>378</v>
      </c>
      <c r="D593" s="7" t="s">
        <v>711</v>
      </c>
      <c r="E593" s="7" t="s">
        <v>685</v>
      </c>
      <c r="F593" s="7" t="s">
        <v>274</v>
      </c>
      <c r="G593" s="41" t="str">
        <f t="shared" si="102"/>
        <v>X</v>
      </c>
      <c r="H593" s="41">
        <f>INDEX(환산공식!CI$16:CI$301,MATCH('배치점수 계산기'!$W593,환산공식!$A$16:$A$301,0))</f>
        <v>250</v>
      </c>
      <c r="I593" s="41" t="str">
        <f>CONCATENATE(ROUND(INDEX(환산공식!CJ$16:CJ$301,MATCH('배치점수 계산기'!$W593,환산공식!$A$16:$A$301,0)),1),"%")</f>
        <v>100%</v>
      </c>
      <c r="J593" s="41">
        <f>INDEX(환산공식!CK$16:CK$301,MATCH('배치점수 계산기'!$W593,환산공식!$A$16:$A$301,0))</f>
        <v>5</v>
      </c>
      <c r="K593" s="7">
        <f>INDEX(환산공식!$EF$16:$EF$301,MATCH('배치점수 계산기'!W593,환산공식!$A$16:$A$301,0))</f>
        <v>0</v>
      </c>
      <c r="L593" s="41" t="str">
        <f t="shared" si="100"/>
        <v>1% 이하</v>
      </c>
      <c r="M593" s="7">
        <v>1004.4399999999998</v>
      </c>
      <c r="N593" s="7">
        <v>1002.1400000000001</v>
      </c>
      <c r="O593" s="7">
        <v>1000.84</v>
      </c>
      <c r="P593" s="7">
        <v>999.88000000000011</v>
      </c>
      <c r="Q593" s="7">
        <v>997.83</v>
      </c>
      <c r="R593" s="7">
        <f t="shared" si="101"/>
        <v>6</v>
      </c>
      <c r="T593" s="7">
        <f>COUNTIF($C$11:C593,C593)</f>
        <v>30</v>
      </c>
      <c r="U593" s="7" t="str">
        <f t="shared" si="103"/>
        <v>다30</v>
      </c>
      <c r="V593" s="7" t="str">
        <f>INDEX(환산공식!$C$16:$C$301,MATCH('배치점수 계산기'!W593,환산공식!$A$16:$A$301,0))</f>
        <v>삼육 약</v>
      </c>
      <c r="W593" s="7">
        <f t="shared" si="104"/>
        <v>97</v>
      </c>
      <c r="X593" s="7">
        <f t="shared" si="105"/>
        <v>1</v>
      </c>
      <c r="Y593" s="7">
        <f>IFERROR(INDEX(환산공식!Q$16:Q$200,MATCH($A593,환산공식!$A$16:$A$200,0)),"")</f>
        <v>2.5</v>
      </c>
      <c r="Z593" s="7">
        <f>IFERROR(INDEX(환산공식!R$16:R$200,MATCH($A593,환산공식!$A$16:$A$200,0)),"")</f>
        <v>3</v>
      </c>
      <c r="AA593" s="7">
        <f>IFERROR(INDEX(환산공식!U$16:U$200,MATCH($A593,환산공식!$A$16:$A$200,0)),"")</f>
        <v>2</v>
      </c>
      <c r="AB593" s="7">
        <f t="shared" si="106"/>
        <v>0.33333333333333331</v>
      </c>
      <c r="AC593" s="7">
        <f t="shared" si="107"/>
        <v>0.4</v>
      </c>
      <c r="AD593" s="7">
        <f t="shared" si="108"/>
        <v>0.26666666666666666</v>
      </c>
      <c r="AE593" s="7">
        <f>INDEX(환산공식!$AF$16:$AF$301,MATCH('배치점수 계산기'!W593,환산공식!$A$16:$A$301,0))</f>
        <v>2</v>
      </c>
      <c r="AF593" s="7">
        <f>INDEX(환산공식!$AP$16:$AP$301,MATCH('배치점수 계산기'!W593,환산공식!$A$16:$A$301,0))</f>
        <v>2</v>
      </c>
      <c r="AG593" s="7" t="str">
        <f t="shared" si="109"/>
        <v>백분위</v>
      </c>
      <c r="AH593" s="7" t="str">
        <f t="shared" si="110"/>
        <v>백분위</v>
      </c>
      <c r="BO593" s="210"/>
      <c r="BP593" s="210"/>
      <c r="BQ593" s="210"/>
      <c r="BR593" s="210"/>
      <c r="BS593" s="210"/>
      <c r="BT593" s="210"/>
      <c r="BU593" s="210"/>
      <c r="BV593" s="210"/>
      <c r="BW593" s="210"/>
      <c r="BX593" s="210"/>
      <c r="BY593" s="210"/>
      <c r="BZ593" s="210"/>
      <c r="CA593" s="210"/>
      <c r="CB593" s="210"/>
      <c r="CC593" s="210"/>
      <c r="EM593" s="120"/>
      <c r="ET593" s="210"/>
      <c r="EU593" s="210"/>
      <c r="EV593" s="210"/>
      <c r="EW593" s="210"/>
      <c r="EX593" s="210"/>
      <c r="EY593" s="210"/>
      <c r="EZ593" s="210"/>
      <c r="FA593" s="210"/>
      <c r="FB593" s="210"/>
      <c r="FC593" s="210"/>
      <c r="FD593" s="210"/>
      <c r="FE593" s="210"/>
      <c r="FF593" s="210"/>
      <c r="FG593" s="210"/>
      <c r="FH593" s="210"/>
      <c r="HR593" s="120"/>
      <c r="HY593" s="210"/>
      <c r="HZ593" s="210"/>
      <c r="IA593" s="210"/>
      <c r="IB593" s="210"/>
      <c r="IC593" s="210"/>
      <c r="ID593" s="210"/>
      <c r="IE593" s="210"/>
      <c r="IF593" s="210"/>
      <c r="IG593" s="210"/>
      <c r="IH593" s="210"/>
      <c r="II593" s="210"/>
      <c r="IJ593" s="210"/>
      <c r="IK593" s="210"/>
      <c r="IL593" s="210"/>
      <c r="IM593" s="210"/>
      <c r="KW593" s="120"/>
      <c r="LD593" s="210"/>
      <c r="LE593" s="210"/>
      <c r="LF593" s="210"/>
      <c r="LG593" s="210"/>
      <c r="LH593" s="210"/>
      <c r="LI593" s="210"/>
      <c r="LJ593" s="210"/>
      <c r="LK593" s="210"/>
      <c r="LL593" s="210"/>
      <c r="LM593" s="210"/>
      <c r="LN593" s="210"/>
      <c r="LO593" s="210"/>
      <c r="LP593" s="210"/>
      <c r="LQ593" s="210"/>
      <c r="LR593" s="210"/>
      <c r="OB593" s="120"/>
      <c r="OI593" s="210"/>
      <c r="OJ593" s="210"/>
      <c r="OK593" s="210"/>
      <c r="OL593" s="210"/>
      <c r="OM593" s="210"/>
      <c r="ON593" s="210"/>
      <c r="OO593" s="210"/>
      <c r="OP593" s="210"/>
      <c r="OQ593" s="210"/>
      <c r="OR593" s="210"/>
      <c r="OS593" s="210"/>
      <c r="OT593" s="210"/>
      <c r="OU593" s="210"/>
      <c r="OV593" s="210"/>
      <c r="OW593" s="210"/>
      <c r="RG593" s="120"/>
    </row>
    <row r="594" spans="1:475" x14ac:dyDescent="0.3">
      <c r="A594" s="7">
        <v>76</v>
      </c>
      <c r="B594" s="7">
        <v>584</v>
      </c>
      <c r="C594" s="7" t="s">
        <v>378</v>
      </c>
      <c r="D594" s="7" t="s">
        <v>710</v>
      </c>
      <c r="E594" s="7" t="s">
        <v>685</v>
      </c>
      <c r="F594" s="7" t="s">
        <v>274</v>
      </c>
      <c r="G594" s="41" t="str">
        <f t="shared" si="102"/>
        <v>X</v>
      </c>
      <c r="H594" s="41">
        <f>INDEX(환산공식!CI$16:CI$301,MATCH('배치점수 계산기'!$W594,환산공식!$A$16:$A$301,0))</f>
        <v>100</v>
      </c>
      <c r="I594" s="41" t="str">
        <f>CONCATENATE(ROUND(INDEX(환산공식!CJ$16:CJ$301,MATCH('배치점수 계산기'!$W594,환산공식!$A$16:$A$301,0)),1),"%")</f>
        <v>100%</v>
      </c>
      <c r="J594" s="41">
        <f>INDEX(환산공식!CK$16:CK$301,MATCH('배치점수 계산기'!$W594,환산공식!$A$16:$A$301,0))</f>
        <v>5</v>
      </c>
      <c r="K594" s="7">
        <f>INDEX(환산공식!$EF$16:$EF$301,MATCH('배치점수 계산기'!W594,환산공식!$A$16:$A$301,0))</f>
        <v>0</v>
      </c>
      <c r="L594" s="41" t="str">
        <f t="shared" si="100"/>
        <v>1% 이하</v>
      </c>
      <c r="M594" s="7">
        <v>394</v>
      </c>
      <c r="N594" s="7">
        <v>393.3</v>
      </c>
      <c r="O594" s="7">
        <v>392.7</v>
      </c>
      <c r="P594" s="7">
        <v>392.2</v>
      </c>
      <c r="Q594" s="7">
        <v>391</v>
      </c>
      <c r="R594" s="7">
        <f t="shared" si="101"/>
        <v>6</v>
      </c>
      <c r="T594" s="7">
        <f>COUNTIF($C$11:C594,C594)</f>
        <v>31</v>
      </c>
      <c r="U594" s="7" t="str">
        <f t="shared" si="103"/>
        <v>다31</v>
      </c>
      <c r="V594" s="7" t="str">
        <f>INDEX(환산공식!$C$16:$C$301,MATCH('배치점수 계산기'!W594,환산공식!$A$16:$A$301,0))</f>
        <v>계명 의약</v>
      </c>
      <c r="W594" s="7">
        <f t="shared" si="104"/>
        <v>76</v>
      </c>
      <c r="X594" s="7">
        <f t="shared" si="105"/>
        <v>1</v>
      </c>
      <c r="Y594" s="7">
        <f>IFERROR(INDEX(환산공식!Q$16:Q$200,MATCH($A594,환산공식!$A$16:$A$200,0)),"")</f>
        <v>1</v>
      </c>
      <c r="Z594" s="7">
        <f>IFERROR(INDEX(환산공식!R$16:R$200,MATCH($A594,환산공식!$A$16:$A$200,0)),"")</f>
        <v>1</v>
      </c>
      <c r="AA594" s="7">
        <f>IFERROR(INDEX(환산공식!U$16:U$200,MATCH($A594,환산공식!$A$16:$A$200,0)),"")</f>
        <v>1</v>
      </c>
      <c r="AB594" s="7">
        <f t="shared" si="106"/>
        <v>0.33333333333333331</v>
      </c>
      <c r="AC594" s="7">
        <f t="shared" si="107"/>
        <v>0.33333333333333331</v>
      </c>
      <c r="AD594" s="7">
        <f t="shared" si="108"/>
        <v>0.33333333333333331</v>
      </c>
      <c r="AE594" s="7">
        <f>INDEX(환산공식!$AF$16:$AF$301,MATCH('배치점수 계산기'!W594,환산공식!$A$16:$A$301,0))</f>
        <v>2</v>
      </c>
      <c r="AF594" s="7">
        <f>INDEX(환산공식!$AP$16:$AP$301,MATCH('배치점수 계산기'!W594,환산공식!$A$16:$A$301,0))</f>
        <v>2</v>
      </c>
      <c r="AG594" s="7" t="str">
        <f t="shared" si="109"/>
        <v>백분위</v>
      </c>
      <c r="AH594" s="7" t="str">
        <f t="shared" si="110"/>
        <v>백분위</v>
      </c>
      <c r="BO594" s="210"/>
      <c r="BP594" s="210"/>
      <c r="BQ594" s="210"/>
      <c r="BR594" s="210"/>
      <c r="BS594" s="210"/>
      <c r="BT594" s="210"/>
      <c r="BU594" s="210"/>
      <c r="BV594" s="210"/>
      <c r="BW594" s="210"/>
      <c r="BX594" s="210"/>
      <c r="BY594" s="210"/>
      <c r="BZ594" s="210"/>
      <c r="CA594" s="210"/>
      <c r="CB594" s="210"/>
      <c r="CC594" s="210"/>
      <c r="EM594" s="120"/>
      <c r="ET594" s="210"/>
      <c r="EU594" s="210"/>
      <c r="EV594" s="210"/>
      <c r="EW594" s="210"/>
      <c r="EX594" s="210"/>
      <c r="EY594" s="210"/>
      <c r="EZ594" s="210"/>
      <c r="FA594" s="210"/>
      <c r="FB594" s="210"/>
      <c r="FC594" s="210"/>
      <c r="FD594" s="210"/>
      <c r="FE594" s="210"/>
      <c r="FF594" s="210"/>
      <c r="FG594" s="210"/>
      <c r="FH594" s="210"/>
      <c r="HR594" s="120"/>
      <c r="HY594" s="210"/>
      <c r="HZ594" s="210"/>
      <c r="IA594" s="210"/>
      <c r="IB594" s="210"/>
      <c r="IC594" s="210"/>
      <c r="ID594" s="210"/>
      <c r="IE594" s="210"/>
      <c r="IF594" s="210"/>
      <c r="IG594" s="210"/>
      <c r="IH594" s="210"/>
      <c r="II594" s="210"/>
      <c r="IJ594" s="210"/>
      <c r="IK594" s="210"/>
      <c r="IL594" s="210"/>
      <c r="IM594" s="210"/>
      <c r="KW594" s="120"/>
      <c r="LD594" s="210"/>
      <c r="LE594" s="210"/>
      <c r="LF594" s="210"/>
      <c r="LG594" s="210"/>
      <c r="LH594" s="210"/>
      <c r="LI594" s="210"/>
      <c r="LJ594" s="210"/>
      <c r="LK594" s="210"/>
      <c r="LL594" s="210"/>
      <c r="LM594" s="210"/>
      <c r="LN594" s="210"/>
      <c r="LO594" s="210"/>
      <c r="LP594" s="210"/>
      <c r="LQ594" s="210"/>
      <c r="LR594" s="210"/>
      <c r="OB594" s="120"/>
      <c r="OI594" s="210"/>
      <c r="OJ594" s="210"/>
      <c r="OK594" s="210"/>
      <c r="OL594" s="210"/>
      <c r="OM594" s="210"/>
      <c r="ON594" s="210"/>
      <c r="OO594" s="210"/>
      <c r="OP594" s="210"/>
      <c r="OQ594" s="210"/>
      <c r="OR594" s="210"/>
      <c r="OS594" s="210"/>
      <c r="OT594" s="210"/>
      <c r="OU594" s="210"/>
      <c r="OV594" s="210"/>
      <c r="OW594" s="210"/>
      <c r="RG594" s="120"/>
    </row>
    <row r="595" spans="1:475" x14ac:dyDescent="0.3">
      <c r="A595" s="7">
        <v>122</v>
      </c>
      <c r="B595" s="7">
        <v>585</v>
      </c>
      <c r="C595" s="7" t="s">
        <v>378</v>
      </c>
      <c r="D595" s="7" t="s">
        <v>703</v>
      </c>
      <c r="E595" s="7" t="s">
        <v>685</v>
      </c>
      <c r="F595" s="7" t="s">
        <v>274</v>
      </c>
      <c r="G595" s="41" t="str">
        <f t="shared" si="102"/>
        <v>X</v>
      </c>
      <c r="H595" s="41">
        <f>INDEX(환산공식!CI$16:CI$301,MATCH('배치점수 계산기'!$W595,환산공식!$A$16:$A$301,0))</f>
        <v>200</v>
      </c>
      <c r="I595" s="41" t="str">
        <f>CONCATENATE(ROUND(INDEX(환산공식!CJ$16:CJ$301,MATCH('배치점수 계산기'!$W595,환산공식!$A$16:$A$301,0)),1),"%")</f>
        <v>100%</v>
      </c>
      <c r="J595" s="41">
        <f>INDEX(환산공식!CK$16:CK$301,MATCH('배치점수 계산기'!$W595,환산공식!$A$16:$A$301,0))</f>
        <v>10</v>
      </c>
      <c r="K595" s="7">
        <f>INDEX(환산공식!$EF$16:$EF$301,MATCH('배치점수 계산기'!W595,환산공식!$A$16:$A$301,0))</f>
        <v>0</v>
      </c>
      <c r="L595" s="41" t="str">
        <f t="shared" si="100"/>
        <v>1% 이하</v>
      </c>
      <c r="M595" s="7">
        <v>1032.3999999999999</v>
      </c>
      <c r="N595" s="7">
        <v>1029.3</v>
      </c>
      <c r="O595" s="7">
        <v>1026.1000000000001</v>
      </c>
      <c r="P595" s="7">
        <v>1024.5999999999999</v>
      </c>
      <c r="Q595" s="7">
        <v>1023.7</v>
      </c>
      <c r="R595" s="7">
        <f t="shared" si="101"/>
        <v>6</v>
      </c>
      <c r="T595" s="7">
        <f>COUNTIF($C$11:C595,C595)</f>
        <v>32</v>
      </c>
      <c r="U595" s="7" t="str">
        <f t="shared" si="103"/>
        <v>다32</v>
      </c>
      <c r="V595" s="7" t="str">
        <f>INDEX(환산공식!$C$16:$C$301,MATCH('배치점수 계산기'!W595,환산공식!$A$16:$A$301,0))</f>
        <v>제주 의약수</v>
      </c>
      <c r="W595" s="7">
        <f t="shared" si="104"/>
        <v>122</v>
      </c>
      <c r="X595" s="7">
        <f t="shared" si="105"/>
        <v>1</v>
      </c>
      <c r="Y595" s="7">
        <f>IFERROR(INDEX(환산공식!Q$16:Q$200,MATCH($A595,환산공식!$A$16:$A$200,0)),"")</f>
        <v>2</v>
      </c>
      <c r="Z595" s="7">
        <f>IFERROR(INDEX(환산공식!R$16:R$200,MATCH($A595,환산공식!$A$16:$A$200,0)),"")</f>
        <v>3</v>
      </c>
      <c r="AA595" s="7">
        <f>IFERROR(INDEX(환산공식!U$16:U$200,MATCH($A595,환산공식!$A$16:$A$200,0)),"")</f>
        <v>3</v>
      </c>
      <c r="AB595" s="7">
        <f t="shared" si="106"/>
        <v>0.25</v>
      </c>
      <c r="AC595" s="7">
        <f t="shared" si="107"/>
        <v>0.375</v>
      </c>
      <c r="AD595" s="7">
        <f t="shared" si="108"/>
        <v>0.375</v>
      </c>
      <c r="AE595" s="7">
        <f>INDEX(환산공식!$AF$16:$AF$301,MATCH('배치점수 계산기'!W595,환산공식!$A$16:$A$301,0))</f>
        <v>2</v>
      </c>
      <c r="AF595" s="7">
        <f>INDEX(환산공식!$AP$16:$AP$301,MATCH('배치점수 계산기'!W595,환산공식!$A$16:$A$301,0))</f>
        <v>2</v>
      </c>
      <c r="AG595" s="7" t="str">
        <f t="shared" si="109"/>
        <v>백분위</v>
      </c>
      <c r="AH595" s="7" t="str">
        <f t="shared" si="110"/>
        <v>백분위</v>
      </c>
      <c r="BO595" s="210"/>
      <c r="BP595" s="210"/>
      <c r="BQ595" s="210"/>
      <c r="BR595" s="210"/>
      <c r="BS595" s="210"/>
      <c r="BT595" s="210"/>
      <c r="BU595" s="210"/>
      <c r="BV595" s="210"/>
      <c r="BW595" s="210"/>
      <c r="BX595" s="210"/>
      <c r="BY595" s="210"/>
      <c r="BZ595" s="210"/>
      <c r="CA595" s="210"/>
      <c r="CB595" s="210"/>
      <c r="CC595" s="210"/>
      <c r="EM595" s="120"/>
      <c r="ET595" s="210"/>
      <c r="EU595" s="210"/>
      <c r="EV595" s="210"/>
      <c r="EW595" s="210"/>
      <c r="EX595" s="210"/>
      <c r="EY595" s="210"/>
      <c r="EZ595" s="210"/>
      <c r="FA595" s="210"/>
      <c r="FB595" s="210"/>
      <c r="FC595" s="210"/>
      <c r="FD595" s="210"/>
      <c r="FE595" s="210"/>
      <c r="FF595" s="210"/>
      <c r="FG595" s="210"/>
      <c r="FH595" s="210"/>
      <c r="HR595" s="120"/>
      <c r="HY595" s="210"/>
      <c r="HZ595" s="210"/>
      <c r="IA595" s="210"/>
      <c r="IB595" s="210"/>
      <c r="IC595" s="210"/>
      <c r="ID595" s="210"/>
      <c r="IE595" s="210"/>
      <c r="IF595" s="210"/>
      <c r="IG595" s="210"/>
      <c r="IH595" s="210"/>
      <c r="II595" s="210"/>
      <c r="IJ595" s="210"/>
      <c r="IK595" s="210"/>
      <c r="IL595" s="210"/>
      <c r="IM595" s="210"/>
      <c r="KW595" s="120"/>
      <c r="LD595" s="210"/>
      <c r="LE595" s="210"/>
      <c r="LF595" s="210"/>
      <c r="LG595" s="210"/>
      <c r="LH595" s="210"/>
      <c r="LI595" s="210"/>
      <c r="LJ595" s="210"/>
      <c r="LK595" s="210"/>
      <c r="LL595" s="210"/>
      <c r="LM595" s="210"/>
      <c r="LN595" s="210"/>
      <c r="LO595" s="210"/>
      <c r="LP595" s="210"/>
      <c r="LQ595" s="210"/>
      <c r="LR595" s="210"/>
      <c r="OB595" s="120"/>
      <c r="OI595" s="210"/>
      <c r="OJ595" s="210"/>
      <c r="OK595" s="210"/>
      <c r="OL595" s="210"/>
      <c r="OM595" s="210"/>
      <c r="ON595" s="210"/>
      <c r="OO595" s="210"/>
      <c r="OP595" s="210"/>
      <c r="OQ595" s="210"/>
      <c r="OR595" s="210"/>
      <c r="OS595" s="210"/>
      <c r="OT595" s="210"/>
      <c r="OU595" s="210"/>
      <c r="OV595" s="210"/>
      <c r="OW595" s="210"/>
      <c r="RG595" s="120"/>
    </row>
    <row r="596" spans="1:475" x14ac:dyDescent="0.3">
      <c r="A596" s="7">
        <v>102</v>
      </c>
      <c r="B596" s="7">
        <v>586</v>
      </c>
      <c r="C596" s="7" t="s">
        <v>378</v>
      </c>
      <c r="D596" s="7" t="s">
        <v>709</v>
      </c>
      <c r="E596" s="7" t="s">
        <v>685</v>
      </c>
      <c r="F596" s="7" t="s">
        <v>274</v>
      </c>
      <c r="G596" s="41" t="str">
        <f t="shared" si="102"/>
        <v>X</v>
      </c>
      <c r="H596" s="41">
        <f>INDEX(환산공식!CI$16:CI$301,MATCH('배치점수 계산기'!$W596,환산공식!$A$16:$A$301,0))</f>
        <v>100</v>
      </c>
      <c r="I596" s="41" t="str">
        <f>CONCATENATE(ROUND(INDEX(환산공식!CJ$16:CJ$301,MATCH('배치점수 계산기'!$W596,환산공식!$A$16:$A$301,0)),1),"%")</f>
        <v>90.9%</v>
      </c>
      <c r="J596" s="41">
        <f>INDEX(환산공식!CK$16:CK$301,MATCH('배치점수 계산기'!$W596,환산공식!$A$16:$A$301,0))</f>
        <v>0</v>
      </c>
      <c r="K596" s="7">
        <f>INDEX(환산공식!$EF$16:$EF$301,MATCH('배치점수 계산기'!W596,환산공식!$A$16:$A$301,0))</f>
        <v>10</v>
      </c>
      <c r="L596" s="41" t="str">
        <f t="shared" si="100"/>
        <v>1% 이하</v>
      </c>
      <c r="M596" s="7">
        <v>298.5</v>
      </c>
      <c r="N596" s="7">
        <v>297.8</v>
      </c>
      <c r="O596" s="7">
        <v>297.8</v>
      </c>
      <c r="P596" s="7">
        <v>297.5</v>
      </c>
      <c r="Q596" s="7">
        <v>297</v>
      </c>
      <c r="R596" s="7">
        <f t="shared" si="101"/>
        <v>6</v>
      </c>
      <c r="T596" s="7">
        <f>COUNTIF($C$11:C596,C596)</f>
        <v>33</v>
      </c>
      <c r="U596" s="7" t="str">
        <f t="shared" si="103"/>
        <v>다33</v>
      </c>
      <c r="V596" s="7" t="str">
        <f>INDEX(환산공식!$C$16:$C$301,MATCH('배치점수 계산기'!W596,환산공식!$A$16:$A$301,0))</f>
        <v>순천 약</v>
      </c>
      <c r="W596" s="7">
        <f t="shared" si="104"/>
        <v>102</v>
      </c>
      <c r="X596" s="7">
        <f t="shared" si="105"/>
        <v>1</v>
      </c>
      <c r="Y596" s="7">
        <f>IFERROR(INDEX(환산공식!Q$16:Q$200,MATCH($A596,환산공식!$A$16:$A$200,0)),"")</f>
        <v>1</v>
      </c>
      <c r="Z596" s="7">
        <f>IFERROR(INDEX(환산공식!R$16:R$200,MATCH($A596,환산공식!$A$16:$A$200,0)),"")</f>
        <v>1</v>
      </c>
      <c r="AA596" s="7">
        <f>IFERROR(INDEX(환산공식!U$16:U$200,MATCH($A596,환산공식!$A$16:$A$200,0)),"")</f>
        <v>1</v>
      </c>
      <c r="AB596" s="7">
        <f t="shared" si="106"/>
        <v>0.33333333333333331</v>
      </c>
      <c r="AC596" s="7">
        <f t="shared" si="107"/>
        <v>0.33333333333333331</v>
      </c>
      <c r="AD596" s="7">
        <f t="shared" si="108"/>
        <v>0.33333333333333331</v>
      </c>
      <c r="AE596" s="7">
        <f>INDEX(환산공식!$AF$16:$AF$301,MATCH('배치점수 계산기'!W596,환산공식!$A$16:$A$301,0))</f>
        <v>2</v>
      </c>
      <c r="AF596" s="7">
        <f>INDEX(환산공식!$AP$16:$AP$301,MATCH('배치점수 계산기'!W596,환산공식!$A$16:$A$301,0))</f>
        <v>2</v>
      </c>
      <c r="AG596" s="7" t="str">
        <f t="shared" si="109"/>
        <v>백분위</v>
      </c>
      <c r="AH596" s="7" t="str">
        <f t="shared" si="110"/>
        <v>백분위</v>
      </c>
      <c r="BO596" s="210"/>
      <c r="BP596" s="210"/>
      <c r="BQ596" s="210"/>
      <c r="BR596" s="210"/>
      <c r="BS596" s="210"/>
      <c r="BT596" s="210"/>
      <c r="BU596" s="210"/>
      <c r="BV596" s="210"/>
      <c r="BW596" s="210"/>
      <c r="BX596" s="210"/>
      <c r="BY596" s="210"/>
      <c r="BZ596" s="210"/>
      <c r="CA596" s="210"/>
      <c r="CB596" s="210"/>
      <c r="CC596" s="210"/>
      <c r="EM596" s="120"/>
      <c r="ET596" s="210"/>
      <c r="EU596" s="210"/>
      <c r="EV596" s="210"/>
      <c r="EW596" s="210"/>
      <c r="EX596" s="210"/>
      <c r="EY596" s="210"/>
      <c r="EZ596" s="210"/>
      <c r="FA596" s="210"/>
      <c r="FB596" s="210"/>
      <c r="FC596" s="210"/>
      <c r="FD596" s="210"/>
      <c r="FE596" s="210"/>
      <c r="FF596" s="210"/>
      <c r="FG596" s="210"/>
      <c r="FH596" s="210"/>
      <c r="HR596" s="120"/>
      <c r="HY596" s="210"/>
      <c r="HZ596" s="210"/>
      <c r="IA596" s="210"/>
      <c r="IB596" s="210"/>
      <c r="IC596" s="210"/>
      <c r="ID596" s="210"/>
      <c r="IE596" s="210"/>
      <c r="IF596" s="210"/>
      <c r="IG596" s="210"/>
      <c r="IH596" s="210"/>
      <c r="II596" s="210"/>
      <c r="IJ596" s="210"/>
      <c r="IK596" s="210"/>
      <c r="IL596" s="210"/>
      <c r="IM596" s="210"/>
      <c r="KW596" s="120"/>
      <c r="LD596" s="210"/>
      <c r="LE596" s="210"/>
      <c r="LF596" s="210"/>
      <c r="LG596" s="210"/>
      <c r="LH596" s="210"/>
      <c r="LI596" s="210"/>
      <c r="LJ596" s="210"/>
      <c r="LK596" s="210"/>
      <c r="LL596" s="210"/>
      <c r="LM596" s="210"/>
      <c r="LN596" s="210"/>
      <c r="LO596" s="210"/>
      <c r="LP596" s="210"/>
      <c r="LQ596" s="210"/>
      <c r="LR596" s="210"/>
      <c r="OB596" s="120"/>
      <c r="OI596" s="210"/>
      <c r="OJ596" s="210"/>
      <c r="OK596" s="210"/>
      <c r="OL596" s="210"/>
      <c r="OM596" s="210"/>
      <c r="ON596" s="210"/>
      <c r="OO596" s="210"/>
      <c r="OP596" s="210"/>
      <c r="OQ596" s="210"/>
      <c r="OR596" s="210"/>
      <c r="OS596" s="210"/>
      <c r="OT596" s="210"/>
      <c r="OU596" s="210"/>
      <c r="OV596" s="210"/>
      <c r="OW596" s="210"/>
      <c r="RG596" s="120"/>
    </row>
    <row r="597" spans="1:475" x14ac:dyDescent="0.3">
      <c r="A597" s="7">
        <v>33</v>
      </c>
      <c r="B597" s="7">
        <v>587</v>
      </c>
      <c r="C597" s="7" t="s">
        <v>346</v>
      </c>
      <c r="D597" s="7" t="s">
        <v>380</v>
      </c>
      <c r="E597" s="7" t="s">
        <v>695</v>
      </c>
      <c r="F597" s="7" t="s">
        <v>274</v>
      </c>
      <c r="G597" s="41" t="str">
        <f t="shared" si="102"/>
        <v>X</v>
      </c>
      <c r="H597" s="41">
        <f>INDEX(환산공식!CI$16:CI$301,MATCH('배치점수 계산기'!$W597,환산공식!$A$16:$A$301,0))</f>
        <v>120</v>
      </c>
      <c r="I597" s="41" t="str">
        <f>CONCATENATE(ROUND(INDEX(환산공식!CJ$16:CJ$301,MATCH('배치점수 계산기'!$W597,환산공식!$A$16:$A$301,0)),1),"%")</f>
        <v>100%</v>
      </c>
      <c r="J597" s="41">
        <f>INDEX(환산공식!CK$16:CK$301,MATCH('배치점수 계산기'!$W597,환산공식!$A$16:$A$301,0))</f>
        <v>40</v>
      </c>
      <c r="K597" s="7">
        <f>INDEX(환산공식!$EF$16:$EF$301,MATCH('배치점수 계산기'!W597,환산공식!$A$16:$A$301,0))</f>
        <v>0</v>
      </c>
      <c r="L597" s="41" t="str">
        <f t="shared" si="100"/>
        <v>1% 이하</v>
      </c>
      <c r="M597" s="7">
        <v>598.35517106549366</v>
      </c>
      <c r="N597" s="7">
        <v>596.84</v>
      </c>
      <c r="O597" s="7">
        <v>595.90488080609487</v>
      </c>
      <c r="P597" s="7">
        <v>594.97</v>
      </c>
      <c r="Q597" s="7">
        <v>594.01600000000008</v>
      </c>
      <c r="R597" s="7">
        <f t="shared" si="101"/>
        <v>6</v>
      </c>
      <c r="T597" s="7">
        <f>COUNTIF($C$11:C597,C597)</f>
        <v>241</v>
      </c>
      <c r="U597" s="7" t="str">
        <f t="shared" si="103"/>
        <v>나241</v>
      </c>
      <c r="V597" s="7" t="str">
        <f>INDEX(환산공식!$C$16:$C$301,MATCH('배치점수 계산기'!W597,환산공식!$A$16:$A$301,0))</f>
        <v>경희 자연</v>
      </c>
      <c r="W597" s="7">
        <f t="shared" si="104"/>
        <v>33</v>
      </c>
      <c r="X597" s="7">
        <f t="shared" si="105"/>
        <v>1</v>
      </c>
      <c r="Y597" s="7">
        <f>IFERROR(INDEX(환산공식!Q$16:Q$200,MATCH($A597,환산공식!$A$16:$A$200,0)),"")</f>
        <v>0.8</v>
      </c>
      <c r="Z597" s="7">
        <f>IFERROR(INDEX(환산공식!R$16:R$200,MATCH($A597,환산공식!$A$16:$A$200,0)),"")</f>
        <v>1.4</v>
      </c>
      <c r="AA597" s="7">
        <f>IFERROR(INDEX(환산공식!U$16:U$200,MATCH($A597,환산공식!$A$16:$A$200,0)),"")</f>
        <v>1</v>
      </c>
      <c r="AB597" s="7">
        <f t="shared" si="106"/>
        <v>0.25</v>
      </c>
      <c r="AC597" s="7">
        <f t="shared" si="107"/>
        <v>0.43749999999999994</v>
      </c>
      <c r="AD597" s="7">
        <f t="shared" si="108"/>
        <v>0.3125</v>
      </c>
      <c r="AE597" s="7">
        <f>INDEX(환산공식!$AF$16:$AF$301,MATCH('배치점수 계산기'!W597,환산공식!$A$16:$A$301,0))</f>
        <v>1</v>
      </c>
      <c r="AF597" s="7">
        <f>INDEX(환산공식!$AP$16:$AP$301,MATCH('배치점수 계산기'!W597,환산공식!$A$16:$A$301,0))</f>
        <v>4</v>
      </c>
      <c r="AG597" s="7" t="str">
        <f t="shared" si="109"/>
        <v>표점</v>
      </c>
      <c r="AH597" s="7" t="str">
        <f t="shared" si="110"/>
        <v>변표</v>
      </c>
      <c r="BO597" s="210"/>
      <c r="BP597" s="210"/>
      <c r="BQ597" s="210"/>
      <c r="BR597" s="210"/>
      <c r="BS597" s="210"/>
      <c r="BT597" s="210"/>
      <c r="BU597" s="210"/>
      <c r="BV597" s="210"/>
      <c r="BW597" s="210"/>
      <c r="BX597" s="210"/>
      <c r="BY597" s="210"/>
      <c r="BZ597" s="210"/>
      <c r="CA597" s="210"/>
      <c r="CB597" s="210"/>
      <c r="CC597" s="210"/>
      <c r="EM597" s="120"/>
      <c r="ET597" s="210"/>
      <c r="EU597" s="210"/>
      <c r="EV597" s="210"/>
      <c r="EW597" s="210"/>
      <c r="EX597" s="210"/>
      <c r="EY597" s="210"/>
      <c r="EZ597" s="210"/>
      <c r="FA597" s="210"/>
      <c r="FB597" s="210"/>
      <c r="FC597" s="210"/>
      <c r="FD597" s="210"/>
      <c r="FE597" s="210"/>
      <c r="FF597" s="210"/>
      <c r="FG597" s="210"/>
      <c r="FH597" s="210"/>
      <c r="HR597" s="120"/>
      <c r="HY597" s="210"/>
      <c r="HZ597" s="210"/>
      <c r="IA597" s="210"/>
      <c r="IB597" s="210"/>
      <c r="IC597" s="210"/>
      <c r="ID597" s="210"/>
      <c r="IE597" s="210"/>
      <c r="IF597" s="210"/>
      <c r="IG597" s="210"/>
      <c r="IH597" s="210"/>
      <c r="II597" s="210"/>
      <c r="IJ597" s="210"/>
      <c r="IK597" s="210"/>
      <c r="IL597" s="210"/>
      <c r="IM597" s="210"/>
      <c r="KW597" s="120"/>
      <c r="LD597" s="210"/>
      <c r="LE597" s="210"/>
      <c r="LF597" s="210"/>
      <c r="LG597" s="210"/>
      <c r="LH597" s="210"/>
      <c r="LI597" s="210"/>
      <c r="LJ597" s="210"/>
      <c r="LK597" s="210"/>
      <c r="LL597" s="210"/>
      <c r="LM597" s="210"/>
      <c r="LN597" s="210"/>
      <c r="LO597" s="210"/>
      <c r="LP597" s="210"/>
      <c r="LQ597" s="210"/>
      <c r="LR597" s="210"/>
      <c r="OB597" s="120"/>
      <c r="OI597" s="210"/>
      <c r="OJ597" s="210"/>
      <c r="OK597" s="210"/>
      <c r="OL597" s="210"/>
      <c r="OM597" s="210"/>
      <c r="ON597" s="210"/>
      <c r="OO597" s="210"/>
      <c r="OP597" s="210"/>
      <c r="OQ597" s="210"/>
      <c r="OR597" s="210"/>
      <c r="OS597" s="210"/>
      <c r="OT597" s="210"/>
      <c r="OU597" s="210"/>
      <c r="OV597" s="210"/>
      <c r="OW597" s="210"/>
      <c r="RG597" s="120"/>
    </row>
    <row r="598" spans="1:475" x14ac:dyDescent="0.3">
      <c r="A598" s="7">
        <v>67</v>
      </c>
      <c r="B598" s="7">
        <v>588</v>
      </c>
      <c r="C598" s="7" t="s">
        <v>276</v>
      </c>
      <c r="D598" s="7" t="s">
        <v>679</v>
      </c>
      <c r="E598" s="7" t="s">
        <v>695</v>
      </c>
      <c r="F598" s="7" t="s">
        <v>274</v>
      </c>
      <c r="G598" s="41" t="str">
        <f t="shared" si="102"/>
        <v>X</v>
      </c>
      <c r="H598" s="41">
        <f>INDEX(환산공식!CI$16:CI$301,MATCH('배치점수 계산기'!$W598,환산공식!$A$16:$A$301,0))</f>
        <v>78.400000000000006</v>
      </c>
      <c r="I598" s="41" t="str">
        <f>CONCATENATE(ROUND(INDEX(환산공식!CJ$16:CJ$301,MATCH('배치점수 계산기'!$W598,환산공식!$A$16:$A$301,0)),1),"%")</f>
        <v>100%</v>
      </c>
      <c r="J598" s="41">
        <f>INDEX(환산공식!CK$16:CK$301,MATCH('배치점수 계산기'!$W598,환산공식!$A$16:$A$301,0))</f>
        <v>0</v>
      </c>
      <c r="K598" s="7">
        <f>INDEX(환산공식!$EF$16:$EF$301,MATCH('배치점수 계산기'!W598,환산공식!$A$16:$A$301,0))</f>
        <v>0</v>
      </c>
      <c r="L598" s="41" t="str">
        <f t="shared" si="100"/>
        <v>1% 이하</v>
      </c>
      <c r="M598" s="7">
        <v>396.84000000000003</v>
      </c>
      <c r="N598" s="7">
        <v>395.98</v>
      </c>
      <c r="O598" s="7">
        <v>395.18</v>
      </c>
      <c r="P598" s="7">
        <v>394.97999999999996</v>
      </c>
      <c r="Q598" s="7">
        <v>394.25</v>
      </c>
      <c r="R598" s="7">
        <f t="shared" si="101"/>
        <v>6</v>
      </c>
      <c r="T598" s="7">
        <f>COUNTIF($C$11:C598,C598)</f>
        <v>302</v>
      </c>
      <c r="U598" s="7" t="str">
        <f t="shared" si="103"/>
        <v>가302</v>
      </c>
      <c r="V598" s="7" t="str">
        <f>INDEX(환산공식!$C$16:$C$301,MATCH('배치점수 계산기'!W598,환산공식!$A$16:$A$301,0))</f>
        <v>가천 한</v>
      </c>
      <c r="W598" s="7">
        <f t="shared" si="104"/>
        <v>67</v>
      </c>
      <c r="X598" s="7">
        <f t="shared" si="105"/>
        <v>1</v>
      </c>
      <c r="Y598" s="7">
        <f>IFERROR(INDEX(환산공식!Q$16:Q$200,MATCH($A598,환산공식!$A$16:$A$200,0)),"")</f>
        <v>1</v>
      </c>
      <c r="Z598" s="7">
        <f>IFERROR(INDEX(환산공식!R$16:R$200,MATCH($A598,환산공식!$A$16:$A$200,0)),"")</f>
        <v>1.2</v>
      </c>
      <c r="AA598" s="7">
        <f>IFERROR(INDEX(환산공식!U$16:U$200,MATCH($A598,환산공식!$A$16:$A$200,0)),"")</f>
        <v>1</v>
      </c>
      <c r="AB598" s="7">
        <f t="shared" si="106"/>
        <v>0.3125</v>
      </c>
      <c r="AC598" s="7">
        <f t="shared" si="107"/>
        <v>0.37499999999999994</v>
      </c>
      <c r="AD598" s="7">
        <f t="shared" si="108"/>
        <v>0.3125</v>
      </c>
      <c r="AE598" s="7">
        <f>INDEX(환산공식!$AF$16:$AF$301,MATCH('배치점수 계산기'!W598,환산공식!$A$16:$A$301,0))</f>
        <v>2</v>
      </c>
      <c r="AF598" s="7">
        <f>INDEX(환산공식!$AP$16:$AP$301,MATCH('배치점수 계산기'!W598,환산공식!$A$16:$A$301,0))</f>
        <v>2</v>
      </c>
      <c r="AG598" s="7" t="str">
        <f t="shared" si="109"/>
        <v>백분위</v>
      </c>
      <c r="AH598" s="7" t="str">
        <f t="shared" si="110"/>
        <v>백분위</v>
      </c>
      <c r="BO598" s="210"/>
      <c r="BP598" s="210"/>
      <c r="BQ598" s="210"/>
      <c r="BR598" s="210"/>
      <c r="BS598" s="210"/>
      <c r="BT598" s="210"/>
      <c r="BU598" s="210"/>
      <c r="BV598" s="210"/>
      <c r="BW598" s="210"/>
      <c r="BX598" s="210"/>
      <c r="BY598" s="210"/>
      <c r="BZ598" s="210"/>
      <c r="CA598" s="210"/>
      <c r="CB598" s="210"/>
      <c r="CC598" s="210"/>
      <c r="EM598" s="120"/>
      <c r="ET598" s="210"/>
      <c r="EU598" s="210"/>
      <c r="EV598" s="210"/>
      <c r="EW598" s="210"/>
      <c r="EX598" s="210"/>
      <c r="EY598" s="210"/>
      <c r="EZ598" s="210"/>
      <c r="FA598" s="210"/>
      <c r="FB598" s="210"/>
      <c r="FC598" s="210"/>
      <c r="FD598" s="210"/>
      <c r="FE598" s="210"/>
      <c r="FF598" s="210"/>
      <c r="FG598" s="210"/>
      <c r="FH598" s="210"/>
      <c r="HR598" s="120"/>
      <c r="HY598" s="210"/>
      <c r="HZ598" s="210"/>
      <c r="IA598" s="210"/>
      <c r="IB598" s="210"/>
      <c r="IC598" s="210"/>
      <c r="ID598" s="210"/>
      <c r="IE598" s="210"/>
      <c r="IF598" s="210"/>
      <c r="IG598" s="210"/>
      <c r="IH598" s="210"/>
      <c r="II598" s="210"/>
      <c r="IJ598" s="210"/>
      <c r="IK598" s="210"/>
      <c r="IL598" s="210"/>
      <c r="IM598" s="210"/>
      <c r="KW598" s="120"/>
      <c r="LD598" s="210"/>
      <c r="LE598" s="210"/>
      <c r="LF598" s="210"/>
      <c r="LG598" s="210"/>
      <c r="LH598" s="210"/>
      <c r="LI598" s="210"/>
      <c r="LJ598" s="210"/>
      <c r="LK598" s="210"/>
      <c r="LL598" s="210"/>
      <c r="LM598" s="210"/>
      <c r="LN598" s="210"/>
      <c r="LO598" s="210"/>
      <c r="LP598" s="210"/>
      <c r="LQ598" s="210"/>
      <c r="LR598" s="210"/>
      <c r="OB598" s="120"/>
      <c r="OI598" s="210"/>
      <c r="OJ598" s="210"/>
      <c r="OK598" s="210"/>
      <c r="OL598" s="210"/>
      <c r="OM598" s="210"/>
      <c r="ON598" s="210"/>
      <c r="OO598" s="210"/>
      <c r="OP598" s="210"/>
      <c r="OQ598" s="210"/>
      <c r="OR598" s="210"/>
      <c r="OS598" s="210"/>
      <c r="OT598" s="210"/>
      <c r="OU598" s="210"/>
      <c r="OV598" s="210"/>
      <c r="OW598" s="210"/>
      <c r="RG598" s="120"/>
    </row>
    <row r="599" spans="1:475" x14ac:dyDescent="0.3">
      <c r="A599" s="7">
        <v>88</v>
      </c>
      <c r="B599" s="7">
        <v>589</v>
      </c>
      <c r="C599" s="7" t="s">
        <v>378</v>
      </c>
      <c r="D599" s="7" t="s">
        <v>693</v>
      </c>
      <c r="E599" s="7" t="s">
        <v>695</v>
      </c>
      <c r="F599" s="7" t="s">
        <v>274</v>
      </c>
      <c r="G599" s="41" t="str">
        <f t="shared" si="102"/>
        <v>X</v>
      </c>
      <c r="H599" s="41">
        <f>INDEX(환산공식!CI$16:CI$301,MATCH('배치점수 계산기'!$W599,환산공식!$A$16:$A$301,0))</f>
        <v>200</v>
      </c>
      <c r="I599" s="41" t="str">
        <f>CONCATENATE(ROUND(INDEX(환산공식!CJ$16:CJ$301,MATCH('배치점수 계산기'!$W599,환산공식!$A$16:$A$301,0)),1),"%")</f>
        <v>100%</v>
      </c>
      <c r="J599" s="41">
        <f>INDEX(환산공식!CK$16:CK$301,MATCH('배치점수 계산기'!$W599,환산공식!$A$16:$A$301,0))</f>
        <v>10</v>
      </c>
      <c r="K599" s="7">
        <f>INDEX(환산공식!$EF$16:$EF$301,MATCH('배치점수 계산기'!W599,환산공식!$A$16:$A$301,0))</f>
        <v>0</v>
      </c>
      <c r="L599" s="41" t="str">
        <f t="shared" si="100"/>
        <v>1% 이하</v>
      </c>
      <c r="M599" s="7">
        <v>751</v>
      </c>
      <c r="N599" s="7">
        <v>749.53260815822</v>
      </c>
      <c r="O599" s="7">
        <v>747.44999999999993</v>
      </c>
      <c r="P599" s="7">
        <v>746.82500000000005</v>
      </c>
      <c r="Q599" s="7">
        <v>745.61628051818627</v>
      </c>
      <c r="R599" s="7">
        <f t="shared" si="101"/>
        <v>6</v>
      </c>
      <c r="T599" s="7">
        <f>COUNTIF($C$11:C599,C599)</f>
        <v>34</v>
      </c>
      <c r="U599" s="7" t="str">
        <f t="shared" si="103"/>
        <v>다34</v>
      </c>
      <c r="V599" s="7" t="str">
        <f>INDEX(환산공식!$C$16:$C$301,MATCH('배치점수 계산기'!W599,환산공식!$A$16:$A$301,0))</f>
        <v>동국경주 한자</v>
      </c>
      <c r="W599" s="7">
        <f t="shared" si="104"/>
        <v>88</v>
      </c>
      <c r="X599" s="7">
        <f t="shared" si="105"/>
        <v>1</v>
      </c>
      <c r="Y599" s="7">
        <f>IFERROR(INDEX(환산공식!Q$16:Q$200,MATCH($A599,환산공식!$A$16:$A$200,0)),"")</f>
        <v>1.25</v>
      </c>
      <c r="Z599" s="7">
        <f>IFERROR(INDEX(환산공식!R$16:R$200,MATCH($A599,환산공식!$A$16:$A$200,0)),"")</f>
        <v>1.5</v>
      </c>
      <c r="AA599" s="7">
        <f>IFERROR(INDEX(환산공식!U$16:U$200,MATCH($A599,환산공식!$A$16:$A$200,0)),"")</f>
        <v>1.25</v>
      </c>
      <c r="AB599" s="7">
        <f t="shared" si="106"/>
        <v>0.3125</v>
      </c>
      <c r="AC599" s="7">
        <f t="shared" si="107"/>
        <v>0.375</v>
      </c>
      <c r="AD599" s="7">
        <f t="shared" si="108"/>
        <v>0.3125</v>
      </c>
      <c r="AE599" s="7">
        <f>INDEX(환산공식!$AF$16:$AF$301,MATCH('배치점수 계산기'!W599,환산공식!$A$16:$A$301,0))</f>
        <v>1</v>
      </c>
      <c r="AF599" s="7">
        <f>INDEX(환산공식!$AP$16:$AP$301,MATCH('배치점수 계산기'!W599,환산공식!$A$16:$A$301,0))</f>
        <v>1</v>
      </c>
      <c r="AG599" s="7" t="str">
        <f t="shared" si="109"/>
        <v>표점</v>
      </c>
      <c r="AH599" s="7" t="str">
        <f t="shared" si="110"/>
        <v>표점</v>
      </c>
      <c r="BO599" s="210"/>
      <c r="BP599" s="210"/>
      <c r="BQ599" s="210"/>
      <c r="BR599" s="210"/>
      <c r="BS599" s="210"/>
      <c r="BT599" s="210"/>
      <c r="BU599" s="210"/>
      <c r="BV599" s="210"/>
      <c r="BW599" s="210"/>
      <c r="BX599" s="210"/>
      <c r="BY599" s="210"/>
      <c r="BZ599" s="210"/>
      <c r="CA599" s="210"/>
      <c r="CB599" s="210"/>
      <c r="CC599" s="210"/>
      <c r="EM599" s="120"/>
      <c r="ET599" s="210"/>
      <c r="EU599" s="210"/>
      <c r="EV599" s="210"/>
      <c r="EW599" s="210"/>
      <c r="EX599" s="210"/>
      <c r="EY599" s="210"/>
      <c r="EZ599" s="210"/>
      <c r="FA599" s="210"/>
      <c r="FB599" s="210"/>
      <c r="FC599" s="210"/>
      <c r="FD599" s="210"/>
      <c r="FE599" s="210"/>
      <c r="FF599" s="210"/>
      <c r="FG599" s="210"/>
      <c r="FH599" s="210"/>
      <c r="HR599" s="120"/>
      <c r="HY599" s="210"/>
      <c r="HZ599" s="210"/>
      <c r="IA599" s="210"/>
      <c r="IB599" s="210"/>
      <c r="IC599" s="210"/>
      <c r="ID599" s="210"/>
      <c r="IE599" s="210"/>
      <c r="IF599" s="210"/>
      <c r="IG599" s="210"/>
      <c r="IH599" s="210"/>
      <c r="II599" s="210"/>
      <c r="IJ599" s="210"/>
      <c r="IK599" s="210"/>
      <c r="IL599" s="210"/>
      <c r="IM599" s="210"/>
      <c r="KW599" s="120"/>
      <c r="LD599" s="210"/>
      <c r="LE599" s="210"/>
      <c r="LF599" s="210"/>
      <c r="LG599" s="210"/>
      <c r="LH599" s="210"/>
      <c r="LI599" s="210"/>
      <c r="LJ599" s="210"/>
      <c r="LK599" s="210"/>
      <c r="LL599" s="210"/>
      <c r="LM599" s="210"/>
      <c r="LN599" s="210"/>
      <c r="LO599" s="210"/>
      <c r="LP599" s="210"/>
      <c r="LQ599" s="210"/>
      <c r="LR599" s="210"/>
      <c r="OB599" s="120"/>
      <c r="OI599" s="210"/>
      <c r="OJ599" s="210"/>
      <c r="OK599" s="210"/>
      <c r="OL599" s="210"/>
      <c r="OM599" s="210"/>
      <c r="ON599" s="210"/>
      <c r="OO599" s="210"/>
      <c r="OP599" s="210"/>
      <c r="OQ599" s="210"/>
      <c r="OR599" s="210"/>
      <c r="OS599" s="210"/>
      <c r="OT599" s="210"/>
      <c r="OU599" s="210"/>
      <c r="OV599" s="210"/>
      <c r="OW599" s="210"/>
      <c r="RG599" s="120"/>
    </row>
    <row r="600" spans="1:475" x14ac:dyDescent="0.3">
      <c r="A600" s="7">
        <v>96</v>
      </c>
      <c r="B600" s="7">
        <v>590</v>
      </c>
      <c r="C600" s="7" t="s">
        <v>346</v>
      </c>
      <c r="D600" s="7" t="s">
        <v>699</v>
      </c>
      <c r="E600" s="7" t="s">
        <v>695</v>
      </c>
      <c r="F600" s="7" t="s">
        <v>274</v>
      </c>
      <c r="G600" s="41" t="str">
        <f t="shared" si="102"/>
        <v>X</v>
      </c>
      <c r="H600" s="41">
        <f>INDEX(환산공식!CI$16:CI$301,MATCH('배치점수 계산기'!$W600,환산공식!$A$16:$A$301,0))</f>
        <v>200</v>
      </c>
      <c r="I600" s="41" t="str">
        <f>CONCATENATE(ROUND(INDEX(환산공식!CJ$16:CJ$301,MATCH('배치점수 계산기'!$W600,환산공식!$A$16:$A$301,0)),1),"%")</f>
        <v>100%</v>
      </c>
      <c r="J600" s="41">
        <f>INDEX(환산공식!CK$16:CK$301,MATCH('배치점수 계산기'!$W600,환산공식!$A$16:$A$301,0))</f>
        <v>10</v>
      </c>
      <c r="K600" s="7">
        <f>INDEX(환산공식!$EF$16:$EF$301,MATCH('배치점수 계산기'!W600,환산공식!$A$16:$A$301,0))</f>
        <v>0</v>
      </c>
      <c r="L600" s="41" t="str">
        <f t="shared" si="100"/>
        <v>1% 이하</v>
      </c>
      <c r="M600" s="7">
        <v>748.63000000000011</v>
      </c>
      <c r="N600" s="7">
        <v>747.06600000000003</v>
      </c>
      <c r="O600" s="7">
        <v>746.50200000000018</v>
      </c>
      <c r="P600" s="7">
        <v>745.39974838066769</v>
      </c>
      <c r="Q600" s="7">
        <v>743.87980509745125</v>
      </c>
      <c r="R600" s="7">
        <f t="shared" si="101"/>
        <v>6</v>
      </c>
      <c r="T600" s="7">
        <f>COUNTIF($C$11:C600,C600)</f>
        <v>242</v>
      </c>
      <c r="U600" s="7" t="str">
        <f t="shared" si="103"/>
        <v>나242</v>
      </c>
      <c r="V600" s="7" t="str">
        <f>INDEX(환산공식!$C$16:$C$301,MATCH('배치점수 계산기'!W600,환산공식!$A$16:$A$301,0))</f>
        <v>부산 의치약한</v>
      </c>
      <c r="W600" s="7">
        <f t="shared" si="104"/>
        <v>96</v>
      </c>
      <c r="X600" s="7">
        <f t="shared" si="105"/>
        <v>1</v>
      </c>
      <c r="Y600" s="7">
        <f>IFERROR(INDEX(환산공식!Q$16:Q$200,MATCH($A600,환산공식!$A$16:$A$200,0)),"")</f>
        <v>1</v>
      </c>
      <c r="Z600" s="7">
        <f>IFERROR(INDEX(환산공식!R$16:R$200,MATCH($A600,환산공식!$A$16:$A$200,0)),"")</f>
        <v>1.5</v>
      </c>
      <c r="AA600" s="7">
        <f>IFERROR(INDEX(환산공식!U$16:U$200,MATCH($A600,환산공식!$A$16:$A$200,0)),"")</f>
        <v>1.5</v>
      </c>
      <c r="AB600" s="7">
        <f t="shared" si="106"/>
        <v>0.25</v>
      </c>
      <c r="AC600" s="7">
        <f t="shared" si="107"/>
        <v>0.375</v>
      </c>
      <c r="AD600" s="7">
        <f t="shared" si="108"/>
        <v>0.375</v>
      </c>
      <c r="AE600" s="7">
        <f>INDEX(환산공식!$AF$16:$AF$301,MATCH('배치점수 계산기'!W600,환산공식!$A$16:$A$301,0))</f>
        <v>1</v>
      </c>
      <c r="AF600" s="7">
        <f>INDEX(환산공식!$AP$16:$AP$301,MATCH('배치점수 계산기'!W600,환산공식!$A$16:$A$301,0))</f>
        <v>4</v>
      </c>
      <c r="AG600" s="7" t="str">
        <f t="shared" si="109"/>
        <v>표점</v>
      </c>
      <c r="AH600" s="7" t="str">
        <f t="shared" si="110"/>
        <v>변표</v>
      </c>
      <c r="BO600" s="210"/>
      <c r="BP600" s="210"/>
      <c r="BQ600" s="210"/>
      <c r="BR600" s="210"/>
      <c r="BS600" s="210"/>
      <c r="BT600" s="210"/>
      <c r="BU600" s="210"/>
      <c r="BV600" s="210"/>
      <c r="BW600" s="210"/>
      <c r="BX600" s="210"/>
      <c r="BY600" s="210"/>
      <c r="BZ600" s="210"/>
      <c r="CA600" s="210"/>
      <c r="CB600" s="210"/>
      <c r="CC600" s="210"/>
      <c r="EM600" s="120"/>
      <c r="ET600" s="210"/>
      <c r="EU600" s="210"/>
      <c r="EV600" s="210"/>
      <c r="EW600" s="210"/>
      <c r="EX600" s="210"/>
      <c r="EY600" s="210"/>
      <c r="EZ600" s="210"/>
      <c r="FA600" s="210"/>
      <c r="FB600" s="210"/>
      <c r="FC600" s="210"/>
      <c r="FD600" s="210"/>
      <c r="FE600" s="210"/>
      <c r="FF600" s="210"/>
      <c r="FG600" s="210"/>
      <c r="FH600" s="210"/>
      <c r="HR600" s="120"/>
      <c r="HY600" s="210"/>
      <c r="HZ600" s="210"/>
      <c r="IA600" s="210"/>
      <c r="IB600" s="210"/>
      <c r="IC600" s="210"/>
      <c r="ID600" s="210"/>
      <c r="IE600" s="210"/>
      <c r="IF600" s="210"/>
      <c r="IG600" s="210"/>
      <c r="IH600" s="210"/>
      <c r="II600" s="210"/>
      <c r="IJ600" s="210"/>
      <c r="IK600" s="210"/>
      <c r="IL600" s="210"/>
      <c r="IM600" s="210"/>
      <c r="KW600" s="120"/>
      <c r="LD600" s="210"/>
      <c r="LE600" s="210"/>
      <c r="LF600" s="210"/>
      <c r="LG600" s="210"/>
      <c r="LH600" s="210"/>
      <c r="LI600" s="210"/>
      <c r="LJ600" s="210"/>
      <c r="LK600" s="210"/>
      <c r="LL600" s="210"/>
      <c r="LM600" s="210"/>
      <c r="LN600" s="210"/>
      <c r="LO600" s="210"/>
      <c r="LP600" s="210"/>
      <c r="LQ600" s="210"/>
      <c r="LR600" s="210"/>
      <c r="OB600" s="120"/>
      <c r="OI600" s="210"/>
      <c r="OJ600" s="210"/>
      <c r="OK600" s="210"/>
      <c r="OL600" s="210"/>
      <c r="OM600" s="210"/>
      <c r="ON600" s="210"/>
      <c r="OO600" s="210"/>
      <c r="OP600" s="210"/>
      <c r="OQ600" s="210"/>
      <c r="OR600" s="210"/>
      <c r="OS600" s="210"/>
      <c r="OT600" s="210"/>
      <c r="OU600" s="210"/>
      <c r="OV600" s="210"/>
      <c r="OW600" s="210"/>
      <c r="RG600" s="120"/>
    </row>
    <row r="601" spans="1:475" x14ac:dyDescent="0.3">
      <c r="A601" s="7">
        <v>100</v>
      </c>
      <c r="B601" s="7">
        <v>591</v>
      </c>
      <c r="C601" s="7" t="s">
        <v>346</v>
      </c>
      <c r="D601" s="7" t="s">
        <v>698</v>
      </c>
      <c r="E601" s="7" t="s">
        <v>695</v>
      </c>
      <c r="F601" s="7" t="s">
        <v>274</v>
      </c>
      <c r="G601" s="41" t="str">
        <f t="shared" si="102"/>
        <v>X</v>
      </c>
      <c r="H601" s="41">
        <f>INDEX(환산공식!CI$16:CI$301,MATCH('배치점수 계산기'!$W601,환산공식!$A$16:$A$301,0))</f>
        <v>100</v>
      </c>
      <c r="I601" s="41" t="str">
        <f>CONCATENATE(ROUND(INDEX(환산공식!CJ$16:CJ$301,MATCH('배치점수 계산기'!$W601,환산공식!$A$16:$A$301,0)),1),"%")</f>
        <v>100%</v>
      </c>
      <c r="J601" s="41">
        <f>INDEX(환산공식!CK$16:CK$301,MATCH('배치점수 계산기'!$W601,환산공식!$A$16:$A$301,0))</f>
        <v>0</v>
      </c>
      <c r="K601" s="7">
        <f>INDEX(환산공식!$EF$16:$EF$301,MATCH('배치점수 계산기'!W601,환산공식!$A$16:$A$301,0))</f>
        <v>0</v>
      </c>
      <c r="L601" s="41" t="str">
        <f t="shared" si="100"/>
        <v>1% 이하</v>
      </c>
      <c r="M601" s="7">
        <v>992.45</v>
      </c>
      <c r="N601" s="7">
        <v>990.95</v>
      </c>
      <c r="O601" s="7">
        <v>986.15000000000009</v>
      </c>
      <c r="P601" s="7">
        <v>982.25</v>
      </c>
      <c r="Q601" s="7">
        <v>981.34999999999991</v>
      </c>
      <c r="R601" s="7">
        <f t="shared" si="101"/>
        <v>6</v>
      </c>
      <c r="T601" s="7">
        <f>COUNTIF($C$11:C601,C601)</f>
        <v>243</v>
      </c>
      <c r="U601" s="7" t="str">
        <f t="shared" si="103"/>
        <v>나243</v>
      </c>
      <c r="V601" s="7" t="str">
        <f>INDEX(환산공식!$C$16:$C$301,MATCH('배치점수 계산기'!W601,환산공식!$A$16:$A$301,0))</f>
        <v>세명 한</v>
      </c>
      <c r="W601" s="7">
        <f t="shared" si="104"/>
        <v>100</v>
      </c>
      <c r="X601" s="7">
        <f t="shared" si="105"/>
        <v>1</v>
      </c>
      <c r="Y601" s="7">
        <f>IFERROR(INDEX(환산공식!Q$16:Q$200,MATCH($A601,환산공식!$A$16:$A$200,0)),"")</f>
        <v>3</v>
      </c>
      <c r="Z601" s="7">
        <f>IFERROR(INDEX(환산공식!R$16:R$200,MATCH($A601,환산공식!$A$16:$A$200,0)),"")</f>
        <v>3</v>
      </c>
      <c r="AA601" s="7">
        <f>IFERROR(INDEX(환산공식!U$16:U$200,MATCH($A601,환산공식!$A$16:$A$200,0)),"")</f>
        <v>3</v>
      </c>
      <c r="AB601" s="7">
        <f t="shared" si="106"/>
        <v>0.33333333333333331</v>
      </c>
      <c r="AC601" s="7">
        <f t="shared" si="107"/>
        <v>0.33333333333333331</v>
      </c>
      <c r="AD601" s="7">
        <f t="shared" si="108"/>
        <v>0.33333333333333331</v>
      </c>
      <c r="AE601" s="7">
        <f>INDEX(환산공식!$AF$16:$AF$301,MATCH('배치점수 계산기'!W601,환산공식!$A$16:$A$301,0))</f>
        <v>2</v>
      </c>
      <c r="AF601" s="7">
        <f>INDEX(환산공식!$AP$16:$AP$301,MATCH('배치점수 계산기'!W601,환산공식!$A$16:$A$301,0))</f>
        <v>2</v>
      </c>
      <c r="AG601" s="7" t="str">
        <f t="shared" si="109"/>
        <v>백분위</v>
      </c>
      <c r="AH601" s="7" t="str">
        <f t="shared" si="110"/>
        <v>백분위</v>
      </c>
      <c r="BO601" s="210"/>
      <c r="BP601" s="210"/>
      <c r="BQ601" s="210"/>
      <c r="BR601" s="210"/>
      <c r="BS601" s="210"/>
      <c r="BT601" s="210"/>
      <c r="BU601" s="210"/>
      <c r="BV601" s="210"/>
      <c r="BW601" s="210"/>
      <c r="BX601" s="210"/>
      <c r="BY601" s="210"/>
      <c r="BZ601" s="210"/>
      <c r="CA601" s="210"/>
      <c r="CB601" s="210"/>
      <c r="CC601" s="210"/>
      <c r="EM601" s="120"/>
      <c r="ET601" s="210"/>
      <c r="EU601" s="210"/>
      <c r="EV601" s="210"/>
      <c r="EW601" s="210"/>
      <c r="EX601" s="210"/>
      <c r="EY601" s="210"/>
      <c r="EZ601" s="210"/>
      <c r="FA601" s="210"/>
      <c r="FB601" s="210"/>
      <c r="FC601" s="210"/>
      <c r="FD601" s="210"/>
      <c r="FE601" s="210"/>
      <c r="FF601" s="210"/>
      <c r="FG601" s="210"/>
      <c r="FH601" s="210"/>
      <c r="HR601" s="120"/>
      <c r="HY601" s="210"/>
      <c r="HZ601" s="210"/>
      <c r="IA601" s="210"/>
      <c r="IB601" s="210"/>
      <c r="IC601" s="210"/>
      <c r="ID601" s="210"/>
      <c r="IE601" s="210"/>
      <c r="IF601" s="210"/>
      <c r="IG601" s="210"/>
      <c r="IH601" s="210"/>
      <c r="II601" s="210"/>
      <c r="IJ601" s="210"/>
      <c r="IK601" s="210"/>
      <c r="IL601" s="210"/>
      <c r="IM601" s="210"/>
      <c r="KW601" s="120"/>
      <c r="LD601" s="210"/>
      <c r="LE601" s="210"/>
      <c r="LF601" s="210"/>
      <c r="LG601" s="210"/>
      <c r="LH601" s="210"/>
      <c r="LI601" s="210"/>
      <c r="LJ601" s="210"/>
      <c r="LK601" s="210"/>
      <c r="LL601" s="210"/>
      <c r="LM601" s="210"/>
      <c r="LN601" s="210"/>
      <c r="LO601" s="210"/>
      <c r="LP601" s="210"/>
      <c r="LQ601" s="210"/>
      <c r="LR601" s="210"/>
      <c r="OB601" s="120"/>
      <c r="OI601" s="210"/>
      <c r="OJ601" s="210"/>
      <c r="OK601" s="210"/>
      <c r="OL601" s="210"/>
      <c r="OM601" s="210"/>
      <c r="ON601" s="210"/>
      <c r="OO601" s="210"/>
      <c r="OP601" s="210"/>
      <c r="OQ601" s="210"/>
      <c r="OR601" s="210"/>
      <c r="OS601" s="210"/>
      <c r="OT601" s="210"/>
      <c r="OU601" s="210"/>
      <c r="OV601" s="210"/>
      <c r="OW601" s="210"/>
      <c r="RG601" s="120"/>
    </row>
    <row r="602" spans="1:475" x14ac:dyDescent="0.3">
      <c r="A602" s="7">
        <v>91</v>
      </c>
      <c r="B602" s="7">
        <v>592</v>
      </c>
      <c r="C602" s="7" t="s">
        <v>276</v>
      </c>
      <c r="D602" s="7" t="s">
        <v>697</v>
      </c>
      <c r="E602" s="7" t="s">
        <v>695</v>
      </c>
      <c r="F602" s="7" t="s">
        <v>274</v>
      </c>
      <c r="G602" s="41" t="str">
        <f t="shared" si="102"/>
        <v>X</v>
      </c>
      <c r="H602" s="41">
        <f>INDEX(환산공식!CI$16:CI$301,MATCH('배치점수 계산기'!$W602,환산공식!$A$16:$A$301,0))</f>
        <v>200</v>
      </c>
      <c r="I602" s="41" t="str">
        <f>CONCATENATE(ROUND(INDEX(환산공식!CJ$16:CJ$301,MATCH('배치점수 계산기'!$W602,환산공식!$A$16:$A$301,0)),1),"%")</f>
        <v>100%</v>
      </c>
      <c r="J602" s="41">
        <f>INDEX(환산공식!CK$16:CK$301,MATCH('배치점수 계산기'!$W602,환산공식!$A$16:$A$301,0))</f>
        <v>100</v>
      </c>
      <c r="K602" s="7">
        <f>INDEX(환산공식!$EF$16:$EF$301,MATCH('배치점수 계산기'!W602,환산공식!$A$16:$A$301,0))</f>
        <v>0</v>
      </c>
      <c r="L602" s="41" t="str">
        <f t="shared" si="100"/>
        <v>1% 이하</v>
      </c>
      <c r="M602" s="7">
        <v>890.1</v>
      </c>
      <c r="N602" s="7">
        <v>889.15</v>
      </c>
      <c r="O602" s="7">
        <v>885.75</v>
      </c>
      <c r="P602" s="7">
        <v>882.92499999999995</v>
      </c>
      <c r="Q602" s="7">
        <v>882.02499999999998</v>
      </c>
      <c r="R602" s="7">
        <f t="shared" si="101"/>
        <v>6</v>
      </c>
      <c r="T602" s="7">
        <f>COUNTIF($C$11:C602,C602)</f>
        <v>303</v>
      </c>
      <c r="U602" s="7" t="str">
        <f t="shared" si="103"/>
        <v>가303</v>
      </c>
      <c r="V602" s="7" t="str">
        <f>INDEX(환산공식!$C$16:$C$301,MATCH('배치점수 계산기'!W602,환산공식!$A$16:$A$301,0))</f>
        <v>동신 한</v>
      </c>
      <c r="W602" s="7">
        <f t="shared" si="104"/>
        <v>91</v>
      </c>
      <c r="X602" s="7">
        <f t="shared" si="105"/>
        <v>1</v>
      </c>
      <c r="Y602" s="7">
        <f>IFERROR(INDEX(환산공식!Q$16:Q$200,MATCH($A602,환산공식!$A$16:$A$200,0)),"")</f>
        <v>2.5</v>
      </c>
      <c r="Z602" s="7">
        <f>IFERROR(INDEX(환산공식!R$16:R$200,MATCH($A602,환산공식!$A$16:$A$200,0)),"")</f>
        <v>2.5</v>
      </c>
      <c r="AA602" s="7">
        <f>IFERROR(INDEX(환산공식!U$16:U$200,MATCH($A602,환산공식!$A$16:$A$200,0)),"")</f>
        <v>1</v>
      </c>
      <c r="AB602" s="7">
        <f t="shared" si="106"/>
        <v>0.41666666666666669</v>
      </c>
      <c r="AC602" s="7">
        <f t="shared" si="107"/>
        <v>0.41666666666666669</v>
      </c>
      <c r="AD602" s="7">
        <f t="shared" si="108"/>
        <v>0.16666666666666666</v>
      </c>
      <c r="AE602" s="7">
        <f>INDEX(환산공식!$AF$16:$AF$301,MATCH('배치점수 계산기'!W602,환산공식!$A$16:$A$301,0))</f>
        <v>2</v>
      </c>
      <c r="AF602" s="7">
        <f>INDEX(환산공식!$AP$16:$AP$301,MATCH('배치점수 계산기'!W602,환산공식!$A$16:$A$301,0))</f>
        <v>2</v>
      </c>
      <c r="AG602" s="7" t="str">
        <f t="shared" si="109"/>
        <v>백분위</v>
      </c>
      <c r="AH602" s="7" t="str">
        <f t="shared" si="110"/>
        <v>백분위</v>
      </c>
      <c r="BO602" s="210"/>
      <c r="BP602" s="210"/>
      <c r="BQ602" s="210"/>
      <c r="BR602" s="210"/>
      <c r="BS602" s="210"/>
      <c r="BT602" s="210"/>
      <c r="BU602" s="210"/>
      <c r="BV602" s="210"/>
      <c r="BW602" s="210"/>
      <c r="BX602" s="210"/>
      <c r="BY602" s="210"/>
      <c r="BZ602" s="210"/>
      <c r="CA602" s="210"/>
      <c r="CB602" s="210"/>
      <c r="CC602" s="210"/>
      <c r="EM602" s="120"/>
      <c r="ET602" s="210"/>
      <c r="EU602" s="210"/>
      <c r="EV602" s="210"/>
      <c r="EW602" s="210"/>
      <c r="EX602" s="210"/>
      <c r="EY602" s="210"/>
      <c r="EZ602" s="210"/>
      <c r="FA602" s="210"/>
      <c r="FB602" s="210"/>
      <c r="FC602" s="210"/>
      <c r="FD602" s="210"/>
      <c r="FE602" s="210"/>
      <c r="FF602" s="210"/>
      <c r="FG602" s="210"/>
      <c r="FH602" s="210"/>
      <c r="HR602" s="120"/>
      <c r="HY602" s="210"/>
      <c r="HZ602" s="210"/>
      <c r="IA602" s="210"/>
      <c r="IB602" s="210"/>
      <c r="IC602" s="210"/>
      <c r="ID602" s="210"/>
      <c r="IE602" s="210"/>
      <c r="IF602" s="210"/>
      <c r="IG602" s="210"/>
      <c r="IH602" s="210"/>
      <c r="II602" s="210"/>
      <c r="IJ602" s="210"/>
      <c r="IK602" s="210"/>
      <c r="IL602" s="210"/>
      <c r="IM602" s="210"/>
      <c r="KW602" s="120"/>
      <c r="LD602" s="210"/>
      <c r="LE602" s="210"/>
      <c r="LF602" s="210"/>
      <c r="LG602" s="210"/>
      <c r="LH602" s="210"/>
      <c r="LI602" s="210"/>
      <c r="LJ602" s="210"/>
      <c r="LK602" s="210"/>
      <c r="LL602" s="210"/>
      <c r="LM602" s="210"/>
      <c r="LN602" s="210"/>
      <c r="LO602" s="210"/>
      <c r="LP602" s="210"/>
      <c r="LQ602" s="210"/>
      <c r="LR602" s="210"/>
      <c r="OB602" s="120"/>
      <c r="OI602" s="210"/>
      <c r="OJ602" s="210"/>
      <c r="OK602" s="210"/>
      <c r="OL602" s="210"/>
      <c r="OM602" s="210"/>
      <c r="ON602" s="210"/>
      <c r="OO602" s="210"/>
      <c r="OP602" s="210"/>
      <c r="OQ602" s="210"/>
      <c r="OR602" s="210"/>
      <c r="OS602" s="210"/>
      <c r="OT602" s="210"/>
      <c r="OU602" s="210"/>
      <c r="OV602" s="210"/>
      <c r="OW602" s="210"/>
      <c r="RG602" s="120"/>
    </row>
    <row r="603" spans="1:475" x14ac:dyDescent="0.3">
      <c r="A603" s="7">
        <v>84</v>
      </c>
      <c r="B603" s="7">
        <v>593</v>
      </c>
      <c r="C603" s="7" t="s">
        <v>346</v>
      </c>
      <c r="D603" s="7" t="s">
        <v>687</v>
      </c>
      <c r="E603" s="7" t="s">
        <v>695</v>
      </c>
      <c r="F603" s="7" t="s">
        <v>274</v>
      </c>
      <c r="G603" s="41" t="str">
        <f t="shared" si="102"/>
        <v>X</v>
      </c>
      <c r="H603" s="41">
        <f>INDEX(환산공식!CI$16:CI$301,MATCH('배치점수 계산기'!$W603,환산공식!$A$16:$A$301,0))</f>
        <v>200</v>
      </c>
      <c r="I603" s="41" t="str">
        <f>CONCATENATE(ROUND(INDEX(환산공식!CJ$16:CJ$301,MATCH('배치점수 계산기'!$W603,환산공식!$A$16:$A$301,0)),1),"%")</f>
        <v>100%</v>
      </c>
      <c r="J603" s="41">
        <f>INDEX(환산공식!CK$16:CK$301,MATCH('배치점수 계산기'!$W603,환산공식!$A$16:$A$301,0))</f>
        <v>10</v>
      </c>
      <c r="K603" s="7">
        <f>INDEX(환산공식!$EF$16:$EF$301,MATCH('배치점수 계산기'!W603,환산공식!$A$16:$A$301,0))</f>
        <v>0</v>
      </c>
      <c r="L603" s="41" t="str">
        <f t="shared" si="100"/>
        <v>1% 이하</v>
      </c>
      <c r="M603" s="7">
        <v>980.59999999999991</v>
      </c>
      <c r="N603" s="7">
        <v>979</v>
      </c>
      <c r="O603" s="7">
        <v>973.39999999999986</v>
      </c>
      <c r="P603" s="7">
        <v>972.8</v>
      </c>
      <c r="Q603" s="7">
        <v>972.10000000000014</v>
      </c>
      <c r="R603" s="7">
        <f t="shared" si="101"/>
        <v>6</v>
      </c>
      <c r="T603" s="7">
        <f>COUNTIF($C$11:C603,C603)</f>
        <v>244</v>
      </c>
      <c r="U603" s="7" t="str">
        <f t="shared" si="103"/>
        <v>나244</v>
      </c>
      <c r="V603" s="7" t="str">
        <f>INDEX(환산공식!$C$16:$C$301,MATCH('배치점수 계산기'!W603,환산공식!$A$16:$A$301,0))</f>
        <v>대구 한자</v>
      </c>
      <c r="W603" s="7">
        <f t="shared" si="104"/>
        <v>84</v>
      </c>
      <c r="X603" s="7">
        <f t="shared" si="105"/>
        <v>1</v>
      </c>
      <c r="Y603" s="7">
        <f>IFERROR(INDEX(환산공식!Q$16:Q$200,MATCH($A603,환산공식!$A$16:$A$200,0)),"")</f>
        <v>3</v>
      </c>
      <c r="Z603" s="7">
        <f>IFERROR(INDEX(환산공식!R$16:R$200,MATCH($A603,환산공식!$A$16:$A$200,0)),"")</f>
        <v>3</v>
      </c>
      <c r="AA603" s="7">
        <f>IFERROR(INDEX(환산공식!U$16:U$200,MATCH($A603,환산공식!$A$16:$A$200,0)),"")</f>
        <v>2</v>
      </c>
      <c r="AB603" s="7">
        <f t="shared" si="106"/>
        <v>0.375</v>
      </c>
      <c r="AC603" s="7">
        <f t="shared" si="107"/>
        <v>0.375</v>
      </c>
      <c r="AD603" s="7">
        <f t="shared" si="108"/>
        <v>0.25</v>
      </c>
      <c r="AE603" s="7">
        <f>INDEX(환산공식!$AF$16:$AF$301,MATCH('배치점수 계산기'!W603,환산공식!$A$16:$A$301,0))</f>
        <v>2</v>
      </c>
      <c r="AF603" s="7">
        <f>INDEX(환산공식!$AP$16:$AP$301,MATCH('배치점수 계산기'!W603,환산공식!$A$16:$A$301,0))</f>
        <v>2</v>
      </c>
      <c r="AG603" s="7" t="str">
        <f t="shared" si="109"/>
        <v>백분위</v>
      </c>
      <c r="AH603" s="7" t="str">
        <f t="shared" si="110"/>
        <v>백분위</v>
      </c>
      <c r="BO603" s="210"/>
      <c r="BP603" s="210"/>
      <c r="BQ603" s="210"/>
      <c r="BR603" s="210"/>
      <c r="BS603" s="210"/>
      <c r="BT603" s="210"/>
      <c r="BU603" s="210"/>
      <c r="BV603" s="210"/>
      <c r="BW603" s="210"/>
      <c r="BX603" s="210"/>
      <c r="BY603" s="210"/>
      <c r="BZ603" s="210"/>
      <c r="CA603" s="210"/>
      <c r="CB603" s="210"/>
      <c r="CC603" s="210"/>
      <c r="EM603" s="120"/>
      <c r="ET603" s="210"/>
      <c r="EU603" s="210"/>
      <c r="EV603" s="210"/>
      <c r="EW603" s="210"/>
      <c r="EX603" s="210"/>
      <c r="EY603" s="210"/>
      <c r="EZ603" s="210"/>
      <c r="FA603" s="210"/>
      <c r="FB603" s="210"/>
      <c r="FC603" s="210"/>
      <c r="FD603" s="210"/>
      <c r="FE603" s="210"/>
      <c r="FF603" s="210"/>
      <c r="FG603" s="210"/>
      <c r="FH603" s="210"/>
      <c r="HR603" s="120"/>
      <c r="HY603" s="210"/>
      <c r="HZ603" s="210"/>
      <c r="IA603" s="210"/>
      <c r="IB603" s="210"/>
      <c r="IC603" s="210"/>
      <c r="ID603" s="210"/>
      <c r="IE603" s="210"/>
      <c r="IF603" s="210"/>
      <c r="IG603" s="210"/>
      <c r="IH603" s="210"/>
      <c r="II603" s="210"/>
      <c r="IJ603" s="210"/>
      <c r="IK603" s="210"/>
      <c r="IL603" s="210"/>
      <c r="IM603" s="210"/>
      <c r="KW603" s="120"/>
      <c r="LD603" s="210"/>
      <c r="LE603" s="210"/>
      <c r="LF603" s="210"/>
      <c r="LG603" s="210"/>
      <c r="LH603" s="210"/>
      <c r="LI603" s="210"/>
      <c r="LJ603" s="210"/>
      <c r="LK603" s="210"/>
      <c r="LL603" s="210"/>
      <c r="LM603" s="210"/>
      <c r="LN603" s="210"/>
      <c r="LO603" s="210"/>
      <c r="LP603" s="210"/>
      <c r="LQ603" s="210"/>
      <c r="LR603" s="210"/>
      <c r="OB603" s="120"/>
      <c r="OI603" s="210"/>
      <c r="OJ603" s="210"/>
      <c r="OK603" s="210"/>
      <c r="OL603" s="210"/>
      <c r="OM603" s="210"/>
      <c r="ON603" s="210"/>
      <c r="OO603" s="210"/>
      <c r="OP603" s="210"/>
      <c r="OQ603" s="210"/>
      <c r="OR603" s="210"/>
      <c r="OS603" s="210"/>
      <c r="OT603" s="210"/>
      <c r="OU603" s="210"/>
      <c r="OV603" s="210"/>
      <c r="OW603" s="210"/>
      <c r="RG603" s="120"/>
    </row>
    <row r="604" spans="1:475" x14ac:dyDescent="0.3">
      <c r="A604" s="7">
        <v>98</v>
      </c>
      <c r="B604" s="7">
        <v>594</v>
      </c>
      <c r="C604" s="7" t="s">
        <v>378</v>
      </c>
      <c r="D604" s="7" t="s">
        <v>692</v>
      </c>
      <c r="E604" s="7" t="s">
        <v>695</v>
      </c>
      <c r="F604" s="7" t="s">
        <v>274</v>
      </c>
      <c r="G604" s="41" t="str">
        <f t="shared" si="102"/>
        <v>X</v>
      </c>
      <c r="H604" s="41">
        <f>INDEX(환산공식!CI$16:CI$301,MATCH('배치점수 계산기'!$W604,환산공식!$A$16:$A$301,0))</f>
        <v>200</v>
      </c>
      <c r="I604" s="41" t="str">
        <f>CONCATENATE(ROUND(INDEX(환산공식!CJ$16:CJ$301,MATCH('배치점수 계산기'!$W604,환산공식!$A$16:$A$301,0)),1),"%")</f>
        <v>100%</v>
      </c>
      <c r="J604" s="41">
        <f>INDEX(환산공식!CK$16:CK$301,MATCH('배치점수 계산기'!$W604,환산공식!$A$16:$A$301,0))</f>
        <v>3</v>
      </c>
      <c r="K604" s="7">
        <f>INDEX(환산공식!$EF$16:$EF$301,MATCH('배치점수 계산기'!W604,환산공식!$A$16:$A$301,0))</f>
        <v>0</v>
      </c>
      <c r="L604" s="41" t="str">
        <f t="shared" si="100"/>
        <v>1% 이하</v>
      </c>
      <c r="M604" s="7">
        <v>971.19999999999993</v>
      </c>
      <c r="N604" s="7">
        <v>970.00000000000011</v>
      </c>
      <c r="O604" s="7">
        <v>964.6</v>
      </c>
      <c r="P604" s="7">
        <v>963.59999999999991</v>
      </c>
      <c r="Q604" s="7">
        <v>962.80000000000007</v>
      </c>
      <c r="R604" s="7">
        <f t="shared" si="101"/>
        <v>6</v>
      </c>
      <c r="T604" s="7">
        <f>COUNTIF($C$11:C604,C604)</f>
        <v>35</v>
      </c>
      <c r="U604" s="7" t="str">
        <f t="shared" si="103"/>
        <v>다35</v>
      </c>
      <c r="V604" s="7" t="str">
        <f>INDEX(환산공식!$C$16:$C$301,MATCH('배치점수 계산기'!W604,환산공식!$A$16:$A$301,0))</f>
        <v>상지 한자</v>
      </c>
      <c r="W604" s="7">
        <f t="shared" si="104"/>
        <v>98</v>
      </c>
      <c r="X604" s="7">
        <f t="shared" si="105"/>
        <v>1</v>
      </c>
      <c r="Y604" s="7">
        <f>IFERROR(INDEX(환산공식!Q$16:Q$200,MATCH($A604,환산공식!$A$16:$A$200,0)),"")</f>
        <v>2</v>
      </c>
      <c r="Z604" s="7">
        <f>IFERROR(INDEX(환산공식!R$16:R$200,MATCH($A604,환산공식!$A$16:$A$200,0)),"")</f>
        <v>4</v>
      </c>
      <c r="AA604" s="7">
        <f>IFERROR(INDEX(환산공식!U$16:U$200,MATCH($A604,환산공식!$A$16:$A$200,0)),"")</f>
        <v>2</v>
      </c>
      <c r="AB604" s="7">
        <f t="shared" si="106"/>
        <v>0.25</v>
      </c>
      <c r="AC604" s="7">
        <f t="shared" si="107"/>
        <v>0.5</v>
      </c>
      <c r="AD604" s="7">
        <f t="shared" si="108"/>
        <v>0.25</v>
      </c>
      <c r="AE604" s="7">
        <f>INDEX(환산공식!$AF$16:$AF$301,MATCH('배치점수 계산기'!W604,환산공식!$A$16:$A$301,0))</f>
        <v>2</v>
      </c>
      <c r="AF604" s="7">
        <f>INDEX(환산공식!$AP$16:$AP$301,MATCH('배치점수 계산기'!W604,환산공식!$A$16:$A$301,0))</f>
        <v>2</v>
      </c>
      <c r="AG604" s="7" t="str">
        <f t="shared" si="109"/>
        <v>백분위</v>
      </c>
      <c r="AH604" s="7" t="str">
        <f t="shared" si="110"/>
        <v>백분위</v>
      </c>
      <c r="BO604" s="210"/>
      <c r="BP604" s="210"/>
      <c r="BQ604" s="210"/>
      <c r="BR604" s="210"/>
      <c r="BS604" s="210"/>
      <c r="BT604" s="210"/>
      <c r="BU604" s="210"/>
      <c r="BV604" s="210"/>
      <c r="BW604" s="210"/>
      <c r="BX604" s="210"/>
      <c r="BY604" s="210"/>
      <c r="BZ604" s="210"/>
      <c r="CA604" s="210"/>
      <c r="CB604" s="210"/>
      <c r="CC604" s="210"/>
      <c r="EM604" s="120"/>
      <c r="ET604" s="210"/>
      <c r="EU604" s="210"/>
      <c r="EV604" s="210"/>
      <c r="EW604" s="210"/>
      <c r="EX604" s="210"/>
      <c r="EY604" s="210"/>
      <c r="EZ604" s="210"/>
      <c r="FA604" s="210"/>
      <c r="FB604" s="210"/>
      <c r="FC604" s="210"/>
      <c r="FD604" s="210"/>
      <c r="FE604" s="210"/>
      <c r="FF604" s="210"/>
      <c r="FG604" s="210"/>
      <c r="FH604" s="210"/>
      <c r="HR604" s="120"/>
      <c r="HY604" s="210"/>
      <c r="HZ604" s="210"/>
      <c r="IA604" s="210"/>
      <c r="IB604" s="210"/>
      <c r="IC604" s="210"/>
      <c r="ID604" s="210"/>
      <c r="IE604" s="210"/>
      <c r="IF604" s="210"/>
      <c r="IG604" s="210"/>
      <c r="IH604" s="210"/>
      <c r="II604" s="210"/>
      <c r="IJ604" s="210"/>
      <c r="IK604" s="210"/>
      <c r="IL604" s="210"/>
      <c r="IM604" s="210"/>
      <c r="KW604" s="120"/>
      <c r="LD604" s="210"/>
      <c r="LE604" s="210"/>
      <c r="LF604" s="210"/>
      <c r="LG604" s="210"/>
      <c r="LH604" s="210"/>
      <c r="LI604" s="210"/>
      <c r="LJ604" s="210"/>
      <c r="LK604" s="210"/>
      <c r="LL604" s="210"/>
      <c r="LM604" s="210"/>
      <c r="LN604" s="210"/>
      <c r="LO604" s="210"/>
      <c r="LP604" s="210"/>
      <c r="LQ604" s="210"/>
      <c r="LR604" s="210"/>
      <c r="OB604" s="120"/>
      <c r="OI604" s="210"/>
      <c r="OJ604" s="210"/>
      <c r="OK604" s="210"/>
      <c r="OL604" s="210"/>
      <c r="OM604" s="210"/>
      <c r="ON604" s="210"/>
      <c r="OO604" s="210"/>
      <c r="OP604" s="210"/>
      <c r="OQ604" s="210"/>
      <c r="OR604" s="210"/>
      <c r="OS604" s="210"/>
      <c r="OT604" s="210"/>
      <c r="OU604" s="210"/>
      <c r="OV604" s="210"/>
      <c r="OW604" s="210"/>
      <c r="RG604" s="120"/>
    </row>
    <row r="605" spans="1:475" x14ac:dyDescent="0.3">
      <c r="A605" s="7">
        <v>109</v>
      </c>
      <c r="B605" s="7">
        <v>595</v>
      </c>
      <c r="C605" s="7" t="s">
        <v>346</v>
      </c>
      <c r="D605" s="7" t="s">
        <v>696</v>
      </c>
      <c r="E605" s="7" t="s">
        <v>695</v>
      </c>
      <c r="F605" s="7" t="s">
        <v>274</v>
      </c>
      <c r="G605" s="41" t="str">
        <f t="shared" si="102"/>
        <v>X</v>
      </c>
      <c r="H605" s="41">
        <f>INDEX(환산공식!CI$16:CI$301,MATCH('배치점수 계산기'!$W605,환산공식!$A$16:$A$301,0))</f>
        <v>80</v>
      </c>
      <c r="I605" s="41" t="str">
        <f>CONCATENATE(ROUND(INDEX(환산공식!CJ$16:CJ$301,MATCH('배치점수 계산기'!$W605,환산공식!$A$16:$A$301,0)),1),"%")</f>
        <v>100%</v>
      </c>
      <c r="J605" s="41">
        <f>INDEX(환산공식!CK$16:CK$301,MATCH('배치점수 계산기'!$W605,환산공식!$A$16:$A$301,0))</f>
        <v>5</v>
      </c>
      <c r="K605" s="7">
        <f>INDEX(환산공식!$EF$16:$EF$301,MATCH('배치점수 계산기'!W605,환산공식!$A$16:$A$301,0))</f>
        <v>0</v>
      </c>
      <c r="L605" s="41" t="str">
        <f t="shared" si="100"/>
        <v>1% 이하</v>
      </c>
      <c r="M605" s="7">
        <v>402.4</v>
      </c>
      <c r="N605" s="7">
        <v>401.15999999999997</v>
      </c>
      <c r="O605" s="7">
        <v>399.8</v>
      </c>
      <c r="P605" s="7">
        <v>399.44</v>
      </c>
      <c r="Q605" s="7">
        <v>399.08</v>
      </c>
      <c r="R605" s="7">
        <f t="shared" si="101"/>
        <v>6</v>
      </c>
      <c r="T605" s="7">
        <f>COUNTIF($C$11:C605,C605)</f>
        <v>245</v>
      </c>
      <c r="U605" s="7" t="str">
        <f t="shared" si="103"/>
        <v>나245</v>
      </c>
      <c r="V605" s="7" t="str">
        <f>INDEX(환산공식!$C$16:$C$301,MATCH('배치점수 계산기'!W605,환산공식!$A$16:$A$301,0))</f>
        <v>우석 한</v>
      </c>
      <c r="W605" s="7">
        <f t="shared" si="104"/>
        <v>109</v>
      </c>
      <c r="X605" s="7">
        <f t="shared" si="105"/>
        <v>1</v>
      </c>
      <c r="Y605" s="7">
        <f>IFERROR(INDEX(환산공식!Q$16:Q$200,MATCH($A605,환산공식!$A$16:$A$200,0)),"")</f>
        <v>0.8</v>
      </c>
      <c r="Z605" s="7">
        <f>IFERROR(INDEX(환산공식!R$16:R$200,MATCH($A605,환산공식!$A$16:$A$200,0)),"")</f>
        <v>1.2</v>
      </c>
      <c r="AA605" s="7">
        <f>IFERROR(INDEX(환산공식!U$16:U$200,MATCH($A605,환산공식!$A$16:$A$200,0)),"")</f>
        <v>1.2</v>
      </c>
      <c r="AB605" s="7">
        <f t="shared" si="106"/>
        <v>0.25</v>
      </c>
      <c r="AC605" s="7">
        <f t="shared" si="107"/>
        <v>0.37499999999999994</v>
      </c>
      <c r="AD605" s="7">
        <f t="shared" si="108"/>
        <v>0.37499999999999994</v>
      </c>
      <c r="AE605" s="7">
        <f>INDEX(환산공식!$AF$16:$AF$301,MATCH('배치점수 계산기'!W605,환산공식!$A$16:$A$301,0))</f>
        <v>2</v>
      </c>
      <c r="AF605" s="7">
        <f>INDEX(환산공식!$AP$16:$AP$301,MATCH('배치점수 계산기'!W605,환산공식!$A$16:$A$301,0))</f>
        <v>2</v>
      </c>
      <c r="AG605" s="7" t="str">
        <f t="shared" si="109"/>
        <v>백분위</v>
      </c>
      <c r="AH605" s="7" t="str">
        <f t="shared" si="110"/>
        <v>백분위</v>
      </c>
      <c r="BO605" s="210"/>
      <c r="BP605" s="210"/>
      <c r="BQ605" s="210"/>
      <c r="BR605" s="210"/>
      <c r="BS605" s="210"/>
      <c r="BT605" s="210"/>
      <c r="BU605" s="210"/>
      <c r="BV605" s="210"/>
      <c r="BW605" s="210"/>
      <c r="BX605" s="210"/>
      <c r="BY605" s="210"/>
      <c r="BZ605" s="210"/>
      <c r="CA605" s="210"/>
      <c r="CB605" s="210"/>
      <c r="CC605" s="210"/>
      <c r="EM605" s="120"/>
      <c r="ET605" s="210"/>
      <c r="EU605" s="210"/>
      <c r="EV605" s="210"/>
      <c r="EW605" s="210"/>
      <c r="EX605" s="210"/>
      <c r="EY605" s="210"/>
      <c r="EZ605" s="210"/>
      <c r="FA605" s="210"/>
      <c r="FB605" s="210"/>
      <c r="FC605" s="210"/>
      <c r="FD605" s="210"/>
      <c r="FE605" s="210"/>
      <c r="FF605" s="210"/>
      <c r="FG605" s="210"/>
      <c r="FH605" s="210"/>
      <c r="HR605" s="120"/>
      <c r="HY605" s="210"/>
      <c r="HZ605" s="210"/>
      <c r="IA605" s="210"/>
      <c r="IB605" s="210"/>
      <c r="IC605" s="210"/>
      <c r="ID605" s="210"/>
      <c r="IE605" s="210"/>
      <c r="IF605" s="210"/>
      <c r="IG605" s="210"/>
      <c r="IH605" s="210"/>
      <c r="II605" s="210"/>
      <c r="IJ605" s="210"/>
      <c r="IK605" s="210"/>
      <c r="IL605" s="210"/>
      <c r="IM605" s="210"/>
      <c r="KW605" s="120"/>
      <c r="LD605" s="210"/>
      <c r="LE605" s="210"/>
      <c r="LF605" s="210"/>
      <c r="LG605" s="210"/>
      <c r="LH605" s="210"/>
      <c r="LI605" s="210"/>
      <c r="LJ605" s="210"/>
      <c r="LK605" s="210"/>
      <c r="LL605" s="210"/>
      <c r="LM605" s="210"/>
      <c r="LN605" s="210"/>
      <c r="LO605" s="210"/>
      <c r="LP605" s="210"/>
      <c r="LQ605" s="210"/>
      <c r="LR605" s="210"/>
      <c r="OB605" s="120"/>
      <c r="OI605" s="210"/>
      <c r="OJ605" s="210"/>
      <c r="OK605" s="210"/>
      <c r="OL605" s="210"/>
      <c r="OM605" s="210"/>
      <c r="ON605" s="210"/>
      <c r="OO605" s="210"/>
      <c r="OP605" s="210"/>
      <c r="OQ605" s="210"/>
      <c r="OR605" s="210"/>
      <c r="OS605" s="210"/>
      <c r="OT605" s="210"/>
      <c r="OU605" s="210"/>
      <c r="OV605" s="210"/>
      <c r="OW605" s="210"/>
      <c r="RG605" s="120"/>
    </row>
    <row r="606" spans="1:475" x14ac:dyDescent="0.3">
      <c r="A606" s="7">
        <v>111</v>
      </c>
      <c r="B606" s="7">
        <v>596</v>
      </c>
      <c r="C606" s="7" t="s">
        <v>346</v>
      </c>
      <c r="D606" s="7" t="s">
        <v>690</v>
      </c>
      <c r="E606" s="7" t="s">
        <v>695</v>
      </c>
      <c r="F606" s="7" t="s">
        <v>274</v>
      </c>
      <c r="G606" s="41" t="str">
        <f t="shared" si="102"/>
        <v>X</v>
      </c>
      <c r="H606" s="41">
        <f>INDEX(환산공식!CI$16:CI$301,MATCH('배치점수 계산기'!$W606,환산공식!$A$16:$A$301,0))</f>
        <v>100</v>
      </c>
      <c r="I606" s="41" t="str">
        <f>CONCATENATE(ROUND(INDEX(환산공식!CJ$16:CJ$301,MATCH('배치점수 계산기'!$W606,환산공식!$A$16:$A$301,0)),1),"%")</f>
        <v>100%</v>
      </c>
      <c r="J606" s="41">
        <f>INDEX(환산공식!CK$16:CK$301,MATCH('배치점수 계산기'!$W606,환산공식!$A$16:$A$301,0))</f>
        <v>5</v>
      </c>
      <c r="K606" s="7">
        <f>INDEX(환산공식!$EF$16:$EF$301,MATCH('배치점수 계산기'!W606,환산공식!$A$16:$A$301,0))</f>
        <v>0</v>
      </c>
      <c r="L606" s="41" t="str">
        <f t="shared" si="100"/>
        <v>1% 이하</v>
      </c>
      <c r="M606" s="7">
        <v>504.8</v>
      </c>
      <c r="N606" s="7">
        <v>503.1</v>
      </c>
      <c r="O606" s="7">
        <v>500.9</v>
      </c>
      <c r="P606" s="7">
        <v>500.2999999999999</v>
      </c>
      <c r="Q606" s="7">
        <v>499.9</v>
      </c>
      <c r="R606" s="7">
        <f t="shared" si="101"/>
        <v>6</v>
      </c>
      <c r="T606" s="7">
        <f>COUNTIF($C$11:C606,C606)</f>
        <v>246</v>
      </c>
      <c r="U606" s="7" t="str">
        <f t="shared" si="103"/>
        <v>나246</v>
      </c>
      <c r="V606" s="7" t="str">
        <f>INDEX(환산공식!$C$16:$C$301,MATCH('배치점수 계산기'!W606,환산공식!$A$16:$A$301,0))</f>
        <v>원광 의치약한</v>
      </c>
      <c r="W606" s="7">
        <f t="shared" si="104"/>
        <v>111</v>
      </c>
      <c r="X606" s="7">
        <f t="shared" si="105"/>
        <v>1</v>
      </c>
      <c r="Y606" s="7">
        <f>IFERROR(INDEX(환산공식!Q$16:Q$200,MATCH($A606,환산공식!$A$16:$A$200,0)),"")</f>
        <v>1</v>
      </c>
      <c r="Z606" s="7">
        <f>IFERROR(INDEX(환산공식!R$16:R$200,MATCH($A606,환산공식!$A$16:$A$200,0)),"")</f>
        <v>1</v>
      </c>
      <c r="AA606" s="7">
        <f>IFERROR(INDEX(환산공식!U$16:U$200,MATCH($A606,환산공식!$A$16:$A$200,0)),"")</f>
        <v>1</v>
      </c>
      <c r="AB606" s="7">
        <f t="shared" si="106"/>
        <v>0.33333333333333331</v>
      </c>
      <c r="AC606" s="7">
        <f t="shared" si="107"/>
        <v>0.33333333333333331</v>
      </c>
      <c r="AD606" s="7">
        <f t="shared" si="108"/>
        <v>0.33333333333333331</v>
      </c>
      <c r="AE606" s="7">
        <f>INDEX(환산공식!$AF$16:$AF$301,MATCH('배치점수 계산기'!W606,환산공식!$A$16:$A$301,0))</f>
        <v>1</v>
      </c>
      <c r="AF606" s="7">
        <f>INDEX(환산공식!$AP$16:$AP$301,MATCH('배치점수 계산기'!W606,환산공식!$A$16:$A$301,0))</f>
        <v>1</v>
      </c>
      <c r="AG606" s="7" t="str">
        <f t="shared" si="109"/>
        <v>표점</v>
      </c>
      <c r="AH606" s="7" t="str">
        <f t="shared" si="110"/>
        <v>표점</v>
      </c>
      <c r="BO606" s="210"/>
      <c r="BP606" s="210"/>
      <c r="BQ606" s="210"/>
      <c r="BR606" s="210"/>
      <c r="BS606" s="210"/>
      <c r="BT606" s="210"/>
      <c r="BU606" s="210"/>
      <c r="BV606" s="210"/>
      <c r="BW606" s="210"/>
      <c r="BX606" s="210"/>
      <c r="BY606" s="210"/>
      <c r="BZ606" s="210"/>
      <c r="CA606" s="210"/>
      <c r="CB606" s="210"/>
      <c r="CC606" s="210"/>
      <c r="EM606" s="120"/>
      <c r="ET606" s="210"/>
      <c r="EU606" s="210"/>
      <c r="EV606" s="210"/>
      <c r="EW606" s="210"/>
      <c r="EX606" s="210"/>
      <c r="EY606" s="210"/>
      <c r="EZ606" s="210"/>
      <c r="FA606" s="210"/>
      <c r="FB606" s="210"/>
      <c r="FC606" s="210"/>
      <c r="FD606" s="210"/>
      <c r="FE606" s="210"/>
      <c r="FF606" s="210"/>
      <c r="FG606" s="210"/>
      <c r="FH606" s="210"/>
      <c r="HR606" s="120"/>
      <c r="HY606" s="210"/>
      <c r="HZ606" s="210"/>
      <c r="IA606" s="210"/>
      <c r="IB606" s="210"/>
      <c r="IC606" s="210"/>
      <c r="ID606" s="210"/>
      <c r="IE606" s="210"/>
      <c r="IF606" s="210"/>
      <c r="IG606" s="210"/>
      <c r="IH606" s="210"/>
      <c r="II606" s="210"/>
      <c r="IJ606" s="210"/>
      <c r="IK606" s="210"/>
      <c r="IL606" s="210"/>
      <c r="IM606" s="210"/>
      <c r="KW606" s="120"/>
      <c r="LD606" s="210"/>
      <c r="LE606" s="210"/>
      <c r="LF606" s="210"/>
      <c r="LG606" s="210"/>
      <c r="LH606" s="210"/>
      <c r="LI606" s="210"/>
      <c r="LJ606" s="210"/>
      <c r="LK606" s="210"/>
      <c r="LL606" s="210"/>
      <c r="LM606" s="210"/>
      <c r="LN606" s="210"/>
      <c r="LO606" s="210"/>
      <c r="LP606" s="210"/>
      <c r="LQ606" s="210"/>
      <c r="LR606" s="210"/>
      <c r="OB606" s="120"/>
      <c r="OI606" s="210"/>
      <c r="OJ606" s="210"/>
      <c r="OK606" s="210"/>
      <c r="OL606" s="210"/>
      <c r="OM606" s="210"/>
      <c r="ON606" s="210"/>
      <c r="OO606" s="210"/>
      <c r="OP606" s="210"/>
      <c r="OQ606" s="210"/>
      <c r="OR606" s="210"/>
      <c r="OS606" s="210"/>
      <c r="OT606" s="210"/>
      <c r="OU606" s="210"/>
      <c r="OV606" s="210"/>
      <c r="OW606" s="210"/>
      <c r="RG606" s="120"/>
    </row>
    <row r="607" spans="1:475" x14ac:dyDescent="0.3">
      <c r="A607" s="7">
        <v>93</v>
      </c>
      <c r="B607" s="7">
        <v>597</v>
      </c>
      <c r="C607" s="7" t="s">
        <v>346</v>
      </c>
      <c r="D607" s="7" t="s">
        <v>688</v>
      </c>
      <c r="E607" s="7" t="s">
        <v>695</v>
      </c>
      <c r="F607" s="7" t="s">
        <v>274</v>
      </c>
      <c r="G607" s="41" t="str">
        <f t="shared" si="102"/>
        <v>X</v>
      </c>
      <c r="H607" s="41">
        <f>INDEX(환산공식!CI$16:CI$301,MATCH('배치점수 계산기'!$W607,환산공식!$A$16:$A$301,0))</f>
        <v>139</v>
      </c>
      <c r="I607" s="41" t="str">
        <f>CONCATENATE(ROUND(INDEX(환산공식!CJ$16:CJ$301,MATCH('배치점수 계산기'!$W607,환산공식!$A$16:$A$301,0)),1),"%")</f>
        <v>100%</v>
      </c>
      <c r="J607" s="41">
        <f>INDEX(환산공식!CK$16:CK$301,MATCH('배치점수 계산기'!$W607,환산공식!$A$16:$A$301,0))</f>
        <v>0</v>
      </c>
      <c r="K607" s="7">
        <f>INDEX(환산공식!$EF$16:$EF$301,MATCH('배치점수 계산기'!W607,환산공식!$A$16:$A$301,0))</f>
        <v>0</v>
      </c>
      <c r="L607" s="41" t="str">
        <f t="shared" si="100"/>
        <v>1% 이하</v>
      </c>
      <c r="M607" s="7">
        <v>536.23</v>
      </c>
      <c r="N607" s="7">
        <v>535.25</v>
      </c>
      <c r="O607" s="7">
        <v>533.36999999999989</v>
      </c>
      <c r="P607" s="7">
        <v>532.58999999999992</v>
      </c>
      <c r="Q607" s="7">
        <v>531.90999999999985</v>
      </c>
      <c r="R607" s="7">
        <f t="shared" si="101"/>
        <v>6</v>
      </c>
      <c r="T607" s="7">
        <f>COUNTIF($C$11:C607,C607)</f>
        <v>247</v>
      </c>
      <c r="U607" s="7" t="str">
        <f t="shared" si="103"/>
        <v>나247</v>
      </c>
      <c r="V607" s="7" t="str">
        <f>INDEX(환산공식!$C$16:$C$301,MATCH('배치점수 계산기'!W607,환산공식!$A$16:$A$301,0))</f>
        <v>동의 한자</v>
      </c>
      <c r="W607" s="7">
        <f t="shared" si="104"/>
        <v>93</v>
      </c>
      <c r="X607" s="7">
        <f t="shared" si="105"/>
        <v>1</v>
      </c>
      <c r="Y607" s="7">
        <f>IFERROR(INDEX(환산공식!Q$16:Q$200,MATCH($A607,환산공식!$A$16:$A$200,0)),"")</f>
        <v>1</v>
      </c>
      <c r="Z607" s="7">
        <f>IFERROR(INDEX(환산공식!R$16:R$200,MATCH($A607,환산공식!$A$16:$A$200,0)),"")</f>
        <v>1</v>
      </c>
      <c r="AA607" s="7">
        <f>IFERROR(INDEX(환산공식!U$16:U$200,MATCH($A607,환산공식!$A$16:$A$200,0)),"")</f>
        <v>1</v>
      </c>
      <c r="AB607" s="7">
        <f t="shared" si="106"/>
        <v>0.33333333333333331</v>
      </c>
      <c r="AC607" s="7">
        <f t="shared" si="107"/>
        <v>0.33333333333333331</v>
      </c>
      <c r="AD607" s="7">
        <f t="shared" si="108"/>
        <v>0.33333333333333331</v>
      </c>
      <c r="AE607" s="7">
        <f>INDEX(환산공식!$AF$16:$AF$301,MATCH('배치점수 계산기'!W607,환산공식!$A$16:$A$301,0))</f>
        <v>1</v>
      </c>
      <c r="AF607" s="7">
        <f>INDEX(환산공식!$AP$16:$AP$301,MATCH('배치점수 계산기'!W607,환산공식!$A$16:$A$301,0))</f>
        <v>4</v>
      </c>
      <c r="AG607" s="7" t="str">
        <f t="shared" si="109"/>
        <v>표점</v>
      </c>
      <c r="AH607" s="7" t="str">
        <f t="shared" si="110"/>
        <v>변표</v>
      </c>
      <c r="BO607" s="210"/>
      <c r="BP607" s="210"/>
      <c r="BQ607" s="210"/>
      <c r="BR607" s="210"/>
      <c r="BS607" s="210"/>
      <c r="BT607" s="210"/>
      <c r="BU607" s="210"/>
      <c r="BV607" s="210"/>
      <c r="BW607" s="210"/>
      <c r="BX607" s="210"/>
      <c r="BY607" s="210"/>
      <c r="BZ607" s="210"/>
      <c r="CA607" s="210"/>
      <c r="CB607" s="210"/>
      <c r="CC607" s="210"/>
      <c r="EM607" s="120"/>
      <c r="ET607" s="210"/>
      <c r="EU607" s="210"/>
      <c r="EV607" s="210"/>
      <c r="EW607" s="210"/>
      <c r="EX607" s="210"/>
      <c r="EY607" s="210"/>
      <c r="EZ607" s="210"/>
      <c r="FA607" s="210"/>
      <c r="FB607" s="210"/>
      <c r="FC607" s="210"/>
      <c r="FD607" s="210"/>
      <c r="FE607" s="210"/>
      <c r="FF607" s="210"/>
      <c r="FG607" s="210"/>
      <c r="FH607" s="210"/>
      <c r="HR607" s="120"/>
      <c r="HY607" s="210"/>
      <c r="HZ607" s="210"/>
      <c r="IA607" s="210"/>
      <c r="IB607" s="210"/>
      <c r="IC607" s="210"/>
      <c r="ID607" s="210"/>
      <c r="IE607" s="210"/>
      <c r="IF607" s="210"/>
      <c r="IG607" s="210"/>
      <c r="IH607" s="210"/>
      <c r="II607" s="210"/>
      <c r="IJ607" s="210"/>
      <c r="IK607" s="210"/>
      <c r="IL607" s="210"/>
      <c r="IM607" s="210"/>
      <c r="KW607" s="120"/>
      <c r="LD607" s="210"/>
      <c r="LE607" s="210"/>
      <c r="LF607" s="210"/>
      <c r="LG607" s="210"/>
      <c r="LH607" s="210"/>
      <c r="LI607" s="210"/>
      <c r="LJ607" s="210"/>
      <c r="LK607" s="210"/>
      <c r="LL607" s="210"/>
      <c r="LM607" s="210"/>
      <c r="LN607" s="210"/>
      <c r="LO607" s="210"/>
      <c r="LP607" s="210"/>
      <c r="LQ607" s="210"/>
      <c r="LR607" s="210"/>
      <c r="OB607" s="120"/>
      <c r="OI607" s="210"/>
      <c r="OJ607" s="210"/>
      <c r="OK607" s="210"/>
      <c r="OL607" s="210"/>
      <c r="OM607" s="210"/>
      <c r="ON607" s="210"/>
      <c r="OO607" s="210"/>
      <c r="OP607" s="210"/>
      <c r="OQ607" s="210"/>
      <c r="OR607" s="210"/>
      <c r="OS607" s="210"/>
      <c r="OT607" s="210"/>
      <c r="OU607" s="210"/>
      <c r="OV607" s="210"/>
      <c r="OW607" s="210"/>
      <c r="RG607" s="120"/>
    </row>
    <row r="608" spans="1:475" x14ac:dyDescent="0.3">
      <c r="A608" s="7">
        <v>35</v>
      </c>
      <c r="B608" s="7">
        <v>598</v>
      </c>
      <c r="C608" s="7" t="s">
        <v>346</v>
      </c>
      <c r="D608" s="7" t="s">
        <v>694</v>
      </c>
      <c r="E608" s="7" t="s">
        <v>689</v>
      </c>
      <c r="F608" s="7" t="s">
        <v>275</v>
      </c>
      <c r="G608" s="41" t="str">
        <f t="shared" si="102"/>
        <v>X</v>
      </c>
      <c r="H608" s="41">
        <f>INDEX(환산공식!CI$16:CI$301,MATCH('배치점수 계산기'!$W608,환산공식!$A$16:$A$301,0))</f>
        <v>120</v>
      </c>
      <c r="I608" s="41" t="str">
        <f>CONCATENATE(ROUND(INDEX(환산공식!CJ$16:CJ$301,MATCH('배치점수 계산기'!$W608,환산공식!$A$16:$A$301,0)),1),"%")</f>
        <v>100%</v>
      </c>
      <c r="J608" s="41">
        <f>INDEX(환산공식!CK$16:CK$301,MATCH('배치점수 계산기'!$W608,환산공식!$A$16:$A$301,0))</f>
        <v>40</v>
      </c>
      <c r="K608" s="7">
        <f>INDEX(환산공식!$EF$16:$EF$301,MATCH('배치점수 계산기'!W608,환산공식!$A$16:$A$301,0))</f>
        <v>0</v>
      </c>
      <c r="L608" s="41" t="str">
        <f t="shared" si="100"/>
        <v>1% 이하</v>
      </c>
      <c r="M608" s="7">
        <v>598.77520000000004</v>
      </c>
      <c r="N608" s="7">
        <v>596.75199999999995</v>
      </c>
      <c r="O608" s="7">
        <v>593.57600000000002</v>
      </c>
      <c r="P608" s="7">
        <v>590.91451907255055</v>
      </c>
      <c r="Q608" s="7">
        <v>589.31467466866718</v>
      </c>
      <c r="R608" s="7">
        <f t="shared" si="101"/>
        <v>6</v>
      </c>
      <c r="T608" s="7">
        <f>COUNTIF($C$11:C608,C608)</f>
        <v>248</v>
      </c>
      <c r="U608" s="7" t="str">
        <f t="shared" si="103"/>
        <v>나248</v>
      </c>
      <c r="V608" s="7" t="str">
        <f>INDEX(환산공식!$C$16:$C$301,MATCH('배치점수 계산기'!W608,환산공식!$A$16:$A$301,0))</f>
        <v>경희 통합사회</v>
      </c>
      <c r="W608" s="7">
        <f t="shared" si="104"/>
        <v>35</v>
      </c>
      <c r="X608" s="7">
        <f t="shared" si="105"/>
        <v>1</v>
      </c>
      <c r="Y608" s="7">
        <f>IFERROR(INDEX(환산공식!Q$16:Q$200,MATCH($A608,환산공식!$A$16:$A$200,0)),"")</f>
        <v>1</v>
      </c>
      <c r="Z608" s="7">
        <f>IFERROR(INDEX(환산공식!R$16:R$200,MATCH($A608,환산공식!$A$16:$A$200,0)),"")</f>
        <v>1.4</v>
      </c>
      <c r="AA608" s="7">
        <f>IFERROR(INDEX(환산공식!U$16:U$200,MATCH($A608,환산공식!$A$16:$A$200,0)),"")</f>
        <v>0.8</v>
      </c>
      <c r="AB608" s="7">
        <f t="shared" si="106"/>
        <v>0.3125</v>
      </c>
      <c r="AC608" s="7">
        <f t="shared" si="107"/>
        <v>0.43749999999999994</v>
      </c>
      <c r="AD608" s="7">
        <f t="shared" si="108"/>
        <v>0.25</v>
      </c>
      <c r="AE608" s="7">
        <f>INDEX(환산공식!$AF$16:$AF$301,MATCH('배치점수 계산기'!W608,환산공식!$A$16:$A$301,0))</f>
        <v>1</v>
      </c>
      <c r="AF608" s="7">
        <f>INDEX(환산공식!$AP$16:$AP$301,MATCH('배치점수 계산기'!W608,환산공식!$A$16:$A$301,0))</f>
        <v>4</v>
      </c>
      <c r="AG608" s="7" t="str">
        <f t="shared" si="109"/>
        <v>표점</v>
      </c>
      <c r="AH608" s="7" t="str">
        <f t="shared" si="110"/>
        <v>변표</v>
      </c>
      <c r="BO608" s="210"/>
      <c r="BP608" s="210"/>
      <c r="BQ608" s="210"/>
      <c r="BR608" s="210"/>
      <c r="BS608" s="210"/>
      <c r="BT608" s="210"/>
      <c r="BU608" s="210"/>
      <c r="BV608" s="210"/>
      <c r="BW608" s="210"/>
      <c r="BX608" s="210"/>
      <c r="BY608" s="210"/>
      <c r="BZ608" s="210"/>
      <c r="CA608" s="210"/>
      <c r="CB608" s="210"/>
      <c r="CC608" s="210"/>
      <c r="EM608" s="120"/>
      <c r="ET608" s="210"/>
      <c r="EU608" s="210"/>
      <c r="EV608" s="210"/>
      <c r="EW608" s="210"/>
      <c r="EX608" s="210"/>
      <c r="EY608" s="210"/>
      <c r="EZ608" s="210"/>
      <c r="FA608" s="210"/>
      <c r="FB608" s="210"/>
      <c r="FC608" s="210"/>
      <c r="FD608" s="210"/>
      <c r="FE608" s="210"/>
      <c r="FF608" s="210"/>
      <c r="FG608" s="210"/>
      <c r="FH608" s="210"/>
      <c r="HR608" s="120"/>
      <c r="HY608" s="210"/>
      <c r="HZ608" s="210"/>
      <c r="IA608" s="210"/>
      <c r="IB608" s="210"/>
      <c r="IC608" s="210"/>
      <c r="ID608" s="210"/>
      <c r="IE608" s="210"/>
      <c r="IF608" s="210"/>
      <c r="IG608" s="210"/>
      <c r="IH608" s="210"/>
      <c r="II608" s="210"/>
      <c r="IJ608" s="210"/>
      <c r="IK608" s="210"/>
      <c r="IL608" s="210"/>
      <c r="IM608" s="210"/>
      <c r="KW608" s="120"/>
      <c r="LD608" s="210"/>
      <c r="LE608" s="210"/>
      <c r="LF608" s="210"/>
      <c r="LG608" s="210"/>
      <c r="LH608" s="210"/>
      <c r="LI608" s="210"/>
      <c r="LJ608" s="210"/>
      <c r="LK608" s="210"/>
      <c r="LL608" s="210"/>
      <c r="LM608" s="210"/>
      <c r="LN608" s="210"/>
      <c r="LO608" s="210"/>
      <c r="LP608" s="210"/>
      <c r="LQ608" s="210"/>
      <c r="LR608" s="210"/>
      <c r="OB608" s="120"/>
      <c r="OI608" s="210"/>
      <c r="OJ608" s="210"/>
      <c r="OK608" s="210"/>
      <c r="OL608" s="210"/>
      <c r="OM608" s="210"/>
      <c r="ON608" s="210"/>
      <c r="OO608" s="210"/>
      <c r="OP608" s="210"/>
      <c r="OQ608" s="210"/>
      <c r="OR608" s="210"/>
      <c r="OS608" s="210"/>
      <c r="OT608" s="210"/>
      <c r="OU608" s="210"/>
      <c r="OV608" s="210"/>
      <c r="OW608" s="210"/>
      <c r="RG608" s="120"/>
    </row>
    <row r="609" spans="1:475" x14ac:dyDescent="0.3">
      <c r="A609" s="7">
        <v>89</v>
      </c>
      <c r="B609" s="7">
        <v>599</v>
      </c>
      <c r="C609" s="7" t="s">
        <v>378</v>
      </c>
      <c r="D609" s="7" t="s">
        <v>693</v>
      </c>
      <c r="E609" s="7" t="s">
        <v>689</v>
      </c>
      <c r="F609" s="7" t="s">
        <v>275</v>
      </c>
      <c r="G609" s="41" t="str">
        <f t="shared" si="102"/>
        <v>X</v>
      </c>
      <c r="H609" s="41">
        <f>INDEX(환산공식!CI$16:CI$301,MATCH('배치점수 계산기'!$W609,환산공식!$A$16:$A$301,0))</f>
        <v>200</v>
      </c>
      <c r="I609" s="41" t="str">
        <f>CONCATENATE(ROUND(INDEX(환산공식!CJ$16:CJ$301,MATCH('배치점수 계산기'!$W609,환산공식!$A$16:$A$301,0)),1),"%")</f>
        <v>100%</v>
      </c>
      <c r="J609" s="41">
        <f>INDEX(환산공식!CK$16:CK$301,MATCH('배치점수 계산기'!$W609,환산공식!$A$16:$A$301,0))</f>
        <v>10</v>
      </c>
      <c r="K609" s="7">
        <f>INDEX(환산공식!$EF$16:$EF$301,MATCH('배치점수 계산기'!W609,환산공식!$A$16:$A$301,0))</f>
        <v>0</v>
      </c>
      <c r="L609" s="41" t="str">
        <f t="shared" si="100"/>
        <v>1% 이하</v>
      </c>
      <c r="M609" s="7">
        <v>748.5</v>
      </c>
      <c r="N609" s="7">
        <v>745.71643818544374</v>
      </c>
      <c r="O609" s="7">
        <v>743.41647897897906</v>
      </c>
      <c r="P609" s="7">
        <v>741.1</v>
      </c>
      <c r="Q609" s="7">
        <v>740.11653662219987</v>
      </c>
      <c r="R609" s="7">
        <f t="shared" si="101"/>
        <v>6</v>
      </c>
      <c r="T609" s="7">
        <f>COUNTIF($C$11:C609,C609)</f>
        <v>36</v>
      </c>
      <c r="U609" s="7" t="str">
        <f t="shared" si="103"/>
        <v>다36</v>
      </c>
      <c r="V609" s="7" t="str">
        <f>INDEX(환산공식!$C$16:$C$301,MATCH('배치점수 계산기'!W609,환산공식!$A$16:$A$301,0))</f>
        <v>동국경주 한통</v>
      </c>
      <c r="W609" s="7">
        <f t="shared" si="104"/>
        <v>89</v>
      </c>
      <c r="X609" s="7">
        <f t="shared" si="105"/>
        <v>1</v>
      </c>
      <c r="Y609" s="7">
        <f>IFERROR(INDEX(환산공식!Q$16:Q$200,MATCH($A609,환산공식!$A$16:$A$200,0)),"")</f>
        <v>1.25</v>
      </c>
      <c r="Z609" s="7">
        <f>IFERROR(INDEX(환산공식!R$16:R$200,MATCH($A609,환산공식!$A$16:$A$200,0)),"")</f>
        <v>1.5</v>
      </c>
      <c r="AA609" s="7">
        <f>IFERROR(INDEX(환산공식!U$16:U$200,MATCH($A609,환산공식!$A$16:$A$200,0)),"")</f>
        <v>1.25</v>
      </c>
      <c r="AB609" s="7">
        <f t="shared" si="106"/>
        <v>0.3125</v>
      </c>
      <c r="AC609" s="7">
        <f t="shared" si="107"/>
        <v>0.375</v>
      </c>
      <c r="AD609" s="7">
        <f t="shared" si="108"/>
        <v>0.3125</v>
      </c>
      <c r="AE609" s="7">
        <f>INDEX(환산공식!$AF$16:$AF$301,MATCH('배치점수 계산기'!W609,환산공식!$A$16:$A$301,0))</f>
        <v>1</v>
      </c>
      <c r="AF609" s="7">
        <f>INDEX(환산공식!$AP$16:$AP$301,MATCH('배치점수 계산기'!W609,환산공식!$A$16:$A$301,0))</f>
        <v>1</v>
      </c>
      <c r="AG609" s="7" t="str">
        <f t="shared" si="109"/>
        <v>표점</v>
      </c>
      <c r="AH609" s="7" t="str">
        <f t="shared" si="110"/>
        <v>표점</v>
      </c>
      <c r="BO609" s="210"/>
      <c r="BP609" s="210"/>
      <c r="BQ609" s="210"/>
      <c r="BR609" s="210"/>
      <c r="BS609" s="210"/>
      <c r="BT609" s="210"/>
      <c r="BU609" s="210"/>
      <c r="BV609" s="210"/>
      <c r="BW609" s="210"/>
      <c r="BX609" s="210"/>
      <c r="BY609" s="210"/>
      <c r="BZ609" s="210"/>
      <c r="CA609" s="210"/>
      <c r="CB609" s="210"/>
      <c r="CC609" s="210"/>
      <c r="EM609" s="120"/>
      <c r="ET609" s="210"/>
      <c r="EU609" s="210"/>
      <c r="EV609" s="210"/>
      <c r="EW609" s="210"/>
      <c r="EX609" s="210"/>
      <c r="EY609" s="210"/>
      <c r="EZ609" s="210"/>
      <c r="FA609" s="210"/>
      <c r="FB609" s="210"/>
      <c r="FC609" s="210"/>
      <c r="FD609" s="210"/>
      <c r="FE609" s="210"/>
      <c r="FF609" s="210"/>
      <c r="FG609" s="210"/>
      <c r="FH609" s="210"/>
      <c r="HR609" s="120"/>
      <c r="HY609" s="210"/>
      <c r="HZ609" s="210"/>
      <c r="IA609" s="210"/>
      <c r="IB609" s="210"/>
      <c r="IC609" s="210"/>
      <c r="ID609" s="210"/>
      <c r="IE609" s="210"/>
      <c r="IF609" s="210"/>
      <c r="IG609" s="210"/>
      <c r="IH609" s="210"/>
      <c r="II609" s="210"/>
      <c r="IJ609" s="210"/>
      <c r="IK609" s="210"/>
      <c r="IL609" s="210"/>
      <c r="IM609" s="210"/>
      <c r="KW609" s="120"/>
      <c r="LD609" s="210"/>
      <c r="LE609" s="210"/>
      <c r="LF609" s="210"/>
      <c r="LG609" s="210"/>
      <c r="LH609" s="210"/>
      <c r="LI609" s="210"/>
      <c r="LJ609" s="210"/>
      <c r="LK609" s="210"/>
      <c r="LL609" s="210"/>
      <c r="LM609" s="210"/>
      <c r="LN609" s="210"/>
      <c r="LO609" s="210"/>
      <c r="LP609" s="210"/>
      <c r="LQ609" s="210"/>
      <c r="LR609" s="210"/>
      <c r="OB609" s="120"/>
      <c r="OI609" s="210"/>
      <c r="OJ609" s="210"/>
      <c r="OK609" s="210"/>
      <c r="OL609" s="210"/>
      <c r="OM609" s="210"/>
      <c r="ON609" s="210"/>
      <c r="OO609" s="210"/>
      <c r="OP609" s="210"/>
      <c r="OQ609" s="210"/>
      <c r="OR609" s="210"/>
      <c r="OS609" s="210"/>
      <c r="OT609" s="210"/>
      <c r="OU609" s="210"/>
      <c r="OV609" s="210"/>
      <c r="OW609" s="210"/>
      <c r="RG609" s="120"/>
    </row>
    <row r="610" spans="1:475" x14ac:dyDescent="0.3">
      <c r="A610" s="7">
        <v>99</v>
      </c>
      <c r="B610" s="7">
        <v>600</v>
      </c>
      <c r="C610" s="7" t="s">
        <v>378</v>
      </c>
      <c r="D610" s="7" t="s">
        <v>692</v>
      </c>
      <c r="E610" s="7" t="s">
        <v>689</v>
      </c>
      <c r="F610" s="7" t="s">
        <v>275</v>
      </c>
      <c r="G610" s="41" t="str">
        <f t="shared" si="102"/>
        <v>X</v>
      </c>
      <c r="H610" s="41">
        <f>INDEX(환산공식!CI$16:CI$301,MATCH('배치점수 계산기'!$W610,환산공식!$A$16:$A$301,0))</f>
        <v>200</v>
      </c>
      <c r="I610" s="41" t="str">
        <f>CONCATENATE(ROUND(INDEX(환산공식!CJ$16:CJ$301,MATCH('배치점수 계산기'!$W610,환산공식!$A$16:$A$301,0)),1),"%")</f>
        <v>100%</v>
      </c>
      <c r="J610" s="41">
        <f>INDEX(환산공식!CK$16:CK$301,MATCH('배치점수 계산기'!$W610,환산공식!$A$16:$A$301,0))</f>
        <v>3</v>
      </c>
      <c r="K610" s="7">
        <f>INDEX(환산공식!$EF$16:$EF$301,MATCH('배치점수 계산기'!W610,환산공식!$A$16:$A$301,0))</f>
        <v>0</v>
      </c>
      <c r="L610" s="41" t="str">
        <f t="shared" si="100"/>
        <v>1% 이하</v>
      </c>
      <c r="M610" s="7">
        <v>973.8</v>
      </c>
      <c r="N610" s="7">
        <v>973.4</v>
      </c>
      <c r="O610" s="7">
        <v>971.2</v>
      </c>
      <c r="P610" s="7">
        <v>970.40000000000009</v>
      </c>
      <c r="Q610" s="7">
        <v>970.00000000000011</v>
      </c>
      <c r="R610" s="7">
        <f t="shared" si="101"/>
        <v>6</v>
      </c>
      <c r="T610" s="7">
        <f>COUNTIF($C$11:C610,C610)</f>
        <v>37</v>
      </c>
      <c r="U610" s="7" t="str">
        <f t="shared" si="103"/>
        <v>다37</v>
      </c>
      <c r="V610" s="7" t="str">
        <f>INDEX(환산공식!$C$16:$C$301,MATCH('배치점수 계산기'!W610,환산공식!$A$16:$A$301,0))</f>
        <v>상지 한통</v>
      </c>
      <c r="W610" s="7">
        <f t="shared" si="104"/>
        <v>99</v>
      </c>
      <c r="X610" s="7">
        <f t="shared" si="105"/>
        <v>1</v>
      </c>
      <c r="Y610" s="7">
        <f>IFERROR(INDEX(환산공식!Q$16:Q$200,MATCH($A610,환산공식!$A$16:$A$200,0)),"")</f>
        <v>2</v>
      </c>
      <c r="Z610" s="7">
        <f>IFERROR(INDEX(환산공식!R$16:R$200,MATCH($A610,환산공식!$A$16:$A$200,0)),"")</f>
        <v>4</v>
      </c>
      <c r="AA610" s="7">
        <f>IFERROR(INDEX(환산공식!U$16:U$200,MATCH($A610,환산공식!$A$16:$A$200,0)),"")</f>
        <v>2</v>
      </c>
      <c r="AB610" s="7">
        <f t="shared" si="106"/>
        <v>0.25</v>
      </c>
      <c r="AC610" s="7">
        <f t="shared" si="107"/>
        <v>0.5</v>
      </c>
      <c r="AD610" s="7">
        <f t="shared" si="108"/>
        <v>0.25</v>
      </c>
      <c r="AE610" s="7">
        <f>INDEX(환산공식!$AF$16:$AF$301,MATCH('배치점수 계산기'!W610,환산공식!$A$16:$A$301,0))</f>
        <v>2</v>
      </c>
      <c r="AF610" s="7">
        <f>INDEX(환산공식!$AP$16:$AP$301,MATCH('배치점수 계산기'!W610,환산공식!$A$16:$A$301,0))</f>
        <v>2</v>
      </c>
      <c r="AG610" s="7" t="str">
        <f t="shared" si="109"/>
        <v>백분위</v>
      </c>
      <c r="AH610" s="7" t="str">
        <f t="shared" si="110"/>
        <v>백분위</v>
      </c>
      <c r="BO610" s="210"/>
      <c r="BP610" s="210"/>
      <c r="BQ610" s="210"/>
      <c r="BR610" s="210"/>
      <c r="BS610" s="210"/>
      <c r="BT610" s="210"/>
      <c r="BU610" s="210"/>
      <c r="BV610" s="210"/>
      <c r="BW610" s="210"/>
      <c r="BX610" s="210"/>
      <c r="BY610" s="210"/>
      <c r="BZ610" s="210"/>
      <c r="CA610" s="210"/>
      <c r="CB610" s="210"/>
      <c r="CC610" s="210"/>
      <c r="EM610" s="120"/>
      <c r="ET610" s="210"/>
      <c r="EU610" s="210"/>
      <c r="EV610" s="210"/>
      <c r="EW610" s="210"/>
      <c r="EX610" s="210"/>
      <c r="EY610" s="210"/>
      <c r="EZ610" s="210"/>
      <c r="FA610" s="210"/>
      <c r="FB610" s="210"/>
      <c r="FC610" s="210"/>
      <c r="FD610" s="210"/>
      <c r="FE610" s="210"/>
      <c r="FF610" s="210"/>
      <c r="FG610" s="210"/>
      <c r="FH610" s="210"/>
      <c r="HR610" s="120"/>
      <c r="HY610" s="210"/>
      <c r="HZ610" s="210"/>
      <c r="IA610" s="210"/>
      <c r="IB610" s="210"/>
      <c r="IC610" s="210"/>
      <c r="ID610" s="210"/>
      <c r="IE610" s="210"/>
      <c r="IF610" s="210"/>
      <c r="IG610" s="210"/>
      <c r="IH610" s="210"/>
      <c r="II610" s="210"/>
      <c r="IJ610" s="210"/>
      <c r="IK610" s="210"/>
      <c r="IL610" s="210"/>
      <c r="IM610" s="210"/>
      <c r="KW610" s="120"/>
      <c r="LD610" s="210"/>
      <c r="LE610" s="210"/>
      <c r="LF610" s="210"/>
      <c r="LG610" s="210"/>
      <c r="LH610" s="210"/>
      <c r="LI610" s="210"/>
      <c r="LJ610" s="210"/>
      <c r="LK610" s="210"/>
      <c r="LL610" s="210"/>
      <c r="LM610" s="210"/>
      <c r="LN610" s="210"/>
      <c r="LO610" s="210"/>
      <c r="LP610" s="210"/>
      <c r="LQ610" s="210"/>
      <c r="LR610" s="210"/>
      <c r="OB610" s="120"/>
      <c r="OI610" s="210"/>
      <c r="OJ610" s="210"/>
      <c r="OK610" s="210"/>
      <c r="OL610" s="210"/>
      <c r="OM610" s="210"/>
      <c r="ON610" s="210"/>
      <c r="OO610" s="210"/>
      <c r="OP610" s="210"/>
      <c r="OQ610" s="210"/>
      <c r="OR610" s="210"/>
      <c r="OS610" s="210"/>
      <c r="OT610" s="210"/>
      <c r="OU610" s="210"/>
      <c r="OV610" s="210"/>
      <c r="OW610" s="210"/>
      <c r="RG610" s="120"/>
    </row>
    <row r="611" spans="1:475" x14ac:dyDescent="0.3">
      <c r="A611" s="7">
        <v>81</v>
      </c>
      <c r="B611" s="7">
        <v>601</v>
      </c>
      <c r="C611" s="7" t="s">
        <v>276</v>
      </c>
      <c r="D611" s="7" t="s">
        <v>691</v>
      </c>
      <c r="E611" s="7" t="s">
        <v>689</v>
      </c>
      <c r="F611" s="7" t="s">
        <v>275</v>
      </c>
      <c r="G611" s="41" t="str">
        <f t="shared" si="102"/>
        <v>X</v>
      </c>
      <c r="H611" s="41">
        <f>INDEX(환산공식!CI$16:CI$301,MATCH('배치점수 계산기'!$W611,환산공식!$A$16:$A$301,0))</f>
        <v>200</v>
      </c>
      <c r="I611" s="41" t="str">
        <f>CONCATENATE(ROUND(INDEX(환산공식!CJ$16:CJ$301,MATCH('배치점수 계산기'!$W611,환산공식!$A$16:$A$301,0)),1),"%")</f>
        <v>100%</v>
      </c>
      <c r="J611" s="41">
        <f>INDEX(환산공식!CK$16:CK$301,MATCH('배치점수 계산기'!$W611,환산공식!$A$16:$A$301,0))</f>
        <v>5</v>
      </c>
      <c r="K611" s="7">
        <f>INDEX(환산공식!$EF$16:$EF$301,MATCH('배치점수 계산기'!W611,환산공식!$A$16:$A$301,0))</f>
        <v>0</v>
      </c>
      <c r="L611" s="41" t="str">
        <f t="shared" si="100"/>
        <v>1% 이하</v>
      </c>
      <c r="M611" s="7">
        <v>978.48</v>
      </c>
      <c r="N611" s="7">
        <v>977.94</v>
      </c>
      <c r="O611" s="7">
        <v>975.81</v>
      </c>
      <c r="P611" s="7">
        <v>975.25</v>
      </c>
      <c r="Q611" s="7">
        <v>974.97</v>
      </c>
      <c r="R611" s="7">
        <f t="shared" si="101"/>
        <v>6</v>
      </c>
      <c r="T611" s="7">
        <f>COUNTIF($C$11:C611,C611)</f>
        <v>304</v>
      </c>
      <c r="U611" s="7" t="str">
        <f t="shared" si="103"/>
        <v>가304</v>
      </c>
      <c r="V611" s="7" t="str">
        <f>INDEX(환산공식!$C$16:$C$301,MATCH('배치점수 계산기'!W611,환산공식!$A$16:$A$301,0))</f>
        <v>대전 한</v>
      </c>
      <c r="W611" s="7">
        <f t="shared" si="104"/>
        <v>81</v>
      </c>
      <c r="X611" s="7">
        <f t="shared" si="105"/>
        <v>1</v>
      </c>
      <c r="Y611" s="7">
        <f>IFERROR(INDEX(환산공식!Q$16:Q$200,MATCH($A611,환산공식!$A$16:$A$200,0)),"")</f>
        <v>2.7</v>
      </c>
      <c r="Z611" s="7">
        <f>IFERROR(INDEX(환산공식!R$16:R$200,MATCH($A611,환산공식!$A$16:$A$200,0)),"")</f>
        <v>2.8</v>
      </c>
      <c r="AA611" s="7">
        <f>IFERROR(INDEX(환산공식!U$16:U$200,MATCH($A611,환산공식!$A$16:$A$200,0)),"")</f>
        <v>2.5</v>
      </c>
      <c r="AB611" s="7">
        <f t="shared" si="106"/>
        <v>0.33750000000000002</v>
      </c>
      <c r="AC611" s="7">
        <f t="shared" si="107"/>
        <v>0.35</v>
      </c>
      <c r="AD611" s="7">
        <f t="shared" si="108"/>
        <v>0.3125</v>
      </c>
      <c r="AE611" s="7">
        <f>INDEX(환산공식!$AF$16:$AF$301,MATCH('배치점수 계산기'!W611,환산공식!$A$16:$A$301,0))</f>
        <v>2</v>
      </c>
      <c r="AF611" s="7">
        <f>INDEX(환산공식!$AP$16:$AP$301,MATCH('배치점수 계산기'!W611,환산공식!$A$16:$A$301,0))</f>
        <v>2</v>
      </c>
      <c r="AG611" s="7" t="str">
        <f t="shared" si="109"/>
        <v>백분위</v>
      </c>
      <c r="AH611" s="7" t="str">
        <f t="shared" si="110"/>
        <v>백분위</v>
      </c>
      <c r="BO611" s="210"/>
      <c r="BP611" s="210"/>
      <c r="BQ611" s="210"/>
      <c r="BR611" s="210"/>
      <c r="BS611" s="210"/>
      <c r="BT611" s="210"/>
      <c r="BU611" s="210"/>
      <c r="BV611" s="210"/>
      <c r="BW611" s="210"/>
      <c r="BX611" s="210"/>
      <c r="BY611" s="210"/>
      <c r="BZ611" s="210"/>
      <c r="CA611" s="210"/>
      <c r="CB611" s="210"/>
      <c r="CC611" s="210"/>
      <c r="EM611" s="120"/>
      <c r="ET611" s="210"/>
      <c r="EU611" s="210"/>
      <c r="EV611" s="210"/>
      <c r="EW611" s="210"/>
      <c r="EX611" s="210"/>
      <c r="EY611" s="210"/>
      <c r="EZ611" s="210"/>
      <c r="FA611" s="210"/>
      <c r="FB611" s="210"/>
      <c r="FC611" s="210"/>
      <c r="FD611" s="210"/>
      <c r="FE611" s="210"/>
      <c r="FF611" s="210"/>
      <c r="FG611" s="210"/>
      <c r="FH611" s="210"/>
      <c r="HR611" s="120"/>
      <c r="HY611" s="210"/>
      <c r="HZ611" s="210"/>
      <c r="IA611" s="210"/>
      <c r="IB611" s="210"/>
      <c r="IC611" s="210"/>
      <c r="ID611" s="210"/>
      <c r="IE611" s="210"/>
      <c r="IF611" s="210"/>
      <c r="IG611" s="210"/>
      <c r="IH611" s="210"/>
      <c r="II611" s="210"/>
      <c r="IJ611" s="210"/>
      <c r="IK611" s="210"/>
      <c r="IL611" s="210"/>
      <c r="IM611" s="210"/>
      <c r="KW611" s="120"/>
      <c r="LD611" s="210"/>
      <c r="LE611" s="210"/>
      <c r="LF611" s="210"/>
      <c r="LG611" s="210"/>
      <c r="LH611" s="210"/>
      <c r="LI611" s="210"/>
      <c r="LJ611" s="210"/>
      <c r="LK611" s="210"/>
      <c r="LL611" s="210"/>
      <c r="LM611" s="210"/>
      <c r="LN611" s="210"/>
      <c r="LO611" s="210"/>
      <c r="LP611" s="210"/>
      <c r="LQ611" s="210"/>
      <c r="LR611" s="210"/>
      <c r="OB611" s="120"/>
      <c r="OI611" s="210"/>
      <c r="OJ611" s="210"/>
      <c r="OK611" s="210"/>
      <c r="OL611" s="210"/>
      <c r="OM611" s="210"/>
      <c r="ON611" s="210"/>
      <c r="OO611" s="210"/>
      <c r="OP611" s="210"/>
      <c r="OQ611" s="210"/>
      <c r="OR611" s="210"/>
      <c r="OS611" s="210"/>
      <c r="OT611" s="210"/>
      <c r="OU611" s="210"/>
      <c r="OV611" s="210"/>
      <c r="OW611" s="210"/>
      <c r="RG611" s="120"/>
    </row>
    <row r="612" spans="1:475" x14ac:dyDescent="0.3">
      <c r="A612" s="7">
        <v>112</v>
      </c>
      <c r="B612" s="7">
        <v>602</v>
      </c>
      <c r="C612" s="7" t="s">
        <v>346</v>
      </c>
      <c r="D612" s="7" t="s">
        <v>690</v>
      </c>
      <c r="E612" s="7" t="s">
        <v>689</v>
      </c>
      <c r="F612" s="7" t="s">
        <v>275</v>
      </c>
      <c r="G612" s="41" t="str">
        <f t="shared" si="102"/>
        <v>X</v>
      </c>
      <c r="H612" s="41">
        <f>INDEX(환산공식!CI$16:CI$301,MATCH('배치점수 계산기'!$W612,환산공식!$A$16:$A$301,0))</f>
        <v>100</v>
      </c>
      <c r="I612" s="41" t="str">
        <f>CONCATENATE(ROUND(INDEX(환산공식!CJ$16:CJ$301,MATCH('배치점수 계산기'!$W612,환산공식!$A$16:$A$301,0)),1),"%")</f>
        <v>100%</v>
      </c>
      <c r="J612" s="41">
        <f>INDEX(환산공식!CK$16:CK$301,MATCH('배치점수 계산기'!$W612,환산공식!$A$16:$A$301,0))</f>
        <v>5</v>
      </c>
      <c r="K612" s="7">
        <f>INDEX(환산공식!$EF$16:$EF$301,MATCH('배치점수 계산기'!W612,환산공식!$A$16:$A$301,0))</f>
        <v>0</v>
      </c>
      <c r="L612" s="41" t="str">
        <f t="shared" si="100"/>
        <v>1% 이하</v>
      </c>
      <c r="M612" s="7">
        <v>504</v>
      </c>
      <c r="N612" s="7">
        <v>502.4</v>
      </c>
      <c r="O612" s="7">
        <v>501.70000000000005</v>
      </c>
      <c r="P612" s="7">
        <v>501.1</v>
      </c>
      <c r="Q612" s="7">
        <v>500.6</v>
      </c>
      <c r="R612" s="7">
        <f t="shared" si="101"/>
        <v>6</v>
      </c>
      <c r="T612" s="7">
        <f>COUNTIF($C$11:C612,C612)</f>
        <v>249</v>
      </c>
      <c r="U612" s="7" t="str">
        <f t="shared" si="103"/>
        <v>나249</v>
      </c>
      <c r="V612" s="7" t="str">
        <f>INDEX(환산공식!$C$16:$C$301,MATCH('배치점수 계산기'!W612,환산공식!$A$16:$A$301,0))</f>
        <v>원광 통합 치한</v>
      </c>
      <c r="W612" s="7">
        <f t="shared" si="104"/>
        <v>112</v>
      </c>
      <c r="X612" s="7">
        <f t="shared" si="105"/>
        <v>1</v>
      </c>
      <c r="Y612" s="7">
        <f>IFERROR(INDEX(환산공식!Q$16:Q$200,MATCH($A612,환산공식!$A$16:$A$200,0)),"")</f>
        <v>1</v>
      </c>
      <c r="Z612" s="7">
        <f>IFERROR(INDEX(환산공식!R$16:R$200,MATCH($A612,환산공식!$A$16:$A$200,0)),"")</f>
        <v>1</v>
      </c>
      <c r="AA612" s="7">
        <f>IFERROR(INDEX(환산공식!U$16:U$200,MATCH($A612,환산공식!$A$16:$A$200,0)),"")</f>
        <v>1</v>
      </c>
      <c r="AB612" s="7">
        <f t="shared" si="106"/>
        <v>0.33333333333333331</v>
      </c>
      <c r="AC612" s="7">
        <f t="shared" si="107"/>
        <v>0.33333333333333331</v>
      </c>
      <c r="AD612" s="7">
        <f t="shared" si="108"/>
        <v>0.33333333333333331</v>
      </c>
      <c r="AE612" s="7">
        <f>INDEX(환산공식!$AF$16:$AF$301,MATCH('배치점수 계산기'!W612,환산공식!$A$16:$A$301,0))</f>
        <v>1</v>
      </c>
      <c r="AF612" s="7">
        <f>INDEX(환산공식!$AP$16:$AP$301,MATCH('배치점수 계산기'!W612,환산공식!$A$16:$A$301,0))</f>
        <v>1</v>
      </c>
      <c r="AG612" s="7" t="str">
        <f t="shared" si="109"/>
        <v>표점</v>
      </c>
      <c r="AH612" s="7" t="str">
        <f t="shared" si="110"/>
        <v>표점</v>
      </c>
      <c r="BO612" s="210"/>
      <c r="BP612" s="210"/>
      <c r="BQ612" s="210"/>
      <c r="BR612" s="210"/>
      <c r="BS612" s="210"/>
      <c r="BT612" s="210"/>
      <c r="BU612" s="210"/>
      <c r="BV612" s="210"/>
      <c r="BW612" s="210"/>
      <c r="BX612" s="210"/>
      <c r="BY612" s="210"/>
      <c r="BZ612" s="210"/>
      <c r="CA612" s="210"/>
      <c r="CB612" s="210"/>
      <c r="CC612" s="210"/>
      <c r="EM612" s="120"/>
      <c r="ET612" s="210"/>
      <c r="EU612" s="210"/>
      <c r="EV612" s="210"/>
      <c r="EW612" s="210"/>
      <c r="EX612" s="210"/>
      <c r="EY612" s="210"/>
      <c r="EZ612" s="210"/>
      <c r="FA612" s="210"/>
      <c r="FB612" s="210"/>
      <c r="FC612" s="210"/>
      <c r="FD612" s="210"/>
      <c r="FE612" s="210"/>
      <c r="FF612" s="210"/>
      <c r="FG612" s="210"/>
      <c r="FH612" s="210"/>
      <c r="HR612" s="120"/>
      <c r="HY612" s="210"/>
      <c r="HZ612" s="210"/>
      <c r="IA612" s="210"/>
      <c r="IB612" s="210"/>
      <c r="IC612" s="210"/>
      <c r="ID612" s="210"/>
      <c r="IE612" s="210"/>
      <c r="IF612" s="210"/>
      <c r="IG612" s="210"/>
      <c r="IH612" s="210"/>
      <c r="II612" s="210"/>
      <c r="IJ612" s="210"/>
      <c r="IK612" s="210"/>
      <c r="IL612" s="210"/>
      <c r="IM612" s="210"/>
      <c r="KW612" s="120"/>
      <c r="LD612" s="210"/>
      <c r="LE612" s="210"/>
      <c r="LF612" s="210"/>
      <c r="LG612" s="210"/>
      <c r="LH612" s="210"/>
      <c r="LI612" s="210"/>
      <c r="LJ612" s="210"/>
      <c r="LK612" s="210"/>
      <c r="LL612" s="210"/>
      <c r="LM612" s="210"/>
      <c r="LN612" s="210"/>
      <c r="LO612" s="210"/>
      <c r="LP612" s="210"/>
      <c r="LQ612" s="210"/>
      <c r="LR612" s="210"/>
      <c r="OB612" s="120"/>
      <c r="OI612" s="210"/>
      <c r="OJ612" s="210"/>
      <c r="OK612" s="210"/>
      <c r="OL612" s="210"/>
      <c r="OM612" s="210"/>
      <c r="ON612" s="210"/>
      <c r="OO612" s="210"/>
      <c r="OP612" s="210"/>
      <c r="OQ612" s="210"/>
      <c r="OR612" s="210"/>
      <c r="OS612" s="210"/>
      <c r="OT612" s="210"/>
      <c r="OU612" s="210"/>
      <c r="OV612" s="210"/>
      <c r="OW612" s="210"/>
      <c r="RG612" s="120"/>
    </row>
    <row r="613" spans="1:475" x14ac:dyDescent="0.3">
      <c r="A613" s="7">
        <v>94</v>
      </c>
      <c r="B613" s="7">
        <v>603</v>
      </c>
      <c r="C613" s="7" t="s">
        <v>346</v>
      </c>
      <c r="D613" s="7" t="s">
        <v>688</v>
      </c>
      <c r="E613" s="7" t="s">
        <v>686</v>
      </c>
      <c r="F613" s="7" t="s">
        <v>343</v>
      </c>
      <c r="G613" s="41" t="str">
        <f t="shared" si="102"/>
        <v>X</v>
      </c>
      <c r="H613" s="41">
        <f>INDEX(환산공식!CI$16:CI$301,MATCH('배치점수 계산기'!$W613,환산공식!$A$16:$A$301,0))</f>
        <v>139</v>
      </c>
      <c r="I613" s="41" t="str">
        <f>CONCATENATE(ROUND(INDEX(환산공식!CJ$16:CJ$301,MATCH('배치점수 계산기'!$W613,환산공식!$A$16:$A$301,0)),1),"%")</f>
        <v>100%</v>
      </c>
      <c r="J613" s="41">
        <f>INDEX(환산공식!CK$16:CK$301,MATCH('배치점수 계산기'!$W613,환산공식!$A$16:$A$301,0))</f>
        <v>0</v>
      </c>
      <c r="K613" s="7">
        <f>INDEX(환산공식!$EF$16:$EF$301,MATCH('배치점수 계산기'!W613,환산공식!$A$16:$A$301,0))</f>
        <v>0</v>
      </c>
      <c r="L613" s="41" t="str">
        <f t="shared" si="100"/>
        <v>1% 이하</v>
      </c>
      <c r="M613" s="7">
        <v>538.75233233233234</v>
      </c>
      <c r="N613" s="7">
        <v>537.1579999999999</v>
      </c>
      <c r="O613" s="7">
        <v>536.49046916687644</v>
      </c>
      <c r="P613" s="7">
        <v>535.86351576292554</v>
      </c>
      <c r="Q613" s="7">
        <v>535.39599999999996</v>
      </c>
      <c r="R613" s="7">
        <f t="shared" si="101"/>
        <v>6</v>
      </c>
      <c r="T613" s="7">
        <f>COUNTIF($C$11:C613,C613)</f>
        <v>250</v>
      </c>
      <c r="U613" s="7" t="str">
        <f t="shared" si="103"/>
        <v>나250</v>
      </c>
      <c r="V613" s="7" t="str">
        <f>INDEX(환산공식!$C$16:$C$301,MATCH('배치점수 계산기'!W613,환산공식!$A$16:$A$301,0))</f>
        <v>동의 한문</v>
      </c>
      <c r="W613" s="7">
        <f t="shared" si="104"/>
        <v>94</v>
      </c>
      <c r="X613" s="7">
        <f t="shared" si="105"/>
        <v>1</v>
      </c>
      <c r="Y613" s="7">
        <f>IFERROR(INDEX(환산공식!Q$16:Q$200,MATCH($A613,환산공식!$A$16:$A$200,0)),"")</f>
        <v>1</v>
      </c>
      <c r="Z613" s="7">
        <f>IFERROR(INDEX(환산공식!R$16:R$200,MATCH($A613,환산공식!$A$16:$A$200,0)),"")</f>
        <v>1</v>
      </c>
      <c r="AA613" s="7">
        <f>IFERROR(INDEX(환산공식!U$16:U$200,MATCH($A613,환산공식!$A$16:$A$200,0)),"")</f>
        <v>1</v>
      </c>
      <c r="AB613" s="7">
        <f t="shared" si="106"/>
        <v>0.33333333333333331</v>
      </c>
      <c r="AC613" s="7">
        <f t="shared" si="107"/>
        <v>0.33333333333333331</v>
      </c>
      <c r="AD613" s="7">
        <f t="shared" si="108"/>
        <v>0.33333333333333331</v>
      </c>
      <c r="AE613" s="7">
        <f>INDEX(환산공식!$AF$16:$AF$301,MATCH('배치점수 계산기'!W613,환산공식!$A$16:$A$301,0))</f>
        <v>1</v>
      </c>
      <c r="AF613" s="7">
        <f>INDEX(환산공식!$AP$16:$AP$301,MATCH('배치점수 계산기'!W613,환산공식!$A$16:$A$301,0))</f>
        <v>4</v>
      </c>
      <c r="AG613" s="7" t="str">
        <f t="shared" si="109"/>
        <v>표점</v>
      </c>
      <c r="AH613" s="7" t="str">
        <f t="shared" si="110"/>
        <v>변표</v>
      </c>
      <c r="BO613" s="210"/>
      <c r="BP613" s="210"/>
      <c r="BQ613" s="210"/>
      <c r="BR613" s="210"/>
      <c r="BS613" s="210"/>
      <c r="BT613" s="210"/>
      <c r="BU613" s="210"/>
      <c r="BV613" s="210"/>
      <c r="BW613" s="210"/>
      <c r="BX613" s="210"/>
      <c r="BY613" s="210"/>
      <c r="BZ613" s="210"/>
      <c r="CA613" s="210"/>
      <c r="CB613" s="210"/>
      <c r="CC613" s="210"/>
      <c r="EM613" s="120"/>
      <c r="ET613" s="210"/>
      <c r="EU613" s="210"/>
      <c r="EV613" s="210"/>
      <c r="EW613" s="210"/>
      <c r="EX613" s="210"/>
      <c r="EY613" s="210"/>
      <c r="EZ613" s="210"/>
      <c r="FA613" s="210"/>
      <c r="FB613" s="210"/>
      <c r="FC613" s="210"/>
      <c r="FD613" s="210"/>
      <c r="FE613" s="210"/>
      <c r="FF613" s="210"/>
      <c r="FG613" s="210"/>
      <c r="FH613" s="210"/>
      <c r="HR613" s="120"/>
      <c r="HY613" s="210"/>
      <c r="HZ613" s="210"/>
      <c r="IA613" s="210"/>
      <c r="IB613" s="210"/>
      <c r="IC613" s="210"/>
      <c r="ID613" s="210"/>
      <c r="IE613" s="210"/>
      <c r="IF613" s="210"/>
      <c r="IG613" s="210"/>
      <c r="IH613" s="210"/>
      <c r="II613" s="210"/>
      <c r="IJ613" s="210"/>
      <c r="IK613" s="210"/>
      <c r="IL613" s="210"/>
      <c r="IM613" s="210"/>
      <c r="KW613" s="120"/>
      <c r="LD613" s="210"/>
      <c r="LE613" s="210"/>
      <c r="LF613" s="210"/>
      <c r="LG613" s="210"/>
      <c r="LH613" s="210"/>
      <c r="LI613" s="210"/>
      <c r="LJ613" s="210"/>
      <c r="LK613" s="210"/>
      <c r="LL613" s="210"/>
      <c r="LM613" s="210"/>
      <c r="LN613" s="210"/>
      <c r="LO613" s="210"/>
      <c r="LP613" s="210"/>
      <c r="LQ613" s="210"/>
      <c r="LR613" s="210"/>
      <c r="OB613" s="120"/>
      <c r="OI613" s="210"/>
      <c r="OJ613" s="210"/>
      <c r="OK613" s="210"/>
      <c r="OL613" s="210"/>
      <c r="OM613" s="210"/>
      <c r="ON613" s="210"/>
      <c r="OO613" s="210"/>
      <c r="OP613" s="210"/>
      <c r="OQ613" s="210"/>
      <c r="OR613" s="210"/>
      <c r="OS613" s="210"/>
      <c r="OT613" s="210"/>
      <c r="OU613" s="210"/>
      <c r="OV613" s="210"/>
      <c r="OW613" s="210"/>
      <c r="RG613" s="120"/>
    </row>
    <row r="614" spans="1:475" x14ac:dyDescent="0.3">
      <c r="A614" s="7">
        <v>85</v>
      </c>
      <c r="B614" s="7">
        <v>604</v>
      </c>
      <c r="C614" s="7" t="s">
        <v>346</v>
      </c>
      <c r="D614" s="7" t="s">
        <v>687</v>
      </c>
      <c r="E614" s="7" t="s">
        <v>686</v>
      </c>
      <c r="F614" s="7" t="s">
        <v>343</v>
      </c>
      <c r="G614" s="41" t="str">
        <f t="shared" si="102"/>
        <v>X</v>
      </c>
      <c r="H614" s="41">
        <f>INDEX(환산공식!CI$16:CI$301,MATCH('배치점수 계산기'!$W614,환산공식!$A$16:$A$301,0))</f>
        <v>200</v>
      </c>
      <c r="I614" s="41" t="str">
        <f>CONCATENATE(ROUND(INDEX(환산공식!CJ$16:CJ$301,MATCH('배치점수 계산기'!$W614,환산공식!$A$16:$A$301,0)),1),"%")</f>
        <v>100%</v>
      </c>
      <c r="J614" s="41">
        <f>INDEX(환산공식!CK$16:CK$301,MATCH('배치점수 계산기'!$W614,환산공식!$A$16:$A$301,0))</f>
        <v>10</v>
      </c>
      <c r="K614" s="7">
        <f>INDEX(환산공식!$EF$16:$EF$301,MATCH('배치점수 계산기'!W614,환산공식!$A$16:$A$301,0))</f>
        <v>0</v>
      </c>
      <c r="L614" s="41" t="str">
        <f t="shared" si="100"/>
        <v>1% 이하</v>
      </c>
      <c r="M614" s="7">
        <v>984.2</v>
      </c>
      <c r="N614" s="7">
        <v>982.70000000000016</v>
      </c>
      <c r="O614" s="7">
        <v>981.50000000000011</v>
      </c>
      <c r="P614" s="7">
        <v>980</v>
      </c>
      <c r="Q614" s="7">
        <v>979.4</v>
      </c>
      <c r="R614" s="7">
        <f t="shared" si="101"/>
        <v>6</v>
      </c>
      <c r="T614" s="7">
        <f>COUNTIF($C$11:C614,C614)</f>
        <v>251</v>
      </c>
      <c r="U614" s="7" t="str">
        <f t="shared" si="103"/>
        <v>나251</v>
      </c>
      <c r="V614" s="7" t="str">
        <f>INDEX(환산공식!$C$16:$C$301,MATCH('배치점수 계산기'!W614,환산공식!$A$16:$A$301,0))</f>
        <v>대구 한문</v>
      </c>
      <c r="W614" s="7">
        <f t="shared" si="104"/>
        <v>85</v>
      </c>
      <c r="X614" s="7">
        <f t="shared" si="105"/>
        <v>1</v>
      </c>
      <c r="Y614" s="7">
        <f>IFERROR(INDEX(환산공식!Q$16:Q$200,MATCH($A614,환산공식!$A$16:$A$200,0)),"")</f>
        <v>3</v>
      </c>
      <c r="Z614" s="7">
        <f>IFERROR(INDEX(환산공식!R$16:R$200,MATCH($A614,환산공식!$A$16:$A$200,0)),"")</f>
        <v>3</v>
      </c>
      <c r="AA614" s="7">
        <f>IFERROR(INDEX(환산공식!U$16:U$200,MATCH($A614,환산공식!$A$16:$A$200,0)),"")</f>
        <v>1</v>
      </c>
      <c r="AB614" s="7">
        <f t="shared" si="106"/>
        <v>0.42857142857142855</v>
      </c>
      <c r="AC614" s="7">
        <f t="shared" si="107"/>
        <v>0.42857142857142855</v>
      </c>
      <c r="AD614" s="7">
        <f t="shared" si="108"/>
        <v>0.14285714285714285</v>
      </c>
      <c r="AE614" s="7">
        <f>INDEX(환산공식!$AF$16:$AF$301,MATCH('배치점수 계산기'!W614,환산공식!$A$16:$A$301,0))</f>
        <v>2</v>
      </c>
      <c r="AF614" s="7">
        <f>INDEX(환산공식!$AP$16:$AP$301,MATCH('배치점수 계산기'!W614,환산공식!$A$16:$A$301,0))</f>
        <v>2</v>
      </c>
      <c r="AG614" s="7" t="str">
        <f t="shared" si="109"/>
        <v>백분위</v>
      </c>
      <c r="AH614" s="7" t="str">
        <f t="shared" si="110"/>
        <v>백분위</v>
      </c>
      <c r="BO614" s="210"/>
      <c r="BP614" s="210"/>
      <c r="BQ614" s="210"/>
      <c r="BR614" s="210"/>
      <c r="BS614" s="210"/>
      <c r="BT614" s="210"/>
      <c r="BU614" s="210"/>
      <c r="BV614" s="210"/>
      <c r="BW614" s="210"/>
      <c r="BX614" s="210"/>
      <c r="BY614" s="210"/>
      <c r="BZ614" s="210"/>
      <c r="CA614" s="210"/>
      <c r="CB614" s="210"/>
      <c r="CC614" s="210"/>
      <c r="EM614" s="120"/>
      <c r="ET614" s="210"/>
      <c r="EU614" s="210"/>
      <c r="EV614" s="210"/>
      <c r="EW614" s="210"/>
      <c r="EX614" s="210"/>
      <c r="EY614" s="210"/>
      <c r="EZ614" s="210"/>
      <c r="FA614" s="210"/>
      <c r="FB614" s="210"/>
      <c r="FC614" s="210"/>
      <c r="FD614" s="210"/>
      <c r="FE614" s="210"/>
      <c r="FF614" s="210"/>
      <c r="FG614" s="210"/>
      <c r="FH614" s="210"/>
      <c r="HR614" s="120"/>
      <c r="HY614" s="210"/>
      <c r="HZ614" s="210"/>
      <c r="IA614" s="210"/>
      <c r="IB614" s="210"/>
      <c r="IC614" s="210"/>
      <c r="ID614" s="210"/>
      <c r="IE614" s="210"/>
      <c r="IF614" s="210"/>
      <c r="IG614" s="210"/>
      <c r="IH614" s="210"/>
      <c r="II614" s="210"/>
      <c r="IJ614" s="210"/>
      <c r="IK614" s="210"/>
      <c r="IL614" s="210"/>
      <c r="IM614" s="210"/>
      <c r="KW614" s="120"/>
      <c r="LD614" s="210"/>
      <c r="LE614" s="210"/>
      <c r="LF614" s="210"/>
      <c r="LG614" s="210"/>
      <c r="LH614" s="210"/>
      <c r="LI614" s="210"/>
      <c r="LJ614" s="210"/>
      <c r="LK614" s="210"/>
      <c r="LL614" s="210"/>
      <c r="LM614" s="210"/>
      <c r="LN614" s="210"/>
      <c r="LO614" s="210"/>
      <c r="LP614" s="210"/>
      <c r="LQ614" s="210"/>
      <c r="LR614" s="210"/>
      <c r="OB614" s="120"/>
      <c r="OI614" s="210"/>
      <c r="OJ614" s="210"/>
      <c r="OK614" s="210"/>
      <c r="OL614" s="210"/>
      <c r="OM614" s="210"/>
      <c r="ON614" s="210"/>
      <c r="OO614" s="210"/>
      <c r="OP614" s="210"/>
      <c r="OQ614" s="210"/>
      <c r="OR614" s="210"/>
      <c r="OS614" s="210"/>
      <c r="OT614" s="210"/>
      <c r="OU614" s="210"/>
      <c r="OV614" s="210"/>
      <c r="OW614" s="210"/>
      <c r="RG614" s="120"/>
    </row>
    <row r="615" spans="1:475" x14ac:dyDescent="0.3">
      <c r="A615" s="7">
        <v>16</v>
      </c>
      <c r="B615" s="7">
        <v>605</v>
      </c>
      <c r="C615" s="7" t="s">
        <v>346</v>
      </c>
      <c r="D615" s="7" t="s">
        <v>681</v>
      </c>
      <c r="E615" s="7" t="s">
        <v>700</v>
      </c>
      <c r="F615" s="7" t="s">
        <v>274</v>
      </c>
      <c r="G615" s="41" t="str">
        <f t="shared" si="102"/>
        <v>X</v>
      </c>
      <c r="H615" s="41">
        <f>INDEX(환산공식!CI$16:CI$301,MATCH('배치점수 계산기'!$W615,환산공식!$A$16:$A$301,0))</f>
        <v>0</v>
      </c>
      <c r="I615" s="41" t="e">
        <f>CONCATENATE(ROUND(INDEX(환산공식!CJ$16:CJ$301,MATCH('배치점수 계산기'!$W615,환산공식!$A$16:$A$301,0)),1),"%")</f>
        <v>#DIV/0!</v>
      </c>
      <c r="J615" s="41">
        <f>INDEX(환산공식!CK$16:CK$301,MATCH('배치점수 계산기'!$W615,환산공식!$A$16:$A$301,0))</f>
        <v>0</v>
      </c>
      <c r="K615" s="7">
        <f>INDEX(환산공식!$EF$16:$EF$301,MATCH('배치점수 계산기'!W615,환산공식!$A$16:$A$301,0))</f>
        <v>0</v>
      </c>
      <c r="L615" s="41" t="str">
        <f t="shared" si="100"/>
        <v>1% 이하</v>
      </c>
      <c r="M615" s="7">
        <v>412.82</v>
      </c>
      <c r="N615" s="7">
        <v>409.46053045186648</v>
      </c>
      <c r="O615" s="7">
        <v>407.64000000000004</v>
      </c>
      <c r="P615" s="7">
        <v>404.46000000000004</v>
      </c>
      <c r="Q615" s="7">
        <v>396.88</v>
      </c>
      <c r="R615" s="7">
        <f t="shared" si="101"/>
        <v>6</v>
      </c>
      <c r="T615" s="7">
        <f>COUNTIF($C$11:C615,C615)</f>
        <v>252</v>
      </c>
      <c r="U615" s="7" t="str">
        <f t="shared" si="103"/>
        <v>나252</v>
      </c>
      <c r="V615" s="7" t="str">
        <f>INDEX(환산공식!$C$16:$C$301,MATCH('배치점수 계산기'!W615,환산공식!$A$16:$A$301,0))</f>
        <v>서울대 자연</v>
      </c>
      <c r="W615" s="7">
        <f t="shared" si="104"/>
        <v>16</v>
      </c>
      <c r="X615" s="7">
        <f t="shared" si="105"/>
        <v>1</v>
      </c>
      <c r="Y615" s="7">
        <f>IFERROR(INDEX(환산공식!Q$16:Q$200,MATCH($A615,환산공식!$A$16:$A$200,0)),"")</f>
        <v>1</v>
      </c>
      <c r="Z615" s="7">
        <f>IFERROR(INDEX(환산공식!R$16:R$200,MATCH($A615,환산공식!$A$16:$A$200,0)),"")</f>
        <v>1.2</v>
      </c>
      <c r="AA615" s="7">
        <f>IFERROR(INDEX(환산공식!U$16:U$200,MATCH($A615,환산공식!$A$16:$A$200,0)),"")</f>
        <v>0.8</v>
      </c>
      <c r="AB615" s="7">
        <f t="shared" si="106"/>
        <v>0.33333333333333331</v>
      </c>
      <c r="AC615" s="7">
        <f t="shared" si="107"/>
        <v>0.39999999999999997</v>
      </c>
      <c r="AD615" s="7">
        <f t="shared" si="108"/>
        <v>0.26666666666666666</v>
      </c>
      <c r="AE615" s="7">
        <f>INDEX(환산공식!$AF$16:$AF$301,MATCH('배치점수 계산기'!W615,환산공식!$A$16:$A$301,0))</f>
        <v>1</v>
      </c>
      <c r="AF615" s="7">
        <f>INDEX(환산공식!$AP$16:$AP$301,MATCH('배치점수 계산기'!W615,환산공식!$A$16:$A$301,0))</f>
        <v>1</v>
      </c>
      <c r="AG615" s="7" t="str">
        <f t="shared" si="109"/>
        <v>표점</v>
      </c>
      <c r="AH615" s="7" t="str">
        <f t="shared" si="110"/>
        <v>표점</v>
      </c>
      <c r="BO615" s="210"/>
      <c r="BP615" s="210"/>
      <c r="BQ615" s="210"/>
      <c r="BR615" s="210"/>
      <c r="BS615" s="210"/>
      <c r="BT615" s="210"/>
      <c r="BU615" s="210"/>
      <c r="BV615" s="210"/>
      <c r="BW615" s="210"/>
      <c r="BX615" s="210"/>
      <c r="BY615" s="210"/>
      <c r="BZ615" s="210"/>
      <c r="CA615" s="210"/>
      <c r="CB615" s="210"/>
      <c r="CC615" s="210"/>
      <c r="EM615" s="120"/>
      <c r="ET615" s="210"/>
      <c r="EU615" s="210"/>
      <c r="EV615" s="210"/>
      <c r="EW615" s="210"/>
      <c r="EX615" s="210"/>
      <c r="EY615" s="210"/>
      <c r="EZ615" s="210"/>
      <c r="FA615" s="210"/>
      <c r="FB615" s="210"/>
      <c r="FC615" s="210"/>
      <c r="FD615" s="210"/>
      <c r="FE615" s="210"/>
      <c r="FF615" s="210"/>
      <c r="FG615" s="210"/>
      <c r="FH615" s="210"/>
      <c r="HR615" s="120"/>
      <c r="HY615" s="210"/>
      <c r="HZ615" s="210"/>
      <c r="IA615" s="210"/>
      <c r="IB615" s="210"/>
      <c r="IC615" s="210"/>
      <c r="ID615" s="210"/>
      <c r="IE615" s="210"/>
      <c r="IF615" s="210"/>
      <c r="IG615" s="210"/>
      <c r="IH615" s="210"/>
      <c r="II615" s="210"/>
      <c r="IJ615" s="210"/>
      <c r="IK615" s="210"/>
      <c r="IL615" s="210"/>
      <c r="IM615" s="210"/>
      <c r="KW615" s="120"/>
      <c r="LD615" s="210"/>
      <c r="LE615" s="210"/>
      <c r="LF615" s="210"/>
      <c r="LG615" s="210"/>
      <c r="LH615" s="210"/>
      <c r="LI615" s="210"/>
      <c r="LJ615" s="210"/>
      <c r="LK615" s="210"/>
      <c r="LL615" s="210"/>
      <c r="LM615" s="210"/>
      <c r="LN615" s="210"/>
      <c r="LO615" s="210"/>
      <c r="LP615" s="210"/>
      <c r="LQ615" s="210"/>
      <c r="LR615" s="210"/>
      <c r="OB615" s="120"/>
      <c r="OI615" s="210"/>
      <c r="OJ615" s="210"/>
      <c r="OK615" s="210"/>
      <c r="OL615" s="210"/>
      <c r="OM615" s="210"/>
      <c r="ON615" s="210"/>
      <c r="OO615" s="210"/>
      <c r="OP615" s="210"/>
      <c r="OQ615" s="210"/>
      <c r="OR615" s="210"/>
      <c r="OS615" s="210"/>
      <c r="OT615" s="210"/>
      <c r="OU615" s="210"/>
      <c r="OV615" s="210"/>
      <c r="OW615" s="210"/>
      <c r="RG615" s="120"/>
    </row>
    <row r="616" spans="1:475" x14ac:dyDescent="0.3">
      <c r="A616" s="7">
        <v>44</v>
      </c>
      <c r="B616" s="7">
        <v>606</v>
      </c>
      <c r="C616" s="7" t="s">
        <v>276</v>
      </c>
      <c r="D616" s="7" t="s">
        <v>708</v>
      </c>
      <c r="E616" s="7" t="s">
        <v>700</v>
      </c>
      <c r="F616" s="7" t="s">
        <v>274</v>
      </c>
      <c r="G616" s="41" t="str">
        <f t="shared" si="102"/>
        <v>X</v>
      </c>
      <c r="H616" s="41">
        <f>INDEX(환산공식!CI$16:CI$301,MATCH('배치점수 계산기'!$W616,환산공식!$A$16:$A$301,0))</f>
        <v>200</v>
      </c>
      <c r="I616" s="41" t="str">
        <f>CONCATENATE(ROUND(INDEX(환산공식!CJ$16:CJ$301,MATCH('배치점수 계산기'!$W616,환산공식!$A$16:$A$301,0)),1),"%")</f>
        <v>100%</v>
      </c>
      <c r="J616" s="41">
        <f>INDEX(환산공식!CK$16:CK$301,MATCH('배치점수 계산기'!$W616,환산공식!$A$16:$A$301,0))</f>
        <v>200</v>
      </c>
      <c r="K616" s="7">
        <f>INDEX(환산공식!$EF$16:$EF$301,MATCH('배치점수 계산기'!W616,환산공식!$A$16:$A$301,0))</f>
        <v>0</v>
      </c>
      <c r="L616" s="41" t="str">
        <f t="shared" si="100"/>
        <v>1% 이하</v>
      </c>
      <c r="M616" s="7">
        <v>941.6747405950332</v>
      </c>
      <c r="N616" s="7">
        <v>940.30799999999999</v>
      </c>
      <c r="O616" s="7">
        <v>938.04475470763145</v>
      </c>
      <c r="P616" s="7">
        <v>936.702</v>
      </c>
      <c r="Q616" s="7">
        <v>935.39974838066769</v>
      </c>
      <c r="R616" s="7">
        <f t="shared" si="101"/>
        <v>6</v>
      </c>
      <c r="T616" s="7">
        <f>COUNTIF($C$11:C616,C616)</f>
        <v>305</v>
      </c>
      <c r="U616" s="7" t="str">
        <f t="shared" si="103"/>
        <v>가305</v>
      </c>
      <c r="V616" s="7" t="str">
        <f>INDEX(환산공식!$C$16:$C$301,MATCH('배치점수 계산기'!W616,환산공식!$A$16:$A$301,0))</f>
        <v>건국 자연2</v>
      </c>
      <c r="W616" s="7">
        <f t="shared" si="104"/>
        <v>44</v>
      </c>
      <c r="X616" s="7">
        <f t="shared" si="105"/>
        <v>1</v>
      </c>
      <c r="Y616" s="7">
        <f>IFERROR(INDEX(환산공식!Q$16:Q$200,MATCH($A616,환산공식!$A$16:$A$200,0)),"")</f>
        <v>1</v>
      </c>
      <c r="Z616" s="7">
        <f>IFERROR(INDEX(환산공식!R$16:R$200,MATCH($A616,환산공식!$A$16:$A$200,0)),"")</f>
        <v>1.5</v>
      </c>
      <c r="AA616" s="7">
        <f>IFERROR(INDEX(환산공식!U$16:U$200,MATCH($A616,환산공식!$A$16:$A$200,0)),"")</f>
        <v>1.5</v>
      </c>
      <c r="AB616" s="7">
        <f t="shared" si="106"/>
        <v>0.25</v>
      </c>
      <c r="AC616" s="7">
        <f t="shared" si="107"/>
        <v>0.375</v>
      </c>
      <c r="AD616" s="7">
        <f t="shared" si="108"/>
        <v>0.375</v>
      </c>
      <c r="AE616" s="7">
        <f>INDEX(환산공식!$AF$16:$AF$301,MATCH('배치점수 계산기'!W616,환산공식!$A$16:$A$301,0))</f>
        <v>1</v>
      </c>
      <c r="AF616" s="7">
        <f>INDEX(환산공식!$AP$16:$AP$301,MATCH('배치점수 계산기'!W616,환산공식!$A$16:$A$301,0))</f>
        <v>4</v>
      </c>
      <c r="AG616" s="7" t="str">
        <f t="shared" si="109"/>
        <v>표점</v>
      </c>
      <c r="AH616" s="7" t="str">
        <f t="shared" si="110"/>
        <v>변표</v>
      </c>
      <c r="BO616" s="210"/>
      <c r="BP616" s="210"/>
      <c r="BQ616" s="210"/>
      <c r="BR616" s="210"/>
      <c r="BS616" s="210"/>
      <c r="BT616" s="210"/>
      <c r="BU616" s="210"/>
      <c r="BV616" s="210"/>
      <c r="BW616" s="210"/>
      <c r="BX616" s="210"/>
      <c r="BY616" s="210"/>
      <c r="BZ616" s="210"/>
      <c r="CA616" s="210"/>
      <c r="CB616" s="210"/>
      <c r="CC616" s="210"/>
      <c r="EM616" s="120"/>
      <c r="ET616" s="210"/>
      <c r="EU616" s="210"/>
      <c r="EV616" s="210"/>
      <c r="EW616" s="210"/>
      <c r="EX616" s="210"/>
      <c r="EY616" s="210"/>
      <c r="EZ616" s="210"/>
      <c r="FA616" s="210"/>
      <c r="FB616" s="210"/>
      <c r="FC616" s="210"/>
      <c r="FD616" s="210"/>
      <c r="FE616" s="210"/>
      <c r="FF616" s="210"/>
      <c r="FG616" s="210"/>
      <c r="FH616" s="210"/>
      <c r="HR616" s="120"/>
      <c r="HY616" s="210"/>
      <c r="HZ616" s="210"/>
      <c r="IA616" s="210"/>
      <c r="IB616" s="210"/>
      <c r="IC616" s="210"/>
      <c r="ID616" s="210"/>
      <c r="IE616" s="210"/>
      <c r="IF616" s="210"/>
      <c r="IG616" s="210"/>
      <c r="IH616" s="210"/>
      <c r="II616" s="210"/>
      <c r="IJ616" s="210"/>
      <c r="IK616" s="210"/>
      <c r="IL616" s="210"/>
      <c r="IM616" s="210"/>
      <c r="KW616" s="120"/>
      <c r="LD616" s="210"/>
      <c r="LE616" s="210"/>
      <c r="LF616" s="210"/>
      <c r="LG616" s="210"/>
      <c r="LH616" s="210"/>
      <c r="LI616" s="210"/>
      <c r="LJ616" s="210"/>
      <c r="LK616" s="210"/>
      <c r="LL616" s="210"/>
      <c r="LM616" s="210"/>
      <c r="LN616" s="210"/>
      <c r="LO616" s="210"/>
      <c r="LP616" s="210"/>
      <c r="LQ616" s="210"/>
      <c r="LR616" s="210"/>
      <c r="OB616" s="120"/>
      <c r="OI616" s="210"/>
      <c r="OJ616" s="210"/>
      <c r="OK616" s="210"/>
      <c r="OL616" s="210"/>
      <c r="OM616" s="210"/>
      <c r="ON616" s="210"/>
      <c r="OO616" s="210"/>
      <c r="OP616" s="210"/>
      <c r="OQ616" s="210"/>
      <c r="OR616" s="210"/>
      <c r="OS616" s="210"/>
      <c r="OT616" s="210"/>
      <c r="OU616" s="210"/>
      <c r="OV616" s="210"/>
      <c r="OW616" s="210"/>
      <c r="RG616" s="120"/>
    </row>
    <row r="617" spans="1:475" x14ac:dyDescent="0.3">
      <c r="A617" s="7">
        <v>125</v>
      </c>
      <c r="B617" s="7">
        <v>607</v>
      </c>
      <c r="C617" s="7" t="s">
        <v>276</v>
      </c>
      <c r="D617" s="7" t="s">
        <v>707</v>
      </c>
      <c r="E617" s="7" t="s">
        <v>700</v>
      </c>
      <c r="F617" s="7" t="s">
        <v>274</v>
      </c>
      <c r="G617" s="41" t="str">
        <f t="shared" si="102"/>
        <v>X</v>
      </c>
      <c r="H617" s="41">
        <f>INDEX(환산공식!CI$16:CI$301,MATCH('배치점수 계산기'!$W617,환산공식!$A$16:$A$301,0))</f>
        <v>0</v>
      </c>
      <c r="I617" s="41" t="e">
        <f>CONCATENATE(ROUND(INDEX(환산공식!CJ$16:CJ$301,MATCH('배치점수 계산기'!$W617,환산공식!$A$16:$A$301,0)),1),"%")</f>
        <v>#DIV/0!</v>
      </c>
      <c r="J617" s="41">
        <f>INDEX(환산공식!CK$16:CK$301,MATCH('배치점수 계산기'!$W617,환산공식!$A$16:$A$301,0))</f>
        <v>0</v>
      </c>
      <c r="K617" s="7">
        <f>INDEX(환산공식!$EF$16:$EF$301,MATCH('배치점수 계산기'!W617,환산공식!$A$16:$A$301,0))</f>
        <v>0</v>
      </c>
      <c r="L617" s="41" t="str">
        <f t="shared" si="100"/>
        <v>1% 이하</v>
      </c>
      <c r="M617" s="7">
        <v>203.34658318912238</v>
      </c>
      <c r="N617" s="7">
        <v>202.39060000000003</v>
      </c>
      <c r="O617" s="7">
        <v>201.88460687593425</v>
      </c>
      <c r="P617" s="7">
        <v>201.2786304347826</v>
      </c>
      <c r="Q617" s="7">
        <v>199.57900000000001</v>
      </c>
      <c r="R617" s="7">
        <f t="shared" si="101"/>
        <v>6</v>
      </c>
      <c r="T617" s="7">
        <f>COUNTIF($C$11:C617,C617)</f>
        <v>306</v>
      </c>
      <c r="U617" s="7" t="str">
        <f t="shared" si="103"/>
        <v>가306</v>
      </c>
      <c r="V617" s="7" t="str">
        <f>INDEX(환산공식!$C$16:$C$301,MATCH('배치점수 계산기'!W617,환산공식!$A$16:$A$301,0))</f>
        <v>충남 의약수</v>
      </c>
      <c r="W617" s="7">
        <f t="shared" si="104"/>
        <v>125</v>
      </c>
      <c r="X617" s="7">
        <f t="shared" si="105"/>
        <v>1</v>
      </c>
      <c r="Y617" s="7">
        <f>IFERROR(INDEX(환산공식!Q$16:Q$200,MATCH($A617,환산공식!$A$16:$A$200,0)),"")</f>
        <v>0.375</v>
      </c>
      <c r="Z617" s="7">
        <f>IFERROR(INDEX(환산공식!R$16:R$200,MATCH($A617,환산공식!$A$16:$A$200,0)),"")</f>
        <v>0.67500000000000004</v>
      </c>
      <c r="AA617" s="7">
        <f>IFERROR(INDEX(환산공식!U$16:U$200,MATCH($A617,환산공식!$A$16:$A$200,0)),"")</f>
        <v>0.45</v>
      </c>
      <c r="AB617" s="7">
        <f t="shared" si="106"/>
        <v>0.25</v>
      </c>
      <c r="AC617" s="7">
        <f t="shared" si="107"/>
        <v>0.45</v>
      </c>
      <c r="AD617" s="7">
        <f t="shared" si="108"/>
        <v>0.3</v>
      </c>
      <c r="AE617" s="7">
        <f>INDEX(환산공식!$AF$16:$AF$301,MATCH('배치점수 계산기'!W617,환산공식!$A$16:$A$301,0))</f>
        <v>1</v>
      </c>
      <c r="AF617" s="7">
        <f>INDEX(환산공식!$AP$16:$AP$301,MATCH('배치점수 계산기'!W617,환산공식!$A$16:$A$301,0))</f>
        <v>4</v>
      </c>
      <c r="AG617" s="7" t="str">
        <f t="shared" si="109"/>
        <v>표점</v>
      </c>
      <c r="AH617" s="7" t="str">
        <f t="shared" si="110"/>
        <v>변표</v>
      </c>
      <c r="BO617" s="210"/>
      <c r="BP617" s="210"/>
      <c r="BQ617" s="210"/>
      <c r="BR617" s="210"/>
      <c r="BS617" s="210"/>
      <c r="BT617" s="210"/>
      <c r="BU617" s="210"/>
      <c r="BV617" s="210"/>
      <c r="BW617" s="210"/>
      <c r="BX617" s="210"/>
      <c r="BY617" s="210"/>
      <c r="BZ617" s="210"/>
      <c r="CA617" s="210"/>
      <c r="CB617" s="210"/>
      <c r="CC617" s="210"/>
      <c r="EM617" s="120"/>
      <c r="ET617" s="210"/>
      <c r="EU617" s="210"/>
      <c r="EV617" s="210"/>
      <c r="EW617" s="210"/>
      <c r="EX617" s="210"/>
      <c r="EY617" s="210"/>
      <c r="EZ617" s="210"/>
      <c r="FA617" s="210"/>
      <c r="FB617" s="210"/>
      <c r="FC617" s="210"/>
      <c r="FD617" s="210"/>
      <c r="FE617" s="210"/>
      <c r="FF617" s="210"/>
      <c r="FG617" s="210"/>
      <c r="FH617" s="210"/>
      <c r="HR617" s="120"/>
      <c r="HY617" s="210"/>
      <c r="HZ617" s="210"/>
      <c r="IA617" s="210"/>
      <c r="IB617" s="210"/>
      <c r="IC617" s="210"/>
      <c r="ID617" s="210"/>
      <c r="IE617" s="210"/>
      <c r="IF617" s="210"/>
      <c r="IG617" s="210"/>
      <c r="IH617" s="210"/>
      <c r="II617" s="210"/>
      <c r="IJ617" s="210"/>
      <c r="IK617" s="210"/>
      <c r="IL617" s="210"/>
      <c r="IM617" s="210"/>
      <c r="KW617" s="120"/>
      <c r="LD617" s="210"/>
      <c r="LE617" s="210"/>
      <c r="LF617" s="210"/>
      <c r="LG617" s="210"/>
      <c r="LH617" s="210"/>
      <c r="LI617" s="210"/>
      <c r="LJ617" s="210"/>
      <c r="LK617" s="210"/>
      <c r="LL617" s="210"/>
      <c r="LM617" s="210"/>
      <c r="LN617" s="210"/>
      <c r="LO617" s="210"/>
      <c r="LP617" s="210"/>
      <c r="LQ617" s="210"/>
      <c r="LR617" s="210"/>
      <c r="OB617" s="120"/>
      <c r="OI617" s="210"/>
      <c r="OJ617" s="210"/>
      <c r="OK617" s="210"/>
      <c r="OL617" s="210"/>
      <c r="OM617" s="210"/>
      <c r="ON617" s="210"/>
      <c r="OO617" s="210"/>
      <c r="OP617" s="210"/>
      <c r="OQ617" s="210"/>
      <c r="OR617" s="210"/>
      <c r="OS617" s="210"/>
      <c r="OT617" s="210"/>
      <c r="OU617" s="210"/>
      <c r="OV617" s="210"/>
      <c r="OW617" s="210"/>
      <c r="RG617" s="120"/>
    </row>
    <row r="618" spans="1:475" x14ac:dyDescent="0.3">
      <c r="A618" s="7">
        <v>73</v>
      </c>
      <c r="B618" s="7">
        <v>608</v>
      </c>
      <c r="C618" s="7" t="s">
        <v>276</v>
      </c>
      <c r="D618" s="7" t="s">
        <v>706</v>
      </c>
      <c r="E618" s="7" t="s">
        <v>700</v>
      </c>
      <c r="F618" s="7" t="s">
        <v>274</v>
      </c>
      <c r="G618" s="41" t="str">
        <f t="shared" si="102"/>
        <v>X</v>
      </c>
      <c r="H618" s="41">
        <f>INDEX(환산공식!CI$16:CI$301,MATCH('배치점수 계산기'!$W618,환산공식!$A$16:$A$301,0))</f>
        <v>125</v>
      </c>
      <c r="I618" s="41" t="str">
        <f>CONCATENATE(ROUND(INDEX(환산공식!CJ$16:CJ$301,MATCH('배치점수 계산기'!$W618,환산공식!$A$16:$A$301,0)),1),"%")</f>
        <v>100%</v>
      </c>
      <c r="J618" s="41">
        <f>INDEX(환산공식!CK$16:CK$301,MATCH('배치점수 계산기'!$W618,환산공식!$A$16:$A$301,0))</f>
        <v>10</v>
      </c>
      <c r="K618" s="7">
        <f>INDEX(환산공식!$EF$16:$EF$301,MATCH('배치점수 계산기'!W618,환산공식!$A$16:$A$301,0))</f>
        <v>0</v>
      </c>
      <c r="L618" s="41" t="str">
        <f t="shared" si="100"/>
        <v>1% 이하</v>
      </c>
      <c r="M618" s="7">
        <v>727.59436650185421</v>
      </c>
      <c r="N618" s="7">
        <v>724.11249999999995</v>
      </c>
      <c r="O618" s="7">
        <v>723.13750000000005</v>
      </c>
      <c r="P618" s="7">
        <v>721.7185063718141</v>
      </c>
      <c r="Q618" s="7">
        <v>716.77499999999998</v>
      </c>
      <c r="R618" s="7">
        <f t="shared" si="101"/>
        <v>6</v>
      </c>
      <c r="T618" s="7">
        <f>COUNTIF($C$11:C618,C618)</f>
        <v>307</v>
      </c>
      <c r="U618" s="7" t="str">
        <f t="shared" si="103"/>
        <v>가307</v>
      </c>
      <c r="V618" s="7" t="str">
        <f>INDEX(환산공식!$C$16:$C$301,MATCH('배치점수 계산기'!W618,환산공식!$A$16:$A$301,0))</f>
        <v>경북 의치약수</v>
      </c>
      <c r="W618" s="7">
        <f t="shared" si="104"/>
        <v>73</v>
      </c>
      <c r="X618" s="7">
        <f t="shared" si="105"/>
        <v>1</v>
      </c>
      <c r="Y618" s="7">
        <f>IFERROR(INDEX(환산공식!Q$16:Q$200,MATCH($A618,환산공식!$A$16:$A$200,0)),"")</f>
        <v>1.25</v>
      </c>
      <c r="Z618" s="7">
        <f>IFERROR(INDEX(환산공식!R$16:R$200,MATCH($A618,환산공식!$A$16:$A$200,0)),"")</f>
        <v>1.875</v>
      </c>
      <c r="AA618" s="7">
        <f>IFERROR(INDEX(환산공식!U$16:U$200,MATCH($A618,환산공식!$A$16:$A$200,0)),"")</f>
        <v>1.25</v>
      </c>
      <c r="AB618" s="7">
        <f t="shared" si="106"/>
        <v>0.2857142857142857</v>
      </c>
      <c r="AC618" s="7">
        <f t="shared" si="107"/>
        <v>0.42857142857142855</v>
      </c>
      <c r="AD618" s="7">
        <f t="shared" si="108"/>
        <v>0.2857142857142857</v>
      </c>
      <c r="AE618" s="7">
        <f>INDEX(환산공식!$AF$16:$AF$301,MATCH('배치점수 계산기'!W618,환산공식!$A$16:$A$301,0))</f>
        <v>1</v>
      </c>
      <c r="AF618" s="7">
        <f>INDEX(환산공식!$AP$16:$AP$301,MATCH('배치점수 계산기'!W618,환산공식!$A$16:$A$301,0))</f>
        <v>4</v>
      </c>
      <c r="AG618" s="7" t="str">
        <f t="shared" si="109"/>
        <v>표점</v>
      </c>
      <c r="AH618" s="7" t="str">
        <f t="shared" si="110"/>
        <v>변표</v>
      </c>
      <c r="BO618" s="210"/>
      <c r="BP618" s="210"/>
      <c r="BQ618" s="210"/>
      <c r="BR618" s="210"/>
      <c r="BS618" s="210"/>
      <c r="BT618" s="210"/>
      <c r="BU618" s="210"/>
      <c r="BV618" s="210"/>
      <c r="BW618" s="210"/>
      <c r="BX618" s="210"/>
      <c r="BY618" s="210"/>
      <c r="BZ618" s="210"/>
      <c r="CA618" s="210"/>
      <c r="CB618" s="210"/>
      <c r="CC618" s="210"/>
      <c r="EM618" s="120"/>
      <c r="ET618" s="210"/>
      <c r="EU618" s="210"/>
      <c r="EV618" s="210"/>
      <c r="EW618" s="210"/>
      <c r="EX618" s="210"/>
      <c r="EY618" s="210"/>
      <c r="EZ618" s="210"/>
      <c r="FA618" s="210"/>
      <c r="FB618" s="210"/>
      <c r="FC618" s="210"/>
      <c r="FD618" s="210"/>
      <c r="FE618" s="210"/>
      <c r="FF618" s="210"/>
      <c r="FG618" s="210"/>
      <c r="FH618" s="210"/>
      <c r="HR618" s="120"/>
      <c r="HY618" s="210"/>
      <c r="HZ618" s="210"/>
      <c r="IA618" s="210"/>
      <c r="IB618" s="210"/>
      <c r="IC618" s="210"/>
      <c r="ID618" s="210"/>
      <c r="IE618" s="210"/>
      <c r="IF618" s="210"/>
      <c r="IG618" s="210"/>
      <c r="IH618" s="210"/>
      <c r="II618" s="210"/>
      <c r="IJ618" s="210"/>
      <c r="IK618" s="210"/>
      <c r="IL618" s="210"/>
      <c r="IM618" s="210"/>
      <c r="KW618" s="120"/>
      <c r="LD618" s="210"/>
      <c r="LE618" s="210"/>
      <c r="LF618" s="210"/>
      <c r="LG618" s="210"/>
      <c r="LH618" s="210"/>
      <c r="LI618" s="210"/>
      <c r="LJ618" s="210"/>
      <c r="LK618" s="210"/>
      <c r="LL618" s="210"/>
      <c r="LM618" s="210"/>
      <c r="LN618" s="210"/>
      <c r="LO618" s="210"/>
      <c r="LP618" s="210"/>
      <c r="LQ618" s="210"/>
      <c r="LR618" s="210"/>
      <c r="OB618" s="120"/>
      <c r="OI618" s="210"/>
      <c r="OJ618" s="210"/>
      <c r="OK618" s="210"/>
      <c r="OL618" s="210"/>
      <c r="OM618" s="210"/>
      <c r="ON618" s="210"/>
      <c r="OO618" s="210"/>
      <c r="OP618" s="210"/>
      <c r="OQ618" s="210"/>
      <c r="OR618" s="210"/>
      <c r="OS618" s="210"/>
      <c r="OT618" s="210"/>
      <c r="OU618" s="210"/>
      <c r="OV618" s="210"/>
      <c r="OW618" s="210"/>
      <c r="RG618" s="120"/>
    </row>
    <row r="619" spans="1:475" x14ac:dyDescent="0.3">
      <c r="A619" s="7">
        <v>126</v>
      </c>
      <c r="B619" s="7">
        <v>609</v>
      </c>
      <c r="C619" s="7" t="s">
        <v>276</v>
      </c>
      <c r="D619" s="7" t="s">
        <v>705</v>
      </c>
      <c r="E619" s="7" t="s">
        <v>700</v>
      </c>
      <c r="F619" s="7" t="s">
        <v>274</v>
      </c>
      <c r="G619" s="41" t="str">
        <f t="shared" si="102"/>
        <v>X</v>
      </c>
      <c r="H619" s="41">
        <f>INDEX(환산공식!CI$16:CI$301,MATCH('배치점수 계산기'!$W619,환산공식!$A$16:$A$301,0))</f>
        <v>40</v>
      </c>
      <c r="I619" s="41" t="str">
        <f>CONCATENATE(ROUND(INDEX(환산공식!CJ$16:CJ$301,MATCH('배치점수 계산기'!$W619,환산공식!$A$16:$A$301,0)),1),"%")</f>
        <v>100%</v>
      </c>
      <c r="J619" s="41">
        <f>INDEX(환산공식!CK$16:CK$301,MATCH('배치점수 계산기'!$W619,환산공식!$A$16:$A$301,0))</f>
        <v>0</v>
      </c>
      <c r="K619" s="7">
        <f>INDEX(환산공식!$EF$16:$EF$301,MATCH('배치점수 계산기'!W619,환산공식!$A$16:$A$301,0))</f>
        <v>800</v>
      </c>
      <c r="L619" s="41" t="str">
        <f t="shared" si="100"/>
        <v>1% 이하</v>
      </c>
      <c r="M619" s="7">
        <v>985.17514095684226</v>
      </c>
      <c r="N619" s="7">
        <v>984.75817899743345</v>
      </c>
      <c r="O619" s="7">
        <v>983.84001492398102</v>
      </c>
      <c r="P619" s="7">
        <v>983.60954761682683</v>
      </c>
      <c r="Q619" s="7">
        <v>983.10861300251838</v>
      </c>
      <c r="R619" s="7">
        <f t="shared" si="101"/>
        <v>6</v>
      </c>
      <c r="T619" s="7">
        <f>COUNTIF($C$11:C619,C619)</f>
        <v>308</v>
      </c>
      <c r="U619" s="7" t="str">
        <f t="shared" si="103"/>
        <v>가308</v>
      </c>
      <c r="V619" s="7" t="str">
        <f>INDEX(환산공식!$C$16:$C$301,MATCH('배치점수 계산기'!W619,환산공식!$A$16:$A$301,0))</f>
        <v>충북 의약수</v>
      </c>
      <c r="W619" s="7">
        <f t="shared" si="104"/>
        <v>126</v>
      </c>
      <c r="X619" s="7">
        <f t="shared" si="105"/>
        <v>1</v>
      </c>
      <c r="Y619" s="7">
        <f>IFERROR(INDEX(환산공식!Q$16:Q$200,MATCH($A619,환산공식!$A$16:$A$200,0)),"")</f>
        <v>0.26845637583892618</v>
      </c>
      <c r="Z619" s="7">
        <f>IFERROR(INDEX(환산공식!R$16:R$200,MATCH($A619,환산공식!$A$16:$A$200,0)),"")</f>
        <v>0.40816326530612246</v>
      </c>
      <c r="AA619" s="7">
        <f>IFERROR(INDEX(환산공식!U$16:U$200,MATCH($A619,환산공식!$A$16:$A$200,0)),"")</f>
        <v>0.42253521126760563</v>
      </c>
      <c r="AB619" s="7">
        <f t="shared" si="106"/>
        <v>0.24423890341716833</v>
      </c>
      <c r="AC619" s="7">
        <f t="shared" si="107"/>
        <v>0.37134282254242945</v>
      </c>
      <c r="AD619" s="7">
        <f t="shared" si="108"/>
        <v>0.3844182740404023</v>
      </c>
      <c r="AE619" s="7">
        <f>INDEX(환산공식!$AF$16:$AF$301,MATCH('배치점수 계산기'!W619,환산공식!$A$16:$A$301,0))</f>
        <v>12</v>
      </c>
      <c r="AF619" s="7">
        <f>INDEX(환산공식!$AP$16:$AP$301,MATCH('배치점수 계산기'!W619,환산공식!$A$16:$A$301,0))</f>
        <v>12</v>
      </c>
      <c r="AG619" s="7" t="str">
        <f t="shared" si="109"/>
        <v>표점/만점</v>
      </c>
      <c r="AH619" s="7" t="str">
        <f t="shared" si="110"/>
        <v>표점/만점</v>
      </c>
      <c r="BO619" s="210"/>
      <c r="BP619" s="210"/>
      <c r="BQ619" s="210"/>
      <c r="BR619" s="210"/>
      <c r="BS619" s="210"/>
      <c r="BT619" s="210"/>
      <c r="BU619" s="210"/>
      <c r="BV619" s="210"/>
      <c r="BW619" s="210"/>
      <c r="BX619" s="210"/>
      <c r="BY619" s="210"/>
      <c r="BZ619" s="210"/>
      <c r="CA619" s="210"/>
      <c r="CB619" s="210"/>
      <c r="CC619" s="210"/>
      <c r="EM619" s="120"/>
      <c r="ET619" s="210"/>
      <c r="EU619" s="210"/>
      <c r="EV619" s="210"/>
      <c r="EW619" s="210"/>
      <c r="EX619" s="210"/>
      <c r="EY619" s="210"/>
      <c r="EZ619" s="210"/>
      <c r="FA619" s="210"/>
      <c r="FB619" s="210"/>
      <c r="FC619" s="210"/>
      <c r="FD619" s="210"/>
      <c r="FE619" s="210"/>
      <c r="FF619" s="210"/>
      <c r="FG619" s="210"/>
      <c r="FH619" s="210"/>
      <c r="HR619" s="120"/>
      <c r="HY619" s="210"/>
      <c r="HZ619" s="210"/>
      <c r="IA619" s="210"/>
      <c r="IB619" s="210"/>
      <c r="IC619" s="210"/>
      <c r="ID619" s="210"/>
      <c r="IE619" s="210"/>
      <c r="IF619" s="210"/>
      <c r="IG619" s="210"/>
      <c r="IH619" s="210"/>
      <c r="II619" s="210"/>
      <c r="IJ619" s="210"/>
      <c r="IK619" s="210"/>
      <c r="IL619" s="210"/>
      <c r="IM619" s="210"/>
      <c r="KW619" s="120"/>
      <c r="LD619" s="210"/>
      <c r="LE619" s="210"/>
      <c r="LF619" s="210"/>
      <c r="LG619" s="210"/>
      <c r="LH619" s="210"/>
      <c r="LI619" s="210"/>
      <c r="LJ619" s="210"/>
      <c r="LK619" s="210"/>
      <c r="LL619" s="210"/>
      <c r="LM619" s="210"/>
      <c r="LN619" s="210"/>
      <c r="LO619" s="210"/>
      <c r="LP619" s="210"/>
      <c r="LQ619" s="210"/>
      <c r="LR619" s="210"/>
      <c r="OB619" s="120"/>
      <c r="OI619" s="210"/>
      <c r="OJ619" s="210"/>
      <c r="OK619" s="210"/>
      <c r="OL619" s="210"/>
      <c r="OM619" s="210"/>
      <c r="ON619" s="210"/>
      <c r="OO619" s="210"/>
      <c r="OP619" s="210"/>
      <c r="OQ619" s="210"/>
      <c r="OR619" s="210"/>
      <c r="OS619" s="210"/>
      <c r="OT619" s="210"/>
      <c r="OU619" s="210"/>
      <c r="OV619" s="210"/>
      <c r="OW619" s="210"/>
      <c r="RG619" s="120"/>
    </row>
    <row r="620" spans="1:475" x14ac:dyDescent="0.3">
      <c r="A620" s="7">
        <v>70</v>
      </c>
      <c r="B620" s="7">
        <v>610</v>
      </c>
      <c r="C620" s="7" t="s">
        <v>276</v>
      </c>
      <c r="D620" s="7" t="s">
        <v>684</v>
      </c>
      <c r="E620" s="7" t="s">
        <v>700</v>
      </c>
      <c r="F620" s="7" t="s">
        <v>274</v>
      </c>
      <c r="G620" s="41" t="str">
        <f t="shared" si="102"/>
        <v>X</v>
      </c>
      <c r="H620" s="41">
        <f>INDEX(환산공식!CI$16:CI$301,MATCH('배치점수 계산기'!$W620,환산공식!$A$16:$A$301,0))</f>
        <v>100</v>
      </c>
      <c r="I620" s="41" t="str">
        <f>CONCATENATE(ROUND(INDEX(환산공식!CJ$16:CJ$301,MATCH('배치점수 계산기'!$W620,환산공식!$A$16:$A$301,0)),1),"%")</f>
        <v>100%</v>
      </c>
      <c r="J620" s="41">
        <f>INDEX(환산공식!CK$16:CK$301,MATCH('배치점수 계산기'!$W620,환산공식!$A$16:$A$301,0))</f>
        <v>1.5</v>
      </c>
      <c r="K620" s="7">
        <f>INDEX(환산공식!$EF$16:$EF$301,MATCH('배치점수 계산기'!W620,환산공식!$A$16:$A$301,0))</f>
        <v>0</v>
      </c>
      <c r="L620" s="41" t="str">
        <f t="shared" si="100"/>
        <v>1% 이하</v>
      </c>
      <c r="M620" s="7">
        <v>513.09999999999991</v>
      </c>
      <c r="N620" s="7">
        <v>511.54999999999995</v>
      </c>
      <c r="O620" s="7">
        <v>509.20000000000005</v>
      </c>
      <c r="P620" s="7">
        <v>508.75</v>
      </c>
      <c r="Q620" s="7">
        <v>507.5</v>
      </c>
      <c r="R620" s="7">
        <f t="shared" si="101"/>
        <v>6</v>
      </c>
      <c r="T620" s="7">
        <f>COUNTIF($C$11:C620,C620)</f>
        <v>309</v>
      </c>
      <c r="U620" s="7" t="str">
        <f t="shared" si="103"/>
        <v>가309</v>
      </c>
      <c r="V620" s="7" t="str">
        <f>INDEX(환산공식!$C$16:$C$301,MATCH('배치점수 계산기'!W620,환산공식!$A$16:$A$301,0))</f>
        <v>강원 의약수</v>
      </c>
      <c r="W620" s="7">
        <f t="shared" si="104"/>
        <v>70</v>
      </c>
      <c r="X620" s="7">
        <f t="shared" si="105"/>
        <v>1</v>
      </c>
      <c r="Y620" s="7">
        <f>IFERROR(INDEX(환산공식!Q$16:Q$200,MATCH($A620,환산공식!$A$16:$A$200,0)),"")</f>
        <v>1</v>
      </c>
      <c r="Z620" s="7">
        <f>IFERROR(INDEX(환산공식!R$16:R$200,MATCH($A620,환산공식!$A$16:$A$200,0)),"")</f>
        <v>1.5</v>
      </c>
      <c r="AA620" s="7">
        <f>IFERROR(INDEX(환산공식!U$16:U$200,MATCH($A620,환산공식!$A$16:$A$200,0)),"")</f>
        <v>1.5</v>
      </c>
      <c r="AB620" s="7">
        <f t="shared" si="106"/>
        <v>0.25</v>
      </c>
      <c r="AC620" s="7">
        <f t="shared" si="107"/>
        <v>0.375</v>
      </c>
      <c r="AD620" s="7">
        <f t="shared" si="108"/>
        <v>0.375</v>
      </c>
      <c r="AE620" s="7">
        <f>INDEX(환산공식!$AF$16:$AF$301,MATCH('배치점수 계산기'!W620,환산공식!$A$16:$A$301,0))</f>
        <v>2</v>
      </c>
      <c r="AF620" s="7">
        <f>INDEX(환산공식!$AP$16:$AP$301,MATCH('배치점수 계산기'!W620,환산공식!$A$16:$A$301,0))</f>
        <v>2</v>
      </c>
      <c r="AG620" s="7" t="str">
        <f t="shared" si="109"/>
        <v>백분위</v>
      </c>
      <c r="AH620" s="7" t="str">
        <f t="shared" si="110"/>
        <v>백분위</v>
      </c>
      <c r="BO620" s="210"/>
      <c r="BP620" s="210"/>
      <c r="BQ620" s="210"/>
      <c r="BR620" s="210"/>
      <c r="BS620" s="210"/>
      <c r="BT620" s="210"/>
      <c r="BU620" s="210"/>
      <c r="BV620" s="210"/>
      <c r="BW620" s="210"/>
      <c r="BX620" s="210"/>
      <c r="BY620" s="210"/>
      <c r="BZ620" s="210"/>
      <c r="CA620" s="210"/>
      <c r="CB620" s="210"/>
      <c r="CC620" s="210"/>
      <c r="EM620" s="120"/>
      <c r="ET620" s="210"/>
      <c r="EU620" s="210"/>
      <c r="EV620" s="210"/>
      <c r="EW620" s="210"/>
      <c r="EX620" s="210"/>
      <c r="EY620" s="210"/>
      <c r="EZ620" s="210"/>
      <c r="FA620" s="210"/>
      <c r="FB620" s="210"/>
      <c r="FC620" s="210"/>
      <c r="FD620" s="210"/>
      <c r="FE620" s="210"/>
      <c r="FF620" s="210"/>
      <c r="FG620" s="210"/>
      <c r="FH620" s="210"/>
      <c r="HR620" s="120"/>
      <c r="HY620" s="210"/>
      <c r="HZ620" s="210"/>
      <c r="IA620" s="210"/>
      <c r="IB620" s="210"/>
      <c r="IC620" s="210"/>
      <c r="ID620" s="210"/>
      <c r="IE620" s="210"/>
      <c r="IF620" s="210"/>
      <c r="IG620" s="210"/>
      <c r="IH620" s="210"/>
      <c r="II620" s="210"/>
      <c r="IJ620" s="210"/>
      <c r="IK620" s="210"/>
      <c r="IL620" s="210"/>
      <c r="IM620" s="210"/>
      <c r="KW620" s="120"/>
      <c r="LD620" s="210"/>
      <c r="LE620" s="210"/>
      <c r="LF620" s="210"/>
      <c r="LG620" s="210"/>
      <c r="LH620" s="210"/>
      <c r="LI620" s="210"/>
      <c r="LJ620" s="210"/>
      <c r="LK620" s="210"/>
      <c r="LL620" s="210"/>
      <c r="LM620" s="210"/>
      <c r="LN620" s="210"/>
      <c r="LO620" s="210"/>
      <c r="LP620" s="210"/>
      <c r="LQ620" s="210"/>
      <c r="LR620" s="210"/>
      <c r="OB620" s="120"/>
      <c r="OI620" s="210"/>
      <c r="OJ620" s="210"/>
      <c r="OK620" s="210"/>
      <c r="OL620" s="210"/>
      <c r="OM620" s="210"/>
      <c r="ON620" s="210"/>
      <c r="OO620" s="210"/>
      <c r="OP620" s="210"/>
      <c r="OQ620" s="210"/>
      <c r="OR620" s="210"/>
      <c r="OS620" s="210"/>
      <c r="OT620" s="210"/>
      <c r="OU620" s="210"/>
      <c r="OV620" s="210"/>
      <c r="OW620" s="210"/>
      <c r="RG620" s="120"/>
    </row>
    <row r="621" spans="1:475" x14ac:dyDescent="0.3">
      <c r="A621" s="7">
        <v>74</v>
      </c>
      <c r="B621" s="7">
        <v>611</v>
      </c>
      <c r="C621" s="7" t="s">
        <v>276</v>
      </c>
      <c r="D621" s="7" t="s">
        <v>704</v>
      </c>
      <c r="E621" s="7" t="s">
        <v>700</v>
      </c>
      <c r="F621" s="7" t="s">
        <v>274</v>
      </c>
      <c r="G621" s="41" t="str">
        <f t="shared" si="102"/>
        <v>X</v>
      </c>
      <c r="H621" s="41">
        <f>INDEX(환산공식!CI$16:CI$301,MATCH('배치점수 계산기'!$W621,환산공식!$A$16:$A$301,0))</f>
        <v>200</v>
      </c>
      <c r="I621" s="41" t="str">
        <f>CONCATENATE(ROUND(INDEX(환산공식!CJ$16:CJ$301,MATCH('배치점수 계산기'!$W621,환산공식!$A$16:$A$301,0)),1),"%")</f>
        <v>100%</v>
      </c>
      <c r="J621" s="41">
        <f>INDEX(환산공식!CK$16:CK$301,MATCH('배치점수 계산기'!$W621,환산공식!$A$16:$A$301,0))</f>
        <v>0</v>
      </c>
      <c r="K621" s="7">
        <f>INDEX(환산공식!$EF$16:$EF$301,MATCH('배치점수 계산기'!W621,환산공식!$A$16:$A$301,0))</f>
        <v>0</v>
      </c>
      <c r="L621" s="41" t="str">
        <f t="shared" si="100"/>
        <v>1% 이하</v>
      </c>
      <c r="M621" s="7">
        <v>953.93896091782494</v>
      </c>
      <c r="N621" s="7">
        <v>950.97808438845595</v>
      </c>
      <c r="O621" s="7">
        <v>946.09586792276832</v>
      </c>
      <c r="P621" s="7">
        <v>944.88150359108295</v>
      </c>
      <c r="Q621" s="7">
        <v>942.25277492771193</v>
      </c>
      <c r="R621" s="7">
        <f t="shared" si="101"/>
        <v>6</v>
      </c>
      <c r="T621" s="7">
        <f>COUNTIF($C$11:C621,C621)</f>
        <v>310</v>
      </c>
      <c r="U621" s="7" t="str">
        <f t="shared" si="103"/>
        <v>가310</v>
      </c>
      <c r="V621" s="7" t="str">
        <f>INDEX(환산공식!$C$16:$C$301,MATCH('배치점수 계산기'!W621,환산공식!$A$16:$A$301,0))</f>
        <v>경상 의약수</v>
      </c>
      <c r="W621" s="7">
        <f t="shared" si="104"/>
        <v>74</v>
      </c>
      <c r="X621" s="7">
        <f t="shared" si="105"/>
        <v>1</v>
      </c>
      <c r="Y621" s="7">
        <f>IFERROR(INDEX(환산공식!Q$16:Q$200,MATCH($A621,환산공식!$A$16:$A$200,0)),"")</f>
        <v>1.6778523489932886</v>
      </c>
      <c r="Z621" s="7">
        <f>IFERROR(INDEX(환산공식!R$16:R$200,MATCH($A621,환산공식!$A$16:$A$200,0)),"")</f>
        <v>2.0408163265306123</v>
      </c>
      <c r="AA621" s="7">
        <f>IFERROR(INDEX(환산공식!U$16:U$200,MATCH($A621,환산공식!$A$16:$A$200,0)),"")</f>
        <v>1.9025875190258752</v>
      </c>
      <c r="AB621" s="7">
        <f t="shared" si="106"/>
        <v>0.29848352235219072</v>
      </c>
      <c r="AC621" s="7">
        <f t="shared" si="107"/>
        <v>0.36305342718756256</v>
      </c>
      <c r="AD621" s="7">
        <f t="shared" si="108"/>
        <v>0.33846305046024672</v>
      </c>
      <c r="AE621" s="7">
        <f>INDEX(환산공식!$AF$16:$AF$301,MATCH('배치점수 계산기'!W621,환산공식!$A$16:$A$301,0))</f>
        <v>12</v>
      </c>
      <c r="AF621" s="7">
        <f>INDEX(환산공식!$AP$16:$AP$301,MATCH('배치점수 계산기'!W621,환산공식!$A$16:$A$301,0))</f>
        <v>12</v>
      </c>
      <c r="AG621" s="7" t="str">
        <f t="shared" si="109"/>
        <v>표점/만점</v>
      </c>
      <c r="AH621" s="7" t="str">
        <f t="shared" si="110"/>
        <v>표점/만점</v>
      </c>
      <c r="BO621" s="210"/>
      <c r="BP621" s="210"/>
      <c r="BQ621" s="210"/>
      <c r="BR621" s="210"/>
      <c r="BS621" s="210"/>
      <c r="BT621" s="210"/>
      <c r="BU621" s="210"/>
      <c r="BV621" s="210"/>
      <c r="BW621" s="210"/>
      <c r="BX621" s="210"/>
      <c r="BY621" s="210"/>
      <c r="BZ621" s="210"/>
      <c r="CA621" s="210"/>
      <c r="CB621" s="210"/>
      <c r="CC621" s="210"/>
      <c r="EM621" s="120"/>
      <c r="ET621" s="210"/>
      <c r="EU621" s="210"/>
      <c r="EV621" s="210"/>
      <c r="EW621" s="210"/>
      <c r="EX621" s="210"/>
      <c r="EY621" s="210"/>
      <c r="EZ621" s="210"/>
      <c r="FA621" s="210"/>
      <c r="FB621" s="210"/>
      <c r="FC621" s="210"/>
      <c r="FD621" s="210"/>
      <c r="FE621" s="210"/>
      <c r="FF621" s="210"/>
      <c r="FG621" s="210"/>
      <c r="FH621" s="210"/>
      <c r="HR621" s="120"/>
      <c r="HY621" s="210"/>
      <c r="HZ621" s="210"/>
      <c r="IA621" s="210"/>
      <c r="IB621" s="210"/>
      <c r="IC621" s="210"/>
      <c r="ID621" s="210"/>
      <c r="IE621" s="210"/>
      <c r="IF621" s="210"/>
      <c r="IG621" s="210"/>
      <c r="IH621" s="210"/>
      <c r="II621" s="210"/>
      <c r="IJ621" s="210"/>
      <c r="IK621" s="210"/>
      <c r="IL621" s="210"/>
      <c r="IM621" s="210"/>
      <c r="KW621" s="120"/>
      <c r="LD621" s="210"/>
      <c r="LE621" s="210"/>
      <c r="LF621" s="210"/>
      <c r="LG621" s="210"/>
      <c r="LH621" s="210"/>
      <c r="LI621" s="210"/>
      <c r="LJ621" s="210"/>
      <c r="LK621" s="210"/>
      <c r="LL621" s="210"/>
      <c r="LM621" s="210"/>
      <c r="LN621" s="210"/>
      <c r="LO621" s="210"/>
      <c r="LP621" s="210"/>
      <c r="LQ621" s="210"/>
      <c r="LR621" s="210"/>
      <c r="OB621" s="120"/>
      <c r="OI621" s="210"/>
      <c r="OJ621" s="210"/>
      <c r="OK621" s="210"/>
      <c r="OL621" s="210"/>
      <c r="OM621" s="210"/>
      <c r="ON621" s="210"/>
      <c r="OO621" s="210"/>
      <c r="OP621" s="210"/>
      <c r="OQ621" s="210"/>
      <c r="OR621" s="210"/>
      <c r="OS621" s="210"/>
      <c r="OT621" s="210"/>
      <c r="OU621" s="210"/>
      <c r="OV621" s="210"/>
      <c r="OW621" s="210"/>
      <c r="RG621" s="120"/>
    </row>
    <row r="622" spans="1:475" x14ac:dyDescent="0.3">
      <c r="A622" s="7">
        <v>122</v>
      </c>
      <c r="B622" s="7">
        <v>612</v>
      </c>
      <c r="C622" s="7" t="s">
        <v>378</v>
      </c>
      <c r="D622" s="7" t="s">
        <v>703</v>
      </c>
      <c r="E622" s="7" t="s">
        <v>700</v>
      </c>
      <c r="F622" s="7" t="s">
        <v>274</v>
      </c>
      <c r="G622" s="41" t="str">
        <f t="shared" si="102"/>
        <v>X</v>
      </c>
      <c r="H622" s="41">
        <f>INDEX(환산공식!CI$16:CI$301,MATCH('배치점수 계산기'!$W622,환산공식!$A$16:$A$301,0))</f>
        <v>200</v>
      </c>
      <c r="I622" s="41" t="str">
        <f>CONCATENATE(ROUND(INDEX(환산공식!CJ$16:CJ$301,MATCH('배치점수 계산기'!$W622,환산공식!$A$16:$A$301,0)),1),"%")</f>
        <v>100%</v>
      </c>
      <c r="J622" s="41">
        <f>INDEX(환산공식!CK$16:CK$301,MATCH('배치점수 계산기'!$W622,환산공식!$A$16:$A$301,0))</f>
        <v>10</v>
      </c>
      <c r="K622" s="7">
        <f>INDEX(환산공식!$EF$16:$EF$301,MATCH('배치점수 계산기'!W622,환산공식!$A$16:$A$301,0))</f>
        <v>0</v>
      </c>
      <c r="L622" s="41" t="str">
        <f t="shared" si="100"/>
        <v>1% 이하</v>
      </c>
      <c r="M622" s="7">
        <v>1031</v>
      </c>
      <c r="N622" s="7">
        <v>1024.5999999999999</v>
      </c>
      <c r="O622" s="7">
        <v>1022.8000000000002</v>
      </c>
      <c r="P622" s="7">
        <v>1020.5000000000001</v>
      </c>
      <c r="Q622" s="7">
        <v>1018.3</v>
      </c>
      <c r="R622" s="7">
        <f t="shared" si="101"/>
        <v>6</v>
      </c>
      <c r="T622" s="7">
        <f>COUNTIF($C$11:C622,C622)</f>
        <v>38</v>
      </c>
      <c r="U622" s="7" t="str">
        <f t="shared" si="103"/>
        <v>다38</v>
      </c>
      <c r="V622" s="7" t="str">
        <f>INDEX(환산공식!$C$16:$C$301,MATCH('배치점수 계산기'!W622,환산공식!$A$16:$A$301,0))</f>
        <v>제주 의약수</v>
      </c>
      <c r="W622" s="7">
        <f t="shared" si="104"/>
        <v>122</v>
      </c>
      <c r="X622" s="7">
        <f t="shared" si="105"/>
        <v>1</v>
      </c>
      <c r="Y622" s="7">
        <f>IFERROR(INDEX(환산공식!Q$16:Q$200,MATCH($A622,환산공식!$A$16:$A$200,0)),"")</f>
        <v>2</v>
      </c>
      <c r="Z622" s="7">
        <f>IFERROR(INDEX(환산공식!R$16:R$200,MATCH($A622,환산공식!$A$16:$A$200,0)),"")</f>
        <v>3</v>
      </c>
      <c r="AA622" s="7">
        <f>IFERROR(INDEX(환산공식!U$16:U$200,MATCH($A622,환산공식!$A$16:$A$200,0)),"")</f>
        <v>3</v>
      </c>
      <c r="AB622" s="7">
        <f t="shared" si="106"/>
        <v>0.25</v>
      </c>
      <c r="AC622" s="7">
        <f t="shared" si="107"/>
        <v>0.375</v>
      </c>
      <c r="AD622" s="7">
        <f t="shared" si="108"/>
        <v>0.375</v>
      </c>
      <c r="AE622" s="7">
        <f>INDEX(환산공식!$AF$16:$AF$301,MATCH('배치점수 계산기'!W622,환산공식!$A$16:$A$301,0))</f>
        <v>2</v>
      </c>
      <c r="AF622" s="7">
        <f>INDEX(환산공식!$AP$16:$AP$301,MATCH('배치점수 계산기'!W622,환산공식!$A$16:$A$301,0))</f>
        <v>2</v>
      </c>
      <c r="AG622" s="7" t="str">
        <f t="shared" si="109"/>
        <v>백분위</v>
      </c>
      <c r="AH622" s="7" t="str">
        <f t="shared" si="110"/>
        <v>백분위</v>
      </c>
      <c r="BO622" s="210"/>
      <c r="BP622" s="210"/>
      <c r="BQ622" s="210"/>
      <c r="BR622" s="210"/>
      <c r="BS622" s="210"/>
      <c r="BT622" s="210"/>
      <c r="BU622" s="210"/>
      <c r="BV622" s="210"/>
      <c r="BW622" s="210"/>
      <c r="BX622" s="210"/>
      <c r="BY622" s="210"/>
      <c r="BZ622" s="210"/>
      <c r="CA622" s="210"/>
      <c r="CB622" s="210"/>
      <c r="CC622" s="210"/>
      <c r="EM622" s="120"/>
      <c r="ET622" s="210"/>
      <c r="EU622" s="210"/>
      <c r="EV622" s="210"/>
      <c r="EW622" s="210"/>
      <c r="EX622" s="210"/>
      <c r="EY622" s="210"/>
      <c r="EZ622" s="210"/>
      <c r="FA622" s="210"/>
      <c r="FB622" s="210"/>
      <c r="FC622" s="210"/>
      <c r="FD622" s="210"/>
      <c r="FE622" s="210"/>
      <c r="FF622" s="210"/>
      <c r="FG622" s="210"/>
      <c r="FH622" s="210"/>
      <c r="HR622" s="120"/>
      <c r="HY622" s="210"/>
      <c r="HZ622" s="210"/>
      <c r="IA622" s="210"/>
      <c r="IB622" s="210"/>
      <c r="IC622" s="210"/>
      <c r="ID622" s="210"/>
      <c r="IE622" s="210"/>
      <c r="IF622" s="210"/>
      <c r="IG622" s="210"/>
      <c r="IH622" s="210"/>
      <c r="II622" s="210"/>
      <c r="IJ622" s="210"/>
      <c r="IK622" s="210"/>
      <c r="IL622" s="210"/>
      <c r="IM622" s="210"/>
      <c r="KW622" s="120"/>
      <c r="LD622" s="210"/>
      <c r="LE622" s="210"/>
      <c r="LF622" s="210"/>
      <c r="LG622" s="210"/>
      <c r="LH622" s="210"/>
      <c r="LI622" s="210"/>
      <c r="LJ622" s="210"/>
      <c r="LK622" s="210"/>
      <c r="LL622" s="210"/>
      <c r="LM622" s="210"/>
      <c r="LN622" s="210"/>
      <c r="LO622" s="210"/>
      <c r="LP622" s="210"/>
      <c r="LQ622" s="210"/>
      <c r="LR622" s="210"/>
      <c r="OB622" s="120"/>
      <c r="OI622" s="210"/>
      <c r="OJ622" s="210"/>
      <c r="OK622" s="210"/>
      <c r="OL622" s="210"/>
      <c r="OM622" s="210"/>
      <c r="ON622" s="210"/>
      <c r="OO622" s="210"/>
      <c r="OP622" s="210"/>
      <c r="OQ622" s="210"/>
      <c r="OR622" s="210"/>
      <c r="OS622" s="210"/>
      <c r="OT622" s="210"/>
      <c r="OU622" s="210"/>
      <c r="OV622" s="210"/>
      <c r="OW622" s="210"/>
      <c r="RG622" s="120"/>
    </row>
    <row r="623" spans="1:475" x14ac:dyDescent="0.3">
      <c r="A623" s="7">
        <v>120</v>
      </c>
      <c r="B623" s="7">
        <v>613</v>
      </c>
      <c r="C623" s="7" t="s">
        <v>346</v>
      </c>
      <c r="D623" s="7" t="s">
        <v>702</v>
      </c>
      <c r="E623" s="7" t="s">
        <v>700</v>
      </c>
      <c r="F623" s="7" t="s">
        <v>274</v>
      </c>
      <c r="G623" s="41" t="str">
        <f t="shared" si="102"/>
        <v>X</v>
      </c>
      <c r="H623" s="41">
        <f>INDEX(환산공식!CI$16:CI$301,MATCH('배치점수 계산기'!$W623,환산공식!$A$16:$A$301,0))</f>
        <v>200</v>
      </c>
      <c r="I623" s="41" t="str">
        <f>CONCATENATE(ROUND(INDEX(환산공식!CJ$16:CJ$301,MATCH('배치점수 계산기'!$W623,환산공식!$A$16:$A$301,0)),1),"%")</f>
        <v>100%</v>
      </c>
      <c r="J623" s="41">
        <f>INDEX(환산공식!CK$16:CK$301,MATCH('배치점수 계산기'!$W623,환산공식!$A$16:$A$301,0))</f>
        <v>10</v>
      </c>
      <c r="K623" s="7">
        <f>INDEX(환산공식!$EF$16:$EF$301,MATCH('배치점수 계산기'!W623,환산공식!$A$16:$A$301,0))</f>
        <v>0</v>
      </c>
      <c r="L623" s="41" t="str">
        <f t="shared" si="100"/>
        <v>1% 이하</v>
      </c>
      <c r="M623" s="7">
        <v>926.02839044777568</v>
      </c>
      <c r="N623" s="7">
        <v>923.84926519207909</v>
      </c>
      <c r="O623" s="7">
        <v>922.64210799552723</v>
      </c>
      <c r="P623" s="7">
        <v>921.51478473429302</v>
      </c>
      <c r="Q623" s="7">
        <v>919.83083589681939</v>
      </c>
      <c r="R623" s="7">
        <f t="shared" si="101"/>
        <v>6</v>
      </c>
      <c r="T623" s="7">
        <f>COUNTIF($C$11:C623,C623)</f>
        <v>253</v>
      </c>
      <c r="U623" s="7" t="str">
        <f t="shared" si="103"/>
        <v>나253</v>
      </c>
      <c r="V623" s="7" t="str">
        <f>INDEX(환산공식!$C$16:$C$301,MATCH('배치점수 계산기'!W623,환산공식!$A$16:$A$301,0))</f>
        <v>전남 의치약수</v>
      </c>
      <c r="W623" s="7">
        <f t="shared" si="104"/>
        <v>120</v>
      </c>
      <c r="X623" s="7">
        <f t="shared" si="105"/>
        <v>1</v>
      </c>
      <c r="Y623" s="7">
        <f>IFERROR(INDEX(환산공식!Q$16:Q$200,MATCH($A623,환산공식!$A$16:$A$200,0)),"")</f>
        <v>1.6107382550335569</v>
      </c>
      <c r="Z623" s="7">
        <f>IFERROR(INDEX(환산공식!R$16:R$200,MATCH($A623,환산공식!$A$16:$A$200,0)),"")</f>
        <v>2.1768707482993199</v>
      </c>
      <c r="AA623" s="7">
        <f>IFERROR(INDEX(환산공식!U$16:U$200,MATCH($A623,환산공식!$A$16:$A$200,0)),"")</f>
        <v>1.6870518768452132</v>
      </c>
      <c r="AB623" s="7">
        <f t="shared" si="106"/>
        <v>0.2942169917529503</v>
      </c>
      <c r="AC623" s="7">
        <f t="shared" si="107"/>
        <v>0.39762659202893064</v>
      </c>
      <c r="AD623" s="7">
        <f t="shared" si="108"/>
        <v>0.30815641621811896</v>
      </c>
      <c r="AE623" s="7">
        <f>INDEX(환산공식!$AF$16:$AF$301,MATCH('배치점수 계산기'!W623,환산공식!$A$16:$A$301,0))</f>
        <v>12</v>
      </c>
      <c r="AF623" s="7">
        <f>INDEX(환산공식!$AP$16:$AP$301,MATCH('배치점수 계산기'!W623,환산공식!$A$16:$A$301,0))</f>
        <v>42</v>
      </c>
      <c r="AG623" s="7" t="str">
        <f t="shared" si="109"/>
        <v>표점/만점</v>
      </c>
      <c r="AH623" s="7" t="str">
        <f t="shared" si="110"/>
        <v>변표/만점</v>
      </c>
      <c r="BO623" s="210"/>
      <c r="BP623" s="210"/>
      <c r="BQ623" s="210"/>
      <c r="BR623" s="210"/>
      <c r="BS623" s="210"/>
      <c r="BT623" s="210"/>
      <c r="BU623" s="210"/>
      <c r="BV623" s="210"/>
      <c r="BW623" s="210"/>
      <c r="BX623" s="210"/>
      <c r="BY623" s="210"/>
      <c r="BZ623" s="210"/>
      <c r="CA623" s="210"/>
      <c r="CB623" s="210"/>
      <c r="CC623" s="210"/>
      <c r="EM623" s="120"/>
      <c r="ET623" s="210"/>
      <c r="EU623" s="210"/>
      <c r="EV623" s="210"/>
      <c r="EW623" s="210"/>
      <c r="EX623" s="210"/>
      <c r="EY623" s="210"/>
      <c r="EZ623" s="210"/>
      <c r="FA623" s="210"/>
      <c r="FB623" s="210"/>
      <c r="FC623" s="210"/>
      <c r="FD623" s="210"/>
      <c r="FE623" s="210"/>
      <c r="FF623" s="210"/>
      <c r="FG623" s="210"/>
      <c r="FH623" s="210"/>
      <c r="HR623" s="120"/>
      <c r="HY623" s="210"/>
      <c r="HZ623" s="210"/>
      <c r="IA623" s="210"/>
      <c r="IB623" s="210"/>
      <c r="IC623" s="210"/>
      <c r="ID623" s="210"/>
      <c r="IE623" s="210"/>
      <c r="IF623" s="210"/>
      <c r="IG623" s="210"/>
      <c r="IH623" s="210"/>
      <c r="II623" s="210"/>
      <c r="IJ623" s="210"/>
      <c r="IK623" s="210"/>
      <c r="IL623" s="210"/>
      <c r="IM623" s="210"/>
      <c r="KW623" s="120"/>
      <c r="LD623" s="210"/>
      <c r="LE623" s="210"/>
      <c r="LF623" s="210"/>
      <c r="LG623" s="210"/>
      <c r="LH623" s="210"/>
      <c r="LI623" s="210"/>
      <c r="LJ623" s="210"/>
      <c r="LK623" s="210"/>
      <c r="LL623" s="210"/>
      <c r="LM623" s="210"/>
      <c r="LN623" s="210"/>
      <c r="LO623" s="210"/>
      <c r="LP623" s="210"/>
      <c r="LQ623" s="210"/>
      <c r="LR623" s="210"/>
      <c r="OB623" s="120"/>
      <c r="OI623" s="210"/>
      <c r="OJ623" s="210"/>
      <c r="OK623" s="210"/>
      <c r="OL623" s="210"/>
      <c r="OM623" s="210"/>
      <c r="ON623" s="210"/>
      <c r="OO623" s="210"/>
      <c r="OP623" s="210"/>
      <c r="OQ623" s="210"/>
      <c r="OR623" s="210"/>
      <c r="OS623" s="210"/>
      <c r="OT623" s="210"/>
      <c r="OU623" s="210"/>
      <c r="OV623" s="210"/>
      <c r="OW623" s="210"/>
      <c r="RG623" s="120"/>
    </row>
    <row r="624" spans="1:475" x14ac:dyDescent="0.3">
      <c r="A624" s="7">
        <v>121</v>
      </c>
      <c r="B624" s="7">
        <v>614</v>
      </c>
      <c r="C624" s="7" t="s">
        <v>346</v>
      </c>
      <c r="D624" s="7" t="s">
        <v>701</v>
      </c>
      <c r="E624" s="7" t="s">
        <v>700</v>
      </c>
      <c r="F624" s="7" t="s">
        <v>274</v>
      </c>
      <c r="G624" s="41" t="str">
        <f t="shared" si="102"/>
        <v>X</v>
      </c>
      <c r="H624" s="41">
        <f>INDEX(환산공식!CI$16:CI$301,MATCH('배치점수 계산기'!$W624,환산공식!$A$16:$A$301,0))</f>
        <v>30</v>
      </c>
      <c r="I624" s="41" t="str">
        <f>CONCATENATE(ROUND(INDEX(환산공식!CJ$16:CJ$301,MATCH('배치점수 계산기'!$W624,환산공식!$A$16:$A$301,0)),1),"%")</f>
        <v>100%</v>
      </c>
      <c r="J624" s="41">
        <f>INDEX(환산공식!CK$16:CK$301,MATCH('배치점수 계산기'!$W624,환산공식!$A$16:$A$301,0))</f>
        <v>5</v>
      </c>
      <c r="K624" s="7">
        <f>INDEX(환산공식!$EF$16:$EF$301,MATCH('배치점수 계산기'!W624,환산공식!$A$16:$A$301,0))</f>
        <v>0</v>
      </c>
      <c r="L624" s="41" t="str">
        <f t="shared" si="100"/>
        <v>1% 이하</v>
      </c>
      <c r="M624" s="7">
        <v>366.5530849056604</v>
      </c>
      <c r="N624" s="7">
        <v>365.54250000000002</v>
      </c>
      <c r="O624" s="7">
        <v>364.98250000000002</v>
      </c>
      <c r="P624" s="7">
        <v>364.45559017223917</v>
      </c>
      <c r="Q624" s="7">
        <v>363.67060436769935</v>
      </c>
      <c r="R624" s="7">
        <f t="shared" si="101"/>
        <v>6</v>
      </c>
      <c r="T624" s="7">
        <f>COUNTIF($C$11:C624,C624)</f>
        <v>254</v>
      </c>
      <c r="U624" s="7" t="str">
        <f t="shared" si="103"/>
        <v>나254</v>
      </c>
      <c r="V624" s="7" t="str">
        <f>INDEX(환산공식!$C$16:$C$301,MATCH('배치점수 계산기'!W624,환산공식!$A$16:$A$301,0))</f>
        <v>전북 의치약수</v>
      </c>
      <c r="W624" s="7">
        <f t="shared" si="104"/>
        <v>121</v>
      </c>
      <c r="X624" s="7">
        <f t="shared" si="105"/>
        <v>1</v>
      </c>
      <c r="Y624" s="7">
        <f>IFERROR(INDEX(환산공식!Q$16:Q$200,MATCH($A624,환산공식!$A$16:$A$200,0)),"")</f>
        <v>0.75</v>
      </c>
      <c r="Z624" s="7">
        <f>IFERROR(INDEX(환산공식!R$16:R$200,MATCH($A624,환산공식!$A$16:$A$200,0)),"")</f>
        <v>1</v>
      </c>
      <c r="AA624" s="7">
        <f>IFERROR(INDEX(환산공식!U$16:U$200,MATCH($A624,환산공식!$A$16:$A$200,0)),"")</f>
        <v>0.75</v>
      </c>
      <c r="AB624" s="7">
        <f t="shared" si="106"/>
        <v>0.3</v>
      </c>
      <c r="AC624" s="7">
        <f t="shared" si="107"/>
        <v>0.4</v>
      </c>
      <c r="AD624" s="7">
        <f t="shared" si="108"/>
        <v>0.3</v>
      </c>
      <c r="AE624" s="7">
        <f>INDEX(환산공식!$AF$16:$AF$301,MATCH('배치점수 계산기'!W624,환산공식!$A$16:$A$301,0))</f>
        <v>1</v>
      </c>
      <c r="AF624" s="7">
        <f>INDEX(환산공식!$AP$16:$AP$301,MATCH('배치점수 계산기'!W624,환산공식!$A$16:$A$301,0))</f>
        <v>4</v>
      </c>
      <c r="AG624" s="7" t="str">
        <f t="shared" si="109"/>
        <v>표점</v>
      </c>
      <c r="AH624" s="7" t="str">
        <f t="shared" si="110"/>
        <v>변표</v>
      </c>
      <c r="BO624" s="210"/>
      <c r="BP624" s="210"/>
      <c r="BQ624" s="210"/>
      <c r="BR624" s="210"/>
      <c r="BS624" s="210"/>
      <c r="BT624" s="210"/>
      <c r="BU624" s="210"/>
      <c r="BV624" s="210"/>
      <c r="BW624" s="210"/>
      <c r="BX624" s="210"/>
      <c r="BY624" s="210"/>
      <c r="BZ624" s="210"/>
      <c r="CA624" s="210"/>
      <c r="CB624" s="210"/>
      <c r="CC624" s="210"/>
      <c r="EM624" s="120"/>
      <c r="ET624" s="210"/>
      <c r="EU624" s="210"/>
      <c r="EV624" s="210"/>
      <c r="EW624" s="210"/>
      <c r="EX624" s="210"/>
      <c r="EY624" s="210"/>
      <c r="EZ624" s="210"/>
      <c r="FA624" s="210"/>
      <c r="FB624" s="210"/>
      <c r="FC624" s="210"/>
      <c r="FD624" s="210"/>
      <c r="FE624" s="210"/>
      <c r="FF624" s="210"/>
      <c r="FG624" s="210"/>
      <c r="FH624" s="210"/>
      <c r="HR624" s="120"/>
      <c r="HY624" s="210"/>
      <c r="HZ624" s="210"/>
      <c r="IA624" s="210"/>
      <c r="IB624" s="210"/>
      <c r="IC624" s="210"/>
      <c r="ID624" s="210"/>
      <c r="IE624" s="210"/>
      <c r="IF624" s="210"/>
      <c r="IG624" s="210"/>
      <c r="IH624" s="210"/>
      <c r="II624" s="210"/>
      <c r="IJ624" s="210"/>
      <c r="IK624" s="210"/>
      <c r="IL624" s="210"/>
      <c r="IM624" s="210"/>
      <c r="KW624" s="120"/>
      <c r="LD624" s="210"/>
      <c r="LE624" s="210"/>
      <c r="LF624" s="210"/>
      <c r="LG624" s="210"/>
      <c r="LH624" s="210"/>
      <c r="LI624" s="210"/>
      <c r="LJ624" s="210"/>
      <c r="LK624" s="210"/>
      <c r="LL624" s="210"/>
      <c r="LM624" s="210"/>
      <c r="LN624" s="210"/>
      <c r="LO624" s="210"/>
      <c r="LP624" s="210"/>
      <c r="LQ624" s="210"/>
      <c r="LR624" s="210"/>
      <c r="OB624" s="120"/>
      <c r="OI624" s="210"/>
      <c r="OJ624" s="210"/>
      <c r="OK624" s="210"/>
      <c r="OL624" s="210"/>
      <c r="OM624" s="210"/>
      <c r="ON624" s="210"/>
      <c r="OO624" s="210"/>
      <c r="OP624" s="210"/>
      <c r="OQ624" s="210"/>
      <c r="OR624" s="210"/>
      <c r="OS624" s="210"/>
      <c r="OT624" s="210"/>
      <c r="OU624" s="210"/>
      <c r="OV624" s="210"/>
      <c r="OW624" s="210"/>
      <c r="RG624" s="120"/>
    </row>
    <row r="625" spans="12:475" x14ac:dyDescent="0.3">
      <c r="L625" s="41"/>
      <c r="BO625" s="210"/>
      <c r="BP625" s="210"/>
      <c r="BQ625" s="210"/>
      <c r="BR625" s="210"/>
      <c r="BS625" s="210"/>
      <c r="BT625" s="210"/>
      <c r="BU625" s="210"/>
      <c r="BV625" s="210"/>
      <c r="BW625" s="210"/>
      <c r="BX625" s="210"/>
      <c r="BY625" s="210"/>
      <c r="BZ625" s="210"/>
      <c r="CA625" s="210"/>
      <c r="CB625" s="210"/>
      <c r="CC625" s="210"/>
      <c r="EM625" s="120"/>
      <c r="ET625" s="210"/>
      <c r="EU625" s="210"/>
      <c r="EV625" s="210"/>
      <c r="EW625" s="210"/>
      <c r="EX625" s="210"/>
      <c r="EY625" s="210"/>
      <c r="EZ625" s="210"/>
      <c r="FA625" s="210"/>
      <c r="FB625" s="210"/>
      <c r="FC625" s="210"/>
      <c r="FD625" s="210"/>
      <c r="FE625" s="210"/>
      <c r="FF625" s="210"/>
      <c r="FG625" s="210"/>
      <c r="FH625" s="210"/>
      <c r="HR625" s="120"/>
      <c r="HY625" s="210"/>
      <c r="HZ625" s="210"/>
      <c r="IA625" s="210"/>
      <c r="IB625" s="210"/>
      <c r="IC625" s="210"/>
      <c r="ID625" s="210"/>
      <c r="IE625" s="210"/>
      <c r="IF625" s="210"/>
      <c r="IG625" s="210"/>
      <c r="IH625" s="210"/>
      <c r="II625" s="210"/>
      <c r="IJ625" s="210"/>
      <c r="IK625" s="210"/>
      <c r="IL625" s="210"/>
      <c r="IM625" s="210"/>
      <c r="KW625" s="120"/>
      <c r="LD625" s="210"/>
      <c r="LE625" s="210"/>
      <c r="LF625" s="210"/>
      <c r="LG625" s="210"/>
      <c r="LH625" s="210"/>
      <c r="LI625" s="210"/>
      <c r="LJ625" s="210"/>
      <c r="LK625" s="210"/>
      <c r="LL625" s="210"/>
      <c r="LM625" s="210"/>
      <c r="LN625" s="210"/>
      <c r="LO625" s="210"/>
      <c r="LP625" s="210"/>
      <c r="LQ625" s="210"/>
      <c r="LR625" s="210"/>
      <c r="OB625" s="120"/>
      <c r="OI625" s="210"/>
      <c r="OJ625" s="210"/>
      <c r="OK625" s="210"/>
      <c r="OL625" s="210"/>
      <c r="OM625" s="210"/>
      <c r="ON625" s="210"/>
      <c r="OO625" s="210"/>
      <c r="OP625" s="210"/>
      <c r="OQ625" s="210"/>
      <c r="OR625" s="210"/>
      <c r="OS625" s="210"/>
      <c r="OT625" s="210"/>
      <c r="OU625" s="210"/>
      <c r="OV625" s="210"/>
      <c r="OW625" s="210"/>
      <c r="RG625" s="120"/>
    </row>
  </sheetData>
  <sheetProtection algorithmName="SHA-512" hashValue="T0OuvtxroBsL/cOUrHfewSDcYvjbC8YBUxxYxtbA/dtH9X22ibTRVvyOjWOG5wI3CODfasBDiWYUp7S8ejpiSA==" saltValue="dzCP1wFrr7oyXW9f63MSxA==" spinCount="100000" sheet="1"/>
  <phoneticPr fontId="2" type="noConversion"/>
  <conditionalFormatting sqref="V11:V989">
    <cfRule type="expression" priority="30" stopIfTrue="1">
      <formula>#REF!=""</formula>
    </cfRule>
    <cfRule type="expression" dxfId="9" priority="31">
      <formula>NOT($V11=#REF!)</formula>
    </cfRule>
  </conditionalFormatting>
  <conditionalFormatting sqref="W11:AI989">
    <cfRule type="expression" priority="32" stopIfTrue="1">
      <formula>#REF!=""</formula>
    </cfRule>
    <cfRule type="expression" dxfId="8" priority="33">
      <formula>NOT($W11=#REF!)</formula>
    </cfRule>
  </conditionalFormatting>
  <conditionalFormatting sqref="T3">
    <cfRule type="cellIs" dxfId="7" priority="4" operator="greaterThan">
      <formula>0</formula>
    </cfRule>
  </conditionalFormatting>
  <conditionalFormatting sqref="S3">
    <cfRule type="cellIs" dxfId="6" priority="3" operator="greaterThan">
      <formula>0</formula>
    </cfRule>
  </conditionalFormatting>
  <conditionalFormatting sqref="M11:Q1000">
    <cfRule type="expression" dxfId="5" priority="1">
      <formula>AND($EO11&gt;0,NOT(AND($B11=$EO11,$HT11=$KY11,$OD11=$RI11)))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E4BA0-1497-4DF6-B291-5493C9112BFE}">
  <dimension ref="A1:FA133"/>
  <sheetViews>
    <sheetView workbookViewId="0">
      <pane xSplit="3" ySplit="15" topLeftCell="D16" activePane="bottomRight" state="frozen"/>
      <selection pane="topRight" activeCell="C1" sqref="C1"/>
      <selection pane="bottomLeft" activeCell="A15" sqref="A15"/>
      <selection pane="bottomRight" activeCell="AQ15" sqref="AQ15:BG15"/>
    </sheetView>
  </sheetViews>
  <sheetFormatPr defaultRowHeight="16.5" x14ac:dyDescent="0.3"/>
  <cols>
    <col min="1" max="2" width="4.875" style="7" customWidth="1"/>
    <col min="3" max="3" width="16.125" style="7" customWidth="1"/>
    <col min="4" max="4" width="17" style="7" customWidth="1"/>
    <col min="5" max="11" width="9" style="7"/>
    <col min="12" max="12" width="8" style="7" customWidth="1"/>
    <col min="13" max="16" width="9" style="7"/>
    <col min="17" max="21" width="6" style="7" customWidth="1"/>
    <col min="22" max="22" width="5.875" style="7" customWidth="1"/>
    <col min="23" max="23" width="8.125" style="7" customWidth="1"/>
    <col min="24" max="30" width="5.875" style="7" customWidth="1"/>
    <col min="31" max="51" width="6.25" style="7" customWidth="1"/>
    <col min="52" max="52" width="9" style="7"/>
    <col min="53" max="59" width="7.125" style="7" customWidth="1"/>
    <col min="60" max="60" width="7.125" style="121" customWidth="1"/>
    <col min="61" max="62" width="7.125" style="7" customWidth="1"/>
    <col min="63" max="63" width="10.75" style="7" customWidth="1"/>
    <col min="64" max="68" width="7.125" style="7" customWidth="1"/>
    <col min="69" max="69" width="7.125" style="121" customWidth="1"/>
    <col min="70" max="77" width="7.125" style="7" customWidth="1"/>
    <col min="78" max="78" width="7.125" style="121" customWidth="1"/>
    <col min="79" max="90" width="7.125" style="7" customWidth="1"/>
    <col min="91" max="92" width="7.375" style="7" customWidth="1"/>
    <col min="93" max="93" width="6.5" style="121" customWidth="1"/>
    <col min="94" max="94" width="7.125" style="7" customWidth="1"/>
    <col min="95" max="97" width="6.5" style="7" customWidth="1"/>
    <col min="98" max="101" width="9" style="7"/>
    <col min="102" max="102" width="9" style="121"/>
    <col min="103" max="103" width="3.875" style="7" customWidth="1"/>
    <col min="104" max="105" width="9.25" style="7" customWidth="1"/>
    <col min="106" max="106" width="9.875" style="7" customWidth="1"/>
    <col min="107" max="129" width="9" style="7"/>
    <col min="130" max="130" width="10.25" style="7" customWidth="1"/>
    <col min="131" max="16384" width="9" style="7"/>
  </cols>
  <sheetData>
    <row r="1" spans="1:157" x14ac:dyDescent="0.3">
      <c r="X1" s="120"/>
      <c r="BG1" s="107"/>
      <c r="BH1" s="107"/>
      <c r="BP1" s="107"/>
      <c r="BQ1" s="107"/>
      <c r="BY1" s="107"/>
      <c r="BZ1" s="107"/>
      <c r="CN1" s="107"/>
      <c r="CO1" s="107"/>
    </row>
    <row r="2" spans="1:157" x14ac:dyDescent="0.3">
      <c r="D2" s="39"/>
      <c r="E2" s="7" t="str">
        <f>'   본인점수 입력   '!AC2</f>
        <v>(1~2)</v>
      </c>
      <c r="F2" s="7" t="str">
        <f>'   본인점수 입력   '!AD2</f>
        <v>(3~5)</v>
      </c>
      <c r="G2" s="7" t="str">
        <f>'   본인점수 입력   '!AE2</f>
        <v>(6~13)</v>
      </c>
      <c r="H2" s="7">
        <f>'   본인점수 입력   '!AF2</f>
        <v>0</v>
      </c>
      <c r="I2" s="7" t="str">
        <f>'   본인점수 입력   '!AG2</f>
        <v>(10~13)</v>
      </c>
      <c r="J2" s="7" t="str">
        <f>'   본인점수 입력   '!AH2</f>
        <v>(14~22)</v>
      </c>
      <c r="K2" s="7">
        <f>'   본인점수 입력   '!AI2</f>
        <v>0</v>
      </c>
      <c r="L2" s="7">
        <f>'   본인점수 입력   '!AJ2</f>
        <v>23</v>
      </c>
      <c r="M2" s="7">
        <f>'   본인점수 입력   '!AK2</f>
        <v>24</v>
      </c>
      <c r="N2" s="7">
        <f>'   본인점수 입력   '!AL2</f>
        <v>25</v>
      </c>
      <c r="V2" s="122" t="s">
        <v>667</v>
      </c>
      <c r="AY2" s="7" t="str">
        <f>'   본인점수 입력   '!B5</f>
        <v>국어</v>
      </c>
      <c r="BA2" s="7" t="str">
        <f>'   본인점수 입력   '!D5</f>
        <v>수학</v>
      </c>
      <c r="BD2" s="7" t="str">
        <f>'   본인점수 입력   '!G5</f>
        <v>과탐</v>
      </c>
      <c r="BG2" s="107"/>
      <c r="BH2" s="107"/>
      <c r="BL2" s="7" t="str">
        <f>'   본인점수 입력   '!O5</f>
        <v>사탐</v>
      </c>
      <c r="BP2" s="107"/>
      <c r="BQ2" s="107"/>
      <c r="BU2" s="7" t="str">
        <f>'   본인점수 입력   '!X5</f>
        <v>영어</v>
      </c>
      <c r="BV2" s="7" t="str">
        <f>'   본인점수 입력   '!Y5</f>
        <v>한국사</v>
      </c>
      <c r="BW2" s="7" t="str">
        <f>'   본인점수 입력   '!Z5</f>
        <v>제2외국어</v>
      </c>
      <c r="BY2" s="107"/>
      <c r="BZ2" s="107"/>
      <c r="CN2" s="107"/>
      <c r="CO2" s="107"/>
      <c r="DK2" s="7" t="str">
        <f>BU2</f>
        <v>영어</v>
      </c>
      <c r="DL2" s="7" t="str">
        <f>BV2</f>
        <v>한국사</v>
      </c>
      <c r="DM2" s="7" t="str">
        <f>BW2</f>
        <v>제2외국어</v>
      </c>
      <c r="DO2" s="7" t="s">
        <v>112</v>
      </c>
    </row>
    <row r="3" spans="1:157" x14ac:dyDescent="0.3">
      <c r="E3" s="7" t="str">
        <f>'   본인점수 입력   '!AC3</f>
        <v>적용점수</v>
      </c>
      <c r="F3" s="7">
        <f>'   본인점수 입력   '!AD3</f>
        <v>0</v>
      </c>
      <c r="G3" s="7">
        <f>'   본인점수 입력   '!AE3</f>
        <v>0</v>
      </c>
      <c r="H3" s="7">
        <f>'   본인점수 입력   '!AF3</f>
        <v>0</v>
      </c>
      <c r="I3" s="7">
        <f>'   본인점수 입력   '!AG3</f>
        <v>0</v>
      </c>
      <c r="J3" s="7">
        <f>'   본인점수 입력   '!AH3</f>
        <v>0</v>
      </c>
      <c r="K3" s="7">
        <f>'   본인점수 입력   '!AI3</f>
        <v>0</v>
      </c>
      <c r="L3" s="7">
        <f>'   본인점수 입력   '!AJ3</f>
        <v>0</v>
      </c>
      <c r="M3" s="7">
        <f>'   본인점수 입력   '!AK3</f>
        <v>0</v>
      </c>
      <c r="N3" s="7">
        <f>'   본인점수 입력   '!AL3</f>
        <v>0</v>
      </c>
      <c r="AF3" s="7" t="str">
        <f t="shared" ref="AF3:AL9" si="0">E6</f>
        <v>국어</v>
      </c>
      <c r="AG3" s="7" t="str">
        <f t="shared" si="0"/>
        <v>수학</v>
      </c>
      <c r="AH3" s="7" t="str">
        <f t="shared" si="0"/>
        <v>과탐1</v>
      </c>
      <c r="AI3" s="7" t="str">
        <f t="shared" si="0"/>
        <v>과탐2</v>
      </c>
      <c r="AJ3" s="7" t="str">
        <f t="shared" si="0"/>
        <v>과탐Ⅱ</v>
      </c>
      <c r="AK3" s="7" t="str">
        <f t="shared" si="0"/>
        <v>사탐1</v>
      </c>
      <c r="AL3" s="7" t="str">
        <f t="shared" si="0"/>
        <v>사탐2</v>
      </c>
      <c r="AY3" s="7" t="str">
        <f>'   본인점수 입력   '!B6</f>
        <v>언매</v>
      </c>
      <c r="AZ3" s="7" t="str">
        <f>'   본인점수 입력   '!C6</f>
        <v>화작</v>
      </c>
      <c r="BA3" s="7" t="str">
        <f>'   본인점수 입력   '!D6</f>
        <v>미적</v>
      </c>
      <c r="BB3" s="7" t="str">
        <f>'   본인점수 입력   '!E6</f>
        <v>기하</v>
      </c>
      <c r="BC3" s="7" t="str">
        <f>'   본인점수 입력   '!F6</f>
        <v>확통</v>
      </c>
      <c r="BD3" s="7" t="str">
        <f>'   본인점수 입력   '!G6</f>
        <v>물리Ⅰ</v>
      </c>
      <c r="BE3" s="7" t="str">
        <f>'   본인점수 입력   '!H6</f>
        <v>화학Ⅰ</v>
      </c>
      <c r="BF3" s="7" t="str">
        <f>'   본인점수 입력   '!I6</f>
        <v>생명과학Ⅰ</v>
      </c>
      <c r="BG3" s="107" t="str">
        <f>'   본인점수 입력   '!J6</f>
        <v>지구과학Ⅰ</v>
      </c>
      <c r="BH3" s="107" t="str">
        <f>'   본인점수 입력   '!K6</f>
        <v>물리II</v>
      </c>
      <c r="BI3" s="7" t="str">
        <f>'   본인점수 입력   '!L6</f>
        <v>화학II</v>
      </c>
      <c r="BJ3" s="7" t="str">
        <f>'   본인점수 입력   '!M6</f>
        <v>생명과학II</v>
      </c>
      <c r="BK3" s="7" t="str">
        <f>'   본인점수 입력   '!N6</f>
        <v>지구과학II</v>
      </c>
      <c r="BL3" s="7" t="str">
        <f>'   본인점수 입력   '!O6</f>
        <v>생활과윤리</v>
      </c>
      <c r="BM3" s="7" t="str">
        <f>'   본인점수 입력   '!P6</f>
        <v>윤리와사상</v>
      </c>
      <c r="BN3" s="7" t="str">
        <f>'   본인점수 입력   '!Q6</f>
        <v>한국지리</v>
      </c>
      <c r="BO3" s="7" t="str">
        <f>'   본인점수 입력   '!R6</f>
        <v>세계지리</v>
      </c>
      <c r="BP3" s="107" t="str">
        <f>'   본인점수 입력   '!S6</f>
        <v>동아시아사</v>
      </c>
      <c r="BQ3" s="107" t="str">
        <f>'   본인점수 입력   '!T6</f>
        <v>세계사</v>
      </c>
      <c r="BR3" s="7" t="str">
        <f>'   본인점수 입력   '!U6</f>
        <v>경제</v>
      </c>
      <c r="BS3" s="7" t="str">
        <f>'   본인점수 입력   '!V6</f>
        <v>정치와법</v>
      </c>
      <c r="BT3" s="7" t="str">
        <f>'   본인점수 입력   '!W6</f>
        <v>사회문화</v>
      </c>
      <c r="BU3" s="7">
        <f>'   본인점수 입력   '!X6</f>
        <v>0</v>
      </c>
      <c r="BV3" s="7">
        <f>'   본인점수 입력   '!Y6</f>
        <v>0</v>
      </c>
      <c r="BW3" s="7">
        <f>'   본인점수 입력   '!Z6</f>
        <v>0</v>
      </c>
      <c r="BY3" s="107"/>
      <c r="BZ3" s="107"/>
      <c r="CN3" s="107"/>
      <c r="CO3" s="107"/>
      <c r="DD3" s="7">
        <f t="shared" ref="DD3:DH7" si="1">AE3</f>
        <v>0</v>
      </c>
      <c r="DE3" s="7" t="str">
        <f t="shared" si="1"/>
        <v>국어</v>
      </c>
      <c r="DF3" s="7" t="str">
        <f t="shared" si="1"/>
        <v>수학</v>
      </c>
      <c r="DG3" s="7" t="str">
        <f t="shared" si="1"/>
        <v>과탐1</v>
      </c>
      <c r="DH3" s="7" t="str">
        <f t="shared" si="1"/>
        <v>과탐2</v>
      </c>
      <c r="DI3" s="7" t="str">
        <f t="shared" ref="DI3:DJ7" si="2">AK3</f>
        <v>사탐1</v>
      </c>
      <c r="DJ3" s="7" t="str">
        <f t="shared" si="2"/>
        <v>사탐2</v>
      </c>
      <c r="DO3" s="7" t="str">
        <f t="shared" ref="DO3:DO7" si="3">AJ3</f>
        <v>과탐Ⅱ</v>
      </c>
    </row>
    <row r="4" spans="1:157" x14ac:dyDescent="0.3">
      <c r="E4" s="7" t="str">
        <f>'   본인점수 입력   '!AC4</f>
        <v>고득점순</v>
      </c>
      <c r="F4" s="7" t="str">
        <f>'   본인점수 입력   '!AD4</f>
        <v>고득점순</v>
      </c>
      <c r="G4" s="7" t="str">
        <f>'   본인점수 입력   '!AE4</f>
        <v>고득점순</v>
      </c>
      <c r="H4" s="7" t="str">
        <f>'   본인점수 입력   '!AF4</f>
        <v>고득점순</v>
      </c>
      <c r="I4" s="7" t="str">
        <f>'   본인점수 입력   '!AG4</f>
        <v>가산점용</v>
      </c>
      <c r="J4" s="7" t="str">
        <f>'   본인점수 입력   '!AH4</f>
        <v>고득점순</v>
      </c>
      <c r="K4" s="7" t="str">
        <f>'   본인점수 입력   '!AI4</f>
        <v>고득점순</v>
      </c>
      <c r="L4" s="7" t="str">
        <f>'   본인점수 입력   '!AJ4</f>
        <v>고득점순</v>
      </c>
      <c r="M4" s="7" t="str">
        <f>'   본인점수 입력   '!AK4</f>
        <v>고득점순</v>
      </c>
      <c r="N4" s="7" t="str">
        <f>'   본인점수 입력   '!AL4</f>
        <v>고득점순</v>
      </c>
      <c r="AE4" s="7" t="str">
        <f t="shared" ref="AE4:AE9" si="4">D7</f>
        <v>원점</v>
      </c>
      <c r="AF4" s="7">
        <f t="shared" si="0"/>
        <v>0</v>
      </c>
      <c r="AG4" s="7">
        <f t="shared" si="0"/>
        <v>0</v>
      </c>
      <c r="AH4" s="7">
        <f t="shared" si="0"/>
        <v>0</v>
      </c>
      <c r="AI4" s="7">
        <f t="shared" si="0"/>
        <v>0</v>
      </c>
      <c r="AJ4" s="7">
        <f t="shared" si="0"/>
        <v>0</v>
      </c>
      <c r="AK4" s="7">
        <f t="shared" si="0"/>
        <v>0</v>
      </c>
      <c r="AL4" s="7">
        <f t="shared" si="0"/>
        <v>0</v>
      </c>
      <c r="AX4" s="7" t="str">
        <f>'   본인점수 입력   '!A7</f>
        <v>원점수</v>
      </c>
      <c r="AY4" s="7">
        <f>IF('   본인점수 입력   '!B7="",0,'   본인점수 입력   '!B7)</f>
        <v>0</v>
      </c>
      <c r="AZ4" s="7">
        <f>IF('   본인점수 입력   '!C7="",0,'   본인점수 입력   '!C7)</f>
        <v>0</v>
      </c>
      <c r="BA4" s="7">
        <f>IF('   본인점수 입력   '!D7="",0,'   본인점수 입력   '!D7)</f>
        <v>0</v>
      </c>
      <c r="BB4" s="7">
        <f>IF('   본인점수 입력   '!E7="",0,'   본인점수 입력   '!E7)</f>
        <v>0</v>
      </c>
      <c r="BC4" s="7">
        <f>IF('   본인점수 입력   '!F7="",0,'   본인점수 입력   '!F7)</f>
        <v>0</v>
      </c>
      <c r="BD4" s="7">
        <f>IF('   본인점수 입력   '!G7="",0,'   본인점수 입력   '!G7)</f>
        <v>0</v>
      </c>
      <c r="BE4" s="7">
        <f>IF('   본인점수 입력   '!H7="",0,'   본인점수 입력   '!H7)</f>
        <v>0</v>
      </c>
      <c r="BF4" s="7">
        <f>IF('   본인점수 입력   '!I7="",0,'   본인점수 입력   '!I7)</f>
        <v>0</v>
      </c>
      <c r="BG4" s="107">
        <f>IF('   본인점수 입력   '!J7="",0,'   본인점수 입력   '!J7)</f>
        <v>0</v>
      </c>
      <c r="BH4" s="107">
        <f>IF('   본인점수 입력   '!K7="",0,'   본인점수 입력   '!K7)</f>
        <v>0</v>
      </c>
      <c r="BI4" s="7">
        <f>IF('   본인점수 입력   '!L7="",0,'   본인점수 입력   '!L7)</f>
        <v>0</v>
      </c>
      <c r="BJ4" s="7">
        <f>IF('   본인점수 입력   '!M7="",0,'   본인점수 입력   '!M7)</f>
        <v>0</v>
      </c>
      <c r="BK4" s="7">
        <f>'   본인점수 입력   '!N7</f>
        <v>0</v>
      </c>
      <c r="BL4" s="7">
        <f>'   본인점수 입력   '!O7</f>
        <v>0</v>
      </c>
      <c r="BM4" s="7">
        <f>'   본인점수 입력   '!P7</f>
        <v>0</v>
      </c>
      <c r="BN4" s="7">
        <f>'   본인점수 입력   '!Q7</f>
        <v>0</v>
      </c>
      <c r="BO4" s="7">
        <f>'   본인점수 입력   '!R7</f>
        <v>0</v>
      </c>
      <c r="BP4" s="107">
        <f>'   본인점수 입력   '!S7</f>
        <v>0</v>
      </c>
      <c r="BQ4" s="107">
        <f>'   본인점수 입력   '!T7</f>
        <v>0</v>
      </c>
      <c r="BR4" s="7">
        <f>'   본인점수 입력   '!U7</f>
        <v>0</v>
      </c>
      <c r="BS4" s="7">
        <f>'   본인점수 입력   '!V7</f>
        <v>0</v>
      </c>
      <c r="BT4" s="7">
        <f>'   본인점수 입력   '!W7</f>
        <v>0</v>
      </c>
      <c r="BU4" s="7">
        <f>'   본인점수 입력   '!X7</f>
        <v>0</v>
      </c>
      <c r="BV4" s="7">
        <f>'   본인점수 입력   '!Y7</f>
        <v>0</v>
      </c>
      <c r="BW4" s="7">
        <f>'   본인점수 입력   '!Z7</f>
        <v>0</v>
      </c>
      <c r="BY4" s="107"/>
      <c r="BZ4" s="107"/>
      <c r="CN4" s="107"/>
      <c r="CO4" s="107"/>
      <c r="DC4" s="7">
        <v>9</v>
      </c>
      <c r="DD4" s="7" t="str">
        <f t="shared" si="1"/>
        <v>원점</v>
      </c>
      <c r="DE4" s="7">
        <f t="shared" si="1"/>
        <v>0</v>
      </c>
      <c r="DF4" s="7">
        <f t="shared" si="1"/>
        <v>0</v>
      </c>
      <c r="DG4" s="7">
        <f t="shared" si="1"/>
        <v>0</v>
      </c>
      <c r="DH4" s="7">
        <f t="shared" si="1"/>
        <v>0</v>
      </c>
      <c r="DI4" s="7">
        <f t="shared" si="2"/>
        <v>0</v>
      </c>
      <c r="DJ4" s="7">
        <f t="shared" si="2"/>
        <v>0</v>
      </c>
      <c r="DK4" s="7">
        <f t="shared" ref="DK4:DM7" si="5">BU4</f>
        <v>0</v>
      </c>
      <c r="DL4" s="7">
        <f t="shared" si="5"/>
        <v>0</v>
      </c>
      <c r="DM4" s="7">
        <f t="shared" si="5"/>
        <v>0</v>
      </c>
      <c r="DO4" s="7">
        <f t="shared" si="3"/>
        <v>0</v>
      </c>
      <c r="DS4" s="7">
        <f>(DE4+DF4+DG4+DH4+DI4+DJ4)/3</f>
        <v>0</v>
      </c>
    </row>
    <row r="5" spans="1:157" x14ac:dyDescent="0.3">
      <c r="E5" s="7">
        <f>'   본인점수 입력   '!AC5</f>
        <v>1</v>
      </c>
      <c r="F5" s="7">
        <f>'   본인점수 입력   '!AD5</f>
        <v>1</v>
      </c>
      <c r="G5" s="7">
        <f>'   본인점수 입력   '!AE5</f>
        <v>1</v>
      </c>
      <c r="H5" s="7">
        <f>'   본인점수 입력   '!AF5</f>
        <v>2</v>
      </c>
      <c r="I5" s="7">
        <f>'   본인점수 입력   '!AG5</f>
        <v>9</v>
      </c>
      <c r="J5" s="7">
        <f>'   본인점수 입력   '!AH5</f>
        <v>1</v>
      </c>
      <c r="K5" s="7">
        <f>'   본인점수 입력   '!AI5</f>
        <v>2</v>
      </c>
      <c r="L5" s="7">
        <f>'   본인점수 입력   '!AJ5</f>
        <v>1</v>
      </c>
      <c r="M5" s="7">
        <f>'   본인점수 입력   '!AK5</f>
        <v>1</v>
      </c>
      <c r="N5" s="7">
        <f>'   본인점수 입력   '!AL5</f>
        <v>1</v>
      </c>
      <c r="AE5" s="7" t="str">
        <f t="shared" si="4"/>
        <v>표점</v>
      </c>
      <c r="AF5" s="7">
        <f t="shared" si="0"/>
        <v>0</v>
      </c>
      <c r="AG5" s="7">
        <f t="shared" si="0"/>
        <v>0</v>
      </c>
      <c r="AH5" s="7">
        <f t="shared" si="0"/>
        <v>0</v>
      </c>
      <c r="AI5" s="7">
        <f t="shared" si="0"/>
        <v>0</v>
      </c>
      <c r="AJ5" s="7">
        <f t="shared" si="0"/>
        <v>0</v>
      </c>
      <c r="AK5" s="7">
        <f t="shared" si="0"/>
        <v>0</v>
      </c>
      <c r="AL5" s="7">
        <f t="shared" si="0"/>
        <v>0</v>
      </c>
      <c r="AX5" s="7" t="str">
        <f>'   본인점수 입력   '!A8</f>
        <v>표준점수</v>
      </c>
      <c r="AY5" s="7">
        <f>IF('   본인점수 입력   '!B8="",0,'   본인점수 입력   '!B8)</f>
        <v>0</v>
      </c>
      <c r="AZ5" s="7">
        <f>IF('   본인점수 입력   '!C8="",0,'   본인점수 입력   '!C8)</f>
        <v>0</v>
      </c>
      <c r="BA5" s="7">
        <f>IF('   본인점수 입력   '!D8="",0,'   본인점수 입력   '!D8)</f>
        <v>0</v>
      </c>
      <c r="BB5" s="7">
        <f>IF('   본인점수 입력   '!E8="",0,'   본인점수 입력   '!E8)</f>
        <v>0</v>
      </c>
      <c r="BC5" s="7">
        <f>IF('   본인점수 입력   '!F8="",0,'   본인점수 입력   '!F8)</f>
        <v>0</v>
      </c>
      <c r="BD5" s="7">
        <f>IF('   본인점수 입력   '!G8="",0,'   본인점수 입력   '!G8)</f>
        <v>0</v>
      </c>
      <c r="BE5" s="7">
        <f>IF('   본인점수 입력   '!H8="",0,'   본인점수 입력   '!H8)</f>
        <v>0</v>
      </c>
      <c r="BF5" s="7">
        <f>IF('   본인점수 입력   '!I8="",0,'   본인점수 입력   '!I8)</f>
        <v>0</v>
      </c>
      <c r="BG5" s="107">
        <f>IF('   본인점수 입력   '!J8="",0,'   본인점수 입력   '!J8)</f>
        <v>0</v>
      </c>
      <c r="BH5" s="107">
        <f>IF('   본인점수 입력   '!K8="",0,'   본인점수 입력   '!K8)</f>
        <v>0</v>
      </c>
      <c r="BI5" s="7">
        <f>IF('   본인점수 입력   '!L8="",0,'   본인점수 입력   '!L8)</f>
        <v>0</v>
      </c>
      <c r="BJ5" s="7">
        <f>IF('   본인점수 입력   '!M8="",0,'   본인점수 입력   '!M8)</f>
        <v>0</v>
      </c>
      <c r="BK5" s="7">
        <f>IF('   본인점수 입력   '!N8="",0,'   본인점수 입력   '!N8)</f>
        <v>0</v>
      </c>
      <c r="BL5" s="7" t="str">
        <f>'   본인점수 입력   '!O8</f>
        <v/>
      </c>
      <c r="BM5" s="7" t="str">
        <f>'   본인점수 입력   '!P8</f>
        <v/>
      </c>
      <c r="BN5" s="7" t="str">
        <f>'   본인점수 입력   '!Q8</f>
        <v/>
      </c>
      <c r="BO5" s="7" t="str">
        <f>'   본인점수 입력   '!R8</f>
        <v/>
      </c>
      <c r="BP5" s="107" t="str">
        <f>'   본인점수 입력   '!S8</f>
        <v/>
      </c>
      <c r="BQ5" s="107" t="str">
        <f>'   본인점수 입력   '!T8</f>
        <v/>
      </c>
      <c r="BR5" s="7" t="str">
        <f>'   본인점수 입력   '!U8</f>
        <v/>
      </c>
      <c r="BS5" s="7" t="str">
        <f>'   본인점수 입력   '!V8</f>
        <v/>
      </c>
      <c r="BT5" s="7" t="str">
        <f>'   본인점수 입력   '!W8</f>
        <v/>
      </c>
      <c r="BU5" s="7">
        <f>'   본인점수 입력   '!X8</f>
        <v>0</v>
      </c>
      <c r="BV5" s="7">
        <f>'   본인점수 입력   '!Y8</f>
        <v>0</v>
      </c>
      <c r="BW5" s="7">
        <f>'   본인점수 입력   '!Z8</f>
        <v>0</v>
      </c>
      <c r="BY5" s="107"/>
      <c r="BZ5" s="107"/>
      <c r="CN5" s="107"/>
      <c r="CO5" s="107"/>
      <c r="DC5" s="7">
        <v>1</v>
      </c>
      <c r="DD5" s="7" t="str">
        <f t="shared" si="1"/>
        <v>표점</v>
      </c>
      <c r="DE5" s="7">
        <f t="shared" si="1"/>
        <v>0</v>
      </c>
      <c r="DF5" s="7">
        <f t="shared" si="1"/>
        <v>0</v>
      </c>
      <c r="DG5" s="7">
        <f t="shared" si="1"/>
        <v>0</v>
      </c>
      <c r="DH5" s="7">
        <f t="shared" si="1"/>
        <v>0</v>
      </c>
      <c r="DI5" s="7">
        <f t="shared" si="2"/>
        <v>0</v>
      </c>
      <c r="DJ5" s="7">
        <f t="shared" si="2"/>
        <v>0</v>
      </c>
      <c r="DK5" s="7">
        <f t="shared" si="5"/>
        <v>0</v>
      </c>
      <c r="DL5" s="7">
        <f t="shared" si="5"/>
        <v>0</v>
      </c>
      <c r="DM5" s="7">
        <f t="shared" si="5"/>
        <v>0</v>
      </c>
      <c r="DO5" s="7">
        <f t="shared" si="3"/>
        <v>0</v>
      </c>
      <c r="DS5" s="7">
        <f t="shared" ref="DS5" si="6">(DE5+DF5+DG5+DH5+DI5+DJ5)/3</f>
        <v>0</v>
      </c>
    </row>
    <row r="6" spans="1:157" x14ac:dyDescent="0.3">
      <c r="C6" s="123"/>
      <c r="E6" s="7" t="str">
        <f>'   본인점수 입력   '!AC6</f>
        <v>국어</v>
      </c>
      <c r="F6" s="7" t="str">
        <f>'   본인점수 입력   '!AD6</f>
        <v>수학</v>
      </c>
      <c r="G6" s="7" t="str">
        <f>'   본인점수 입력   '!AE6</f>
        <v>과탐1</v>
      </c>
      <c r="H6" s="7" t="str">
        <f>'   본인점수 입력   '!AF6</f>
        <v>과탐2</v>
      </c>
      <c r="I6" s="7" t="str">
        <f>'   본인점수 입력   '!AG6</f>
        <v>과탐Ⅱ</v>
      </c>
      <c r="J6" s="7" t="str">
        <f>'   본인점수 입력   '!AH6</f>
        <v>사탐1</v>
      </c>
      <c r="K6" s="7" t="str">
        <f>'   본인점수 입력   '!AI6</f>
        <v>사탐2</v>
      </c>
      <c r="L6" s="7" t="str">
        <f>'   본인점수 입력   '!AJ6</f>
        <v>영어</v>
      </c>
      <c r="M6" s="7" t="str">
        <f>'   본인점수 입력   '!AK6</f>
        <v>한국사</v>
      </c>
      <c r="N6" s="7" t="str">
        <f>'   본인점수 입력   '!AL6</f>
        <v>제2외국어</v>
      </c>
      <c r="AE6" s="7" t="str">
        <f t="shared" si="4"/>
        <v>백분</v>
      </c>
      <c r="AF6" s="7">
        <f t="shared" si="0"/>
        <v>0</v>
      </c>
      <c r="AG6" s="7">
        <f t="shared" si="0"/>
        <v>0</v>
      </c>
      <c r="AH6" s="7">
        <f t="shared" si="0"/>
        <v>0</v>
      </c>
      <c r="AI6" s="7">
        <f t="shared" si="0"/>
        <v>0</v>
      </c>
      <c r="AJ6" s="7">
        <f t="shared" si="0"/>
        <v>0</v>
      </c>
      <c r="AK6" s="7">
        <f t="shared" si="0"/>
        <v>0</v>
      </c>
      <c r="AL6" s="7">
        <f t="shared" si="0"/>
        <v>0</v>
      </c>
      <c r="AX6" s="7" t="str">
        <f>'   본인점수 입력   '!A9</f>
        <v>백분위</v>
      </c>
      <c r="AY6" s="7">
        <f>IF('   본인점수 입력   '!B9="",0,'   본인점수 입력   '!B9)</f>
        <v>0</v>
      </c>
      <c r="AZ6" s="7">
        <f>IF('   본인점수 입력   '!C9="",0,'   본인점수 입력   '!C9)</f>
        <v>0</v>
      </c>
      <c r="BA6" s="7">
        <f>IF('   본인점수 입력   '!D9="",0,'   본인점수 입력   '!D9)</f>
        <v>0</v>
      </c>
      <c r="BB6" s="7">
        <f>IF('   본인점수 입력   '!E9="",0,'   본인점수 입력   '!E9)</f>
        <v>0</v>
      </c>
      <c r="BC6" s="7">
        <f>IF('   본인점수 입력   '!F9="",0,'   본인점수 입력   '!F9)</f>
        <v>0</v>
      </c>
      <c r="BD6" s="7">
        <f>IF('   본인점수 입력   '!G9="",0,'   본인점수 입력   '!G9)</f>
        <v>0</v>
      </c>
      <c r="BE6" s="7">
        <f>IF('   본인점수 입력   '!H9="",0,'   본인점수 입력   '!H9)</f>
        <v>0</v>
      </c>
      <c r="BF6" s="7">
        <f>IF('   본인점수 입력   '!I9="",0,'   본인점수 입력   '!I9)</f>
        <v>0</v>
      </c>
      <c r="BG6" s="107">
        <f>IF('   본인점수 입력   '!J9="",0,'   본인점수 입력   '!J9)</f>
        <v>0</v>
      </c>
      <c r="BH6" s="107">
        <f>IF('   본인점수 입력   '!K9="",0,'   본인점수 입력   '!K9)</f>
        <v>0</v>
      </c>
      <c r="BI6" s="7">
        <f>IF('   본인점수 입력   '!L9="",0,'   본인점수 입력   '!L9)</f>
        <v>0</v>
      </c>
      <c r="BJ6" s="7">
        <f>IF('   본인점수 입력   '!M9="",0,'   본인점수 입력   '!M9)</f>
        <v>0</v>
      </c>
      <c r="BK6" s="7">
        <f>IF('   본인점수 입력   '!N9="",0,'   본인점수 입력   '!N9)</f>
        <v>0</v>
      </c>
      <c r="BL6" s="7" t="str">
        <f>'   본인점수 입력   '!O9</f>
        <v/>
      </c>
      <c r="BM6" s="7" t="str">
        <f>'   본인점수 입력   '!P9</f>
        <v/>
      </c>
      <c r="BN6" s="7" t="str">
        <f>'   본인점수 입력   '!Q9</f>
        <v/>
      </c>
      <c r="BO6" s="7" t="str">
        <f>'   본인점수 입력   '!R9</f>
        <v/>
      </c>
      <c r="BP6" s="107" t="str">
        <f>'   본인점수 입력   '!S9</f>
        <v/>
      </c>
      <c r="BQ6" s="107" t="str">
        <f>'   본인점수 입력   '!T9</f>
        <v/>
      </c>
      <c r="BR6" s="7" t="str">
        <f>'   본인점수 입력   '!U9</f>
        <v/>
      </c>
      <c r="BS6" s="7" t="str">
        <f>'   본인점수 입력   '!V9</f>
        <v/>
      </c>
      <c r="BT6" s="7" t="str">
        <f>'   본인점수 입력   '!W9</f>
        <v/>
      </c>
      <c r="BU6" s="7">
        <f>'   본인점수 입력   '!X9</f>
        <v>0</v>
      </c>
      <c r="BV6" s="7">
        <f>'   본인점수 입력   '!Y9</f>
        <v>0</v>
      </c>
      <c r="BW6" s="7">
        <f>'   본인점수 입력   '!Z9</f>
        <v>0</v>
      </c>
      <c r="BY6" s="107"/>
      <c r="BZ6" s="107"/>
      <c r="CN6" s="107"/>
      <c r="CO6" s="107"/>
      <c r="DC6" s="7">
        <v>2</v>
      </c>
      <c r="DD6" s="7" t="str">
        <f t="shared" si="1"/>
        <v>백분</v>
      </c>
      <c r="DE6" s="7">
        <f t="shared" si="1"/>
        <v>0</v>
      </c>
      <c r="DF6" s="7">
        <f t="shared" si="1"/>
        <v>0</v>
      </c>
      <c r="DG6" s="7">
        <f t="shared" si="1"/>
        <v>0</v>
      </c>
      <c r="DH6" s="7">
        <f t="shared" si="1"/>
        <v>0</v>
      </c>
      <c r="DI6" s="7">
        <f t="shared" si="2"/>
        <v>0</v>
      </c>
      <c r="DJ6" s="7">
        <f t="shared" si="2"/>
        <v>0</v>
      </c>
      <c r="DK6" s="7">
        <f t="shared" si="5"/>
        <v>0</v>
      </c>
      <c r="DL6" s="7">
        <f t="shared" si="5"/>
        <v>0</v>
      </c>
      <c r="DM6" s="7">
        <f t="shared" si="5"/>
        <v>0</v>
      </c>
      <c r="DO6" s="7">
        <f t="shared" si="3"/>
        <v>0</v>
      </c>
      <c r="DS6" s="7">
        <f>(DE6+DF6+(DG6+DH6+DI6+DJ6)/2)/3</f>
        <v>0</v>
      </c>
    </row>
    <row r="7" spans="1:157" x14ac:dyDescent="0.3">
      <c r="C7" s="7">
        <v>9</v>
      </c>
      <c r="D7" s="7" t="str">
        <f>'   본인점수 입력   '!AB7</f>
        <v>원점</v>
      </c>
      <c r="E7" s="7">
        <f>'   본인점수 입력   '!AC7</f>
        <v>0</v>
      </c>
      <c r="F7" s="7">
        <f>'   본인점수 입력   '!AD7</f>
        <v>0</v>
      </c>
      <c r="G7" s="7">
        <f>'   본인점수 입력   '!AE7</f>
        <v>0</v>
      </c>
      <c r="H7" s="7">
        <f>'   본인점수 입력   '!AF7</f>
        <v>0</v>
      </c>
      <c r="I7" s="7">
        <f>'   본인점수 입력   '!AG7</f>
        <v>0</v>
      </c>
      <c r="J7" s="7">
        <f>'   본인점수 입력   '!AH7</f>
        <v>0</v>
      </c>
      <c r="K7" s="7">
        <f>'   본인점수 입력   '!AI7</f>
        <v>0</v>
      </c>
      <c r="L7" s="7">
        <f>'   본인점수 입력   '!AJ7</f>
        <v>0</v>
      </c>
      <c r="M7" s="7">
        <f>'   본인점수 입력   '!AK7</f>
        <v>0</v>
      </c>
      <c r="N7" s="7">
        <f>'   본인점수 입력   '!AL7</f>
        <v>0</v>
      </c>
      <c r="AE7" s="7" t="str">
        <f t="shared" si="4"/>
        <v>등급</v>
      </c>
      <c r="AF7" s="7">
        <f t="shared" si="0"/>
        <v>0</v>
      </c>
      <c r="AG7" s="7">
        <f t="shared" si="0"/>
        <v>0</v>
      </c>
      <c r="AH7" s="7">
        <f t="shared" si="0"/>
        <v>0</v>
      </c>
      <c r="AI7" s="7">
        <f t="shared" si="0"/>
        <v>0</v>
      </c>
      <c r="AJ7" s="7">
        <f t="shared" si="0"/>
        <v>0</v>
      </c>
      <c r="AK7" s="7">
        <f t="shared" si="0"/>
        <v>0</v>
      </c>
      <c r="AL7" s="7">
        <f t="shared" si="0"/>
        <v>0</v>
      </c>
      <c r="AX7" s="7" t="str">
        <f>'   본인점수 입력   '!A10</f>
        <v>등급</v>
      </c>
      <c r="AY7" s="7">
        <f>IF('   본인점수 입력   '!B10="",0,'   본인점수 입력   '!B10)</f>
        <v>0</v>
      </c>
      <c r="AZ7" s="7">
        <f>IF('   본인점수 입력   '!C10="",0,'   본인점수 입력   '!C10)</f>
        <v>0</v>
      </c>
      <c r="BA7" s="7">
        <f>IF('   본인점수 입력   '!D10="",0,'   본인점수 입력   '!D10)</f>
        <v>0</v>
      </c>
      <c r="BB7" s="7">
        <f>IF('   본인점수 입력   '!E10="",0,'   본인점수 입력   '!E10)</f>
        <v>0</v>
      </c>
      <c r="BC7" s="7">
        <f>IF('   본인점수 입력   '!F10="",0,'   본인점수 입력   '!F10)</f>
        <v>0</v>
      </c>
      <c r="BD7" s="7">
        <f>IF('   본인점수 입력   '!G10="",0,'   본인점수 입력   '!G10)</f>
        <v>0</v>
      </c>
      <c r="BE7" s="7">
        <f>IF('   본인점수 입력   '!H10="",0,'   본인점수 입력   '!H10)</f>
        <v>0</v>
      </c>
      <c r="BF7" s="7">
        <f>IF('   본인점수 입력   '!I10="",0,'   본인점수 입력   '!I10)</f>
        <v>0</v>
      </c>
      <c r="BG7" s="107">
        <f>IF('   본인점수 입력   '!J10="",0,'   본인점수 입력   '!J10)</f>
        <v>0</v>
      </c>
      <c r="BH7" s="107">
        <f>IF('   본인점수 입력   '!K10="",0,'   본인점수 입력   '!K10)</f>
        <v>0</v>
      </c>
      <c r="BI7" s="7">
        <f>IF('   본인점수 입력   '!L10="",0,'   본인점수 입력   '!L10)</f>
        <v>0</v>
      </c>
      <c r="BJ7" s="7">
        <f>IF('   본인점수 입력   '!M10="",0,'   본인점수 입력   '!M10)</f>
        <v>0</v>
      </c>
      <c r="BK7" s="7">
        <f>IF('   본인점수 입력   '!N10="",0,'   본인점수 입력   '!N10)</f>
        <v>0</v>
      </c>
      <c r="BL7" s="7" t="str">
        <f>'   본인점수 입력   '!O10</f>
        <v/>
      </c>
      <c r="BM7" s="7" t="str">
        <f>'   본인점수 입력   '!P10</f>
        <v/>
      </c>
      <c r="BN7" s="7" t="str">
        <f>'   본인점수 입력   '!Q10</f>
        <v/>
      </c>
      <c r="BO7" s="7" t="str">
        <f>'   본인점수 입력   '!R10</f>
        <v/>
      </c>
      <c r="BP7" s="107" t="str">
        <f>'   본인점수 입력   '!S10</f>
        <v/>
      </c>
      <c r="BQ7" s="107" t="str">
        <f>'   본인점수 입력   '!T10</f>
        <v/>
      </c>
      <c r="BR7" s="7" t="str">
        <f>'   본인점수 입력   '!U10</f>
        <v/>
      </c>
      <c r="BS7" s="7" t="str">
        <f>'   본인점수 입력   '!V10</f>
        <v/>
      </c>
      <c r="BT7" s="7" t="str">
        <f>'   본인점수 입력   '!W10</f>
        <v/>
      </c>
      <c r="BU7" s="7" t="str">
        <f>'   본인점수 입력   '!X10</f>
        <v/>
      </c>
      <c r="BV7" s="7" t="str">
        <f>'   본인점수 입력   '!Y10</f>
        <v/>
      </c>
      <c r="BW7" s="7" t="str">
        <f>'   본인점수 입력   '!Z10</f>
        <v/>
      </c>
      <c r="BY7" s="107"/>
      <c r="BZ7" s="107"/>
      <c r="CL7" s="7" t="s">
        <v>105</v>
      </c>
      <c r="CM7" s="7" t="s">
        <v>5</v>
      </c>
      <c r="CN7" s="107" t="s">
        <v>129</v>
      </c>
      <c r="CO7" s="107" t="s">
        <v>3</v>
      </c>
      <c r="CP7" s="46" t="s">
        <v>104</v>
      </c>
      <c r="CQ7" s="7" t="s">
        <v>4</v>
      </c>
      <c r="CR7" s="7" t="s">
        <v>105</v>
      </c>
      <c r="CS7" s="7" t="s">
        <v>107</v>
      </c>
      <c r="CT7" s="7" t="s">
        <v>5</v>
      </c>
      <c r="CU7" s="7" t="s">
        <v>1</v>
      </c>
      <c r="CV7" s="7" t="s">
        <v>2</v>
      </c>
      <c r="CW7" s="7" t="s">
        <v>106</v>
      </c>
      <c r="DC7" s="7">
        <v>3</v>
      </c>
      <c r="DD7" s="7" t="str">
        <f t="shared" si="1"/>
        <v>등급</v>
      </c>
      <c r="DE7" s="7">
        <f t="shared" si="1"/>
        <v>0</v>
      </c>
      <c r="DF7" s="7">
        <f t="shared" si="1"/>
        <v>0</v>
      </c>
      <c r="DG7" s="7">
        <f t="shared" si="1"/>
        <v>0</v>
      </c>
      <c r="DH7" s="7">
        <f t="shared" si="1"/>
        <v>0</v>
      </c>
      <c r="DI7" s="7">
        <f t="shared" si="2"/>
        <v>0</v>
      </c>
      <c r="DJ7" s="7">
        <f t="shared" si="2"/>
        <v>0</v>
      </c>
      <c r="DK7" s="7" t="str">
        <f t="shared" si="5"/>
        <v/>
      </c>
      <c r="DL7" s="7" t="str">
        <f t="shared" si="5"/>
        <v/>
      </c>
      <c r="DM7" s="7" t="str">
        <f t="shared" si="5"/>
        <v/>
      </c>
      <c r="DO7" s="7">
        <f t="shared" si="3"/>
        <v>0</v>
      </c>
      <c r="DS7" s="7">
        <f>(DE7+DF7+(DG7+DH7+DI7+DJ7)/2)/3</f>
        <v>0</v>
      </c>
    </row>
    <row r="8" spans="1:157" x14ac:dyDescent="0.3">
      <c r="C8" s="7">
        <v>1</v>
      </c>
      <c r="D8" s="7" t="str">
        <f>'   본인점수 입력   '!AB8</f>
        <v>표점</v>
      </c>
      <c r="E8" s="7">
        <f>'   본인점수 입력   '!AC8</f>
        <v>0</v>
      </c>
      <c r="F8" s="7">
        <f>'   본인점수 입력   '!AD8</f>
        <v>0</v>
      </c>
      <c r="G8" s="7">
        <f>'   본인점수 입력   '!AE8</f>
        <v>0</v>
      </c>
      <c r="H8" s="7">
        <f>'   본인점수 입력   '!AF8</f>
        <v>0</v>
      </c>
      <c r="I8" s="7">
        <f>'   본인점수 입력   '!AG8</f>
        <v>0</v>
      </c>
      <c r="J8" s="7">
        <f>'   본인점수 입력   '!AH8</f>
        <v>0</v>
      </c>
      <c r="K8" s="7">
        <f>'   본인점수 입력   '!AI8</f>
        <v>0</v>
      </c>
      <c r="L8" s="7">
        <f>'   본인점수 입력   '!AJ8</f>
        <v>0</v>
      </c>
      <c r="M8" s="7">
        <f>'   본인점수 입력   '!AK8</f>
        <v>0</v>
      </c>
      <c r="N8" s="7">
        <f>'   본인점수 입력   '!AL8</f>
        <v>0</v>
      </c>
      <c r="AE8" s="7" t="str">
        <f t="shared" si="4"/>
        <v>변표</v>
      </c>
      <c r="AF8" s="7">
        <f t="shared" si="0"/>
        <v>0</v>
      </c>
      <c r="AG8" s="7">
        <f t="shared" si="0"/>
        <v>0</v>
      </c>
      <c r="AH8" s="7">
        <f t="shared" si="0"/>
        <v>0</v>
      </c>
      <c r="AI8" s="7">
        <f t="shared" si="0"/>
        <v>0</v>
      </c>
      <c r="AJ8" s="7">
        <f t="shared" si="0"/>
        <v>0</v>
      </c>
      <c r="AK8" s="7">
        <f t="shared" si="0"/>
        <v>0</v>
      </c>
      <c r="AL8" s="7">
        <f t="shared" si="0"/>
        <v>0</v>
      </c>
      <c r="AX8" s="7" t="str">
        <f>'   본인점수 입력   '!A11</f>
        <v>변환표준점수</v>
      </c>
      <c r="AY8" s="7">
        <f>IF('   본인점수 입력   '!B11="",0,'   본인점수 입력   '!B11)</f>
        <v>0</v>
      </c>
      <c r="AZ8" s="7">
        <f>IF('   본인점수 입력   '!C11="",0,'   본인점수 입력   '!C11)</f>
        <v>0</v>
      </c>
      <c r="BA8" s="7">
        <f>IF('   본인점수 입력   '!D11="",0,'   본인점수 입력   '!D11)</f>
        <v>0</v>
      </c>
      <c r="BB8" s="7">
        <f>IF('   본인점수 입력   '!E11="",0,'   본인점수 입력   '!E11)</f>
        <v>0</v>
      </c>
      <c r="BC8" s="7">
        <f>IF('   본인점수 입력   '!F11="",0,'   본인점수 입력   '!F11)</f>
        <v>0</v>
      </c>
      <c r="BD8" s="7">
        <f>IF('   본인점수 입력   '!G11="",0,'   본인점수 입력   '!G11)</f>
        <v>0</v>
      </c>
      <c r="BE8" s="7">
        <f>IF('   본인점수 입력   '!H11="",0,'   본인점수 입력   '!H11)</f>
        <v>0</v>
      </c>
      <c r="BF8" s="7">
        <f>IF('   본인점수 입력   '!I11="",0,'   본인점수 입력   '!I11)</f>
        <v>0</v>
      </c>
      <c r="BG8" s="107">
        <f>IF('   본인점수 입력   '!J11="",0,'   본인점수 입력   '!J11)</f>
        <v>0</v>
      </c>
      <c r="BH8" s="107">
        <f>IF('   본인점수 입력   '!K11="",0,'   본인점수 입력   '!K11)</f>
        <v>0</v>
      </c>
      <c r="BI8" s="7">
        <f>IF('   본인점수 입력   '!L11="",0,'   본인점수 입력   '!L11)</f>
        <v>0</v>
      </c>
      <c r="BJ8" s="7">
        <f>IF('   본인점수 입력   '!M11="",0,'   본인점수 입력   '!M11)</f>
        <v>0</v>
      </c>
      <c r="BK8" s="7">
        <f>IF('   본인점수 입력   '!N11="",0,'   본인점수 입력   '!N11)</f>
        <v>0</v>
      </c>
      <c r="BL8" s="7" t="str">
        <f>'   본인점수 입력   '!O11</f>
        <v/>
      </c>
      <c r="BM8" s="7" t="str">
        <f>'   본인점수 입력   '!P11</f>
        <v/>
      </c>
      <c r="BN8" s="7" t="str">
        <f>'   본인점수 입력   '!Q11</f>
        <v/>
      </c>
      <c r="BO8" s="7" t="str">
        <f>'   본인점수 입력   '!R11</f>
        <v/>
      </c>
      <c r="BP8" s="107" t="str">
        <f>'   본인점수 입력   '!S11</f>
        <v/>
      </c>
      <c r="BQ8" s="107" t="str">
        <f>'   본인점수 입력   '!T11</f>
        <v/>
      </c>
      <c r="BR8" s="7" t="str">
        <f>'   본인점수 입력   '!U11</f>
        <v/>
      </c>
      <c r="BS8" s="7" t="str">
        <f>'   본인점수 입력   '!V11</f>
        <v/>
      </c>
      <c r="BT8" s="7" t="str">
        <f>'   본인점수 입력   '!W11</f>
        <v/>
      </c>
      <c r="BU8" s="7">
        <f>'   본인점수 입력   '!X11</f>
        <v>0</v>
      </c>
      <c r="BV8" s="7">
        <f>'   본인점수 입력   '!Y11</f>
        <v>0</v>
      </c>
      <c r="BW8" s="7">
        <f>'   본인점수 입력   '!Z11</f>
        <v>0</v>
      </c>
      <c r="BY8" s="107"/>
      <c r="BZ8" s="107"/>
      <c r="CL8" s="7">
        <f>COUNTIF('   본인점수 입력   '!G29:N29,"&gt;"&amp;0)</f>
        <v>0</v>
      </c>
      <c r="CM8" s="7">
        <f>COUNTIF('   본인점수 입력   '!O29:W29,"&gt;"&amp;0)</f>
        <v>0</v>
      </c>
      <c r="CN8" s="107">
        <f>COUNTIF('   본인점수 입력   '!G29:W29,"&gt;"&amp;0)</f>
        <v>0</v>
      </c>
      <c r="CO8" s="107">
        <f>IF('   본인점수 입력   '!D29=1,1,0)</f>
        <v>0</v>
      </c>
      <c r="CP8" s="7">
        <f>IF(OR('   본인점수 입력   '!D29=1,'   본인점수 입력   '!E29=1),1,0)</f>
        <v>0</v>
      </c>
      <c r="CQ8" s="7">
        <f>IF('   본인점수 입력   '!F29=1,1,0)</f>
        <v>0</v>
      </c>
      <c r="CR8" s="7">
        <f>IF(COUNTIF('   본인점수 입력   '!G29:N29,"&gt;"&amp;0)&gt;0,1,0)</f>
        <v>0</v>
      </c>
      <c r="CS8" s="7">
        <f>COUNTIF('   본인점수 입력   '!K29:N29,"&gt;"&amp;0)</f>
        <v>0</v>
      </c>
      <c r="CT8" s="7">
        <f>IF(COUNTIF('   본인점수 입력   '!O29:W29,"&gt;"&amp;0)&gt;0,1,0)</f>
        <v>0</v>
      </c>
      <c r="CU8" s="7">
        <f>IF('   본인점수 입력   '!B29=1,1,0)</f>
        <v>0</v>
      </c>
      <c r="CV8" s="7">
        <f>IF('   본인점수 입력   '!C29=1,1,0)</f>
        <v>0</v>
      </c>
      <c r="CW8" s="7">
        <f>IF('   본인점수 입력   '!Z29=1,1,0)</f>
        <v>0</v>
      </c>
      <c r="CX8" s="121">
        <f>IF(G13=0,0,IF(LEFT(G13,2)=LEFT(H13,2),1,0))</f>
        <v>0</v>
      </c>
      <c r="DC8" s="7">
        <v>12</v>
      </c>
      <c r="DD8" s="7" t="s">
        <v>142</v>
      </c>
      <c r="DE8" s="7">
        <f t="shared" ref="DE8:DM8" si="7">DE5</f>
        <v>0</v>
      </c>
      <c r="DF8" s="7">
        <f t="shared" si="7"/>
        <v>0</v>
      </c>
      <c r="DG8" s="7">
        <f t="shared" si="7"/>
        <v>0</v>
      </c>
      <c r="DH8" s="7">
        <f t="shared" si="7"/>
        <v>0</v>
      </c>
      <c r="DI8" s="7">
        <f t="shared" si="7"/>
        <v>0</v>
      </c>
      <c r="DJ8" s="7">
        <f t="shared" si="7"/>
        <v>0</v>
      </c>
      <c r="DK8" s="7">
        <f t="shared" si="7"/>
        <v>0</v>
      </c>
      <c r="DL8" s="7">
        <f t="shared" si="7"/>
        <v>0</v>
      </c>
      <c r="DM8" s="7">
        <f t="shared" si="7"/>
        <v>0</v>
      </c>
    </row>
    <row r="9" spans="1:157" x14ac:dyDescent="0.3">
      <c r="C9" s="7">
        <v>2</v>
      </c>
      <c r="D9" s="7" t="str">
        <f>'   본인점수 입력   '!AB9</f>
        <v>백분</v>
      </c>
      <c r="E9" s="7">
        <f>'   본인점수 입력   '!AC9</f>
        <v>0</v>
      </c>
      <c r="F9" s="7">
        <f>'   본인점수 입력   '!AD9</f>
        <v>0</v>
      </c>
      <c r="G9" s="7">
        <f>'   본인점수 입력   '!AE9</f>
        <v>0</v>
      </c>
      <c r="H9" s="7">
        <f>'   본인점수 입력   '!AF9</f>
        <v>0</v>
      </c>
      <c r="I9" s="7">
        <f>'   본인점수 입력   '!AG9</f>
        <v>0</v>
      </c>
      <c r="J9" s="7">
        <f>'   본인점수 입력   '!AH9</f>
        <v>0</v>
      </c>
      <c r="K9" s="7">
        <f>'   본인점수 입력   '!AI9</f>
        <v>0</v>
      </c>
      <c r="L9" s="7">
        <f>'   본인점수 입력   '!AJ9</f>
        <v>0</v>
      </c>
      <c r="M9" s="7">
        <f>'   본인점수 입력   '!AK9</f>
        <v>0</v>
      </c>
      <c r="N9" s="7">
        <f>'   본인점수 입력   '!AL9</f>
        <v>0</v>
      </c>
      <c r="AE9" s="7" t="str">
        <f t="shared" si="4"/>
        <v>최고표점</v>
      </c>
      <c r="AF9" s="7">
        <f t="shared" si="0"/>
        <v>149</v>
      </c>
      <c r="AG9" s="7">
        <f t="shared" si="0"/>
        <v>147</v>
      </c>
      <c r="AH9" s="7">
        <f t="shared" si="0"/>
        <v>0</v>
      </c>
      <c r="AI9" s="7">
        <f t="shared" si="0"/>
        <v>0</v>
      </c>
      <c r="AJ9" s="7">
        <f t="shared" si="0"/>
        <v>0</v>
      </c>
      <c r="AK9" s="7">
        <f t="shared" si="0"/>
        <v>0</v>
      </c>
      <c r="AL9" s="7">
        <f t="shared" si="0"/>
        <v>0</v>
      </c>
      <c r="BG9" s="107"/>
      <c r="BH9" s="107"/>
      <c r="BP9" s="107"/>
      <c r="BQ9" s="107"/>
      <c r="BY9" s="107"/>
      <c r="BZ9" s="107"/>
      <c r="CN9" s="107"/>
      <c r="CO9" s="107"/>
      <c r="DN9" s="124"/>
      <c r="DO9" s="125">
        <v>1</v>
      </c>
    </row>
    <row r="10" spans="1:157" x14ac:dyDescent="0.3">
      <c r="C10" s="7">
        <v>3</v>
      </c>
      <c r="D10" s="7" t="str">
        <f>'   본인점수 입력   '!AB10</f>
        <v>등급</v>
      </c>
      <c r="E10" s="7">
        <f>'   본인점수 입력   '!AC10</f>
        <v>0</v>
      </c>
      <c r="F10" s="7">
        <f>'   본인점수 입력   '!AD10</f>
        <v>0</v>
      </c>
      <c r="G10" s="7">
        <f>'   본인점수 입력   '!AE10</f>
        <v>0</v>
      </c>
      <c r="H10" s="7">
        <f>'   본인점수 입력   '!AF10</f>
        <v>0</v>
      </c>
      <c r="I10" s="7">
        <f>'   본인점수 입력   '!AG10</f>
        <v>0</v>
      </c>
      <c r="J10" s="7">
        <f>'   본인점수 입력   '!AH10</f>
        <v>0</v>
      </c>
      <c r="K10" s="7">
        <f>'   본인점수 입력   '!AI10</f>
        <v>0</v>
      </c>
      <c r="L10" s="7" t="str">
        <f>'   본인점수 입력   '!AJ10</f>
        <v/>
      </c>
      <c r="M10" s="7" t="str">
        <f>'   본인점수 입력   '!AK10</f>
        <v/>
      </c>
      <c r="N10" s="7" t="str">
        <f>'   본인점수 입력   '!AL10</f>
        <v/>
      </c>
      <c r="AE10" s="126" t="s">
        <v>141</v>
      </c>
      <c r="AF10" s="126"/>
      <c r="AG10" s="126"/>
      <c r="AH10" s="126">
        <f>'   본인점수 입력   '!$B$288</f>
        <v>71.13</v>
      </c>
      <c r="AI10" s="7">
        <f>'   본인점수 입력   '!$B$288</f>
        <v>71.13</v>
      </c>
      <c r="AJ10" s="7">
        <f>'   본인점수 입력   '!$B$288</f>
        <v>71.13</v>
      </c>
      <c r="AK10" s="7">
        <f>'   본인점수 입력   '!$B$289</f>
        <v>69.81</v>
      </c>
      <c r="AL10" s="126">
        <f>'   본인점수 입력   '!$B$289</f>
        <v>69.81</v>
      </c>
      <c r="BG10" s="107"/>
      <c r="BH10" s="107"/>
      <c r="BP10" s="107"/>
      <c r="BQ10" s="107"/>
      <c r="BY10" s="107"/>
      <c r="BZ10" s="107"/>
      <c r="CN10" s="107"/>
      <c r="CO10" s="107"/>
    </row>
    <row r="11" spans="1:157" x14ac:dyDescent="0.3">
      <c r="C11" s="7">
        <v>4</v>
      </c>
      <c r="D11" s="7" t="str">
        <f>'   본인점수 입력   '!AB11</f>
        <v>변표</v>
      </c>
      <c r="E11" s="7">
        <f>'   본인점수 입력   '!AC11</f>
        <v>0</v>
      </c>
      <c r="F11" s="7">
        <f>'   본인점수 입력   '!AD11</f>
        <v>0</v>
      </c>
      <c r="G11" s="7">
        <f>'   본인점수 입력   '!AE11</f>
        <v>0</v>
      </c>
      <c r="H11" s="7">
        <f>'   본인점수 입력   '!AF11</f>
        <v>0</v>
      </c>
      <c r="I11" s="7">
        <f>'   본인점수 입력   '!AG11</f>
        <v>0</v>
      </c>
      <c r="J11" s="7">
        <f>'   본인점수 입력   '!AH11</f>
        <v>0</v>
      </c>
      <c r="K11" s="7">
        <f>'   본인점수 입력   '!AI11</f>
        <v>0</v>
      </c>
      <c r="L11" s="7">
        <f>'   본인점수 입력   '!AJ11</f>
        <v>0</v>
      </c>
      <c r="M11" s="7">
        <f>'   본인점수 입력   '!AK11</f>
        <v>0</v>
      </c>
      <c r="N11" s="7">
        <f>'   본인점수 입력   '!AL11</f>
        <v>0</v>
      </c>
      <c r="Q11" s="127"/>
      <c r="AD11" s="128"/>
      <c r="AE11" s="126" t="s">
        <v>668</v>
      </c>
      <c r="AF11" s="126"/>
      <c r="AG11" s="126"/>
      <c r="AH11" s="126">
        <v>71</v>
      </c>
      <c r="AJ11" s="7" t="str">
        <f>I13</f>
        <v>미응시</v>
      </c>
      <c r="AL11" s="129">
        <v>65.7</v>
      </c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Y11" s="107"/>
      <c r="BZ11" s="107"/>
      <c r="CN11" s="107"/>
      <c r="CO11" s="107"/>
    </row>
    <row r="12" spans="1:157" x14ac:dyDescent="0.3">
      <c r="D12" s="39" t="str">
        <f>'   본인점수 입력   '!AB12</f>
        <v>최고표점</v>
      </c>
      <c r="E12" s="39">
        <f>'   본인점수 입력   '!AC12</f>
        <v>149</v>
      </c>
      <c r="F12" s="39">
        <f>'   본인점수 입력   '!AD12</f>
        <v>147</v>
      </c>
      <c r="G12" s="39">
        <f>'   본인점수 입력   '!AE12</f>
        <v>0</v>
      </c>
      <c r="H12" s="39">
        <f>'   본인점수 입력   '!AF12</f>
        <v>0</v>
      </c>
      <c r="I12" s="39">
        <f>'   본인점수 입력   '!AG12</f>
        <v>0</v>
      </c>
      <c r="J12" s="39">
        <f>'   본인점수 입력   '!AH12</f>
        <v>0</v>
      </c>
      <c r="K12" s="39">
        <f>'   본인점수 입력   '!AI12</f>
        <v>0</v>
      </c>
      <c r="L12" s="39">
        <f>'   본인점수 입력   '!AJ12</f>
        <v>0</v>
      </c>
      <c r="M12" s="39">
        <f>'   본인점수 입력   '!AK12</f>
        <v>0</v>
      </c>
      <c r="N12" s="39">
        <f>'   본인점수 입력   '!AL12</f>
        <v>0</v>
      </c>
      <c r="O12" s="39"/>
      <c r="P12" s="39"/>
      <c r="Q12" s="50"/>
      <c r="R12" s="39"/>
      <c r="S12" s="39"/>
      <c r="T12" s="39"/>
      <c r="U12" s="39"/>
      <c r="BG12" s="107"/>
      <c r="BH12" s="107"/>
      <c r="BP12" s="107"/>
      <c r="BQ12" s="107"/>
      <c r="BY12" s="107"/>
      <c r="BZ12" s="107"/>
      <c r="CN12" s="107"/>
      <c r="CO12" s="107"/>
      <c r="CY12" s="130"/>
      <c r="CZ12" s="131"/>
      <c r="EE12" s="132"/>
      <c r="EF12" s="133"/>
    </row>
    <row r="13" spans="1:157" x14ac:dyDescent="0.3">
      <c r="G13" s="39">
        <f>'   본인점수 입력   '!AE13</f>
        <v>0</v>
      </c>
      <c r="H13" s="39">
        <f>'   본인점수 입력   '!AF13</f>
        <v>0</v>
      </c>
      <c r="I13" s="39" t="str">
        <f>'   본인점수 입력   '!AG13</f>
        <v>미응시</v>
      </c>
      <c r="Q13" s="56"/>
      <c r="R13" s="56"/>
      <c r="S13" s="56"/>
      <c r="T13" s="56"/>
      <c r="U13" s="56"/>
      <c r="W13" s="134"/>
      <c r="AF13" s="135"/>
      <c r="AQ13" s="122"/>
      <c r="AZ13" s="122"/>
      <c r="BG13" s="107"/>
      <c r="BH13" s="136"/>
      <c r="BP13" s="107"/>
      <c r="BQ13" s="136"/>
      <c r="BY13" s="107"/>
      <c r="BZ13" s="136"/>
      <c r="CL13" s="122"/>
      <c r="CN13" s="107"/>
      <c r="CO13" s="136"/>
      <c r="CY13" s="137"/>
      <c r="CZ13" s="138"/>
      <c r="DA13" s="42"/>
      <c r="EF13" s="133"/>
      <c r="EJ13" s="50"/>
    </row>
    <row r="14" spans="1:157" x14ac:dyDescent="0.3">
      <c r="I14" s="39"/>
      <c r="O14" s="139"/>
      <c r="Q14" s="56"/>
      <c r="R14" s="56"/>
      <c r="S14" s="56"/>
      <c r="T14" s="56"/>
      <c r="U14" s="56"/>
      <c r="Z14" s="140"/>
      <c r="AJ14" s="140"/>
      <c r="AP14" s="141"/>
      <c r="BG14" s="142"/>
      <c r="BH14" s="107"/>
      <c r="BP14" s="142"/>
      <c r="BQ14" s="107"/>
      <c r="BY14" s="142"/>
      <c r="BZ14" s="107"/>
      <c r="CJ14" s="143" t="s">
        <v>187</v>
      </c>
      <c r="CK14" s="143" t="s">
        <v>464</v>
      </c>
      <c r="CN14" s="142"/>
      <c r="CO14" s="107"/>
      <c r="CY14" s="144"/>
      <c r="CZ14" s="145"/>
      <c r="DA14" s="42"/>
      <c r="EB14" s="146"/>
      <c r="EF14" s="147"/>
      <c r="EJ14" s="42"/>
    </row>
    <row r="15" spans="1:157" x14ac:dyDescent="0.3">
      <c r="D15" s="148"/>
      <c r="E15" s="43"/>
      <c r="F15" s="43"/>
      <c r="G15" s="43"/>
      <c r="H15" s="43"/>
      <c r="I15" s="149"/>
      <c r="J15" s="43"/>
      <c r="K15" s="43"/>
      <c r="M15" s="150"/>
      <c r="N15" s="150"/>
      <c r="O15" s="139"/>
      <c r="Q15" s="56"/>
      <c r="R15" s="56"/>
      <c r="S15" s="56"/>
      <c r="T15" s="56"/>
      <c r="U15" s="56"/>
      <c r="V15" s="7">
        <f>E15</f>
        <v>0</v>
      </c>
      <c r="W15" s="7">
        <f>F15</f>
        <v>0</v>
      </c>
      <c r="X15" s="7">
        <f>G15</f>
        <v>0</v>
      </c>
      <c r="Y15" s="7">
        <f>H15</f>
        <v>0</v>
      </c>
      <c r="Z15" s="151"/>
      <c r="AA15" s="7">
        <f>J15</f>
        <v>0</v>
      </c>
      <c r="AB15" s="7">
        <f>K15</f>
        <v>0</v>
      </c>
      <c r="AF15" s="43"/>
      <c r="AG15" s="43"/>
      <c r="AH15" s="43"/>
      <c r="AI15" s="43"/>
      <c r="AJ15" s="149"/>
      <c r="AK15" s="43"/>
      <c r="AL15" s="43"/>
      <c r="AM15" s="43"/>
      <c r="AN15" s="43"/>
      <c r="AO15" s="148"/>
      <c r="AQ15" s="43"/>
      <c r="AR15" s="43"/>
      <c r="AS15" s="43"/>
      <c r="AT15" s="43"/>
      <c r="AU15" s="43"/>
      <c r="AV15" s="43"/>
      <c r="AW15" s="43"/>
      <c r="AX15" s="43"/>
      <c r="AZ15" s="43"/>
      <c r="BA15" s="43"/>
      <c r="BB15" s="43"/>
      <c r="BC15" s="43"/>
      <c r="BD15" s="43"/>
      <c r="BE15" s="43"/>
      <c r="BF15" s="43"/>
      <c r="BG15" s="152"/>
      <c r="BH15" s="153">
        <v>1</v>
      </c>
      <c r="BI15" s="43">
        <v>2</v>
      </c>
      <c r="BJ15" s="43">
        <v>3</v>
      </c>
      <c r="BK15" s="43">
        <v>4</v>
      </c>
      <c r="BL15" s="43">
        <v>5</v>
      </c>
      <c r="BM15" s="43">
        <v>6</v>
      </c>
      <c r="BN15" s="43">
        <v>7</v>
      </c>
      <c r="BO15" s="43">
        <v>8</v>
      </c>
      <c r="BP15" s="152">
        <v>9</v>
      </c>
      <c r="BQ15" s="153">
        <v>1</v>
      </c>
      <c r="BR15" s="43">
        <v>2</v>
      </c>
      <c r="BS15" s="43">
        <v>3</v>
      </c>
      <c r="BT15" s="43">
        <v>4</v>
      </c>
      <c r="BU15" s="43">
        <v>5</v>
      </c>
      <c r="BV15" s="43">
        <v>6</v>
      </c>
      <c r="BW15" s="43">
        <v>7</v>
      </c>
      <c r="BX15" s="43">
        <v>8</v>
      </c>
      <c r="BY15" s="152">
        <v>9</v>
      </c>
      <c r="BZ15" s="153">
        <v>1</v>
      </c>
      <c r="CA15" s="43">
        <v>2</v>
      </c>
      <c r="CB15" s="43">
        <v>3</v>
      </c>
      <c r="CC15" s="43">
        <v>4</v>
      </c>
      <c r="CD15" s="43">
        <v>5</v>
      </c>
      <c r="CE15" s="43">
        <v>6</v>
      </c>
      <c r="CF15" s="43">
        <v>7</v>
      </c>
      <c r="CG15" s="43">
        <v>8</v>
      </c>
      <c r="CH15" s="43">
        <v>9</v>
      </c>
      <c r="CI15" s="154" t="s">
        <v>461</v>
      </c>
      <c r="CJ15" s="143" t="s">
        <v>188</v>
      </c>
      <c r="CK15" s="143" t="s">
        <v>465</v>
      </c>
      <c r="CL15" s="43" t="s">
        <v>105</v>
      </c>
      <c r="CM15" s="43" t="s">
        <v>5</v>
      </c>
      <c r="CN15" s="152" t="s">
        <v>109</v>
      </c>
      <c r="CO15" s="153"/>
      <c r="CP15" s="148"/>
      <c r="CQ15" s="43"/>
      <c r="CR15" s="43"/>
      <c r="CS15" s="43"/>
      <c r="CT15" s="43"/>
      <c r="CU15" s="43"/>
      <c r="CV15" s="43"/>
      <c r="CW15" s="152"/>
      <c r="CX15" s="155"/>
      <c r="CY15" s="156"/>
      <c r="CZ15" s="157"/>
      <c r="DT15" s="46"/>
      <c r="EB15" s="43"/>
      <c r="EE15" s="43"/>
      <c r="EF15" s="147"/>
      <c r="EJ15" s="43"/>
      <c r="FA15" s="7" t="s">
        <v>663</v>
      </c>
    </row>
    <row r="16" spans="1:157" s="158" customFormat="1" x14ac:dyDescent="0.3">
      <c r="A16" s="158">
        <v>16</v>
      </c>
      <c r="C16" s="158" t="s">
        <v>110</v>
      </c>
      <c r="L16" s="159"/>
      <c r="M16" s="160"/>
      <c r="O16" s="158">
        <f t="shared" ref="O16:O18" si="8">IF(N16&gt;0,N16,M16)</f>
        <v>0</v>
      </c>
      <c r="Q16" s="158">
        <f>V16</f>
        <v>1</v>
      </c>
      <c r="R16" s="158">
        <f>W16</f>
        <v>1.2</v>
      </c>
      <c r="S16" s="158">
        <f t="shared" ref="S16:S74" si="9">IF(AH16=12,$D16*G16/$AH$11,X16)</f>
        <v>0.8</v>
      </c>
      <c r="T16" s="158">
        <f t="shared" ref="T16:T74" si="10">IF(AK16=12,$D16*J16/$AL$11,AA16)</f>
        <v>0</v>
      </c>
      <c r="U16" s="158">
        <f>IF(AH16=2,LARGE(S16:T16,1)*DA16,LARGE(S16:T16,1))</f>
        <v>0.8</v>
      </c>
      <c r="V16" s="158">
        <v>1</v>
      </c>
      <c r="W16" s="158">
        <v>1.2</v>
      </c>
      <c r="X16" s="158">
        <v>0.8</v>
      </c>
      <c r="Y16" s="158">
        <v>0.8</v>
      </c>
      <c r="AF16" s="158">
        <v>1</v>
      </c>
      <c r="AG16" s="158">
        <v>1</v>
      </c>
      <c r="AH16" s="158">
        <v>1</v>
      </c>
      <c r="AI16" s="158">
        <v>1</v>
      </c>
      <c r="AK16" s="158">
        <v>1</v>
      </c>
      <c r="AL16" s="158">
        <v>1</v>
      </c>
      <c r="AM16" s="158">
        <v>3</v>
      </c>
      <c r="AN16" s="158">
        <v>3</v>
      </c>
      <c r="AP16" s="158">
        <f>IF(AH16&gt;0,AH16,AK16)</f>
        <v>1</v>
      </c>
      <c r="BG16" s="161"/>
      <c r="BH16" s="162"/>
      <c r="BI16" s="158">
        <v>-0.5</v>
      </c>
      <c r="BJ16" s="158">
        <v>-2</v>
      </c>
      <c r="BK16" s="158">
        <v>-4</v>
      </c>
      <c r="BL16" s="158">
        <v>-6</v>
      </c>
      <c r="BM16" s="158">
        <v>-8</v>
      </c>
      <c r="BN16" s="158">
        <v>-10</v>
      </c>
      <c r="BO16" s="158">
        <v>-12</v>
      </c>
      <c r="BP16" s="161">
        <v>-14</v>
      </c>
      <c r="BQ16" s="162"/>
      <c r="BT16" s="158">
        <v>-0.4</v>
      </c>
      <c r="BU16" s="158">
        <v>-0.8</v>
      </c>
      <c r="BV16" s="158">
        <v>-1.2</v>
      </c>
      <c r="BW16" s="158">
        <v>-1.6</v>
      </c>
      <c r="BX16" s="158">
        <v>-2</v>
      </c>
      <c r="BY16" s="161">
        <v>-2.4</v>
      </c>
      <c r="BZ16" s="162"/>
      <c r="CI16" s="158">
        <f>ROUND((BH16-DY16),1)</f>
        <v>0</v>
      </c>
      <c r="CJ16" s="163" t="e">
        <f>((BH16-DY16)/(EF16+CI16-EB16))*100</f>
        <v>#DIV/0!</v>
      </c>
      <c r="CK16" s="158">
        <f>ROUND((BQ16-DZ16)+(BZ16-EA16),1)</f>
        <v>0</v>
      </c>
      <c r="CL16" s="158">
        <v>2</v>
      </c>
      <c r="CN16" s="161"/>
      <c r="CO16" s="162"/>
      <c r="CP16" s="158">
        <v>1</v>
      </c>
      <c r="CS16" s="158">
        <v>1</v>
      </c>
      <c r="CW16" s="161"/>
      <c r="CX16" s="162">
        <v>1</v>
      </c>
      <c r="CY16" s="164"/>
      <c r="CZ16" s="164">
        <f>IF(CY16&gt;0,CY16,IF(CL16&gt;0,1,2))</f>
        <v>1</v>
      </c>
      <c r="DA16" s="158">
        <f>CL16+CM16+CN16</f>
        <v>2</v>
      </c>
      <c r="DB16" s="158">
        <f t="shared" ref="DB16:DB48" si="11">IF(OR(AND(CL16&gt;0,CL16&lt;=$CL$8),AND(CM16&gt;0,CM16&lt;=$CM$8),AND(CN16&gt;0,CN16&lt;=$CN$8)),1,0)</f>
        <v>0</v>
      </c>
      <c r="DC16" s="158">
        <f>IF(AND($CO$8&gt;=CO16,$CP$8&gt;=CP16,$CQ$8&gt;=CQ16,$CR$8&gt;=CR16,$CS$8&gt;=CS16,$CT$8&gt;=CT16,$CU$8&gt;=CU16,$CV$8&gt;=CV16,$CW$8&gt;=CW16,OR(CX16=0,$CX$8&lt;CX16),DB16=1),1,0)</f>
        <v>0</v>
      </c>
      <c r="DE16" s="158">
        <f t="shared" ref="DE16:DE48" si="12">IFERROR(INDEX(DE$4:DE$10,MATCH(AF16,$DC$4:$DC$10,0)),0)</f>
        <v>0</v>
      </c>
      <c r="DF16" s="158">
        <f t="shared" ref="DF16:DF48" si="13">IFERROR(INDEX(DF$4:DF$10,MATCH(AG16,$DC$4:$DC$10,0)),0)</f>
        <v>0</v>
      </c>
      <c r="DG16" s="158">
        <f>IFERROR(IF(LEFT($AP16,1)="4",INDEX('변표 테이블'!$H$86:$H$165,MATCH($O16,'변표 테이블'!$B$86:$B$165,0)),INDEX(DG$4:DG$8,MATCH(AH16,$DC$4:$DC$8,0))),0)</f>
        <v>0</v>
      </c>
      <c r="DH16" s="158">
        <f>IFERROR(IF(LEFT($AP16,1)="4",INDEX('변표 테이블'!$I$86:$I$165,MATCH($O16,'변표 테이블'!$B$86:$B$165,0)),INDEX(DH$4:DH$8,MATCH(AI16,$DC$4:$DC$8,0))),0)</f>
        <v>0</v>
      </c>
      <c r="DJ16" s="158">
        <f>IFERROR(IF(LEFT($AP16,1)="4",INDEX('변표 테이블'!$J$86:$J$165,MATCH($O16,'변표 테이블'!$B$86:$B$165,0)),INDEX(DI$4:DI$8,MATCH(AK16,$DC$4:$DC$8,0))),0)</f>
        <v>0</v>
      </c>
      <c r="DK16" s="158">
        <f>IFERROR(IF(LEFT($AP16,1)="4",INDEX('변표 테이블'!$K$86:$K$165,MATCH($O16,'변표 테이블'!$B$86:$B$165,0)),INDEX(DJ$4:DJ$8,MATCH(AL16,$DC$4:$DC$8,0))),0)</f>
        <v>0</v>
      </c>
      <c r="DL16" s="158" t="str">
        <f>IFERROR(INDEX(DK$4:DK$8,MATCH(AM16,$DC$4:$DC$8,0)),0)</f>
        <v/>
      </c>
      <c r="DM16" s="158" t="str">
        <f>IFERROR(INDEX(DL$4:DL$8,MATCH(AN16,$DC$4:$DC$8,0)),0)</f>
        <v/>
      </c>
      <c r="DN16" s="158">
        <f>IFERROR(INDEX(DM$4:DM$8,MATCH(AO16,$DC$4:$DC$8,0)),0)</f>
        <v>0</v>
      </c>
      <c r="DP16" s="158">
        <f t="shared" ref="DP16:DP48" si="14">IFERROR((DE16*V16+AZ16)*$DO$9,0)</f>
        <v>0</v>
      </c>
      <c r="DQ16" s="158">
        <f t="shared" ref="DQ16:DQ48" si="15">IFERROR((DF16*W16+BA16+BB16)*$DO$9,0)</f>
        <v>0</v>
      </c>
      <c r="DR16" s="158">
        <f t="shared" ref="DR16:DR48" si="16">IFERROR((DG16*X16+BC16)*$DO$9,0)</f>
        <v>0</v>
      </c>
      <c r="DS16" s="158">
        <f>IFERROR(IF(DA16&lt;2,0,(DH16*Y16+BD16)*$DO$9),0)</f>
        <v>0</v>
      </c>
      <c r="DT16" s="158">
        <f t="shared" ref="DT16:DT48" si="17">IFERROR(BE16*$DO$9,0)</f>
        <v>0</v>
      </c>
      <c r="DU16" s="158">
        <f t="shared" ref="DU16:DU48" si="18">IFERROR((DJ16*AA16+BF16)*$DO$9,0)</f>
        <v>0</v>
      </c>
      <c r="DV16" s="158">
        <f>IFERROR(IF(DA16&lt;2,0,(DK16*AB16+BG16)*$DO$9),0)</f>
        <v>0</v>
      </c>
      <c r="DW16" s="158">
        <f>LARGE((DR16:DS16,DU16:DV16),1)</f>
        <v>0</v>
      </c>
      <c r="DX16" s="158">
        <f>IF(DA16&lt;2,0,LARGE((DR16:DS16,DU16:DV16),2))</f>
        <v>0</v>
      </c>
      <c r="DY16" s="158">
        <f t="shared" ref="DY16:DY48" si="19">IFERROR(INDEX(BH16:BP16,MATCH(DL16,$BH$15:$BP$15,0)),0)</f>
        <v>0</v>
      </c>
      <c r="DZ16" s="158">
        <f t="shared" ref="DZ16:DZ48" si="20">IFERROR(INDEX(BQ16:BY16,MATCH(DM16,$BQ$15:$BY$15,0)),0)</f>
        <v>0</v>
      </c>
      <c r="EA16" s="158">
        <f t="shared" ref="EA16:EA48" si="21">IFERROR(INDEX(BZ16:CH16,MATCH(DN16,$BZ$15:$CH$15,0)),0)</f>
        <v>0</v>
      </c>
      <c r="EF16" s="165">
        <f>IF(EE16&gt;0,EE16,DP16+DQ16+DT16+DW16+DX16+DY16+DZ16+EA16)</f>
        <v>0</v>
      </c>
      <c r="EH16" s="158">
        <f>IF(COUNTA(AZ16:BG16)&gt;0,1,0)</f>
        <v>0</v>
      </c>
      <c r="EI16" s="158">
        <f>IF(EH16=0,0,COUNTIF($EH$16:EH16,"&gt;"&amp;0))</f>
        <v>0</v>
      </c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</row>
    <row r="17" spans="1:139" x14ac:dyDescent="0.3">
      <c r="A17" s="165">
        <v>17</v>
      </c>
      <c r="C17" s="7" t="s">
        <v>111</v>
      </c>
      <c r="L17" s="166"/>
      <c r="M17" s="167"/>
      <c r="O17" s="7">
        <f t="shared" si="8"/>
        <v>0</v>
      </c>
      <c r="Q17" s="7">
        <f t="shared" ref="Q17:Q80" si="22">V17</f>
        <v>1</v>
      </c>
      <c r="R17" s="7">
        <f t="shared" ref="R17:R80" si="23">W17</f>
        <v>1.2</v>
      </c>
      <c r="S17" s="7">
        <f t="shared" si="9"/>
        <v>0.8</v>
      </c>
      <c r="T17" s="7">
        <f t="shared" si="10"/>
        <v>0.8</v>
      </c>
      <c r="U17" s="7">
        <f t="shared" ref="U17:U80" si="24">IF(AH17=2,LARGE(S17:T17,1)*DA17,LARGE(S17:T17,1))</f>
        <v>0.8</v>
      </c>
      <c r="V17" s="7">
        <v>1</v>
      </c>
      <c r="W17" s="7">
        <v>1.2</v>
      </c>
      <c r="X17" s="7">
        <v>0.8</v>
      </c>
      <c r="Y17" s="7">
        <v>0.8</v>
      </c>
      <c r="AA17" s="7">
        <v>0.8</v>
      </c>
      <c r="AB17" s="7">
        <v>0.8</v>
      </c>
      <c r="AF17" s="7">
        <v>1</v>
      </c>
      <c r="AG17" s="7">
        <v>1</v>
      </c>
      <c r="AH17" s="7">
        <v>1</v>
      </c>
      <c r="AI17" s="7">
        <v>1</v>
      </c>
      <c r="AK17" s="7">
        <v>1</v>
      </c>
      <c r="AL17" s="7">
        <v>1</v>
      </c>
      <c r="AM17" s="7">
        <v>3</v>
      </c>
      <c r="AN17" s="7">
        <v>3</v>
      </c>
      <c r="AO17" s="7">
        <v>3</v>
      </c>
      <c r="AP17" s="7">
        <f t="shared" ref="AP17:AP81" si="25">IF(AH17&gt;0,AH17,AK17)</f>
        <v>1</v>
      </c>
      <c r="BI17" s="7">
        <v>-0.5</v>
      </c>
      <c r="BJ17" s="7">
        <v>-2</v>
      </c>
      <c r="BK17" s="7">
        <v>-4</v>
      </c>
      <c r="BL17" s="7">
        <v>-6</v>
      </c>
      <c r="BM17" s="7">
        <v>-8</v>
      </c>
      <c r="BN17" s="7">
        <v>-10</v>
      </c>
      <c r="BO17" s="7">
        <v>-12</v>
      </c>
      <c r="BP17" s="7">
        <v>-14</v>
      </c>
      <c r="BT17" s="7">
        <v>-0.4</v>
      </c>
      <c r="BU17" s="7">
        <v>-0.8</v>
      </c>
      <c r="BV17" s="7">
        <v>-1.2</v>
      </c>
      <c r="BW17" s="7">
        <v>-1.6</v>
      </c>
      <c r="BX17" s="7">
        <v>-2</v>
      </c>
      <c r="BY17" s="7">
        <v>-2.4</v>
      </c>
      <c r="CB17" s="7">
        <v>-0.5</v>
      </c>
      <c r="CC17" s="7">
        <v>-1</v>
      </c>
      <c r="CD17" s="7">
        <v>-1.5</v>
      </c>
      <c r="CE17" s="7">
        <v>-2</v>
      </c>
      <c r="CF17" s="7">
        <v>-2.5</v>
      </c>
      <c r="CG17" s="7">
        <v>-3</v>
      </c>
      <c r="CH17" s="7">
        <v>-3.5</v>
      </c>
      <c r="CI17" s="7">
        <f t="shared" ref="CI17:CI80" si="26">ROUND((BH17-DY17),1)</f>
        <v>0</v>
      </c>
      <c r="CJ17" s="163" t="e">
        <f t="shared" ref="CJ17:CJ80" si="27">((BH17-DY17)/(EF17+CI17-EB17))*100</f>
        <v>#DIV/0!</v>
      </c>
      <c r="CK17" s="7">
        <f t="shared" ref="CK17:CK80" si="28">ROUND((BQ17-DZ17)+(BZ17-EA17),1)</f>
        <v>0</v>
      </c>
      <c r="CN17" s="7">
        <v>2</v>
      </c>
      <c r="CW17" s="7">
        <v>1</v>
      </c>
      <c r="CZ17" s="7">
        <f t="shared" ref="CZ17:CZ80" si="29">IF(CY17&gt;0,CY17,IF(CL17&gt;0,1,2))</f>
        <v>2</v>
      </c>
      <c r="DA17" s="7">
        <f t="shared" ref="DA17:DA81" si="30">CL17+CM17+CN17</f>
        <v>2</v>
      </c>
      <c r="DB17" s="7">
        <f t="shared" si="11"/>
        <v>0</v>
      </c>
      <c r="DC17" s="7">
        <f t="shared" ref="DC17:DC81" si="31">IF(AND($CO$8&gt;=CO17,$CP$8&gt;=CP17,$CQ$8&gt;=CQ17,$CR$8&gt;=CR17,$CS$8&gt;=CS17,$CT$8&gt;=CT17,$CU$8&gt;=CU17,$CV$8&gt;=CV17,$CW$8&gt;=CW17,OR(CX17=0,$CX$8&lt;CX17),DB17=1),1,0)</f>
        <v>0</v>
      </c>
      <c r="DE17" s="7">
        <f t="shared" si="12"/>
        <v>0</v>
      </c>
      <c r="DF17" s="7">
        <f t="shared" si="13"/>
        <v>0</v>
      </c>
      <c r="DG17" s="7">
        <f>IFERROR(IF(LEFT($AP17,1)="4",INDEX('변표 테이블'!$H$86:$H$165,MATCH($O17,'변표 테이블'!$B$86:$B$165,0)),INDEX(DG$4:DG$8,MATCH(AH17,$DC$4:$DC$8,0))),0)</f>
        <v>0</v>
      </c>
      <c r="DH17" s="7">
        <f>IFERROR(IF(LEFT($AP17,1)="4",INDEX('변표 테이블'!$I$86:$I$165,MATCH($O17,'변표 테이블'!$B$86:$B$165,0)),INDEX(DH$4:DH$8,MATCH(AI17,$DC$4:$DC$8,0))),0)</f>
        <v>0</v>
      </c>
      <c r="DJ17" s="7">
        <f>IFERROR(IF(LEFT($AP17,1)="4",INDEX('변표 테이블'!$J$86:$J$165,MATCH($O17,'변표 테이블'!$B$86:$B$165,0)),INDEX(DI$4:DI$8,MATCH(AK17,$DC$4:$DC$8,0))),0)</f>
        <v>0</v>
      </c>
      <c r="DK17" s="7">
        <f>IFERROR(IF(LEFT($AP17,1)="4",INDEX('변표 테이블'!$K$86:$K$165,MATCH($O17,'변표 테이블'!$B$86:$B$165,0)),INDEX(DJ$4:DJ$8,MATCH(AL17,$DC$4:$DC$8,0))),0)</f>
        <v>0</v>
      </c>
      <c r="DL17" s="7" t="str">
        <f t="shared" ref="DL17:DL80" si="32">IFERROR(INDEX(DK$4:DK$8,MATCH(AM17,$DC$4:$DC$8,0)),0)</f>
        <v/>
      </c>
      <c r="DM17" s="7" t="str">
        <f t="shared" ref="DM17:DM80" si="33">IFERROR(INDEX(DL$4:DL$8,MATCH(AN17,$DC$4:$DC$8,0)),0)</f>
        <v/>
      </c>
      <c r="DN17" s="7" t="str">
        <f t="shared" ref="DN17:DN80" si="34">IFERROR(INDEX(DM$4:DM$8,MATCH(AO17,$DC$4:$DC$8,0)),0)</f>
        <v/>
      </c>
      <c r="DP17" s="7">
        <f t="shared" si="14"/>
        <v>0</v>
      </c>
      <c r="DQ17" s="7">
        <f t="shared" si="15"/>
        <v>0</v>
      </c>
      <c r="DR17" s="7">
        <f t="shared" si="16"/>
        <v>0</v>
      </c>
      <c r="DS17" s="7">
        <f t="shared" ref="DS17:DS80" si="35">IFERROR(IF(DA17&lt;2,0,(DH17*Y17+BD17)*$DO$9),0)</f>
        <v>0</v>
      </c>
      <c r="DT17" s="7">
        <f t="shared" si="17"/>
        <v>0</v>
      </c>
      <c r="DU17" s="7">
        <f t="shared" si="18"/>
        <v>0</v>
      </c>
      <c r="DV17" s="7">
        <f t="shared" ref="DV17:DV80" si="36">IFERROR(IF(DA17&lt;2,0,(DK17*AB17+BG17)*$DO$9),0)</f>
        <v>0</v>
      </c>
      <c r="DW17" s="7">
        <f>LARGE((DR17:DS17,DU17:DV17),1)</f>
        <v>0</v>
      </c>
      <c r="DX17" s="7">
        <f>IF(DA17&lt;2,0,LARGE((DR17:DS17,DU17:DV17),2))</f>
        <v>0</v>
      </c>
      <c r="DY17" s="7">
        <f t="shared" si="19"/>
        <v>0</v>
      </c>
      <c r="DZ17" s="7">
        <f t="shared" si="20"/>
        <v>0</v>
      </c>
      <c r="EA17" s="7">
        <f t="shared" si="21"/>
        <v>0</v>
      </c>
      <c r="EF17" s="7">
        <f t="shared" ref="EF17:EF80" si="37">IF(EE17&gt;0,EE17,DP17+DQ17+DT17+DW17+DX17+DY17+DZ17+EA17)</f>
        <v>0</v>
      </c>
      <c r="EH17" s="7">
        <f t="shared" ref="EH17:EH81" si="38">IF(COUNTA(AZ17:BG17)&gt;0,1,0)</f>
        <v>0</v>
      </c>
      <c r="EI17" s="7">
        <f>IF(EH17=0,0,COUNTIF($EH$16:EH17,"&gt;"&amp;0))</f>
        <v>0</v>
      </c>
    </row>
    <row r="18" spans="1:139" x14ac:dyDescent="0.3">
      <c r="A18" s="165">
        <v>18</v>
      </c>
      <c r="B18" s="46" t="s">
        <v>137</v>
      </c>
      <c r="C18" s="7" t="s">
        <v>207</v>
      </c>
      <c r="L18" s="166"/>
      <c r="M18" s="167"/>
      <c r="O18" s="7">
        <f t="shared" si="8"/>
        <v>0</v>
      </c>
      <c r="Q18" s="7">
        <f t="shared" si="22"/>
        <v>1</v>
      </c>
      <c r="R18" s="7">
        <f t="shared" si="23"/>
        <v>1.2</v>
      </c>
      <c r="S18" s="7">
        <f t="shared" si="9"/>
        <v>0.8</v>
      </c>
      <c r="T18" s="7">
        <f t="shared" si="10"/>
        <v>0.8</v>
      </c>
      <c r="U18" s="7">
        <f t="shared" si="24"/>
        <v>0.8</v>
      </c>
      <c r="V18" s="7">
        <v>1</v>
      </c>
      <c r="W18" s="7">
        <v>1.2</v>
      </c>
      <c r="X18" s="7">
        <v>0.8</v>
      </c>
      <c r="Y18" s="7">
        <v>0.8</v>
      </c>
      <c r="AA18" s="7">
        <v>0.8</v>
      </c>
      <c r="AB18" s="7">
        <v>0.8</v>
      </c>
      <c r="AF18" s="7">
        <v>1</v>
      </c>
      <c r="AG18" s="7">
        <v>1</v>
      </c>
      <c r="AH18" s="7">
        <v>1</v>
      </c>
      <c r="AI18" s="7">
        <v>1</v>
      </c>
      <c r="AK18" s="7">
        <v>1</v>
      </c>
      <c r="AL18" s="7">
        <v>1</v>
      </c>
      <c r="AM18" s="7">
        <v>3</v>
      </c>
      <c r="AN18" s="7">
        <v>3</v>
      </c>
      <c r="AP18" s="7">
        <f t="shared" si="25"/>
        <v>1</v>
      </c>
      <c r="BI18" s="7">
        <v>-0.5</v>
      </c>
      <c r="BJ18" s="7">
        <v>-2</v>
      </c>
      <c r="BK18" s="7">
        <v>-4</v>
      </c>
      <c r="BL18" s="7">
        <v>-6</v>
      </c>
      <c r="BM18" s="7">
        <v>-8</v>
      </c>
      <c r="BN18" s="7">
        <v>-10</v>
      </c>
      <c r="BO18" s="7">
        <v>-12</v>
      </c>
      <c r="BP18" s="7">
        <v>-14</v>
      </c>
      <c r="BT18" s="7">
        <v>-0.4</v>
      </c>
      <c r="BU18" s="7">
        <v>-0.8</v>
      </c>
      <c r="BV18" s="7">
        <v>-1.2</v>
      </c>
      <c r="BW18" s="7">
        <v>-1.6</v>
      </c>
      <c r="BX18" s="7">
        <v>-2</v>
      </c>
      <c r="BY18" s="7">
        <v>-2.4</v>
      </c>
      <c r="CI18" s="7">
        <f t="shared" si="26"/>
        <v>0</v>
      </c>
      <c r="CJ18" s="163" t="e">
        <f t="shared" si="27"/>
        <v>#DIV/0!</v>
      </c>
      <c r="CK18" s="7">
        <f t="shared" si="28"/>
        <v>0</v>
      </c>
      <c r="CN18" s="7">
        <v>2</v>
      </c>
      <c r="CY18" s="7">
        <v>1</v>
      </c>
      <c r="CZ18" s="7">
        <f t="shared" si="29"/>
        <v>1</v>
      </c>
      <c r="DA18" s="7">
        <f t="shared" si="30"/>
        <v>2</v>
      </c>
      <c r="DB18" s="7">
        <f t="shared" si="11"/>
        <v>0</v>
      </c>
      <c r="DC18" s="7">
        <f t="shared" si="31"/>
        <v>0</v>
      </c>
      <c r="DE18" s="7">
        <f t="shared" si="12"/>
        <v>0</v>
      </c>
      <c r="DF18" s="7">
        <f t="shared" si="13"/>
        <v>0</v>
      </c>
      <c r="DG18" s="7">
        <f>IFERROR(IF(LEFT($AP18,1)="4",INDEX('변표 테이블'!$H$86:$H$165,MATCH($O18,'변표 테이블'!$B$86:$B$165,0)),INDEX(DG$4:DG$8,MATCH(AH18,$DC$4:$DC$8,0))),0)</f>
        <v>0</v>
      </c>
      <c r="DH18" s="7">
        <f>IFERROR(IF(LEFT($AP18,1)="4",INDEX('변표 테이블'!$I$86:$I$165,MATCH($O18,'변표 테이블'!$B$86:$B$165,0)),INDEX(DH$4:DH$8,MATCH(AI18,$DC$4:$DC$8,0))),0)</f>
        <v>0</v>
      </c>
      <c r="DJ18" s="7">
        <f>IFERROR(IF(LEFT($AP18,1)="4",INDEX('변표 테이블'!$J$86:$J$165,MATCH($O18,'변표 테이블'!$B$86:$B$165,0)),INDEX(DI$4:DI$8,MATCH(AK18,$DC$4:$DC$8,0))),0)</f>
        <v>0</v>
      </c>
      <c r="DK18" s="7">
        <f>IFERROR(IF(LEFT($AP18,1)="4",INDEX('변표 테이블'!$K$86:$K$165,MATCH($O18,'변표 테이블'!$B$86:$B$165,0)),INDEX(DJ$4:DJ$8,MATCH(AL18,$DC$4:$DC$8,0))),0)</f>
        <v>0</v>
      </c>
      <c r="DL18" s="7" t="str">
        <f t="shared" si="32"/>
        <v/>
      </c>
      <c r="DM18" s="7" t="str">
        <f t="shared" si="33"/>
        <v/>
      </c>
      <c r="DN18" s="7">
        <f t="shared" si="34"/>
        <v>0</v>
      </c>
      <c r="DP18" s="7">
        <f t="shared" si="14"/>
        <v>0</v>
      </c>
      <c r="DQ18" s="7">
        <f t="shared" si="15"/>
        <v>0</v>
      </c>
      <c r="DR18" s="7">
        <f t="shared" si="16"/>
        <v>0</v>
      </c>
      <c r="DS18" s="7">
        <f t="shared" si="35"/>
        <v>0</v>
      </c>
      <c r="DT18" s="7">
        <f t="shared" si="17"/>
        <v>0</v>
      </c>
      <c r="DU18" s="7">
        <f t="shared" si="18"/>
        <v>0</v>
      </c>
      <c r="DV18" s="7">
        <f t="shared" si="36"/>
        <v>0</v>
      </c>
      <c r="DW18" s="7">
        <f>LARGE((DR18:DS18,DU18:DV18),1)</f>
        <v>0</v>
      </c>
      <c r="DX18" s="7">
        <f>IF(DA18&lt;2,0,LARGE((DR18:DS18,DU18:DV18),2))</f>
        <v>0</v>
      </c>
      <c r="DY18" s="7">
        <f t="shared" si="19"/>
        <v>0</v>
      </c>
      <c r="DZ18" s="7">
        <f t="shared" si="20"/>
        <v>0</v>
      </c>
      <c r="EA18" s="7">
        <f t="shared" si="21"/>
        <v>0</v>
      </c>
      <c r="EF18" s="7">
        <f t="shared" si="37"/>
        <v>0</v>
      </c>
      <c r="EH18" s="7">
        <f t="shared" si="38"/>
        <v>0</v>
      </c>
      <c r="EI18" s="7">
        <f>IF(EH18=0,0,COUNTIF($EH$16:EH18,"&gt;"&amp;0))</f>
        <v>0</v>
      </c>
    </row>
    <row r="19" spans="1:139" x14ac:dyDescent="0.3">
      <c r="A19" s="165">
        <v>19</v>
      </c>
      <c r="B19" s="39" t="s">
        <v>136</v>
      </c>
      <c r="C19" s="7" t="s">
        <v>114</v>
      </c>
      <c r="D19" s="7">
        <v>1000</v>
      </c>
      <c r="E19" s="7">
        <f>200/900</f>
        <v>0.22222222222222221</v>
      </c>
      <c r="F19" s="7">
        <f>300/900</f>
        <v>0.33333333333333331</v>
      </c>
      <c r="G19" s="7">
        <f>300/900/2</f>
        <v>0.16666666666666666</v>
      </c>
      <c r="H19" s="7">
        <f>300/900/2</f>
        <v>0.16666666666666666</v>
      </c>
      <c r="O19" s="7">
        <f>IF(N19&gt;0,N19,M19)</f>
        <v>0</v>
      </c>
      <c r="Q19" s="7">
        <f t="shared" si="22"/>
        <v>1.1111111111111109</v>
      </c>
      <c r="R19" s="7">
        <f t="shared" si="23"/>
        <v>1.6666666666666665</v>
      </c>
      <c r="S19" s="7">
        <f t="shared" si="9"/>
        <v>1.6666666666666665</v>
      </c>
      <c r="T19" s="7">
        <f t="shared" si="10"/>
        <v>0</v>
      </c>
      <c r="U19" s="7">
        <f t="shared" si="24"/>
        <v>1.6666666666666665</v>
      </c>
      <c r="V19" s="7">
        <f t="shared" ref="V19:V50" si="39">IF(AF19=12,$D19*E19/$AF$9,IF(OR(AF19=1,AF19=4),$D19*E19/200,IF(OR(AF19=2,AF19=9),$D19*E19/100,"자동")))</f>
        <v>1.1111111111111109</v>
      </c>
      <c r="W19" s="7">
        <f t="shared" ref="W19:W50" si="40">IF(AG19=12,$D19*F19/$AG$9,IF(OR(AG19=1,AG19=4),$D19*F19/200,IF(OR(AG19=2,AG19=9),$D19*F19/100,"자동")))</f>
        <v>1.6666666666666665</v>
      </c>
      <c r="X19" s="7">
        <f t="shared" ref="X19:X50" si="41">IF(AH19=12,$D19*G19/$AH$9,IF(AH19=42,$D19*G19/AC19,IF(OR(AH19=1,AH19=4,AH19=2),$D19*G19/100,IF(AH19=9,$D19*G19/50,"자동"))))</f>
        <v>1.6666666666666665</v>
      </c>
      <c r="Y19" s="7">
        <f t="shared" ref="Y19:Y50" si="42">IF(AI19=12,$D19*H19/$AI$9,IF(AI19=42,$D19*H19/AC19,IF(OR(AI19=1,AI19=4,AI19=2),$D19*H19/100,IF(AI19=9,$D19*H19/50,"자동"))))</f>
        <v>1.6666666666666665</v>
      </c>
      <c r="AA19" s="7">
        <f t="shared" ref="AA19:AA50" si="43">IF(AK19=12,$D19*J19/$AK$9,IF(AK19=42,$D19*J19/AD19,IF(OR(AK19=1,AK19=4,AK19=2),$D19*J19/100,IF(AK19=9,$D19*J19/50,"자동"))))</f>
        <v>0</v>
      </c>
      <c r="AB19" s="7">
        <f t="shared" ref="AB19:AB50" si="44">IF(AL19=12,$D19*K19/$AL$9,IF(AL19=42,$D19*K19/AD19,IF(OR(AL19=1,AL19=4,AL19=2),$D19*K19/100,IF(AL19=9,$D19*K19/50,"자동"))))</f>
        <v>0</v>
      </c>
      <c r="AC19" s="7" t="e">
        <f>INDEX('변표 테이블'!$C$86:$C$165,MATCH(O19,'변표 테이블'!$B$86:$B$165,0))</f>
        <v>#N/A</v>
      </c>
      <c r="AD19" s="7" t="e">
        <f>INDEX('변표 테이블'!$D$86:$D$165,MATCH(O19,'변표 테이블'!$B$86:$B$165,0))</f>
        <v>#N/A</v>
      </c>
      <c r="AF19" s="7">
        <v>1</v>
      </c>
      <c r="AG19" s="7">
        <v>1</v>
      </c>
      <c r="AH19" s="7">
        <v>1</v>
      </c>
      <c r="AI19" s="7">
        <v>1</v>
      </c>
      <c r="AK19" s="7">
        <v>1</v>
      </c>
      <c r="AL19" s="7">
        <v>1</v>
      </c>
      <c r="AM19" s="7">
        <v>3</v>
      </c>
      <c r="AN19" s="7">
        <v>3</v>
      </c>
      <c r="AP19" s="7">
        <f t="shared" si="25"/>
        <v>1</v>
      </c>
      <c r="BH19" s="121">
        <f>100*(10/9)</f>
        <v>111.11111111111111</v>
      </c>
      <c r="BI19" s="7">
        <f>95*(10/9)</f>
        <v>105.55555555555556</v>
      </c>
      <c r="BJ19" s="7">
        <f>87.5*(10/9)</f>
        <v>97.222222222222229</v>
      </c>
      <c r="BK19" s="7">
        <f>75*(10/9)</f>
        <v>83.333333333333343</v>
      </c>
      <c r="BL19" s="7">
        <f>60*(10/9)</f>
        <v>66.666666666666671</v>
      </c>
      <c r="BM19" s="7">
        <f>40*(10/9)</f>
        <v>44.444444444444443</v>
      </c>
      <c r="BN19" s="7">
        <f>25*(10/9)</f>
        <v>27.777777777777779</v>
      </c>
      <c r="BO19" s="7">
        <f>12.5*(10/9)</f>
        <v>13.888888888888889</v>
      </c>
      <c r="BP19" s="7">
        <f>5*(10/9)</f>
        <v>5.5555555555555554</v>
      </c>
      <c r="BQ19" s="121">
        <v>10</v>
      </c>
      <c r="BR19" s="7">
        <v>10</v>
      </c>
      <c r="BS19" s="7">
        <v>10</v>
      </c>
      <c r="BT19" s="7">
        <v>10</v>
      </c>
      <c r="BU19" s="7">
        <v>9.8000000000000007</v>
      </c>
      <c r="BV19" s="7">
        <v>9.6</v>
      </c>
      <c r="BW19" s="7">
        <v>9.4</v>
      </c>
      <c r="BX19" s="7">
        <v>9.1999999999999993</v>
      </c>
      <c r="BY19" s="7">
        <v>9</v>
      </c>
      <c r="CI19" s="7">
        <f t="shared" si="26"/>
        <v>111.1</v>
      </c>
      <c r="CJ19" s="163">
        <f t="shared" si="27"/>
        <v>100.01000100010002</v>
      </c>
      <c r="CK19" s="7">
        <f t="shared" si="28"/>
        <v>10</v>
      </c>
      <c r="CL19" s="7">
        <v>2</v>
      </c>
      <c r="CP19" s="7">
        <v>1</v>
      </c>
      <c r="CR19" s="7">
        <v>1</v>
      </c>
      <c r="CZ19" s="7">
        <f t="shared" si="29"/>
        <v>1</v>
      </c>
      <c r="DA19" s="7">
        <f t="shared" si="30"/>
        <v>2</v>
      </c>
      <c r="DB19" s="7">
        <f t="shared" si="11"/>
        <v>0</v>
      </c>
      <c r="DC19" s="7">
        <f t="shared" si="31"/>
        <v>0</v>
      </c>
      <c r="DE19" s="7">
        <f t="shared" si="12"/>
        <v>0</v>
      </c>
      <c r="DF19" s="7">
        <f t="shared" si="13"/>
        <v>0</v>
      </c>
      <c r="DG19" s="7">
        <f>IFERROR(IF(LEFT($AP19,1)="4",INDEX('변표 테이블'!$H$86:$H$165,MATCH($O19,'변표 테이블'!$B$86:$B$165,0)),INDEX(DG$4:DG$8,MATCH(AH19,$DC$4:$DC$8,0))),0)</f>
        <v>0</v>
      </c>
      <c r="DH19" s="7">
        <f>IFERROR(IF(LEFT($AP19,1)="4",INDEX('변표 테이블'!$I$86:$I$165,MATCH($O19,'변표 테이블'!$B$86:$B$165,0)),INDEX(DH$4:DH$8,MATCH(AI19,$DC$4:$DC$8,0))),0)</f>
        <v>0</v>
      </c>
      <c r="DJ19" s="7">
        <f>IFERROR(IF(LEFT($AP19,1)="4",INDEX('변표 테이블'!$J$86:$J$165,MATCH($O19,'변표 테이블'!$B$86:$B$165,0)),INDEX(DI$4:DI$8,MATCH(AK19,$DC$4:$DC$8,0))),0)</f>
        <v>0</v>
      </c>
      <c r="DK19" s="7">
        <f>IFERROR(IF(LEFT($AP19,1)="4",INDEX('변표 테이블'!$K$86:$K$165,MATCH($O19,'변표 테이블'!$B$86:$B$165,0)),INDEX(DJ$4:DJ$8,MATCH(AL19,$DC$4:$DC$8,0))),0)</f>
        <v>0</v>
      </c>
      <c r="DL19" s="7" t="str">
        <f t="shared" si="32"/>
        <v/>
      </c>
      <c r="DM19" s="7" t="str">
        <f t="shared" si="33"/>
        <v/>
      </c>
      <c r="DN19" s="7">
        <f t="shared" si="34"/>
        <v>0</v>
      </c>
      <c r="DP19" s="7">
        <f t="shared" si="14"/>
        <v>0</v>
      </c>
      <c r="DQ19" s="7">
        <f t="shared" si="15"/>
        <v>0</v>
      </c>
      <c r="DR19" s="7">
        <f t="shared" si="16"/>
        <v>0</v>
      </c>
      <c r="DS19" s="7">
        <f t="shared" si="35"/>
        <v>0</v>
      </c>
      <c r="DT19" s="7">
        <f t="shared" si="17"/>
        <v>0</v>
      </c>
      <c r="DU19" s="7">
        <f t="shared" si="18"/>
        <v>0</v>
      </c>
      <c r="DV19" s="7">
        <f t="shared" si="36"/>
        <v>0</v>
      </c>
      <c r="DW19" s="7">
        <f>LARGE((DR19:DS19,DU19:DV19),1)</f>
        <v>0</v>
      </c>
      <c r="DX19" s="7">
        <f>IF(DA19&lt;2,0,LARGE((DR19:DS19,DU19:DV19),2))</f>
        <v>0</v>
      </c>
      <c r="DY19" s="7">
        <f t="shared" si="19"/>
        <v>0</v>
      </c>
      <c r="DZ19" s="7">
        <f t="shared" si="20"/>
        <v>0</v>
      </c>
      <c r="EA19" s="7">
        <f t="shared" si="21"/>
        <v>0</v>
      </c>
      <c r="EF19" s="7">
        <f t="shared" si="37"/>
        <v>0</v>
      </c>
      <c r="EH19" s="7">
        <f t="shared" si="38"/>
        <v>0</v>
      </c>
      <c r="EI19" s="7">
        <f>IF(EH19=0,0,COUNTIF($EH$16:EH19,"&gt;"&amp;0))</f>
        <v>0</v>
      </c>
    </row>
    <row r="20" spans="1:139" x14ac:dyDescent="0.3">
      <c r="A20" s="165">
        <v>20</v>
      </c>
      <c r="C20" s="7" t="s">
        <v>115</v>
      </c>
      <c r="D20" s="7">
        <v>1000</v>
      </c>
      <c r="E20" s="7">
        <f>200/600</f>
        <v>0.33333333333333331</v>
      </c>
      <c r="F20" s="7">
        <f>200/600</f>
        <v>0.33333333333333331</v>
      </c>
      <c r="G20" s="7">
        <f>100/600/2</f>
        <v>8.3333333333333329E-2</v>
      </c>
      <c r="H20" s="7">
        <f>100/600/2</f>
        <v>8.3333333333333329E-2</v>
      </c>
      <c r="J20" s="7">
        <f>100/600/2</f>
        <v>8.3333333333333329E-2</v>
      </c>
      <c r="K20" s="7">
        <f>100/600/2</f>
        <v>8.3333333333333329E-2</v>
      </c>
      <c r="O20" s="7">
        <f t="shared" ref="O20:O84" si="45">IF(N20&gt;0,N20,M20)</f>
        <v>0</v>
      </c>
      <c r="Q20" s="7">
        <f t="shared" si="22"/>
        <v>1.6666666666666665</v>
      </c>
      <c r="R20" s="7">
        <f t="shared" si="23"/>
        <v>1.6666666666666665</v>
      </c>
      <c r="S20" s="7">
        <f t="shared" si="9"/>
        <v>0.83333333333333326</v>
      </c>
      <c r="T20" s="7">
        <f t="shared" si="10"/>
        <v>0.83333333333333326</v>
      </c>
      <c r="U20" s="7">
        <f t="shared" si="24"/>
        <v>0.83333333333333326</v>
      </c>
      <c r="V20" s="7">
        <f t="shared" si="39"/>
        <v>1.6666666666666665</v>
      </c>
      <c r="W20" s="7">
        <f t="shared" si="40"/>
        <v>1.6666666666666665</v>
      </c>
      <c r="X20" s="7">
        <f t="shared" si="41"/>
        <v>0.83333333333333326</v>
      </c>
      <c r="Y20" s="7">
        <f t="shared" si="42"/>
        <v>0.83333333333333326</v>
      </c>
      <c r="AA20" s="7">
        <f t="shared" si="43"/>
        <v>0.83333333333333326</v>
      </c>
      <c r="AB20" s="7">
        <f t="shared" si="44"/>
        <v>0.83333333333333326</v>
      </c>
      <c r="AC20" s="7" t="e">
        <f>INDEX('변표 테이블'!$C$86:$C$165,MATCH(O20,'변표 테이블'!$B$86:$B$165,0))</f>
        <v>#N/A</v>
      </c>
      <c r="AD20" s="7" t="e">
        <f>INDEX('변표 테이블'!$D$86:$D$165,MATCH(O20,'변표 테이블'!$B$86:$B$165,0))</f>
        <v>#N/A</v>
      </c>
      <c r="AF20" s="7">
        <v>1</v>
      </c>
      <c r="AG20" s="7">
        <v>1</v>
      </c>
      <c r="AH20" s="7">
        <v>1</v>
      </c>
      <c r="AI20" s="7">
        <v>1</v>
      </c>
      <c r="AK20" s="7">
        <v>1</v>
      </c>
      <c r="AL20" s="7">
        <v>1</v>
      </c>
      <c r="AM20" s="7">
        <v>3</v>
      </c>
      <c r="AN20" s="7">
        <v>3</v>
      </c>
      <c r="AP20" s="7">
        <f t="shared" si="25"/>
        <v>1</v>
      </c>
      <c r="BH20" s="121">
        <f>100*(10/6)</f>
        <v>166.66666666666669</v>
      </c>
      <c r="BI20" s="7">
        <f>95*(10/6)</f>
        <v>158.33333333333334</v>
      </c>
      <c r="BJ20" s="7">
        <f>87.5*(10/6)</f>
        <v>145.83333333333334</v>
      </c>
      <c r="BK20" s="7">
        <f>75*(10/6)</f>
        <v>125</v>
      </c>
      <c r="BL20" s="7">
        <f>60*(10/6)</f>
        <v>100</v>
      </c>
      <c r="BM20" s="7">
        <f>40*(10/6)</f>
        <v>66.666666666666671</v>
      </c>
      <c r="BN20" s="7">
        <f>25*(10/6)</f>
        <v>41.666666666666671</v>
      </c>
      <c r="BO20" s="7">
        <f>12.5*(10/6)</f>
        <v>20.833333333333336</v>
      </c>
      <c r="BP20" s="7">
        <f>5*(10/6)</f>
        <v>8.3333333333333339</v>
      </c>
      <c r="BQ20" s="121">
        <v>10</v>
      </c>
      <c r="BR20" s="7">
        <v>10</v>
      </c>
      <c r="BS20" s="7">
        <v>10</v>
      </c>
      <c r="BT20" s="7">
        <v>10</v>
      </c>
      <c r="BU20" s="7">
        <v>9.8000000000000007</v>
      </c>
      <c r="BV20" s="7">
        <v>9.6</v>
      </c>
      <c r="BW20" s="7">
        <v>9.4</v>
      </c>
      <c r="BX20" s="7">
        <v>9.1999999999999993</v>
      </c>
      <c r="BY20" s="7">
        <v>9</v>
      </c>
      <c r="CI20" s="7">
        <f t="shared" si="26"/>
        <v>166.7</v>
      </c>
      <c r="CJ20" s="163">
        <f t="shared" si="27"/>
        <v>99.980003999200179</v>
      </c>
      <c r="CK20" s="7">
        <f t="shared" si="28"/>
        <v>10</v>
      </c>
      <c r="CN20" s="7">
        <v>2</v>
      </c>
      <c r="CZ20" s="7">
        <f t="shared" si="29"/>
        <v>2</v>
      </c>
      <c r="DA20" s="7">
        <f t="shared" si="30"/>
        <v>2</v>
      </c>
      <c r="DB20" s="7">
        <f t="shared" si="11"/>
        <v>0</v>
      </c>
      <c r="DC20" s="7">
        <f t="shared" si="31"/>
        <v>0</v>
      </c>
      <c r="DE20" s="7">
        <f t="shared" si="12"/>
        <v>0</v>
      </c>
      <c r="DF20" s="7">
        <f t="shared" si="13"/>
        <v>0</v>
      </c>
      <c r="DG20" s="7">
        <f>IFERROR(IF(LEFT($AP20,1)="4",INDEX('변표 테이블'!$H$86:$H$165,MATCH($O20,'변표 테이블'!$B$86:$B$165,0)),INDEX(DG$4:DG$8,MATCH(AH20,$DC$4:$DC$8,0))),0)</f>
        <v>0</v>
      </c>
      <c r="DH20" s="7">
        <f>IFERROR(IF(LEFT($AP20,1)="4",INDEX('변표 테이블'!$I$86:$I$165,MATCH($O20,'변표 테이블'!$B$86:$B$165,0)),INDEX(DH$4:DH$8,MATCH(AI20,$DC$4:$DC$8,0))),0)</f>
        <v>0</v>
      </c>
      <c r="DJ20" s="7">
        <f>IFERROR(IF(LEFT($AP20,1)="4",INDEX('변표 테이블'!$J$86:$J$165,MATCH($O20,'변표 테이블'!$B$86:$B$165,0)),INDEX(DI$4:DI$8,MATCH(AK20,$DC$4:$DC$8,0))),0)</f>
        <v>0</v>
      </c>
      <c r="DK20" s="7">
        <f>IFERROR(IF(LEFT($AP20,1)="4",INDEX('변표 테이블'!$K$86:$K$165,MATCH($O20,'변표 테이블'!$B$86:$B$165,0)),INDEX(DJ$4:DJ$8,MATCH(AL20,$DC$4:$DC$8,0))),0)</f>
        <v>0</v>
      </c>
      <c r="DL20" s="7" t="str">
        <f t="shared" si="32"/>
        <v/>
      </c>
      <c r="DM20" s="7" t="str">
        <f t="shared" si="33"/>
        <v/>
      </c>
      <c r="DN20" s="7">
        <f t="shared" si="34"/>
        <v>0</v>
      </c>
      <c r="DP20" s="7">
        <f t="shared" si="14"/>
        <v>0</v>
      </c>
      <c r="DQ20" s="7">
        <f t="shared" si="15"/>
        <v>0</v>
      </c>
      <c r="DR20" s="7">
        <f t="shared" si="16"/>
        <v>0</v>
      </c>
      <c r="DS20" s="7">
        <f t="shared" si="35"/>
        <v>0</v>
      </c>
      <c r="DT20" s="7">
        <f t="shared" si="17"/>
        <v>0</v>
      </c>
      <c r="DU20" s="7">
        <f t="shared" si="18"/>
        <v>0</v>
      </c>
      <c r="DV20" s="7">
        <f t="shared" si="36"/>
        <v>0</v>
      </c>
      <c r="DW20" s="7">
        <f>LARGE((DR20:DS20,DU20:DV20),1)</f>
        <v>0</v>
      </c>
      <c r="DX20" s="7">
        <f>IF(DA20&lt;2,0,LARGE((DR20:DS20,DU20:DV20),2))</f>
        <v>0</v>
      </c>
      <c r="DY20" s="7">
        <f t="shared" si="19"/>
        <v>0</v>
      </c>
      <c r="DZ20" s="7">
        <f t="shared" si="20"/>
        <v>0</v>
      </c>
      <c r="EA20" s="7">
        <f t="shared" si="21"/>
        <v>0</v>
      </c>
      <c r="EF20" s="7">
        <f t="shared" si="37"/>
        <v>0</v>
      </c>
      <c r="EH20" s="7">
        <f t="shared" si="38"/>
        <v>0</v>
      </c>
      <c r="EI20" s="7">
        <f>IF(EH20=0,0,COUNTIF($EH$16:EH20,"&gt;"&amp;0))</f>
        <v>0</v>
      </c>
    </row>
    <row r="21" spans="1:139" x14ac:dyDescent="0.3">
      <c r="A21" s="165">
        <v>21</v>
      </c>
      <c r="C21" s="7" t="s">
        <v>213</v>
      </c>
      <c r="D21" s="7">
        <v>900</v>
      </c>
      <c r="E21" s="7">
        <f>200/900</f>
        <v>0.22222222222222221</v>
      </c>
      <c r="F21" s="7">
        <f>300/900</f>
        <v>0.33333333333333331</v>
      </c>
      <c r="G21" s="7">
        <f>300/900/2</f>
        <v>0.16666666666666666</v>
      </c>
      <c r="H21" s="7">
        <f>300/900/2</f>
        <v>0.16666666666666666</v>
      </c>
      <c r="O21" s="7">
        <f t="shared" si="45"/>
        <v>0</v>
      </c>
      <c r="Q21" s="7">
        <f t="shared" si="22"/>
        <v>1</v>
      </c>
      <c r="R21" s="7">
        <f t="shared" si="23"/>
        <v>1.5</v>
      </c>
      <c r="S21" s="7">
        <f t="shared" si="9"/>
        <v>1.5</v>
      </c>
      <c r="T21" s="7">
        <f t="shared" si="10"/>
        <v>0</v>
      </c>
      <c r="U21" s="7">
        <f t="shared" si="24"/>
        <v>1.5</v>
      </c>
      <c r="V21" s="7">
        <f t="shared" si="39"/>
        <v>1</v>
      </c>
      <c r="W21" s="7">
        <f t="shared" si="40"/>
        <v>1.5</v>
      </c>
      <c r="X21" s="7">
        <f t="shared" si="41"/>
        <v>1.5</v>
      </c>
      <c r="Y21" s="7">
        <f t="shared" si="42"/>
        <v>1.5</v>
      </c>
      <c r="AA21" s="7">
        <f t="shared" si="43"/>
        <v>0</v>
      </c>
      <c r="AB21" s="7">
        <f t="shared" si="44"/>
        <v>0</v>
      </c>
      <c r="AC21" s="7" t="e">
        <f>INDEX('변표 테이블'!$C$86:$C$165,MATCH(O21,'변표 테이블'!$B$86:$B$165,0))</f>
        <v>#N/A</v>
      </c>
      <c r="AD21" s="7" t="e">
        <f>INDEX('변표 테이블'!$D$86:$D$165,MATCH(O21,'변표 테이블'!$B$86:$B$165,0))</f>
        <v>#N/A</v>
      </c>
      <c r="AF21" s="7">
        <v>1</v>
      </c>
      <c r="AG21" s="7">
        <v>1</v>
      </c>
      <c r="AH21" s="7">
        <v>1</v>
      </c>
      <c r="AI21" s="7">
        <v>1</v>
      </c>
      <c r="AK21" s="7">
        <v>1</v>
      </c>
      <c r="AL21" s="7">
        <v>1</v>
      </c>
      <c r="AM21" s="7">
        <v>3</v>
      </c>
      <c r="AN21" s="7">
        <v>3</v>
      </c>
      <c r="AP21" s="7">
        <f t="shared" si="25"/>
        <v>1</v>
      </c>
      <c r="BH21" s="121">
        <v>100</v>
      </c>
      <c r="BI21" s="7">
        <v>95</v>
      </c>
      <c r="BJ21" s="7">
        <v>87.5</v>
      </c>
      <c r="BK21" s="7">
        <v>75</v>
      </c>
      <c r="BL21" s="7">
        <v>60</v>
      </c>
      <c r="BM21" s="7">
        <v>40</v>
      </c>
      <c r="BN21" s="7">
        <v>25</v>
      </c>
      <c r="BO21" s="7">
        <v>12.5</v>
      </c>
      <c r="BP21" s="7">
        <v>5</v>
      </c>
      <c r="BQ21" s="121">
        <v>10</v>
      </c>
      <c r="BR21" s="7">
        <v>10</v>
      </c>
      <c r="BS21" s="7">
        <v>10</v>
      </c>
      <c r="BT21" s="7">
        <v>10</v>
      </c>
      <c r="BU21" s="7">
        <v>9.8000000000000007</v>
      </c>
      <c r="BV21" s="7">
        <v>9.6</v>
      </c>
      <c r="BW21" s="7">
        <v>9.4</v>
      </c>
      <c r="BX21" s="7">
        <v>9.1999999999999993</v>
      </c>
      <c r="BY21" s="7">
        <v>9</v>
      </c>
      <c r="CI21" s="7">
        <f t="shared" si="26"/>
        <v>100</v>
      </c>
      <c r="CJ21" s="163">
        <f t="shared" si="27"/>
        <v>100</v>
      </c>
      <c r="CK21" s="7">
        <f t="shared" si="28"/>
        <v>10</v>
      </c>
      <c r="CL21" s="7">
        <v>2</v>
      </c>
      <c r="CP21" s="7">
        <v>1</v>
      </c>
      <c r="CR21" s="7">
        <v>1</v>
      </c>
      <c r="CX21" s="121">
        <v>1</v>
      </c>
      <c r="CZ21" s="7">
        <f t="shared" si="29"/>
        <v>1</v>
      </c>
      <c r="DA21" s="7">
        <f t="shared" si="30"/>
        <v>2</v>
      </c>
      <c r="DB21" s="7">
        <f t="shared" si="11"/>
        <v>0</v>
      </c>
      <c r="DC21" s="7">
        <f t="shared" si="31"/>
        <v>0</v>
      </c>
      <c r="DE21" s="7">
        <f t="shared" si="12"/>
        <v>0</v>
      </c>
      <c r="DF21" s="7">
        <f t="shared" si="13"/>
        <v>0</v>
      </c>
      <c r="DG21" s="7">
        <f>IFERROR(IF(LEFT($AP21,1)="4",INDEX('변표 테이블'!$H$86:$H$165,MATCH($O21,'변표 테이블'!$B$86:$B$165,0)),INDEX(DG$4:DG$8,MATCH(AH21,$DC$4:$DC$8,0))),0)</f>
        <v>0</v>
      </c>
      <c r="DH21" s="7">
        <f>IFERROR(IF(LEFT($AP21,1)="4",INDEX('변표 테이블'!$I$86:$I$165,MATCH($O21,'변표 테이블'!$B$86:$B$165,0)),INDEX(DH$4:DH$8,MATCH(AI21,$DC$4:$DC$8,0))),0)</f>
        <v>0</v>
      </c>
      <c r="DJ21" s="7">
        <f>IFERROR(IF(LEFT($AP21,1)="4",INDEX('변표 테이블'!$J$86:$J$165,MATCH($O21,'변표 테이블'!$B$86:$B$165,0)),INDEX(DI$4:DI$8,MATCH(AK21,$DC$4:$DC$8,0))),0)</f>
        <v>0</v>
      </c>
      <c r="DK21" s="7">
        <f>IFERROR(IF(LEFT($AP21,1)="4",INDEX('변표 테이블'!$K$86:$K$165,MATCH($O21,'변표 테이블'!$B$86:$B$165,0)),INDEX(DJ$4:DJ$8,MATCH(AL21,$DC$4:$DC$8,0))),0)</f>
        <v>0</v>
      </c>
      <c r="DL21" s="7" t="str">
        <f t="shared" si="32"/>
        <v/>
      </c>
      <c r="DM21" s="7" t="str">
        <f t="shared" si="33"/>
        <v/>
      </c>
      <c r="DN21" s="7">
        <f t="shared" si="34"/>
        <v>0</v>
      </c>
      <c r="DP21" s="7">
        <f t="shared" si="14"/>
        <v>0</v>
      </c>
      <c r="DQ21" s="7">
        <f t="shared" si="15"/>
        <v>0</v>
      </c>
      <c r="DR21" s="7">
        <f t="shared" si="16"/>
        <v>0</v>
      </c>
      <c r="DS21" s="7">
        <f t="shared" si="35"/>
        <v>0</v>
      </c>
      <c r="DT21" s="7">
        <f t="shared" si="17"/>
        <v>0</v>
      </c>
      <c r="DU21" s="7">
        <f t="shared" si="18"/>
        <v>0</v>
      </c>
      <c r="DV21" s="7">
        <f t="shared" si="36"/>
        <v>0</v>
      </c>
      <c r="DW21" s="7">
        <f>LARGE((DR21:DS21,DU21:DV21),1)</f>
        <v>0</v>
      </c>
      <c r="DX21" s="7">
        <f>IF(DA21&lt;2,0,LARGE((DR21:DS21,DU21:DV21),2))</f>
        <v>0</v>
      </c>
      <c r="DY21" s="7">
        <f t="shared" si="19"/>
        <v>0</v>
      </c>
      <c r="DZ21" s="7">
        <f t="shared" si="20"/>
        <v>0</v>
      </c>
      <c r="EA21" s="7">
        <f t="shared" si="21"/>
        <v>0</v>
      </c>
      <c r="EF21" s="7">
        <f t="shared" si="37"/>
        <v>0</v>
      </c>
      <c r="EH21" s="7">
        <f t="shared" si="38"/>
        <v>0</v>
      </c>
      <c r="EI21" s="7">
        <f>IF(EH21=0,0,COUNTIF($EH$16:EH21,"&gt;"&amp;0))</f>
        <v>0</v>
      </c>
    </row>
    <row r="22" spans="1:139" x14ac:dyDescent="0.3">
      <c r="A22" s="165">
        <v>22</v>
      </c>
      <c r="C22" s="7" t="s">
        <v>116</v>
      </c>
      <c r="D22" s="7">
        <v>900</v>
      </c>
      <c r="E22" s="7">
        <f>200/600</f>
        <v>0.33333333333333331</v>
      </c>
      <c r="F22" s="7">
        <f>200/600</f>
        <v>0.33333333333333331</v>
      </c>
      <c r="G22" s="7">
        <f>100/600/2</f>
        <v>8.3333333333333329E-2</v>
      </c>
      <c r="H22" s="7">
        <f>100/600/2</f>
        <v>8.3333333333333329E-2</v>
      </c>
      <c r="J22" s="7">
        <f>100/600/2</f>
        <v>8.3333333333333329E-2</v>
      </c>
      <c r="K22" s="7">
        <f>100/600/2</f>
        <v>8.3333333333333329E-2</v>
      </c>
      <c r="O22" s="7">
        <f t="shared" si="45"/>
        <v>0</v>
      </c>
      <c r="Q22" s="7">
        <f t="shared" si="22"/>
        <v>1.5</v>
      </c>
      <c r="R22" s="7">
        <f t="shared" si="23"/>
        <v>1.5</v>
      </c>
      <c r="S22" s="7">
        <f t="shared" si="9"/>
        <v>0.75</v>
      </c>
      <c r="T22" s="7">
        <f t="shared" si="10"/>
        <v>0.75</v>
      </c>
      <c r="U22" s="7">
        <f t="shared" si="24"/>
        <v>0.75</v>
      </c>
      <c r="V22" s="7">
        <f t="shared" si="39"/>
        <v>1.5</v>
      </c>
      <c r="W22" s="7">
        <f t="shared" si="40"/>
        <v>1.5</v>
      </c>
      <c r="X22" s="7">
        <f t="shared" si="41"/>
        <v>0.75</v>
      </c>
      <c r="Y22" s="7">
        <f t="shared" si="42"/>
        <v>0.75</v>
      </c>
      <c r="AA22" s="7">
        <f t="shared" si="43"/>
        <v>0.75</v>
      </c>
      <c r="AB22" s="7">
        <f t="shared" si="44"/>
        <v>0.75</v>
      </c>
      <c r="AC22" s="7" t="e">
        <f>INDEX('변표 테이블'!$C$86:$C$165,MATCH(O22,'변표 테이블'!$B$86:$B$165,0))</f>
        <v>#N/A</v>
      </c>
      <c r="AD22" s="7" t="e">
        <f>INDEX('변표 테이블'!$D$86:$D$165,MATCH(O22,'변표 테이블'!$B$86:$B$165,0))</f>
        <v>#N/A</v>
      </c>
      <c r="AF22" s="7">
        <v>1</v>
      </c>
      <c r="AG22" s="7">
        <v>1</v>
      </c>
      <c r="AH22" s="7">
        <v>1</v>
      </c>
      <c r="AI22" s="7">
        <v>1</v>
      </c>
      <c r="AK22" s="7">
        <v>1</v>
      </c>
      <c r="AL22" s="7">
        <v>1</v>
      </c>
      <c r="AM22" s="7">
        <v>3</v>
      </c>
      <c r="AN22" s="7">
        <v>3</v>
      </c>
      <c r="AP22" s="7">
        <f t="shared" si="25"/>
        <v>1</v>
      </c>
      <c r="BH22" s="121">
        <f>100*(9/6)</f>
        <v>150</v>
      </c>
      <c r="BI22" s="7">
        <f>95*(9/6)</f>
        <v>142.5</v>
      </c>
      <c r="BJ22" s="7">
        <f>87.5*(9/6)</f>
        <v>131.25</v>
      </c>
      <c r="BK22" s="7">
        <f>75*(9/6)</f>
        <v>112.5</v>
      </c>
      <c r="BL22" s="7">
        <f>60*(9/6)</f>
        <v>90</v>
      </c>
      <c r="BM22" s="7">
        <f>40*(9/6)</f>
        <v>60</v>
      </c>
      <c r="BN22" s="7">
        <f>25*(9/6)</f>
        <v>37.5</v>
      </c>
      <c r="BO22" s="7">
        <f>12.5*(9/6)</f>
        <v>18.75</v>
      </c>
      <c r="BP22" s="7">
        <f>5*(9/6)</f>
        <v>7.5</v>
      </c>
      <c r="BQ22" s="121">
        <v>10</v>
      </c>
      <c r="BR22" s="7">
        <v>10</v>
      </c>
      <c r="BS22" s="7">
        <v>10</v>
      </c>
      <c r="BT22" s="7">
        <v>10</v>
      </c>
      <c r="BU22" s="7">
        <v>9.8000000000000007</v>
      </c>
      <c r="BV22" s="7">
        <v>9.6</v>
      </c>
      <c r="BW22" s="7">
        <v>9.4</v>
      </c>
      <c r="BX22" s="7">
        <v>9.1999999999999993</v>
      </c>
      <c r="BY22" s="7">
        <v>9</v>
      </c>
      <c r="CI22" s="7">
        <f t="shared" si="26"/>
        <v>150</v>
      </c>
      <c r="CJ22" s="163">
        <f t="shared" si="27"/>
        <v>100</v>
      </c>
      <c r="CK22" s="7">
        <f t="shared" si="28"/>
        <v>10</v>
      </c>
      <c r="CN22" s="7">
        <v>2</v>
      </c>
      <c r="CY22" s="7">
        <v>1</v>
      </c>
      <c r="CZ22" s="7">
        <f t="shared" si="29"/>
        <v>1</v>
      </c>
      <c r="DA22" s="7">
        <f t="shared" si="30"/>
        <v>2</v>
      </c>
      <c r="DB22" s="7">
        <f t="shared" si="11"/>
        <v>0</v>
      </c>
      <c r="DC22" s="7">
        <f t="shared" si="31"/>
        <v>0</v>
      </c>
      <c r="DE22" s="7">
        <f t="shared" si="12"/>
        <v>0</v>
      </c>
      <c r="DF22" s="7">
        <f t="shared" si="13"/>
        <v>0</v>
      </c>
      <c r="DG22" s="7">
        <f>IFERROR(IF(LEFT($AP22,1)="4",INDEX('변표 테이블'!$H$86:$H$165,MATCH($O22,'변표 테이블'!$B$86:$B$165,0)),INDEX(DG$4:DG$8,MATCH(AH22,$DC$4:$DC$8,0))),0)</f>
        <v>0</v>
      </c>
      <c r="DH22" s="7">
        <f>IFERROR(IF(LEFT($AP22,1)="4",INDEX('변표 테이블'!$I$86:$I$165,MATCH($O22,'변표 테이블'!$B$86:$B$165,0)),INDEX(DH$4:DH$8,MATCH(AI22,$DC$4:$DC$8,0))),0)</f>
        <v>0</v>
      </c>
      <c r="DJ22" s="7">
        <f>IFERROR(IF(LEFT($AP22,1)="4",INDEX('변표 테이블'!$J$86:$J$165,MATCH($O22,'변표 테이블'!$B$86:$B$165,0)),INDEX(DI$4:DI$8,MATCH(AK22,$DC$4:$DC$8,0))),0)</f>
        <v>0</v>
      </c>
      <c r="DK22" s="7">
        <f>IFERROR(IF(LEFT($AP22,1)="4",INDEX('변표 테이블'!$K$86:$K$165,MATCH($O22,'변표 테이블'!$B$86:$B$165,0)),INDEX(DJ$4:DJ$8,MATCH(AL22,$DC$4:$DC$8,0))),0)</f>
        <v>0</v>
      </c>
      <c r="DL22" s="7" t="str">
        <f t="shared" si="32"/>
        <v/>
      </c>
      <c r="DM22" s="7" t="str">
        <f t="shared" si="33"/>
        <v/>
      </c>
      <c r="DN22" s="7">
        <f t="shared" si="34"/>
        <v>0</v>
      </c>
      <c r="DP22" s="7">
        <f t="shared" si="14"/>
        <v>0</v>
      </c>
      <c r="DQ22" s="7">
        <f t="shared" si="15"/>
        <v>0</v>
      </c>
      <c r="DR22" s="7">
        <f t="shared" si="16"/>
        <v>0</v>
      </c>
      <c r="DS22" s="7">
        <f t="shared" si="35"/>
        <v>0</v>
      </c>
      <c r="DT22" s="7">
        <f t="shared" si="17"/>
        <v>0</v>
      </c>
      <c r="DU22" s="7">
        <f t="shared" si="18"/>
        <v>0</v>
      </c>
      <c r="DV22" s="7">
        <f t="shared" si="36"/>
        <v>0</v>
      </c>
      <c r="DW22" s="7">
        <f>LARGE((DR22:DS22,DU22:DV22),1)</f>
        <v>0</v>
      </c>
      <c r="DX22" s="7">
        <f>IF(DA22&lt;2,0,LARGE((DR22:DS22,DU22:DV22),2))</f>
        <v>0</v>
      </c>
      <c r="DY22" s="7">
        <f t="shared" si="19"/>
        <v>0</v>
      </c>
      <c r="DZ22" s="7">
        <f t="shared" si="20"/>
        <v>0</v>
      </c>
      <c r="EA22" s="7">
        <f t="shared" si="21"/>
        <v>0</v>
      </c>
      <c r="EF22" s="7">
        <f t="shared" si="37"/>
        <v>0</v>
      </c>
      <c r="EH22" s="7">
        <f t="shared" si="38"/>
        <v>0</v>
      </c>
      <c r="EI22" s="7">
        <f>IF(EH22=0,0,COUNTIF($EH$16:EH22,"&gt;"&amp;0))</f>
        <v>0</v>
      </c>
    </row>
    <row r="23" spans="1:139" x14ac:dyDescent="0.3">
      <c r="A23" s="165">
        <v>23</v>
      </c>
      <c r="C23" s="7" t="s">
        <v>117</v>
      </c>
      <c r="D23" s="7">
        <v>1000</v>
      </c>
      <c r="E23" s="7">
        <f>200/640</f>
        <v>0.3125</v>
      </c>
      <c r="F23" s="7">
        <f>240/640</f>
        <v>0.375</v>
      </c>
      <c r="G23" s="7">
        <f>200/640/2</f>
        <v>0.15625</v>
      </c>
      <c r="H23" s="7">
        <f>200/640/2</f>
        <v>0.15625</v>
      </c>
      <c r="M23" s="7">
        <v>1</v>
      </c>
      <c r="O23" s="7">
        <f t="shared" si="45"/>
        <v>1</v>
      </c>
      <c r="Q23" s="7">
        <f t="shared" si="22"/>
        <v>1.5625</v>
      </c>
      <c r="R23" s="7">
        <f t="shared" si="23"/>
        <v>1.875</v>
      </c>
      <c r="S23" s="7">
        <f t="shared" si="9"/>
        <v>1.5625</v>
      </c>
      <c r="T23" s="7" t="str">
        <f t="shared" si="10"/>
        <v>자동</v>
      </c>
      <c r="U23" s="7">
        <f t="shared" si="24"/>
        <v>1.5625</v>
      </c>
      <c r="V23" s="7">
        <f t="shared" si="39"/>
        <v>1.5625</v>
      </c>
      <c r="W23" s="7">
        <f t="shared" si="40"/>
        <v>1.875</v>
      </c>
      <c r="X23" s="7">
        <f t="shared" si="41"/>
        <v>1.5625</v>
      </c>
      <c r="Y23" s="7">
        <f t="shared" si="42"/>
        <v>1.5625</v>
      </c>
      <c r="AA23" s="7" t="str">
        <f t="shared" si="43"/>
        <v>자동</v>
      </c>
      <c r="AB23" s="7" t="str">
        <f t="shared" si="44"/>
        <v>자동</v>
      </c>
      <c r="AC23" s="7">
        <f>INDEX('변표 테이블'!$C$86:$C$165,MATCH(O23,'변표 테이블'!$B$86:$B$165,0))</f>
        <v>71.13</v>
      </c>
      <c r="AD23" s="7">
        <f>INDEX('변표 테이블'!$D$86:$D$165,MATCH(O23,'변표 테이블'!$B$86:$B$165,0))</f>
        <v>66</v>
      </c>
      <c r="AF23" s="7">
        <v>1</v>
      </c>
      <c r="AG23" s="7">
        <v>1</v>
      </c>
      <c r="AH23" s="7">
        <v>4</v>
      </c>
      <c r="AI23" s="7">
        <v>4</v>
      </c>
      <c r="AM23" s="7">
        <v>3</v>
      </c>
      <c r="AN23" s="7">
        <v>3</v>
      </c>
      <c r="AP23" s="7">
        <f t="shared" si="25"/>
        <v>4</v>
      </c>
      <c r="BI23" s="7">
        <v>-3</v>
      </c>
      <c r="BJ23" s="7">
        <v>-6</v>
      </c>
      <c r="BK23" s="7">
        <v>-9</v>
      </c>
      <c r="BL23" s="7">
        <v>-12</v>
      </c>
      <c r="BM23" s="7">
        <v>-15</v>
      </c>
      <c r="BN23" s="7">
        <v>-18</v>
      </c>
      <c r="BO23" s="7">
        <v>-21</v>
      </c>
      <c r="BP23" s="7">
        <v>-24</v>
      </c>
      <c r="BQ23" s="121">
        <v>10</v>
      </c>
      <c r="BR23" s="7">
        <v>10</v>
      </c>
      <c r="BS23" s="7">
        <v>10</v>
      </c>
      <c r="BT23" s="7">
        <v>10</v>
      </c>
      <c r="BU23" s="7">
        <v>9.8000000000000007</v>
      </c>
      <c r="BV23" s="7">
        <v>9.6</v>
      </c>
      <c r="BW23" s="7">
        <v>9.4</v>
      </c>
      <c r="BX23" s="7">
        <v>9.1999999999999993</v>
      </c>
      <c r="BY23" s="7">
        <v>8</v>
      </c>
      <c r="CI23" s="7">
        <f t="shared" si="26"/>
        <v>0</v>
      </c>
      <c r="CJ23" s="163" t="e">
        <f t="shared" si="27"/>
        <v>#DIV/0!</v>
      </c>
      <c r="CK23" s="7">
        <f t="shared" si="28"/>
        <v>10</v>
      </c>
      <c r="CL23" s="7">
        <v>2</v>
      </c>
      <c r="CP23" s="7">
        <v>1</v>
      </c>
      <c r="CR23" s="7">
        <v>1</v>
      </c>
      <c r="CX23" s="121">
        <v>1</v>
      </c>
      <c r="CZ23" s="7">
        <f t="shared" si="29"/>
        <v>1</v>
      </c>
      <c r="DA23" s="7">
        <f t="shared" si="30"/>
        <v>2</v>
      </c>
      <c r="DB23" s="7">
        <f t="shared" si="11"/>
        <v>0</v>
      </c>
      <c r="DC23" s="7">
        <f t="shared" si="31"/>
        <v>0</v>
      </c>
      <c r="DE23" s="7">
        <f t="shared" si="12"/>
        <v>0</v>
      </c>
      <c r="DF23" s="7">
        <f t="shared" si="13"/>
        <v>0</v>
      </c>
      <c r="DG23" s="7">
        <f>IFERROR(IF(LEFT($AP23,1)="4",INDEX('변표 테이블'!$H$86:$H$165,MATCH($O23,'변표 테이블'!$B$86:$B$165,0)),INDEX(DG$4:DG$8,MATCH(AH23,$DC$4:$DC$8,0))),0)</f>
        <v>0</v>
      </c>
      <c r="DH23" s="7">
        <f>IFERROR(IF(LEFT($AP23,1)="4",INDEX('변표 테이블'!$I$86:$I$165,MATCH($O23,'변표 테이블'!$B$86:$B$165,0)),INDEX(DH$4:DH$8,MATCH(AI23,$DC$4:$DC$8,0))),0)</f>
        <v>0</v>
      </c>
      <c r="DJ23" s="7">
        <f>IFERROR(IF(LEFT($AP23,1)="4",INDEX('변표 테이블'!$J$86:$J$165,MATCH($O23,'변표 테이블'!$B$86:$B$165,0)),INDEX(DI$4:DI$8,MATCH(AK23,$DC$4:$DC$8,0))),0)</f>
        <v>0</v>
      </c>
      <c r="DK23" s="7">
        <f>IFERROR(IF(LEFT($AP23,1)="4",INDEX('변표 테이블'!$K$86:$K$165,MATCH($O23,'변표 테이블'!$B$86:$B$165,0)),INDEX(DJ$4:DJ$8,MATCH(AL23,$DC$4:$DC$8,0))),0)</f>
        <v>0</v>
      </c>
      <c r="DL23" s="7" t="str">
        <f t="shared" si="32"/>
        <v/>
      </c>
      <c r="DM23" s="7" t="str">
        <f t="shared" si="33"/>
        <v/>
      </c>
      <c r="DN23" s="7">
        <f t="shared" si="34"/>
        <v>0</v>
      </c>
      <c r="DP23" s="7">
        <f t="shared" si="14"/>
        <v>0</v>
      </c>
      <c r="DQ23" s="7">
        <f t="shared" si="15"/>
        <v>0</v>
      </c>
      <c r="DR23" s="7">
        <f t="shared" si="16"/>
        <v>0</v>
      </c>
      <c r="DS23" s="7">
        <f t="shared" si="35"/>
        <v>0</v>
      </c>
      <c r="DT23" s="7">
        <f t="shared" si="17"/>
        <v>0</v>
      </c>
      <c r="DU23" s="7">
        <f t="shared" si="18"/>
        <v>0</v>
      </c>
      <c r="DV23" s="7">
        <f t="shared" si="36"/>
        <v>0</v>
      </c>
      <c r="DW23" s="7">
        <f>LARGE((DR23:DS23,DU23:DV23),1)</f>
        <v>0</v>
      </c>
      <c r="DX23" s="7">
        <f>IF(DA23&lt;2,0,LARGE((DR23:DS23,DU23:DV23),2))</f>
        <v>0</v>
      </c>
      <c r="DY23" s="7">
        <f t="shared" si="19"/>
        <v>0</v>
      </c>
      <c r="DZ23" s="7">
        <f t="shared" si="20"/>
        <v>0</v>
      </c>
      <c r="EA23" s="7">
        <f t="shared" si="21"/>
        <v>0</v>
      </c>
      <c r="EF23" s="7">
        <f t="shared" si="37"/>
        <v>0</v>
      </c>
      <c r="EH23" s="7">
        <f t="shared" si="38"/>
        <v>0</v>
      </c>
      <c r="EI23" s="7">
        <f>IF(EH23=0,0,COUNTIF($EH$16:EH23,"&gt;"&amp;0))</f>
        <v>0</v>
      </c>
    </row>
    <row r="24" spans="1:139" x14ac:dyDescent="0.3">
      <c r="A24" s="165">
        <v>24</v>
      </c>
      <c r="C24" s="7" t="s">
        <v>118</v>
      </c>
      <c r="D24" s="7">
        <v>1000</v>
      </c>
      <c r="E24" s="7">
        <f>200/560</f>
        <v>0.35714285714285715</v>
      </c>
      <c r="F24" s="7">
        <f>200/560</f>
        <v>0.35714285714285715</v>
      </c>
      <c r="G24" s="7">
        <f>160/560/2</f>
        <v>0.14285714285714285</v>
      </c>
      <c r="H24" s="7">
        <f>160/560/2</f>
        <v>0.14285714285714285</v>
      </c>
      <c r="J24" s="7">
        <f>160/560/2</f>
        <v>0.14285714285714285</v>
      </c>
      <c r="K24" s="7">
        <f>160/560/2</f>
        <v>0.14285714285714285</v>
      </c>
      <c r="M24" s="7">
        <v>1</v>
      </c>
      <c r="O24" s="7">
        <f t="shared" si="45"/>
        <v>1</v>
      </c>
      <c r="Q24" s="7">
        <f t="shared" si="22"/>
        <v>1.7857142857142858</v>
      </c>
      <c r="R24" s="7">
        <f t="shared" si="23"/>
        <v>1.7857142857142858</v>
      </c>
      <c r="S24" s="7">
        <f t="shared" si="9"/>
        <v>1.4285714285714286</v>
      </c>
      <c r="T24" s="7">
        <f t="shared" si="10"/>
        <v>1.4285714285714286</v>
      </c>
      <c r="U24" s="7">
        <f t="shared" si="24"/>
        <v>1.4285714285714286</v>
      </c>
      <c r="V24" s="7">
        <f t="shared" si="39"/>
        <v>1.7857142857142858</v>
      </c>
      <c r="W24" s="7">
        <f t="shared" si="40"/>
        <v>1.7857142857142858</v>
      </c>
      <c r="X24" s="7">
        <f t="shared" si="41"/>
        <v>1.4285714285714286</v>
      </c>
      <c r="Y24" s="7">
        <f t="shared" si="42"/>
        <v>1.4285714285714286</v>
      </c>
      <c r="AA24" s="7">
        <f t="shared" si="43"/>
        <v>1.4285714285714286</v>
      </c>
      <c r="AB24" s="7">
        <f t="shared" si="44"/>
        <v>1.4285714285714286</v>
      </c>
      <c r="AC24" s="7">
        <f>INDEX('변표 테이블'!$C$86:$C$165,MATCH(O24,'변표 테이블'!$B$86:$B$165,0))</f>
        <v>71.13</v>
      </c>
      <c r="AD24" s="7">
        <f>INDEX('변표 테이블'!$D$86:$D$165,MATCH(O24,'변표 테이블'!$B$86:$B$165,0))</f>
        <v>66</v>
      </c>
      <c r="AF24" s="7">
        <v>1</v>
      </c>
      <c r="AG24" s="7">
        <v>1</v>
      </c>
      <c r="AH24" s="7">
        <v>4</v>
      </c>
      <c r="AI24" s="7">
        <v>4</v>
      </c>
      <c r="AK24" s="7">
        <v>4</v>
      </c>
      <c r="AL24" s="7">
        <v>4</v>
      </c>
      <c r="AM24" s="7">
        <v>3</v>
      </c>
      <c r="AN24" s="7">
        <v>3</v>
      </c>
      <c r="AP24" s="7">
        <f t="shared" si="25"/>
        <v>4</v>
      </c>
      <c r="BI24" s="7">
        <v>-3</v>
      </c>
      <c r="BJ24" s="7">
        <v>-6</v>
      </c>
      <c r="BK24" s="7">
        <v>-9</v>
      </c>
      <c r="BL24" s="7">
        <v>-12</v>
      </c>
      <c r="BM24" s="7">
        <v>-15</v>
      </c>
      <c r="BN24" s="7">
        <v>-18</v>
      </c>
      <c r="BO24" s="7">
        <v>-21</v>
      </c>
      <c r="BP24" s="7">
        <v>-24</v>
      </c>
      <c r="BQ24" s="121">
        <v>10</v>
      </c>
      <c r="BR24" s="7">
        <v>10</v>
      </c>
      <c r="BS24" s="7">
        <v>10</v>
      </c>
      <c r="BT24" s="7">
        <v>9.8000000000000007</v>
      </c>
      <c r="BU24" s="7">
        <v>9.6</v>
      </c>
      <c r="BV24" s="7">
        <v>9.4</v>
      </c>
      <c r="BW24" s="7">
        <v>9.1999999999999993</v>
      </c>
      <c r="BX24" s="7">
        <v>9</v>
      </c>
      <c r="BY24" s="7">
        <v>8</v>
      </c>
      <c r="CI24" s="7">
        <f t="shared" si="26"/>
        <v>0</v>
      </c>
      <c r="CJ24" s="163" t="e">
        <f t="shared" si="27"/>
        <v>#DIV/0!</v>
      </c>
      <c r="CK24" s="7">
        <f t="shared" si="28"/>
        <v>10</v>
      </c>
      <c r="CN24" s="7">
        <v>2</v>
      </c>
      <c r="CX24" s="121">
        <v>1</v>
      </c>
      <c r="CZ24" s="7">
        <f t="shared" si="29"/>
        <v>2</v>
      </c>
      <c r="DA24" s="7">
        <f t="shared" si="30"/>
        <v>2</v>
      </c>
      <c r="DB24" s="7">
        <f t="shared" si="11"/>
        <v>0</v>
      </c>
      <c r="DC24" s="7">
        <f t="shared" si="31"/>
        <v>0</v>
      </c>
      <c r="DE24" s="7">
        <f t="shared" si="12"/>
        <v>0</v>
      </c>
      <c r="DF24" s="7">
        <f t="shared" si="13"/>
        <v>0</v>
      </c>
      <c r="DG24" s="7">
        <f>IFERROR(IF(LEFT($AP24,1)="4",INDEX('변표 테이블'!$H$86:$H$165,MATCH($O24,'변표 테이블'!$B$86:$B$165,0)),INDEX(DG$4:DG$8,MATCH(AH24,$DC$4:$DC$8,0))),0)</f>
        <v>0</v>
      </c>
      <c r="DH24" s="7">
        <f>IFERROR(IF(LEFT($AP24,1)="4",INDEX('변표 테이블'!$I$86:$I$165,MATCH($O24,'변표 테이블'!$B$86:$B$165,0)),INDEX(DH$4:DH$8,MATCH(AI24,$DC$4:$DC$8,0))),0)</f>
        <v>0</v>
      </c>
      <c r="DJ24" s="7">
        <f>IFERROR(IF(LEFT($AP24,1)="4",INDEX('변표 테이블'!$J$86:$J$165,MATCH($O24,'변표 테이블'!$B$86:$B$165,0)),INDEX(DI$4:DI$8,MATCH(AK24,$DC$4:$DC$8,0))),0)</f>
        <v>0</v>
      </c>
      <c r="DK24" s="7">
        <f>IFERROR(IF(LEFT($AP24,1)="4",INDEX('변표 테이블'!$K$86:$K$165,MATCH($O24,'변표 테이블'!$B$86:$B$165,0)),INDEX(DJ$4:DJ$8,MATCH(AL24,$DC$4:$DC$8,0))),0)</f>
        <v>0</v>
      </c>
      <c r="DL24" s="7" t="str">
        <f t="shared" si="32"/>
        <v/>
      </c>
      <c r="DM24" s="7" t="str">
        <f t="shared" si="33"/>
        <v/>
      </c>
      <c r="DN24" s="7">
        <f t="shared" si="34"/>
        <v>0</v>
      </c>
      <c r="DP24" s="7">
        <f t="shared" si="14"/>
        <v>0</v>
      </c>
      <c r="DQ24" s="7">
        <f t="shared" si="15"/>
        <v>0</v>
      </c>
      <c r="DR24" s="7">
        <f t="shared" si="16"/>
        <v>0</v>
      </c>
      <c r="DS24" s="7">
        <f t="shared" si="35"/>
        <v>0</v>
      </c>
      <c r="DT24" s="7">
        <f t="shared" si="17"/>
        <v>0</v>
      </c>
      <c r="DU24" s="7">
        <f t="shared" si="18"/>
        <v>0</v>
      </c>
      <c r="DV24" s="7">
        <f t="shared" si="36"/>
        <v>0</v>
      </c>
      <c r="DW24" s="7">
        <f>LARGE((DR24:DS24,DU24:DV24),1)</f>
        <v>0</v>
      </c>
      <c r="DX24" s="7">
        <f>IF(DA24&lt;2,0,LARGE((DR24:DS24,DU24:DV24),2))</f>
        <v>0</v>
      </c>
      <c r="DY24" s="7">
        <f t="shared" si="19"/>
        <v>0</v>
      </c>
      <c r="DZ24" s="7">
        <f t="shared" si="20"/>
        <v>0</v>
      </c>
      <c r="EA24" s="7">
        <f t="shared" si="21"/>
        <v>0</v>
      </c>
      <c r="EF24" s="7">
        <f t="shared" si="37"/>
        <v>0</v>
      </c>
      <c r="EH24" s="7">
        <f t="shared" si="38"/>
        <v>0</v>
      </c>
      <c r="EI24" s="7">
        <f>IF(EH24=0,0,COUNTIF($EH$16:EH24,"&gt;"&amp;0))</f>
        <v>0</v>
      </c>
    </row>
    <row r="25" spans="1:139" x14ac:dyDescent="0.3">
      <c r="A25" s="165">
        <v>25</v>
      </c>
      <c r="C25" s="7" t="s">
        <v>208</v>
      </c>
      <c r="D25" s="7">
        <v>1000</v>
      </c>
      <c r="E25" s="7">
        <v>0.25</v>
      </c>
      <c r="F25" s="7">
        <v>0.4</v>
      </c>
      <c r="G25" s="7">
        <v>0.17499999999999999</v>
      </c>
      <c r="H25" s="7">
        <v>0.17499999999999999</v>
      </c>
      <c r="M25" s="7">
        <v>1</v>
      </c>
      <c r="O25" s="7">
        <f t="shared" si="45"/>
        <v>1</v>
      </c>
      <c r="Q25" s="7">
        <f t="shared" si="22"/>
        <v>1.25</v>
      </c>
      <c r="R25" s="7">
        <f t="shared" si="23"/>
        <v>2</v>
      </c>
      <c r="S25" s="7">
        <f t="shared" si="9"/>
        <v>1.75</v>
      </c>
      <c r="T25" s="7" t="str">
        <f t="shared" si="10"/>
        <v>자동</v>
      </c>
      <c r="U25" s="7">
        <f t="shared" si="24"/>
        <v>1.75</v>
      </c>
      <c r="V25" s="7">
        <f t="shared" si="39"/>
        <v>1.25</v>
      </c>
      <c r="W25" s="7">
        <f t="shared" si="40"/>
        <v>2</v>
      </c>
      <c r="X25" s="7">
        <f t="shared" si="41"/>
        <v>1.75</v>
      </c>
      <c r="Y25" s="7">
        <f t="shared" si="42"/>
        <v>1.75</v>
      </c>
      <c r="AA25" s="7" t="str">
        <f t="shared" si="43"/>
        <v>자동</v>
      </c>
      <c r="AB25" s="7" t="str">
        <f t="shared" si="44"/>
        <v>자동</v>
      </c>
      <c r="AC25" s="7">
        <f>INDEX('변표 테이블'!$C$86:$C$165,MATCH(O25,'변표 테이블'!$B$86:$B$165,0))</f>
        <v>71.13</v>
      </c>
      <c r="AD25" s="7">
        <f>INDEX('변표 테이블'!$D$86:$D$165,MATCH(O25,'변표 테이블'!$B$86:$B$165,0))</f>
        <v>66</v>
      </c>
      <c r="AF25" s="7">
        <v>1</v>
      </c>
      <c r="AG25" s="7">
        <v>1</v>
      </c>
      <c r="AH25" s="7">
        <v>4</v>
      </c>
      <c r="AI25" s="7">
        <v>4</v>
      </c>
      <c r="AM25" s="7">
        <v>3</v>
      </c>
      <c r="AN25" s="7">
        <v>3</v>
      </c>
      <c r="AP25" s="7">
        <f t="shared" si="25"/>
        <v>4</v>
      </c>
      <c r="BH25" s="121">
        <v>100</v>
      </c>
      <c r="BI25" s="7">
        <v>97</v>
      </c>
      <c r="BJ25" s="7">
        <v>92</v>
      </c>
      <c r="BK25" s="7">
        <v>86</v>
      </c>
      <c r="BL25" s="7">
        <v>75</v>
      </c>
      <c r="BM25" s="7">
        <v>64</v>
      </c>
      <c r="BN25" s="7">
        <v>58</v>
      </c>
      <c r="BO25" s="7">
        <v>53</v>
      </c>
      <c r="BP25" s="7">
        <v>50</v>
      </c>
      <c r="BQ25" s="121">
        <v>10</v>
      </c>
      <c r="BR25" s="7">
        <v>10</v>
      </c>
      <c r="BS25" s="7">
        <v>10</v>
      </c>
      <c r="BT25" s="7">
        <v>10</v>
      </c>
      <c r="BU25" s="7">
        <v>9</v>
      </c>
      <c r="BV25" s="7">
        <v>8</v>
      </c>
      <c r="BW25" s="7">
        <v>7</v>
      </c>
      <c r="BX25" s="7">
        <v>6</v>
      </c>
      <c r="BY25" s="7">
        <v>5</v>
      </c>
      <c r="CI25" s="7">
        <f t="shared" si="26"/>
        <v>100</v>
      </c>
      <c r="CJ25" s="163">
        <f t="shared" si="27"/>
        <v>100</v>
      </c>
      <c r="CK25" s="7">
        <f t="shared" si="28"/>
        <v>10</v>
      </c>
      <c r="CL25" s="7">
        <v>2</v>
      </c>
      <c r="CP25" s="7">
        <v>1</v>
      </c>
      <c r="CR25" s="7">
        <v>1</v>
      </c>
      <c r="CX25" s="121">
        <v>1</v>
      </c>
      <c r="CZ25" s="7">
        <f t="shared" si="29"/>
        <v>1</v>
      </c>
      <c r="DA25" s="7">
        <f t="shared" si="30"/>
        <v>2</v>
      </c>
      <c r="DB25" s="7">
        <f t="shared" si="11"/>
        <v>0</v>
      </c>
      <c r="DC25" s="7">
        <f t="shared" si="31"/>
        <v>0</v>
      </c>
      <c r="DE25" s="7">
        <f t="shared" si="12"/>
        <v>0</v>
      </c>
      <c r="DF25" s="7">
        <f t="shared" si="13"/>
        <v>0</v>
      </c>
      <c r="DG25" s="7">
        <f>IFERROR(IF(LEFT($AP25,1)="4",INDEX('변표 테이블'!$H$86:$H$165,MATCH($O25,'변표 테이블'!$B$86:$B$165,0)),INDEX(DG$4:DG$8,MATCH(AH25,$DC$4:$DC$8,0))),0)</f>
        <v>0</v>
      </c>
      <c r="DH25" s="7">
        <f>IFERROR(IF(LEFT($AP25,1)="4",INDEX('변표 테이블'!$I$86:$I$165,MATCH($O25,'변표 테이블'!$B$86:$B$165,0)),INDEX(DH$4:DH$8,MATCH(AI25,$DC$4:$DC$8,0))),0)</f>
        <v>0</v>
      </c>
      <c r="DJ25" s="7">
        <f>IFERROR(IF(LEFT($AP25,1)="4",INDEX('변표 테이블'!$J$86:$J$165,MATCH($O25,'변표 테이블'!$B$86:$B$165,0)),INDEX(DI$4:DI$8,MATCH(AK25,$DC$4:$DC$8,0))),0)</f>
        <v>0</v>
      </c>
      <c r="DK25" s="7">
        <f>IFERROR(IF(LEFT($AP25,1)="4",INDEX('변표 테이블'!$K$86:$K$165,MATCH($O25,'변표 테이블'!$B$86:$B$165,0)),INDEX(DJ$4:DJ$8,MATCH(AL25,$DC$4:$DC$8,0))),0)</f>
        <v>0</v>
      </c>
      <c r="DL25" s="7" t="str">
        <f t="shared" si="32"/>
        <v/>
      </c>
      <c r="DM25" s="7" t="str">
        <f t="shared" si="33"/>
        <v/>
      </c>
      <c r="DN25" s="7">
        <f t="shared" si="34"/>
        <v>0</v>
      </c>
      <c r="DP25" s="7">
        <f t="shared" si="14"/>
        <v>0</v>
      </c>
      <c r="DQ25" s="7">
        <f t="shared" si="15"/>
        <v>0</v>
      </c>
      <c r="DR25" s="7">
        <f t="shared" si="16"/>
        <v>0</v>
      </c>
      <c r="DS25" s="7">
        <f t="shared" si="35"/>
        <v>0</v>
      </c>
      <c r="DT25" s="7">
        <f t="shared" si="17"/>
        <v>0</v>
      </c>
      <c r="DU25" s="7">
        <f t="shared" si="18"/>
        <v>0</v>
      </c>
      <c r="DV25" s="7">
        <f t="shared" si="36"/>
        <v>0</v>
      </c>
      <c r="DW25" s="7">
        <f>LARGE((DR25:DS25,DU25:DV25),1)</f>
        <v>0</v>
      </c>
      <c r="DX25" s="7">
        <f>IF(DA25&lt;2,0,LARGE((DR25:DS25,DU25:DV25),2))</f>
        <v>0</v>
      </c>
      <c r="DY25" s="7">
        <f t="shared" si="19"/>
        <v>0</v>
      </c>
      <c r="DZ25" s="7">
        <f t="shared" si="20"/>
        <v>0</v>
      </c>
      <c r="EA25" s="7">
        <f t="shared" si="21"/>
        <v>0</v>
      </c>
      <c r="EF25" s="7">
        <f t="shared" si="37"/>
        <v>0</v>
      </c>
      <c r="EH25" s="7">
        <f t="shared" si="38"/>
        <v>0</v>
      </c>
      <c r="EI25" s="7">
        <f>IF(EH25=0,0,COUNTIF($EH$16:EH25,"&gt;"&amp;0))</f>
        <v>0</v>
      </c>
    </row>
    <row r="26" spans="1:139" x14ac:dyDescent="0.3">
      <c r="A26" s="165">
        <v>26</v>
      </c>
      <c r="C26" s="7" t="s">
        <v>209</v>
      </c>
      <c r="D26" s="7">
        <v>1000</v>
      </c>
      <c r="E26" s="7">
        <v>0.4</v>
      </c>
      <c r="F26" s="7">
        <v>0.4</v>
      </c>
      <c r="G26" s="7">
        <v>0.1</v>
      </c>
      <c r="H26" s="7">
        <v>0.1</v>
      </c>
      <c r="J26" s="7">
        <v>0.1</v>
      </c>
      <c r="K26" s="7">
        <v>0.1</v>
      </c>
      <c r="M26" s="7">
        <v>1</v>
      </c>
      <c r="O26" s="7">
        <f t="shared" si="45"/>
        <v>1</v>
      </c>
      <c r="Q26" s="7">
        <f t="shared" si="22"/>
        <v>2</v>
      </c>
      <c r="R26" s="7">
        <f t="shared" si="23"/>
        <v>2</v>
      </c>
      <c r="S26" s="7">
        <f t="shared" si="9"/>
        <v>1</v>
      </c>
      <c r="T26" s="7">
        <f t="shared" si="10"/>
        <v>1</v>
      </c>
      <c r="U26" s="7">
        <f t="shared" si="24"/>
        <v>1</v>
      </c>
      <c r="V26" s="7">
        <f t="shared" si="39"/>
        <v>2</v>
      </c>
      <c r="W26" s="7">
        <f t="shared" si="40"/>
        <v>2</v>
      </c>
      <c r="X26" s="7">
        <f t="shared" si="41"/>
        <v>1</v>
      </c>
      <c r="Y26" s="7">
        <f t="shared" si="42"/>
        <v>1</v>
      </c>
      <c r="AA26" s="7">
        <f t="shared" si="43"/>
        <v>1</v>
      </c>
      <c r="AB26" s="7">
        <f t="shared" si="44"/>
        <v>1</v>
      </c>
      <c r="AC26" s="7">
        <f>INDEX('변표 테이블'!$C$86:$C$165,MATCH(O26,'변표 테이블'!$B$86:$B$165,0))</f>
        <v>71.13</v>
      </c>
      <c r="AD26" s="7">
        <f>INDEX('변표 테이블'!$D$86:$D$165,MATCH(O26,'변표 테이블'!$B$86:$B$165,0))</f>
        <v>66</v>
      </c>
      <c r="AF26" s="7">
        <v>1</v>
      </c>
      <c r="AG26" s="7">
        <v>1</v>
      </c>
      <c r="AH26" s="7">
        <v>4</v>
      </c>
      <c r="AI26" s="7">
        <v>4</v>
      </c>
      <c r="AK26" s="7">
        <v>4</v>
      </c>
      <c r="AL26" s="7">
        <v>4</v>
      </c>
      <c r="AM26" s="7">
        <v>3</v>
      </c>
      <c r="AN26" s="7">
        <v>3</v>
      </c>
      <c r="AP26" s="7">
        <f t="shared" si="25"/>
        <v>4</v>
      </c>
      <c r="BH26" s="121">
        <v>100</v>
      </c>
      <c r="BI26" s="7">
        <v>97</v>
      </c>
      <c r="BJ26" s="7">
        <v>92</v>
      </c>
      <c r="BK26" s="7">
        <v>86</v>
      </c>
      <c r="BL26" s="7">
        <v>75</v>
      </c>
      <c r="BM26" s="7">
        <v>64</v>
      </c>
      <c r="BN26" s="7">
        <v>58</v>
      </c>
      <c r="BO26" s="7">
        <v>53</v>
      </c>
      <c r="BP26" s="7">
        <v>50</v>
      </c>
      <c r="BQ26" s="121">
        <v>10</v>
      </c>
      <c r="BR26" s="7">
        <v>10</v>
      </c>
      <c r="BS26" s="7">
        <v>10</v>
      </c>
      <c r="BT26" s="7">
        <v>10</v>
      </c>
      <c r="BU26" s="7">
        <v>9</v>
      </c>
      <c r="BV26" s="7">
        <v>8</v>
      </c>
      <c r="BW26" s="7">
        <v>7</v>
      </c>
      <c r="BX26" s="7">
        <v>6</v>
      </c>
      <c r="BY26" s="7">
        <v>5</v>
      </c>
      <c r="CI26" s="7">
        <f t="shared" si="26"/>
        <v>100</v>
      </c>
      <c r="CJ26" s="163">
        <f t="shared" si="27"/>
        <v>100</v>
      </c>
      <c r="CK26" s="7">
        <f t="shared" si="28"/>
        <v>10</v>
      </c>
      <c r="CN26" s="7">
        <v>2</v>
      </c>
      <c r="CX26" s="121">
        <v>1</v>
      </c>
      <c r="CZ26" s="7">
        <f t="shared" si="29"/>
        <v>2</v>
      </c>
      <c r="DA26" s="7">
        <f t="shared" si="30"/>
        <v>2</v>
      </c>
      <c r="DB26" s="7">
        <f t="shared" si="11"/>
        <v>0</v>
      </c>
      <c r="DC26" s="7">
        <f t="shared" si="31"/>
        <v>0</v>
      </c>
      <c r="DE26" s="7">
        <f t="shared" si="12"/>
        <v>0</v>
      </c>
      <c r="DF26" s="7">
        <f t="shared" si="13"/>
        <v>0</v>
      </c>
      <c r="DG26" s="7">
        <f>IFERROR(IF(LEFT($AP26,1)="4",INDEX('변표 테이블'!$H$86:$H$165,MATCH($O26,'변표 테이블'!$B$86:$B$165,0)),INDEX(DG$4:DG$8,MATCH(AH26,$DC$4:$DC$8,0))),0)</f>
        <v>0</v>
      </c>
      <c r="DH26" s="7">
        <f>IFERROR(IF(LEFT($AP26,1)="4",INDEX('변표 테이블'!$I$86:$I$165,MATCH($O26,'변표 테이블'!$B$86:$B$165,0)),INDEX(DH$4:DH$8,MATCH(AI26,$DC$4:$DC$8,0))),0)</f>
        <v>0</v>
      </c>
      <c r="DJ26" s="7">
        <f>IFERROR(IF(LEFT($AP26,1)="4",INDEX('변표 테이블'!$J$86:$J$165,MATCH($O26,'변표 테이블'!$B$86:$B$165,0)),INDEX(DI$4:DI$8,MATCH(AK26,$DC$4:$DC$8,0))),0)</f>
        <v>0</v>
      </c>
      <c r="DK26" s="7">
        <f>IFERROR(IF(LEFT($AP26,1)="4",INDEX('변표 테이블'!$K$86:$K$165,MATCH($O26,'변표 테이블'!$B$86:$B$165,0)),INDEX(DJ$4:DJ$8,MATCH(AL26,$DC$4:$DC$8,0))),0)</f>
        <v>0</v>
      </c>
      <c r="DL26" s="7" t="str">
        <f t="shared" si="32"/>
        <v/>
      </c>
      <c r="DM26" s="7" t="str">
        <f t="shared" si="33"/>
        <v/>
      </c>
      <c r="DN26" s="7">
        <f t="shared" si="34"/>
        <v>0</v>
      </c>
      <c r="DP26" s="7">
        <f t="shared" si="14"/>
        <v>0</v>
      </c>
      <c r="DQ26" s="7">
        <f t="shared" si="15"/>
        <v>0</v>
      </c>
      <c r="DR26" s="7">
        <f t="shared" si="16"/>
        <v>0</v>
      </c>
      <c r="DS26" s="7">
        <f t="shared" si="35"/>
        <v>0</v>
      </c>
      <c r="DT26" s="7">
        <f t="shared" si="17"/>
        <v>0</v>
      </c>
      <c r="DU26" s="7">
        <f t="shared" si="18"/>
        <v>0</v>
      </c>
      <c r="DV26" s="7">
        <f t="shared" si="36"/>
        <v>0</v>
      </c>
      <c r="DW26" s="7">
        <f>LARGE((DR26:DS26,DU26:DV26),1)</f>
        <v>0</v>
      </c>
      <c r="DX26" s="7">
        <f>IF(DA26&lt;2,0,LARGE((DR26:DS26,DU26:DV26),2))</f>
        <v>0</v>
      </c>
      <c r="DY26" s="7">
        <f t="shared" si="19"/>
        <v>0</v>
      </c>
      <c r="DZ26" s="7">
        <f t="shared" si="20"/>
        <v>0</v>
      </c>
      <c r="EA26" s="7">
        <f t="shared" si="21"/>
        <v>0</v>
      </c>
      <c r="EF26" s="7">
        <f t="shared" si="37"/>
        <v>0</v>
      </c>
      <c r="EH26" s="7">
        <f t="shared" si="38"/>
        <v>0</v>
      </c>
      <c r="EI26" s="7">
        <f>IF(EH26=0,0,COUNTIF($EH$16:EH26,"&gt;"&amp;0))</f>
        <v>0</v>
      </c>
    </row>
    <row r="27" spans="1:139" x14ac:dyDescent="0.3">
      <c r="A27" s="165">
        <v>27</v>
      </c>
      <c r="C27" s="7" t="s">
        <v>130</v>
      </c>
      <c r="D27" s="7">
        <v>1000</v>
      </c>
      <c r="E27" s="7">
        <v>0.2</v>
      </c>
      <c r="F27" s="7">
        <v>0.35</v>
      </c>
      <c r="G27" s="7">
        <v>0.17499999999999999</v>
      </c>
      <c r="H27" s="7">
        <v>0.17499999999999999</v>
      </c>
      <c r="M27" s="7">
        <v>1</v>
      </c>
      <c r="O27" s="7">
        <f t="shared" si="45"/>
        <v>1</v>
      </c>
      <c r="Q27" s="7">
        <f t="shared" si="22"/>
        <v>1.3422818791946309</v>
      </c>
      <c r="R27" s="7">
        <f t="shared" si="23"/>
        <v>2.3809523809523809</v>
      </c>
      <c r="S27" s="7">
        <f t="shared" si="9"/>
        <v>2.4602839870659357</v>
      </c>
      <c r="T27" s="7" t="str">
        <f t="shared" si="10"/>
        <v>자동</v>
      </c>
      <c r="U27" s="7">
        <f t="shared" si="24"/>
        <v>2.4602839870659357</v>
      </c>
      <c r="V27" s="7">
        <f t="shared" si="39"/>
        <v>1.3422818791946309</v>
      </c>
      <c r="W27" s="7">
        <f t="shared" si="40"/>
        <v>2.3809523809523809</v>
      </c>
      <c r="X27" s="7">
        <f t="shared" si="41"/>
        <v>2.4602839870659357</v>
      </c>
      <c r="Y27" s="7">
        <f t="shared" si="42"/>
        <v>2.4602839870659357</v>
      </c>
      <c r="AA27" s="7" t="str">
        <f t="shared" si="43"/>
        <v>자동</v>
      </c>
      <c r="AB27" s="7" t="str">
        <f t="shared" si="44"/>
        <v>자동</v>
      </c>
      <c r="AC27" s="7">
        <f>INDEX('변표 테이블'!$C$86:$C$165,MATCH(O27,'변표 테이블'!$B$86:$B$165,0))</f>
        <v>71.13</v>
      </c>
      <c r="AD27" s="7">
        <f>INDEX('변표 테이블'!$D$86:$D$165,MATCH(O27,'변표 테이블'!$B$86:$B$165,0))</f>
        <v>66</v>
      </c>
      <c r="AF27" s="7">
        <v>12</v>
      </c>
      <c r="AG27" s="7">
        <v>12</v>
      </c>
      <c r="AH27" s="7">
        <v>42</v>
      </c>
      <c r="AI27" s="7">
        <v>42</v>
      </c>
      <c r="AM27" s="7">
        <v>3</v>
      </c>
      <c r="AN27" s="7">
        <v>3</v>
      </c>
      <c r="AP27" s="7">
        <f t="shared" si="25"/>
        <v>42</v>
      </c>
      <c r="AV27" s="7">
        <f>X27*0.03</f>
        <v>7.3808519611978068E-2</v>
      </c>
      <c r="BE27" s="7">
        <f>(BH8+BI8+BJ8+BK8)*AV27</f>
        <v>0</v>
      </c>
      <c r="BH27" s="121">
        <v>100</v>
      </c>
      <c r="BI27" s="7">
        <v>98</v>
      </c>
      <c r="BJ27" s="7">
        <v>94</v>
      </c>
      <c r="BK27" s="7">
        <v>88</v>
      </c>
      <c r="BL27" s="7">
        <v>80</v>
      </c>
      <c r="BM27" s="7">
        <v>70</v>
      </c>
      <c r="BN27" s="7">
        <v>58</v>
      </c>
      <c r="BO27" s="7">
        <v>44</v>
      </c>
      <c r="BP27" s="7">
        <v>28</v>
      </c>
      <c r="BU27" s="7">
        <v>-0.1</v>
      </c>
      <c r="BV27" s="7">
        <v>-0.2</v>
      </c>
      <c r="BW27" s="7">
        <v>-0.3</v>
      </c>
      <c r="BX27" s="7">
        <v>-0.4</v>
      </c>
      <c r="BY27" s="7">
        <v>-0.5</v>
      </c>
      <c r="CI27" s="7">
        <f t="shared" si="26"/>
        <v>100</v>
      </c>
      <c r="CJ27" s="163">
        <f t="shared" si="27"/>
        <v>100</v>
      </c>
      <c r="CK27" s="7">
        <f t="shared" si="28"/>
        <v>0</v>
      </c>
      <c r="CL27" s="7">
        <v>2</v>
      </c>
      <c r="CP27" s="7">
        <v>1</v>
      </c>
      <c r="CR27" s="7">
        <v>1</v>
      </c>
      <c r="CZ27" s="7">
        <f t="shared" si="29"/>
        <v>1</v>
      </c>
      <c r="DA27" s="7">
        <f t="shared" si="30"/>
        <v>2</v>
      </c>
      <c r="DB27" s="7">
        <f t="shared" si="11"/>
        <v>0</v>
      </c>
      <c r="DC27" s="7">
        <f t="shared" si="31"/>
        <v>0</v>
      </c>
      <c r="DE27" s="7">
        <f t="shared" si="12"/>
        <v>0</v>
      </c>
      <c r="DF27" s="7">
        <f t="shared" si="13"/>
        <v>0</v>
      </c>
      <c r="DG27" s="7">
        <f>IFERROR(IF(LEFT($AP27,1)="4",INDEX('변표 테이블'!$H$86:$H$165,MATCH($O27,'변표 테이블'!$B$86:$B$165,0)),INDEX(DG$4:DG$8,MATCH(AH27,$DC$4:$DC$8,0))),0)</f>
        <v>0</v>
      </c>
      <c r="DH27" s="7">
        <f>IFERROR(IF(LEFT($AP27,1)="4",INDEX('변표 테이블'!$I$86:$I$165,MATCH($O27,'변표 테이블'!$B$86:$B$165,0)),INDEX(DH$4:DH$8,MATCH(AI27,$DC$4:$DC$8,0))),0)</f>
        <v>0</v>
      </c>
      <c r="DJ27" s="7">
        <f>IFERROR(IF(LEFT($AP27,1)="4",INDEX('변표 테이블'!$J$86:$J$165,MATCH($O27,'변표 테이블'!$B$86:$B$165,0)),INDEX(DI$4:DI$8,MATCH(AK27,$DC$4:$DC$8,0))),0)</f>
        <v>0</v>
      </c>
      <c r="DK27" s="7">
        <f>IFERROR(IF(LEFT($AP27,1)="4",INDEX('변표 테이블'!$K$86:$K$165,MATCH($O27,'변표 테이블'!$B$86:$B$165,0)),INDEX(DJ$4:DJ$8,MATCH(AL27,$DC$4:$DC$8,0))),0)</f>
        <v>0</v>
      </c>
      <c r="DL27" s="7" t="str">
        <f t="shared" si="32"/>
        <v/>
      </c>
      <c r="DM27" s="7" t="str">
        <f t="shared" si="33"/>
        <v/>
      </c>
      <c r="DN27" s="7">
        <f t="shared" si="34"/>
        <v>0</v>
      </c>
      <c r="DP27" s="7">
        <f t="shared" si="14"/>
        <v>0</v>
      </c>
      <c r="DQ27" s="7">
        <f t="shared" si="15"/>
        <v>0</v>
      </c>
      <c r="DR27" s="7">
        <f t="shared" si="16"/>
        <v>0</v>
      </c>
      <c r="DS27" s="7">
        <f t="shared" si="35"/>
        <v>0</v>
      </c>
      <c r="DT27" s="7">
        <f t="shared" si="17"/>
        <v>0</v>
      </c>
      <c r="DU27" s="7">
        <f t="shared" si="18"/>
        <v>0</v>
      </c>
      <c r="DV27" s="7">
        <f t="shared" si="36"/>
        <v>0</v>
      </c>
      <c r="DW27" s="7">
        <f>LARGE((DR27:DS27,DU27:DV27),1)</f>
        <v>0</v>
      </c>
      <c r="DX27" s="7">
        <f>IF(DA27&lt;2,0,LARGE((DR27:DS27,DU27:DV27),2))</f>
        <v>0</v>
      </c>
      <c r="DY27" s="7">
        <f t="shared" si="19"/>
        <v>0</v>
      </c>
      <c r="DZ27" s="7">
        <f t="shared" si="20"/>
        <v>0</v>
      </c>
      <c r="EA27" s="7">
        <f t="shared" si="21"/>
        <v>0</v>
      </c>
      <c r="EF27" s="7">
        <f t="shared" si="37"/>
        <v>0</v>
      </c>
      <c r="EH27" s="7">
        <f t="shared" si="38"/>
        <v>1</v>
      </c>
      <c r="EI27" s="7">
        <f>IF(EH27=0,0,COUNTIF($EH$16:EH27,"&gt;"&amp;0))</f>
        <v>1</v>
      </c>
    </row>
    <row r="28" spans="1:139" x14ac:dyDescent="0.3">
      <c r="A28" s="165">
        <v>28</v>
      </c>
      <c r="C28" s="7" t="s">
        <v>131</v>
      </c>
      <c r="D28" s="7">
        <v>1000</v>
      </c>
      <c r="E28" s="7">
        <v>0.3</v>
      </c>
      <c r="F28" s="7">
        <v>0.3</v>
      </c>
      <c r="G28" s="7">
        <v>0.15</v>
      </c>
      <c r="H28" s="7">
        <v>0.15</v>
      </c>
      <c r="J28" s="7">
        <v>0.15</v>
      </c>
      <c r="K28" s="7">
        <v>0.15</v>
      </c>
      <c r="M28" s="7">
        <v>1</v>
      </c>
      <c r="O28" s="7">
        <f t="shared" si="45"/>
        <v>1</v>
      </c>
      <c r="Q28" s="7">
        <f t="shared" si="22"/>
        <v>2.0134228187919465</v>
      </c>
      <c r="R28" s="7">
        <f t="shared" si="23"/>
        <v>2.0408163265306123</v>
      </c>
      <c r="S28" s="7">
        <f t="shared" si="9"/>
        <v>2.1088148460565166</v>
      </c>
      <c r="T28" s="7">
        <f t="shared" si="10"/>
        <v>2.2727272727272729</v>
      </c>
      <c r="U28" s="7">
        <f t="shared" si="24"/>
        <v>2.2727272727272729</v>
      </c>
      <c r="V28" s="7">
        <f t="shared" si="39"/>
        <v>2.0134228187919465</v>
      </c>
      <c r="W28" s="7">
        <f t="shared" si="40"/>
        <v>2.0408163265306123</v>
      </c>
      <c r="X28" s="7">
        <f t="shared" si="41"/>
        <v>2.1088148460565166</v>
      </c>
      <c r="Y28" s="7">
        <f t="shared" si="42"/>
        <v>2.1088148460565166</v>
      </c>
      <c r="AA28" s="7">
        <f t="shared" si="43"/>
        <v>2.2727272727272729</v>
      </c>
      <c r="AB28" s="7">
        <f t="shared" si="44"/>
        <v>2.2727272727272729</v>
      </c>
      <c r="AC28" s="7">
        <f>INDEX('변표 테이블'!$C$86:$C$165,MATCH(O28,'변표 테이블'!$B$86:$B$165,0))</f>
        <v>71.13</v>
      </c>
      <c r="AD28" s="7">
        <f>INDEX('변표 테이블'!$D$86:$D$165,MATCH(O28,'변표 테이블'!$B$86:$B$165,0))</f>
        <v>66</v>
      </c>
      <c r="AF28" s="7">
        <v>12</v>
      </c>
      <c r="AG28" s="7">
        <v>12</v>
      </c>
      <c r="AH28" s="7">
        <v>42</v>
      </c>
      <c r="AI28" s="7">
        <v>42</v>
      </c>
      <c r="AK28" s="7">
        <v>42</v>
      </c>
      <c r="AL28" s="7">
        <v>42</v>
      </c>
      <c r="AM28" s="7">
        <v>3</v>
      </c>
      <c r="AN28" s="7">
        <v>3</v>
      </c>
      <c r="AP28" s="7">
        <f t="shared" si="25"/>
        <v>42</v>
      </c>
      <c r="BH28" s="121">
        <v>100</v>
      </c>
      <c r="BI28" s="7">
        <v>96</v>
      </c>
      <c r="BJ28" s="7">
        <v>90</v>
      </c>
      <c r="BK28" s="7">
        <v>82</v>
      </c>
      <c r="BL28" s="7">
        <v>72</v>
      </c>
      <c r="BM28" s="7">
        <v>60</v>
      </c>
      <c r="BN28" s="7">
        <v>46</v>
      </c>
      <c r="BO28" s="7">
        <v>30</v>
      </c>
      <c r="BP28" s="7">
        <v>12</v>
      </c>
      <c r="BT28" s="7">
        <v>-0.1</v>
      </c>
      <c r="BU28" s="7">
        <v>-0.2</v>
      </c>
      <c r="BV28" s="7">
        <v>-0.3</v>
      </c>
      <c r="BW28" s="7">
        <v>-0.4</v>
      </c>
      <c r="BX28" s="7">
        <v>-0.5</v>
      </c>
      <c r="BY28" s="7">
        <v>-0.6</v>
      </c>
      <c r="CI28" s="7">
        <f t="shared" si="26"/>
        <v>100</v>
      </c>
      <c r="CJ28" s="163">
        <f t="shared" si="27"/>
        <v>100</v>
      </c>
      <c r="CK28" s="7">
        <f t="shared" si="28"/>
        <v>0</v>
      </c>
      <c r="CN28" s="7">
        <v>2</v>
      </c>
      <c r="CZ28" s="7">
        <f t="shared" si="29"/>
        <v>2</v>
      </c>
      <c r="DA28" s="7">
        <f t="shared" si="30"/>
        <v>2</v>
      </c>
      <c r="DB28" s="7">
        <f t="shared" si="11"/>
        <v>0</v>
      </c>
      <c r="DC28" s="7">
        <f t="shared" si="31"/>
        <v>0</v>
      </c>
      <c r="DE28" s="7">
        <f t="shared" si="12"/>
        <v>0</v>
      </c>
      <c r="DF28" s="7">
        <f t="shared" si="13"/>
        <v>0</v>
      </c>
      <c r="DG28" s="7">
        <f>IFERROR(IF(LEFT($AP28,1)="4",INDEX('변표 테이블'!$H$86:$H$165,MATCH($O28,'변표 테이블'!$B$86:$B$165,0)),INDEX(DG$4:DG$8,MATCH(AH28,$DC$4:$DC$8,0))),0)</f>
        <v>0</v>
      </c>
      <c r="DH28" s="7">
        <f>IFERROR(IF(LEFT($AP28,1)="4",INDEX('변표 테이블'!$I$86:$I$165,MATCH($O28,'변표 테이블'!$B$86:$B$165,0)),INDEX(DH$4:DH$8,MATCH(AI28,$DC$4:$DC$8,0))),0)</f>
        <v>0</v>
      </c>
      <c r="DJ28" s="7">
        <f>IFERROR(IF(LEFT($AP28,1)="4",INDEX('변표 테이블'!$J$86:$J$165,MATCH($O28,'변표 테이블'!$B$86:$B$165,0)),INDEX(DI$4:DI$8,MATCH(AK28,$DC$4:$DC$8,0))),0)</f>
        <v>0</v>
      </c>
      <c r="DK28" s="7">
        <f>IFERROR(IF(LEFT($AP28,1)="4",INDEX('변표 테이블'!$K$86:$K$165,MATCH($O28,'변표 테이블'!$B$86:$B$165,0)),INDEX(DJ$4:DJ$8,MATCH(AL28,$DC$4:$DC$8,0))),0)</f>
        <v>0</v>
      </c>
      <c r="DL28" s="7" t="str">
        <f t="shared" si="32"/>
        <v/>
      </c>
      <c r="DM28" s="7" t="str">
        <f t="shared" si="33"/>
        <v/>
      </c>
      <c r="DN28" s="7">
        <f t="shared" si="34"/>
        <v>0</v>
      </c>
      <c r="DP28" s="7">
        <f t="shared" si="14"/>
        <v>0</v>
      </c>
      <c r="DQ28" s="7">
        <f t="shared" si="15"/>
        <v>0</v>
      </c>
      <c r="DR28" s="7">
        <f t="shared" si="16"/>
        <v>0</v>
      </c>
      <c r="DS28" s="7">
        <f t="shared" si="35"/>
        <v>0</v>
      </c>
      <c r="DT28" s="7">
        <f t="shared" si="17"/>
        <v>0</v>
      </c>
      <c r="DU28" s="7">
        <f t="shared" si="18"/>
        <v>0</v>
      </c>
      <c r="DV28" s="7">
        <f t="shared" si="36"/>
        <v>0</v>
      </c>
      <c r="DW28" s="7">
        <f>LARGE((DR28:DS28,DU28:DV28),1)</f>
        <v>0</v>
      </c>
      <c r="DX28" s="7">
        <f>IF(DA28&lt;2,0,LARGE((DR28:DS28,DU28:DV28),2))</f>
        <v>0</v>
      </c>
      <c r="DY28" s="7">
        <f t="shared" si="19"/>
        <v>0</v>
      </c>
      <c r="DZ28" s="7">
        <f t="shared" si="20"/>
        <v>0</v>
      </c>
      <c r="EA28" s="7">
        <f t="shared" si="21"/>
        <v>0</v>
      </c>
      <c r="EF28" s="7">
        <f t="shared" si="37"/>
        <v>0</v>
      </c>
      <c r="EH28" s="7">
        <f t="shared" si="38"/>
        <v>0</v>
      </c>
      <c r="EI28" s="7">
        <f>IF(EH28=0,0,COUNTIF($EH$16:EH28,"&gt;"&amp;0))</f>
        <v>0</v>
      </c>
    </row>
    <row r="29" spans="1:139" x14ac:dyDescent="0.3">
      <c r="A29" s="165">
        <v>2802</v>
      </c>
      <c r="C29" s="7" t="s">
        <v>664</v>
      </c>
      <c r="D29" s="7">
        <v>1000</v>
      </c>
      <c r="E29" s="7">
        <v>0.3</v>
      </c>
      <c r="F29" s="7">
        <v>0.4</v>
      </c>
      <c r="G29" s="7">
        <v>0.1</v>
      </c>
      <c r="H29" s="7">
        <v>0.1</v>
      </c>
      <c r="J29" s="7">
        <v>0.1</v>
      </c>
      <c r="K29" s="7">
        <v>0.1</v>
      </c>
      <c r="M29" s="7">
        <v>1</v>
      </c>
      <c r="O29" s="7">
        <f t="shared" si="45"/>
        <v>1</v>
      </c>
      <c r="Q29" s="7">
        <f t="shared" si="22"/>
        <v>2.0134228187919465</v>
      </c>
      <c r="R29" s="7">
        <f t="shared" si="23"/>
        <v>2.7210884353741496</v>
      </c>
      <c r="S29" s="7">
        <f t="shared" si="9"/>
        <v>1.4058765640376776</v>
      </c>
      <c r="T29" s="7">
        <f t="shared" si="10"/>
        <v>1.5151515151515151</v>
      </c>
      <c r="U29" s="7">
        <f t="shared" si="24"/>
        <v>1.5151515151515151</v>
      </c>
      <c r="V29" s="7">
        <f t="shared" si="39"/>
        <v>2.0134228187919465</v>
      </c>
      <c r="W29" s="7">
        <f t="shared" si="40"/>
        <v>2.7210884353741496</v>
      </c>
      <c r="X29" s="7">
        <f t="shared" si="41"/>
        <v>1.4058765640376776</v>
      </c>
      <c r="Y29" s="7">
        <f t="shared" si="42"/>
        <v>1.4058765640376776</v>
      </c>
      <c r="AA29" s="7">
        <f t="shared" si="43"/>
        <v>1.5151515151515151</v>
      </c>
      <c r="AB29" s="7">
        <f t="shared" si="44"/>
        <v>1.5151515151515151</v>
      </c>
      <c r="AC29" s="7">
        <f>INDEX('변표 테이블'!$C$86:$C$165,MATCH(O29,'변표 테이블'!$B$86:$B$165,0))</f>
        <v>71.13</v>
      </c>
      <c r="AD29" s="7">
        <f>INDEX('변표 테이블'!$D$86:$D$165,MATCH(O29,'변표 테이블'!$B$86:$B$165,0))</f>
        <v>66</v>
      </c>
      <c r="AF29" s="7">
        <v>12</v>
      </c>
      <c r="AG29" s="7">
        <v>12</v>
      </c>
      <c r="AH29" s="7">
        <v>42</v>
      </c>
      <c r="AI29" s="7">
        <v>42</v>
      </c>
      <c r="AK29" s="7">
        <v>42</v>
      </c>
      <c r="AL29" s="7">
        <v>42</v>
      </c>
      <c r="AM29" s="7">
        <v>3</v>
      </c>
      <c r="AN29" s="7">
        <v>3</v>
      </c>
      <c r="AP29" s="7">
        <f t="shared" si="25"/>
        <v>42</v>
      </c>
      <c r="BH29" s="121">
        <v>100</v>
      </c>
      <c r="BI29" s="7">
        <v>96</v>
      </c>
      <c r="BJ29" s="7">
        <v>90</v>
      </c>
      <c r="BK29" s="7">
        <v>82</v>
      </c>
      <c r="BL29" s="7">
        <v>72</v>
      </c>
      <c r="BM29" s="7">
        <v>60</v>
      </c>
      <c r="BN29" s="7">
        <v>46</v>
      </c>
      <c r="BO29" s="7">
        <v>30</v>
      </c>
      <c r="BP29" s="7">
        <v>12</v>
      </c>
      <c r="BT29" s="7">
        <v>-0.1</v>
      </c>
      <c r="BU29" s="7">
        <v>-0.2</v>
      </c>
      <c r="BV29" s="7">
        <v>-0.3</v>
      </c>
      <c r="BW29" s="7">
        <v>-0.4</v>
      </c>
      <c r="BX29" s="7">
        <v>-0.5</v>
      </c>
      <c r="BY29" s="7">
        <v>-0.6</v>
      </c>
      <c r="CI29" s="7">
        <f t="shared" si="26"/>
        <v>100</v>
      </c>
      <c r="CJ29" s="163">
        <f t="shared" si="27"/>
        <v>100</v>
      </c>
      <c r="CK29" s="7">
        <f t="shared" si="28"/>
        <v>0</v>
      </c>
      <c r="CN29" s="7">
        <v>2</v>
      </c>
      <c r="CZ29" s="7">
        <f t="shared" si="29"/>
        <v>2</v>
      </c>
      <c r="DA29" s="7">
        <f t="shared" ref="DA29" si="46">CL29+CM29+CN29</f>
        <v>2</v>
      </c>
      <c r="DB29" s="7">
        <f t="shared" ref="DB29" si="47">IF(OR(AND(CL29&gt;0,CL29&lt;=$CL$8),AND(CM29&gt;0,CM29&lt;=$CM$8),AND(CN29&gt;0,CN29&lt;=$CN$8)),1,0)</f>
        <v>0</v>
      </c>
      <c r="DC29" s="7">
        <f t="shared" ref="DC29" si="48">IF(AND($CO$8&gt;=CO29,$CP$8&gt;=CP29,$CQ$8&gt;=CQ29,$CR$8&gt;=CR29,$CS$8&gt;=CS29,$CT$8&gt;=CT29,$CU$8&gt;=CU29,$CV$8&gt;=CV29,$CW$8&gt;=CW29,OR(CX29=0,$CX$8&lt;CX29),DB29=1),1,0)</f>
        <v>0</v>
      </c>
      <c r="DE29" s="7">
        <f t="shared" si="12"/>
        <v>0</v>
      </c>
      <c r="DF29" s="7">
        <f t="shared" si="13"/>
        <v>0</v>
      </c>
      <c r="DG29" s="7">
        <f>IFERROR(IF(LEFT($AP29,1)="4",INDEX('변표 테이블'!$H$86:$H$165,MATCH($O29,'변표 테이블'!$B$86:$B$165,0)),INDEX(DG$4:DG$8,MATCH(AH29,$DC$4:$DC$8,0))),0)</f>
        <v>0</v>
      </c>
      <c r="DH29" s="7">
        <f>IFERROR(IF(LEFT($AP29,1)="4",INDEX('변표 테이블'!$I$86:$I$165,MATCH($O29,'변표 테이블'!$B$86:$B$165,0)),INDEX(DH$4:DH$8,MATCH(AI29,$DC$4:$DC$8,0))),0)</f>
        <v>0</v>
      </c>
      <c r="DJ29" s="7">
        <f>IFERROR(IF(LEFT($AP29,1)="4",INDEX('변표 테이블'!$J$86:$J$165,MATCH($O29,'변표 테이블'!$B$86:$B$165,0)),INDEX(DI$4:DI$8,MATCH(AK29,$DC$4:$DC$8,0))),0)</f>
        <v>0</v>
      </c>
      <c r="DK29" s="7">
        <f>IFERROR(IF(LEFT($AP29,1)="4",INDEX('변표 테이블'!$K$86:$K$165,MATCH($O29,'변표 테이블'!$B$86:$B$165,0)),INDEX(DJ$4:DJ$8,MATCH(AL29,$DC$4:$DC$8,0))),0)</f>
        <v>0</v>
      </c>
      <c r="DL29" s="7" t="str">
        <f t="shared" si="32"/>
        <v/>
      </c>
      <c r="DM29" s="7" t="str">
        <f t="shared" si="33"/>
        <v/>
      </c>
      <c r="DN29" s="7">
        <f t="shared" si="34"/>
        <v>0</v>
      </c>
      <c r="DP29" s="7">
        <f t="shared" si="14"/>
        <v>0</v>
      </c>
      <c r="DQ29" s="7">
        <f t="shared" si="15"/>
        <v>0</v>
      </c>
      <c r="DR29" s="7">
        <f t="shared" si="16"/>
        <v>0</v>
      </c>
      <c r="DS29" s="7">
        <f t="shared" si="35"/>
        <v>0</v>
      </c>
      <c r="DT29" s="7">
        <f t="shared" si="17"/>
        <v>0</v>
      </c>
      <c r="DU29" s="7">
        <f t="shared" si="18"/>
        <v>0</v>
      </c>
      <c r="DV29" s="7">
        <f t="shared" si="36"/>
        <v>0</v>
      </c>
      <c r="DW29" s="7">
        <f>LARGE((DR29:DS29,DU29:DV29),1)</f>
        <v>0</v>
      </c>
      <c r="DX29" s="7">
        <f>IF(DA29&lt;2,0,LARGE((DR29:DS29,DU29:DV29),2))</f>
        <v>0</v>
      </c>
      <c r="DY29" s="7">
        <f t="shared" ref="DY29" si="49">IFERROR(INDEX(BH29:BP29,MATCH(DL29,$BH$15:$BP$15,0)),0)</f>
        <v>0</v>
      </c>
      <c r="DZ29" s="7">
        <f t="shared" ref="DZ29" si="50">IFERROR(INDEX(BQ29:BY29,MATCH(DM29,$BQ$15:$BY$15,0)),0)</f>
        <v>0</v>
      </c>
      <c r="EA29" s="7">
        <f t="shared" ref="EA29" si="51">IFERROR(INDEX(BZ29:CH29,MATCH(DN29,$BZ$15:$CH$15,0)),0)</f>
        <v>0</v>
      </c>
      <c r="EF29" s="7">
        <f t="shared" si="37"/>
        <v>0</v>
      </c>
      <c r="EH29" s="7">
        <f t="shared" ref="EH29" si="52">IF(COUNTA(AZ29:BG29)&gt;0,1,0)</f>
        <v>0</v>
      </c>
      <c r="EI29" s="7">
        <f>IF(EH29=0,0,COUNTIF($EH$16:EH29,"&gt;"&amp;0))</f>
        <v>0</v>
      </c>
    </row>
    <row r="30" spans="1:139" x14ac:dyDescent="0.3">
      <c r="A30" s="165">
        <v>29</v>
      </c>
      <c r="C30" s="7" t="s">
        <v>132</v>
      </c>
      <c r="D30" s="7">
        <v>1000</v>
      </c>
      <c r="E30" s="7">
        <v>0.25</v>
      </c>
      <c r="F30" s="7">
        <v>0.4</v>
      </c>
      <c r="G30" s="7">
        <v>0.17499999999999999</v>
      </c>
      <c r="H30" s="7">
        <v>0.17499999999999999</v>
      </c>
      <c r="M30" s="7">
        <v>1</v>
      </c>
      <c r="O30" s="7">
        <f t="shared" si="45"/>
        <v>1</v>
      </c>
      <c r="Q30" s="7">
        <f t="shared" si="22"/>
        <v>1.25</v>
      </c>
      <c r="R30" s="7">
        <f t="shared" si="23"/>
        <v>2</v>
      </c>
      <c r="S30" s="7">
        <f t="shared" si="9"/>
        <v>1.75</v>
      </c>
      <c r="T30" s="7" t="str">
        <f t="shared" si="10"/>
        <v>자동</v>
      </c>
      <c r="U30" s="7">
        <f t="shared" si="24"/>
        <v>1.75</v>
      </c>
      <c r="V30" s="7">
        <f t="shared" si="39"/>
        <v>1.25</v>
      </c>
      <c r="W30" s="7">
        <f t="shared" si="40"/>
        <v>2</v>
      </c>
      <c r="X30" s="7">
        <f t="shared" si="41"/>
        <v>1.75</v>
      </c>
      <c r="Y30" s="7">
        <f t="shared" si="42"/>
        <v>1.75</v>
      </c>
      <c r="AA30" s="7" t="str">
        <f t="shared" si="43"/>
        <v>자동</v>
      </c>
      <c r="AB30" s="7" t="str">
        <f t="shared" si="44"/>
        <v>자동</v>
      </c>
      <c r="AC30" s="7">
        <f>INDEX('변표 테이블'!$C$86:$C$165,MATCH(O30,'변표 테이블'!$B$86:$B$165,0))</f>
        <v>71.13</v>
      </c>
      <c r="AD30" s="7">
        <f>INDEX('변표 테이블'!$D$86:$D$165,MATCH(O30,'변표 테이블'!$B$86:$B$165,0))</f>
        <v>66</v>
      </c>
      <c r="AF30" s="7">
        <v>1</v>
      </c>
      <c r="AG30" s="7">
        <v>1</v>
      </c>
      <c r="AH30" s="7">
        <v>4</v>
      </c>
      <c r="AI30" s="7">
        <v>4</v>
      </c>
      <c r="AM30" s="7">
        <v>3</v>
      </c>
      <c r="AN30" s="7">
        <v>3</v>
      </c>
      <c r="AP30" s="7">
        <f t="shared" si="25"/>
        <v>4</v>
      </c>
      <c r="BH30" s="121">
        <v>100</v>
      </c>
      <c r="BI30" s="7">
        <v>98</v>
      </c>
      <c r="BJ30" s="7">
        <v>95</v>
      </c>
      <c r="BK30" s="7">
        <v>92</v>
      </c>
      <c r="BL30" s="7">
        <v>86</v>
      </c>
      <c r="BM30" s="7">
        <v>75</v>
      </c>
      <c r="BN30" s="7">
        <v>64</v>
      </c>
      <c r="BO30" s="7">
        <v>58</v>
      </c>
      <c r="BP30" s="7">
        <v>50</v>
      </c>
      <c r="BQ30" s="121">
        <v>10</v>
      </c>
      <c r="BR30" s="7">
        <v>10</v>
      </c>
      <c r="BS30" s="7">
        <v>10</v>
      </c>
      <c r="BT30" s="7">
        <v>10</v>
      </c>
      <c r="BU30" s="7">
        <v>9.6</v>
      </c>
      <c r="BV30" s="7">
        <v>9.1999999999999993</v>
      </c>
      <c r="BW30" s="7">
        <v>8.8000000000000007</v>
      </c>
      <c r="BX30" s="7">
        <v>8.4</v>
      </c>
      <c r="BY30" s="7">
        <v>8</v>
      </c>
      <c r="CI30" s="7">
        <f t="shared" si="26"/>
        <v>100</v>
      </c>
      <c r="CJ30" s="163">
        <f t="shared" si="27"/>
        <v>100</v>
      </c>
      <c r="CK30" s="7">
        <f t="shared" si="28"/>
        <v>10</v>
      </c>
      <c r="CL30" s="7">
        <v>2</v>
      </c>
      <c r="CP30" s="7">
        <v>1</v>
      </c>
      <c r="CR30" s="7">
        <v>1</v>
      </c>
      <c r="CX30" s="121">
        <v>1</v>
      </c>
      <c r="CZ30" s="7">
        <f t="shared" si="29"/>
        <v>1</v>
      </c>
      <c r="DA30" s="7">
        <f t="shared" si="30"/>
        <v>2</v>
      </c>
      <c r="DB30" s="7">
        <f t="shared" si="11"/>
        <v>0</v>
      </c>
      <c r="DC30" s="7">
        <f t="shared" si="31"/>
        <v>0</v>
      </c>
      <c r="DE30" s="7">
        <f t="shared" si="12"/>
        <v>0</v>
      </c>
      <c r="DF30" s="7">
        <f t="shared" si="13"/>
        <v>0</v>
      </c>
      <c r="DG30" s="7">
        <f>IFERROR(IF(LEFT($AP30,1)="4",INDEX('변표 테이블'!$H$86:$H$165,MATCH($O30,'변표 테이블'!$B$86:$B$165,0)),INDEX(DG$4:DG$8,MATCH(AH30,$DC$4:$DC$8,0))),0)</f>
        <v>0</v>
      </c>
      <c r="DH30" s="7">
        <f>IFERROR(IF(LEFT($AP30,1)="4",INDEX('변표 테이블'!$I$86:$I$165,MATCH($O30,'변표 테이블'!$B$86:$B$165,0)),INDEX(DH$4:DH$8,MATCH(AI30,$DC$4:$DC$8,0))),0)</f>
        <v>0</v>
      </c>
      <c r="DJ30" s="7">
        <f>IFERROR(IF(LEFT($AP30,1)="4",INDEX('변표 테이블'!$J$86:$J$165,MATCH($O30,'변표 테이블'!$B$86:$B$165,0)),INDEX(DI$4:DI$8,MATCH(AK30,$DC$4:$DC$8,0))),0)</f>
        <v>0</v>
      </c>
      <c r="DK30" s="7">
        <f>IFERROR(IF(LEFT($AP30,1)="4",INDEX('변표 테이블'!$K$86:$K$165,MATCH($O30,'변표 테이블'!$B$86:$B$165,0)),INDEX(DJ$4:DJ$8,MATCH(AL30,$DC$4:$DC$8,0))),0)</f>
        <v>0</v>
      </c>
      <c r="DL30" s="7" t="str">
        <f t="shared" si="32"/>
        <v/>
      </c>
      <c r="DM30" s="7" t="str">
        <f t="shared" si="33"/>
        <v/>
      </c>
      <c r="DN30" s="7">
        <f t="shared" si="34"/>
        <v>0</v>
      </c>
      <c r="DP30" s="7">
        <f t="shared" si="14"/>
        <v>0</v>
      </c>
      <c r="DQ30" s="7">
        <f t="shared" si="15"/>
        <v>0</v>
      </c>
      <c r="DR30" s="7">
        <f t="shared" si="16"/>
        <v>0</v>
      </c>
      <c r="DS30" s="7">
        <f t="shared" si="35"/>
        <v>0</v>
      </c>
      <c r="DT30" s="7">
        <f t="shared" si="17"/>
        <v>0</v>
      </c>
      <c r="DU30" s="7">
        <f t="shared" si="18"/>
        <v>0</v>
      </c>
      <c r="DV30" s="7">
        <f t="shared" si="36"/>
        <v>0</v>
      </c>
      <c r="DW30" s="7">
        <f>LARGE((DR30:DS30,DU30:DV30),1)</f>
        <v>0</v>
      </c>
      <c r="DX30" s="7">
        <f>IF(DA30&lt;2,0,LARGE((DR30:DS30,DU30:DV30),2))</f>
        <v>0</v>
      </c>
      <c r="DY30" s="7">
        <f t="shared" si="19"/>
        <v>0</v>
      </c>
      <c r="DZ30" s="7">
        <f t="shared" si="20"/>
        <v>0</v>
      </c>
      <c r="EA30" s="7">
        <f t="shared" si="21"/>
        <v>0</v>
      </c>
      <c r="EF30" s="7">
        <f t="shared" si="37"/>
        <v>0</v>
      </c>
      <c r="EH30" s="7">
        <f t="shared" si="38"/>
        <v>0</v>
      </c>
      <c r="EI30" s="7">
        <f>IF(EH30=0,0,COUNTIF($EH$16:EH30,"&gt;"&amp;0))</f>
        <v>0</v>
      </c>
    </row>
    <row r="31" spans="1:139" x14ac:dyDescent="0.3">
      <c r="A31" s="165">
        <v>30</v>
      </c>
      <c r="C31" s="7" t="s">
        <v>133</v>
      </c>
      <c r="D31" s="7">
        <v>1000</v>
      </c>
      <c r="E31" s="7">
        <v>0.4</v>
      </c>
      <c r="F31" s="7">
        <v>0.4</v>
      </c>
      <c r="G31" s="7">
        <v>0.1</v>
      </c>
      <c r="H31" s="7">
        <v>0.1</v>
      </c>
      <c r="J31" s="7">
        <v>0.1</v>
      </c>
      <c r="K31" s="7">
        <v>0.1</v>
      </c>
      <c r="M31" s="7">
        <v>1</v>
      </c>
      <c r="O31" s="7">
        <f t="shared" si="45"/>
        <v>1</v>
      </c>
      <c r="Q31" s="7">
        <f t="shared" si="22"/>
        <v>2</v>
      </c>
      <c r="R31" s="7">
        <f t="shared" si="23"/>
        <v>2</v>
      </c>
      <c r="S31" s="7">
        <f t="shared" si="9"/>
        <v>1</v>
      </c>
      <c r="T31" s="7">
        <f t="shared" si="10"/>
        <v>1</v>
      </c>
      <c r="U31" s="7">
        <f t="shared" si="24"/>
        <v>1</v>
      </c>
      <c r="V31" s="7">
        <f t="shared" si="39"/>
        <v>2</v>
      </c>
      <c r="W31" s="7">
        <f t="shared" si="40"/>
        <v>2</v>
      </c>
      <c r="X31" s="7">
        <f t="shared" si="41"/>
        <v>1</v>
      </c>
      <c r="Y31" s="7">
        <f t="shared" si="42"/>
        <v>1</v>
      </c>
      <c r="AA31" s="7">
        <f t="shared" si="43"/>
        <v>1</v>
      </c>
      <c r="AB31" s="7">
        <f t="shared" si="44"/>
        <v>1</v>
      </c>
      <c r="AC31" s="7">
        <f>INDEX('변표 테이블'!$C$86:$C$165,MATCH(O31,'변표 테이블'!$B$86:$B$165,0))</f>
        <v>71.13</v>
      </c>
      <c r="AD31" s="7">
        <f>INDEX('변표 테이블'!$D$86:$D$165,MATCH(O31,'변표 테이블'!$B$86:$B$165,0))</f>
        <v>66</v>
      </c>
      <c r="AF31" s="7">
        <v>1</v>
      </c>
      <c r="AG31" s="7">
        <v>1</v>
      </c>
      <c r="AH31" s="7">
        <v>4</v>
      </c>
      <c r="AI31" s="7">
        <v>4</v>
      </c>
      <c r="AK31" s="7">
        <v>4</v>
      </c>
      <c r="AL31" s="7">
        <v>4</v>
      </c>
      <c r="AM31" s="7">
        <v>3</v>
      </c>
      <c r="AN31" s="7">
        <v>3</v>
      </c>
      <c r="AP31" s="7">
        <f t="shared" si="25"/>
        <v>4</v>
      </c>
      <c r="BH31" s="121">
        <v>100</v>
      </c>
      <c r="BI31" s="7">
        <v>98</v>
      </c>
      <c r="BJ31" s="7">
        <v>95</v>
      </c>
      <c r="BK31" s="7">
        <v>92</v>
      </c>
      <c r="BL31" s="7">
        <v>86</v>
      </c>
      <c r="BM31" s="7">
        <v>75</v>
      </c>
      <c r="BN31" s="7">
        <v>64</v>
      </c>
      <c r="BO31" s="7">
        <v>58</v>
      </c>
      <c r="BP31" s="7">
        <v>50</v>
      </c>
      <c r="BQ31" s="121">
        <v>10</v>
      </c>
      <c r="BR31" s="7">
        <v>10</v>
      </c>
      <c r="BS31" s="7">
        <v>10</v>
      </c>
      <c r="BT31" s="7">
        <v>10</v>
      </c>
      <c r="BU31" s="7">
        <v>9.6</v>
      </c>
      <c r="BV31" s="7">
        <v>9.1999999999999993</v>
      </c>
      <c r="BW31" s="7">
        <v>8.8000000000000007</v>
      </c>
      <c r="BX31" s="7">
        <v>8.4</v>
      </c>
      <c r="BY31" s="7">
        <v>8</v>
      </c>
      <c r="CI31" s="7">
        <f t="shared" si="26"/>
        <v>100</v>
      </c>
      <c r="CJ31" s="163">
        <f t="shared" si="27"/>
        <v>100</v>
      </c>
      <c r="CK31" s="7">
        <f t="shared" si="28"/>
        <v>10</v>
      </c>
      <c r="CN31" s="7">
        <v>2</v>
      </c>
      <c r="CX31" s="121">
        <v>1</v>
      </c>
      <c r="CZ31" s="7">
        <f t="shared" si="29"/>
        <v>2</v>
      </c>
      <c r="DA31" s="7">
        <f t="shared" si="30"/>
        <v>2</v>
      </c>
      <c r="DB31" s="7">
        <f t="shared" si="11"/>
        <v>0</v>
      </c>
      <c r="DC31" s="7">
        <f t="shared" si="31"/>
        <v>0</v>
      </c>
      <c r="DE31" s="7">
        <f t="shared" si="12"/>
        <v>0</v>
      </c>
      <c r="DF31" s="7">
        <f t="shared" si="13"/>
        <v>0</v>
      </c>
      <c r="DG31" s="7">
        <f>IFERROR(IF(LEFT($AP31,1)="4",INDEX('변표 테이블'!$H$86:$H$165,MATCH($O31,'변표 테이블'!$B$86:$B$165,0)),INDEX(DG$4:DG$8,MATCH(AH31,$DC$4:$DC$8,0))),0)</f>
        <v>0</v>
      </c>
      <c r="DH31" s="7">
        <f>IFERROR(IF(LEFT($AP31,1)="4",INDEX('변표 테이블'!$I$86:$I$165,MATCH($O31,'변표 테이블'!$B$86:$B$165,0)),INDEX(DH$4:DH$8,MATCH(AI31,$DC$4:$DC$8,0))),0)</f>
        <v>0</v>
      </c>
      <c r="DJ31" s="7">
        <f>IFERROR(IF(LEFT($AP31,1)="4",INDEX('변표 테이블'!$J$86:$J$165,MATCH($O31,'변표 테이블'!$B$86:$B$165,0)),INDEX(DI$4:DI$8,MATCH(AK31,$DC$4:$DC$8,0))),0)</f>
        <v>0</v>
      </c>
      <c r="DK31" s="7">
        <f>IFERROR(IF(LEFT($AP31,1)="4",INDEX('변표 테이블'!$K$86:$K$165,MATCH($O31,'변표 테이블'!$B$86:$B$165,0)),INDEX(DJ$4:DJ$8,MATCH(AL31,$DC$4:$DC$8,0))),0)</f>
        <v>0</v>
      </c>
      <c r="DL31" s="7" t="str">
        <f t="shared" si="32"/>
        <v/>
      </c>
      <c r="DM31" s="7" t="str">
        <f t="shared" si="33"/>
        <v/>
      </c>
      <c r="DN31" s="7">
        <f t="shared" si="34"/>
        <v>0</v>
      </c>
      <c r="DP31" s="7">
        <f t="shared" si="14"/>
        <v>0</v>
      </c>
      <c r="DQ31" s="7">
        <f t="shared" si="15"/>
        <v>0</v>
      </c>
      <c r="DR31" s="7">
        <f t="shared" si="16"/>
        <v>0</v>
      </c>
      <c r="DS31" s="7">
        <f t="shared" si="35"/>
        <v>0</v>
      </c>
      <c r="DT31" s="7">
        <f t="shared" si="17"/>
        <v>0</v>
      </c>
      <c r="DU31" s="7">
        <f t="shared" si="18"/>
        <v>0</v>
      </c>
      <c r="DV31" s="7">
        <f t="shared" si="36"/>
        <v>0</v>
      </c>
      <c r="DW31" s="7">
        <f>LARGE((DR31:DS31,DU31:DV31),1)</f>
        <v>0</v>
      </c>
      <c r="DX31" s="7">
        <f>IF(DA31&lt;2,0,LARGE((DR31:DS31,DU31:DV31),2))</f>
        <v>0</v>
      </c>
      <c r="DY31" s="7">
        <f t="shared" si="19"/>
        <v>0</v>
      </c>
      <c r="DZ31" s="7">
        <f t="shared" si="20"/>
        <v>0</v>
      </c>
      <c r="EA31" s="7">
        <f t="shared" si="21"/>
        <v>0</v>
      </c>
      <c r="EF31" s="7">
        <f t="shared" si="37"/>
        <v>0</v>
      </c>
      <c r="EH31" s="7">
        <f t="shared" si="38"/>
        <v>0</v>
      </c>
      <c r="EI31" s="7">
        <f>IF(EH31=0,0,COUNTIF($EH$16:EH31,"&gt;"&amp;0))</f>
        <v>0</v>
      </c>
    </row>
    <row r="32" spans="1:139" x14ac:dyDescent="0.3">
      <c r="A32" s="165">
        <v>31</v>
      </c>
      <c r="C32" s="7" t="s">
        <v>134</v>
      </c>
      <c r="D32" s="7">
        <v>1000</v>
      </c>
      <c r="E32" s="7">
        <v>0.35</v>
      </c>
      <c r="F32" s="7">
        <v>0.4</v>
      </c>
      <c r="G32" s="7">
        <v>0.125</v>
      </c>
      <c r="H32" s="7">
        <v>0.125</v>
      </c>
      <c r="J32" s="7">
        <v>0.125</v>
      </c>
      <c r="K32" s="7">
        <v>0.125</v>
      </c>
      <c r="M32" s="7">
        <v>1</v>
      </c>
      <c r="O32" s="7">
        <f t="shared" si="45"/>
        <v>1</v>
      </c>
      <c r="Q32" s="7">
        <f t="shared" si="22"/>
        <v>1.75</v>
      </c>
      <c r="R32" s="7">
        <f t="shared" si="23"/>
        <v>2</v>
      </c>
      <c r="S32" s="7">
        <f t="shared" si="9"/>
        <v>1.25</v>
      </c>
      <c r="T32" s="7">
        <f t="shared" si="10"/>
        <v>1.25</v>
      </c>
      <c r="U32" s="7">
        <f t="shared" si="24"/>
        <v>1.25</v>
      </c>
      <c r="V32" s="7">
        <f t="shared" si="39"/>
        <v>1.75</v>
      </c>
      <c r="W32" s="7">
        <f t="shared" si="40"/>
        <v>2</v>
      </c>
      <c r="X32" s="7">
        <f t="shared" si="41"/>
        <v>1.25</v>
      </c>
      <c r="Y32" s="7">
        <f t="shared" si="42"/>
        <v>1.25</v>
      </c>
      <c r="AA32" s="7">
        <f t="shared" si="43"/>
        <v>1.25</v>
      </c>
      <c r="AB32" s="7">
        <f t="shared" si="44"/>
        <v>1.25</v>
      </c>
      <c r="AC32" s="7">
        <f>INDEX('변표 테이블'!$C$86:$C$165,MATCH(O32,'변표 테이블'!$B$86:$B$165,0))</f>
        <v>71.13</v>
      </c>
      <c r="AD32" s="7">
        <f>INDEX('변표 테이블'!$D$86:$D$165,MATCH(O32,'변표 테이블'!$B$86:$B$165,0))</f>
        <v>66</v>
      </c>
      <c r="AF32" s="7">
        <v>1</v>
      </c>
      <c r="AG32" s="7">
        <v>1</v>
      </c>
      <c r="AH32" s="7">
        <v>4</v>
      </c>
      <c r="AI32" s="7">
        <v>4</v>
      </c>
      <c r="AK32" s="7">
        <v>4</v>
      </c>
      <c r="AL32" s="7">
        <v>4</v>
      </c>
      <c r="AM32" s="7">
        <v>3</v>
      </c>
      <c r="AN32" s="7">
        <v>3</v>
      </c>
      <c r="AP32" s="7">
        <f t="shared" si="25"/>
        <v>4</v>
      </c>
      <c r="BH32" s="121">
        <v>100</v>
      </c>
      <c r="BI32" s="7">
        <v>98</v>
      </c>
      <c r="BJ32" s="7">
        <v>95</v>
      </c>
      <c r="BK32" s="7">
        <v>92</v>
      </c>
      <c r="BL32" s="7">
        <v>86</v>
      </c>
      <c r="BM32" s="7">
        <v>75</v>
      </c>
      <c r="BN32" s="7">
        <v>64</v>
      </c>
      <c r="BO32" s="7">
        <v>58</v>
      </c>
      <c r="BP32" s="7">
        <v>50</v>
      </c>
      <c r="BQ32" s="121">
        <v>10</v>
      </c>
      <c r="BR32" s="7">
        <v>10</v>
      </c>
      <c r="BS32" s="7">
        <v>10</v>
      </c>
      <c r="BT32" s="7">
        <v>10</v>
      </c>
      <c r="BU32" s="7">
        <v>9.6</v>
      </c>
      <c r="BV32" s="7">
        <v>9.1999999999999993</v>
      </c>
      <c r="BW32" s="7">
        <v>8.8000000000000007</v>
      </c>
      <c r="BX32" s="7">
        <v>8.4</v>
      </c>
      <c r="BY32" s="7">
        <v>8</v>
      </c>
      <c r="CI32" s="7">
        <f t="shared" si="26"/>
        <v>100</v>
      </c>
      <c r="CJ32" s="163">
        <f t="shared" si="27"/>
        <v>100</v>
      </c>
      <c r="CK32" s="7">
        <f t="shared" si="28"/>
        <v>10</v>
      </c>
      <c r="CN32" s="7">
        <v>2</v>
      </c>
      <c r="CX32" s="121">
        <v>1</v>
      </c>
      <c r="CZ32" s="7">
        <f t="shared" si="29"/>
        <v>2</v>
      </c>
      <c r="DA32" s="7">
        <f t="shared" si="30"/>
        <v>2</v>
      </c>
      <c r="DB32" s="7">
        <f t="shared" si="11"/>
        <v>0</v>
      </c>
      <c r="DC32" s="7">
        <f t="shared" si="31"/>
        <v>0</v>
      </c>
      <c r="DE32" s="7">
        <f t="shared" si="12"/>
        <v>0</v>
      </c>
      <c r="DF32" s="7">
        <f t="shared" si="13"/>
        <v>0</v>
      </c>
      <c r="DG32" s="7">
        <f>IFERROR(IF(LEFT($AP32,1)="4",INDEX('변표 테이블'!$H$86:$H$165,MATCH($O32,'변표 테이블'!$B$86:$B$165,0)),INDEX(DG$4:DG$8,MATCH(AH32,$DC$4:$DC$8,0))),0)</f>
        <v>0</v>
      </c>
      <c r="DH32" s="7">
        <f>IFERROR(IF(LEFT($AP32,1)="4",INDEX('변표 테이블'!$I$86:$I$165,MATCH($O32,'변표 테이블'!$B$86:$B$165,0)),INDEX(DH$4:DH$8,MATCH(AI32,$DC$4:$DC$8,0))),0)</f>
        <v>0</v>
      </c>
      <c r="DJ32" s="7">
        <f>IFERROR(IF(LEFT($AP32,1)="4",INDEX('변표 테이블'!$J$86:$J$165,MATCH($O32,'변표 테이블'!$B$86:$B$165,0)),INDEX(DI$4:DI$8,MATCH(AK32,$DC$4:$DC$8,0))),0)</f>
        <v>0</v>
      </c>
      <c r="DK32" s="7">
        <f>IFERROR(IF(LEFT($AP32,1)="4",INDEX('변표 테이블'!$K$86:$K$165,MATCH($O32,'변표 테이블'!$B$86:$B$165,0)),INDEX(DJ$4:DJ$8,MATCH(AL32,$DC$4:$DC$8,0))),0)</f>
        <v>0</v>
      </c>
      <c r="DL32" s="7" t="str">
        <f t="shared" si="32"/>
        <v/>
      </c>
      <c r="DM32" s="7" t="str">
        <f t="shared" si="33"/>
        <v/>
      </c>
      <c r="DN32" s="7">
        <f t="shared" si="34"/>
        <v>0</v>
      </c>
      <c r="DP32" s="7">
        <f t="shared" si="14"/>
        <v>0</v>
      </c>
      <c r="DQ32" s="7">
        <f t="shared" si="15"/>
        <v>0</v>
      </c>
      <c r="DR32" s="7">
        <f t="shared" si="16"/>
        <v>0</v>
      </c>
      <c r="DS32" s="7">
        <f t="shared" si="35"/>
        <v>0</v>
      </c>
      <c r="DT32" s="7">
        <f t="shared" si="17"/>
        <v>0</v>
      </c>
      <c r="DU32" s="7">
        <f t="shared" si="18"/>
        <v>0</v>
      </c>
      <c r="DV32" s="7">
        <f t="shared" si="36"/>
        <v>0</v>
      </c>
      <c r="DW32" s="7">
        <f>LARGE((DR32:DS32,DU32:DV32),1)</f>
        <v>0</v>
      </c>
      <c r="DX32" s="7">
        <f>IF(DA32&lt;2,0,LARGE((DR32:DS32,DU32:DV32),2))</f>
        <v>0</v>
      </c>
      <c r="DY32" s="7">
        <f t="shared" si="19"/>
        <v>0</v>
      </c>
      <c r="DZ32" s="7">
        <f t="shared" si="20"/>
        <v>0</v>
      </c>
      <c r="EA32" s="7">
        <f t="shared" si="21"/>
        <v>0</v>
      </c>
      <c r="EF32" s="7">
        <f t="shared" si="37"/>
        <v>0</v>
      </c>
      <c r="EH32" s="7">
        <f t="shared" si="38"/>
        <v>0</v>
      </c>
      <c r="EI32" s="7">
        <f>IF(EH32=0,0,COUNTIF($EH$16:EH32,"&gt;"&amp;0))</f>
        <v>0</v>
      </c>
    </row>
    <row r="33" spans="1:139" x14ac:dyDescent="0.3">
      <c r="A33" s="165">
        <v>32</v>
      </c>
      <c r="C33" s="7" t="s">
        <v>135</v>
      </c>
      <c r="D33" s="7">
        <v>1000</v>
      </c>
      <c r="E33" s="7">
        <v>0.35</v>
      </c>
      <c r="F33" s="7">
        <v>0.45</v>
      </c>
      <c r="G33" s="7">
        <v>0.1</v>
      </c>
      <c r="H33" s="7">
        <v>0.1</v>
      </c>
      <c r="J33" s="7">
        <v>0.1</v>
      </c>
      <c r="K33" s="7">
        <v>0.1</v>
      </c>
      <c r="M33" s="7">
        <v>1</v>
      </c>
      <c r="O33" s="7">
        <f t="shared" si="45"/>
        <v>1</v>
      </c>
      <c r="Q33" s="7">
        <f t="shared" si="22"/>
        <v>1.75</v>
      </c>
      <c r="R33" s="7">
        <f t="shared" si="23"/>
        <v>2.25</v>
      </c>
      <c r="S33" s="7">
        <f t="shared" si="9"/>
        <v>1</v>
      </c>
      <c r="T33" s="7">
        <f t="shared" si="10"/>
        <v>1</v>
      </c>
      <c r="U33" s="7">
        <f t="shared" si="24"/>
        <v>1</v>
      </c>
      <c r="V33" s="7">
        <f t="shared" si="39"/>
        <v>1.75</v>
      </c>
      <c r="W33" s="7">
        <f t="shared" si="40"/>
        <v>2.25</v>
      </c>
      <c r="X33" s="7">
        <f t="shared" si="41"/>
        <v>1</v>
      </c>
      <c r="Y33" s="7">
        <f t="shared" si="42"/>
        <v>1</v>
      </c>
      <c r="AA33" s="7">
        <f t="shared" si="43"/>
        <v>1</v>
      </c>
      <c r="AB33" s="7">
        <f t="shared" si="44"/>
        <v>1</v>
      </c>
      <c r="AC33" s="7">
        <f>INDEX('변표 테이블'!$C$86:$C$165,MATCH(O33,'변표 테이블'!$B$86:$B$165,0))</f>
        <v>71.13</v>
      </c>
      <c r="AD33" s="7">
        <f>INDEX('변표 테이블'!$D$86:$D$165,MATCH(O33,'변표 테이블'!$B$86:$B$165,0))</f>
        <v>66</v>
      </c>
      <c r="AF33" s="7">
        <v>1</v>
      </c>
      <c r="AG33" s="7">
        <v>1</v>
      </c>
      <c r="AH33" s="7">
        <v>4</v>
      </c>
      <c r="AI33" s="7">
        <v>4</v>
      </c>
      <c r="AK33" s="7">
        <v>4</v>
      </c>
      <c r="AL33" s="7">
        <v>4</v>
      </c>
      <c r="AM33" s="7">
        <v>3</v>
      </c>
      <c r="AN33" s="7">
        <v>3</v>
      </c>
      <c r="AP33" s="7">
        <f t="shared" si="25"/>
        <v>4</v>
      </c>
      <c r="BH33" s="121">
        <v>100</v>
      </c>
      <c r="BI33" s="7">
        <v>98</v>
      </c>
      <c r="BJ33" s="7">
        <v>95</v>
      </c>
      <c r="BK33" s="7">
        <v>92</v>
      </c>
      <c r="BL33" s="7">
        <v>86</v>
      </c>
      <c r="BM33" s="7">
        <v>75</v>
      </c>
      <c r="BN33" s="7">
        <v>64</v>
      </c>
      <c r="BO33" s="7">
        <v>58</v>
      </c>
      <c r="BP33" s="7">
        <v>50</v>
      </c>
      <c r="BQ33" s="121">
        <v>10</v>
      </c>
      <c r="BR33" s="7">
        <v>10</v>
      </c>
      <c r="BS33" s="7">
        <v>10</v>
      </c>
      <c r="BT33" s="7">
        <v>10</v>
      </c>
      <c r="BU33" s="7">
        <v>9.6</v>
      </c>
      <c r="BV33" s="7">
        <v>9.1999999999999993</v>
      </c>
      <c r="BW33" s="7">
        <v>8.8000000000000007</v>
      </c>
      <c r="BX33" s="7">
        <v>8.4</v>
      </c>
      <c r="BY33" s="7">
        <v>8</v>
      </c>
      <c r="CI33" s="7">
        <f t="shared" si="26"/>
        <v>100</v>
      </c>
      <c r="CJ33" s="163">
        <f t="shared" si="27"/>
        <v>100</v>
      </c>
      <c r="CK33" s="7">
        <f t="shared" si="28"/>
        <v>10</v>
      </c>
      <c r="CN33" s="7">
        <v>2</v>
      </c>
      <c r="CX33" s="121">
        <v>1</v>
      </c>
      <c r="CZ33" s="7">
        <f t="shared" si="29"/>
        <v>2</v>
      </c>
      <c r="DA33" s="7">
        <f t="shared" si="30"/>
        <v>2</v>
      </c>
      <c r="DB33" s="7">
        <f t="shared" si="11"/>
        <v>0</v>
      </c>
      <c r="DC33" s="7">
        <f t="shared" si="31"/>
        <v>0</v>
      </c>
      <c r="DE33" s="7">
        <f t="shared" si="12"/>
        <v>0</v>
      </c>
      <c r="DF33" s="7">
        <f t="shared" si="13"/>
        <v>0</v>
      </c>
      <c r="DG33" s="7">
        <f>IFERROR(IF(LEFT($AP33,1)="4",INDEX('변표 테이블'!$H$86:$H$165,MATCH($O33,'변표 테이블'!$B$86:$B$165,0)),INDEX(DG$4:DG$8,MATCH(AH33,$DC$4:$DC$8,0))),0)</f>
        <v>0</v>
      </c>
      <c r="DH33" s="7">
        <f>IFERROR(IF(LEFT($AP33,1)="4",INDEX('변표 테이블'!$I$86:$I$165,MATCH($O33,'변표 테이블'!$B$86:$B$165,0)),INDEX(DH$4:DH$8,MATCH(AI33,$DC$4:$DC$8,0))),0)</f>
        <v>0</v>
      </c>
      <c r="DJ33" s="7">
        <f>IFERROR(IF(LEFT($AP33,1)="4",INDEX('변표 테이블'!$J$86:$J$165,MATCH($O33,'변표 테이블'!$B$86:$B$165,0)),INDEX(DI$4:DI$8,MATCH(AK33,$DC$4:$DC$8,0))),0)</f>
        <v>0</v>
      </c>
      <c r="DK33" s="7">
        <f>IFERROR(IF(LEFT($AP33,1)="4",INDEX('변표 테이블'!$K$86:$K$165,MATCH($O33,'변표 테이블'!$B$86:$B$165,0)),INDEX(DJ$4:DJ$8,MATCH(AL33,$DC$4:$DC$8,0))),0)</f>
        <v>0</v>
      </c>
      <c r="DL33" s="7" t="str">
        <f t="shared" si="32"/>
        <v/>
      </c>
      <c r="DM33" s="7" t="str">
        <f t="shared" si="33"/>
        <v/>
      </c>
      <c r="DN33" s="7">
        <f t="shared" si="34"/>
        <v>0</v>
      </c>
      <c r="DP33" s="7">
        <f t="shared" si="14"/>
        <v>0</v>
      </c>
      <c r="DQ33" s="7">
        <f t="shared" si="15"/>
        <v>0</v>
      </c>
      <c r="DR33" s="7">
        <f t="shared" si="16"/>
        <v>0</v>
      </c>
      <c r="DS33" s="7">
        <f t="shared" si="35"/>
        <v>0</v>
      </c>
      <c r="DT33" s="7">
        <f t="shared" si="17"/>
        <v>0</v>
      </c>
      <c r="DU33" s="7">
        <f t="shared" si="18"/>
        <v>0</v>
      </c>
      <c r="DV33" s="7">
        <f t="shared" si="36"/>
        <v>0</v>
      </c>
      <c r="DW33" s="7">
        <f>LARGE((DR33:DS33,DU33:DV33),1)</f>
        <v>0</v>
      </c>
      <c r="DX33" s="7">
        <f>IF(DA33&lt;2,0,LARGE((DR33:DS33,DU33:DV33),2))</f>
        <v>0</v>
      </c>
      <c r="DY33" s="7">
        <f t="shared" si="19"/>
        <v>0</v>
      </c>
      <c r="DZ33" s="7">
        <f t="shared" si="20"/>
        <v>0</v>
      </c>
      <c r="EA33" s="7">
        <f t="shared" si="21"/>
        <v>0</v>
      </c>
      <c r="EF33" s="7">
        <f t="shared" si="37"/>
        <v>0</v>
      </c>
      <c r="EH33" s="7">
        <f t="shared" si="38"/>
        <v>0</v>
      </c>
      <c r="EI33" s="7">
        <f>IF(EH33=0,0,COUNTIF($EH$16:EH33,"&gt;"&amp;0))</f>
        <v>0</v>
      </c>
    </row>
    <row r="34" spans="1:139" x14ac:dyDescent="0.3">
      <c r="A34" s="165">
        <v>33</v>
      </c>
      <c r="C34" s="7" t="s">
        <v>140</v>
      </c>
      <c r="D34" s="7">
        <v>800</v>
      </c>
      <c r="E34" s="7">
        <v>0.2</v>
      </c>
      <c r="F34" s="7">
        <v>0.35</v>
      </c>
      <c r="G34" s="7">
        <v>0.125</v>
      </c>
      <c r="H34" s="7">
        <v>0.125</v>
      </c>
      <c r="M34" s="7">
        <v>1</v>
      </c>
      <c r="O34" s="7">
        <f t="shared" si="45"/>
        <v>1</v>
      </c>
      <c r="Q34" s="7">
        <f t="shared" si="22"/>
        <v>0.8</v>
      </c>
      <c r="R34" s="7">
        <f t="shared" si="23"/>
        <v>1.4</v>
      </c>
      <c r="S34" s="7">
        <f t="shared" si="9"/>
        <v>1</v>
      </c>
      <c r="T34" s="7" t="str">
        <f t="shared" si="10"/>
        <v>자동</v>
      </c>
      <c r="U34" s="7">
        <f t="shared" si="24"/>
        <v>1</v>
      </c>
      <c r="V34" s="7">
        <f t="shared" si="39"/>
        <v>0.8</v>
      </c>
      <c r="W34" s="7">
        <f t="shared" si="40"/>
        <v>1.4</v>
      </c>
      <c r="X34" s="7">
        <f t="shared" si="41"/>
        <v>1</v>
      </c>
      <c r="Y34" s="7">
        <f t="shared" si="42"/>
        <v>1</v>
      </c>
      <c r="AA34" s="7" t="str">
        <f t="shared" si="43"/>
        <v>자동</v>
      </c>
      <c r="AB34" s="7" t="str">
        <f t="shared" si="44"/>
        <v>자동</v>
      </c>
      <c r="AC34" s="7">
        <f>INDEX('변표 테이블'!$C$86:$C$165,MATCH(O34,'변표 테이블'!$B$86:$B$165,0))</f>
        <v>71.13</v>
      </c>
      <c r="AD34" s="7">
        <f>INDEX('변표 테이블'!$D$86:$D$165,MATCH(O34,'변표 테이블'!$B$86:$B$165,0))</f>
        <v>66</v>
      </c>
      <c r="AF34" s="7">
        <v>1</v>
      </c>
      <c r="AG34" s="7">
        <v>1</v>
      </c>
      <c r="AH34" s="7">
        <v>4</v>
      </c>
      <c r="AI34" s="7">
        <v>4</v>
      </c>
      <c r="AM34" s="7">
        <v>3</v>
      </c>
      <c r="AN34" s="7">
        <v>3</v>
      </c>
      <c r="AP34" s="7">
        <f t="shared" si="25"/>
        <v>4</v>
      </c>
      <c r="BH34" s="121">
        <v>120</v>
      </c>
      <c r="BI34" s="7">
        <v>115.2</v>
      </c>
      <c r="BJ34" s="7">
        <v>106.8</v>
      </c>
      <c r="BK34" s="7">
        <v>92.4</v>
      </c>
      <c r="BL34" s="7">
        <v>72</v>
      </c>
      <c r="BM34" s="7">
        <v>48</v>
      </c>
      <c r="BN34" s="7">
        <v>27.6</v>
      </c>
      <c r="BO34" s="7">
        <v>13.2</v>
      </c>
      <c r="BP34" s="7">
        <v>0</v>
      </c>
      <c r="BQ34" s="121">
        <v>40</v>
      </c>
      <c r="BR34" s="7">
        <v>40</v>
      </c>
      <c r="BS34" s="7">
        <v>40</v>
      </c>
      <c r="BT34" s="7">
        <v>40</v>
      </c>
      <c r="BU34" s="7">
        <v>38.799999999999997</v>
      </c>
      <c r="BV34" s="7">
        <v>37.599999999999994</v>
      </c>
      <c r="BW34" s="7">
        <v>36.399999999999991</v>
      </c>
      <c r="BX34" s="7">
        <v>35.199999999999989</v>
      </c>
      <c r="BY34" s="7">
        <v>33.999999999999986</v>
      </c>
      <c r="CI34" s="7">
        <f t="shared" si="26"/>
        <v>120</v>
      </c>
      <c r="CJ34" s="163">
        <f t="shared" si="27"/>
        <v>100</v>
      </c>
      <c r="CK34" s="7">
        <f t="shared" si="28"/>
        <v>40</v>
      </c>
      <c r="CL34" s="7">
        <v>2</v>
      </c>
      <c r="CP34" s="7">
        <v>1</v>
      </c>
      <c r="CR34" s="7">
        <v>1</v>
      </c>
      <c r="CZ34" s="7">
        <f t="shared" si="29"/>
        <v>1</v>
      </c>
      <c r="DA34" s="7">
        <f t="shared" si="30"/>
        <v>2</v>
      </c>
      <c r="DB34" s="7">
        <f t="shared" si="11"/>
        <v>0</v>
      </c>
      <c r="DC34" s="7">
        <f t="shared" si="31"/>
        <v>0</v>
      </c>
      <c r="DE34" s="7">
        <f t="shared" si="12"/>
        <v>0</v>
      </c>
      <c r="DF34" s="7">
        <f t="shared" si="13"/>
        <v>0</v>
      </c>
      <c r="DG34" s="7">
        <f>IFERROR(IF(LEFT($AP34,1)="4",INDEX('변표 테이블'!$H$86:$H$165,MATCH($O34,'변표 테이블'!$B$86:$B$165,0)),INDEX(DG$4:DG$8,MATCH(AH34,$DC$4:$DC$8,0))),0)</f>
        <v>0</v>
      </c>
      <c r="DH34" s="7">
        <f>IFERROR(IF(LEFT($AP34,1)="4",INDEX('변표 테이블'!$I$86:$I$165,MATCH($O34,'변표 테이블'!$B$86:$B$165,0)),INDEX(DH$4:DH$8,MATCH(AI34,$DC$4:$DC$8,0))),0)</f>
        <v>0</v>
      </c>
      <c r="DJ34" s="7">
        <f>IFERROR(IF(LEFT($AP34,1)="4",INDEX('변표 테이블'!$J$86:$J$165,MATCH($O34,'변표 테이블'!$B$86:$B$165,0)),INDEX(DI$4:DI$8,MATCH(AK34,$DC$4:$DC$8,0))),0)</f>
        <v>0</v>
      </c>
      <c r="DK34" s="7">
        <f>IFERROR(IF(LEFT($AP34,1)="4",INDEX('변표 테이블'!$K$86:$K$165,MATCH($O34,'변표 테이블'!$B$86:$B$165,0)),INDEX(DJ$4:DJ$8,MATCH(AL34,$DC$4:$DC$8,0))),0)</f>
        <v>0</v>
      </c>
      <c r="DL34" s="7" t="str">
        <f t="shared" si="32"/>
        <v/>
      </c>
      <c r="DM34" s="7" t="str">
        <f t="shared" si="33"/>
        <v/>
      </c>
      <c r="DN34" s="7">
        <f t="shared" si="34"/>
        <v>0</v>
      </c>
      <c r="DP34" s="7">
        <f t="shared" si="14"/>
        <v>0</v>
      </c>
      <c r="DQ34" s="7">
        <f t="shared" si="15"/>
        <v>0</v>
      </c>
      <c r="DR34" s="7">
        <f t="shared" si="16"/>
        <v>0</v>
      </c>
      <c r="DS34" s="7">
        <f t="shared" si="35"/>
        <v>0</v>
      </c>
      <c r="DT34" s="7">
        <f t="shared" si="17"/>
        <v>0</v>
      </c>
      <c r="DU34" s="7">
        <f t="shared" si="18"/>
        <v>0</v>
      </c>
      <c r="DV34" s="7">
        <f t="shared" si="36"/>
        <v>0</v>
      </c>
      <c r="DW34" s="7">
        <f>LARGE((DR34:DS34,DU34:DV34),1)</f>
        <v>0</v>
      </c>
      <c r="DX34" s="7">
        <f>IF(DA34&lt;2,0,LARGE((DR34:DS34,DU34:DV34),2))</f>
        <v>0</v>
      </c>
      <c r="DY34" s="7">
        <f t="shared" si="19"/>
        <v>0</v>
      </c>
      <c r="DZ34" s="7">
        <f t="shared" si="20"/>
        <v>0</v>
      </c>
      <c r="EA34" s="7">
        <f t="shared" si="21"/>
        <v>0</v>
      </c>
      <c r="EF34" s="7">
        <f t="shared" si="37"/>
        <v>0</v>
      </c>
      <c r="EH34" s="7">
        <f t="shared" si="38"/>
        <v>0</v>
      </c>
      <c r="EI34" s="7">
        <f>IF(EH34=0,0,COUNTIF($EH$16:EH34,"&gt;"&amp;0))</f>
        <v>0</v>
      </c>
    </row>
    <row r="35" spans="1:139" x14ac:dyDescent="0.3">
      <c r="A35" s="165">
        <v>34</v>
      </c>
      <c r="C35" s="7" t="s">
        <v>138</v>
      </c>
      <c r="D35" s="7">
        <v>800</v>
      </c>
      <c r="E35" s="7">
        <v>0.35</v>
      </c>
      <c r="F35" s="7">
        <v>0.25</v>
      </c>
      <c r="G35" s="7">
        <v>0.1</v>
      </c>
      <c r="H35" s="7">
        <v>0.1</v>
      </c>
      <c r="J35" s="7">
        <v>0.1</v>
      </c>
      <c r="K35" s="7">
        <v>0.1</v>
      </c>
      <c r="M35" s="7">
        <v>1</v>
      </c>
      <c r="O35" s="7">
        <f t="shared" si="45"/>
        <v>1</v>
      </c>
      <c r="Q35" s="7">
        <f t="shared" si="22"/>
        <v>1.4</v>
      </c>
      <c r="R35" s="7">
        <f t="shared" si="23"/>
        <v>1</v>
      </c>
      <c r="S35" s="7">
        <f t="shared" si="9"/>
        <v>0.8</v>
      </c>
      <c r="T35" s="7">
        <f t="shared" si="10"/>
        <v>0.8</v>
      </c>
      <c r="U35" s="7">
        <f t="shared" si="24"/>
        <v>0.8</v>
      </c>
      <c r="V35" s="7">
        <f t="shared" si="39"/>
        <v>1.4</v>
      </c>
      <c r="W35" s="7">
        <f t="shared" si="40"/>
        <v>1</v>
      </c>
      <c r="X35" s="7">
        <f t="shared" si="41"/>
        <v>0.8</v>
      </c>
      <c r="Y35" s="7">
        <f t="shared" si="42"/>
        <v>0.8</v>
      </c>
      <c r="AA35" s="7">
        <f t="shared" si="43"/>
        <v>0.8</v>
      </c>
      <c r="AB35" s="7">
        <f t="shared" si="44"/>
        <v>0.8</v>
      </c>
      <c r="AC35" s="7">
        <f>INDEX('변표 테이블'!$C$86:$C$165,MATCH(O35,'변표 테이블'!$B$86:$B$165,0))</f>
        <v>71.13</v>
      </c>
      <c r="AD35" s="7">
        <f>INDEX('변표 테이블'!$D$86:$D$165,MATCH(O35,'변표 테이블'!$B$86:$B$165,0))</f>
        <v>66</v>
      </c>
      <c r="AF35" s="7">
        <v>1</v>
      </c>
      <c r="AG35" s="7">
        <v>1</v>
      </c>
      <c r="AH35" s="7">
        <v>4</v>
      </c>
      <c r="AI35" s="7">
        <v>4</v>
      </c>
      <c r="AK35" s="7">
        <v>4</v>
      </c>
      <c r="AL35" s="7">
        <v>4</v>
      </c>
      <c r="AM35" s="7">
        <v>3</v>
      </c>
      <c r="AN35" s="7">
        <v>3</v>
      </c>
      <c r="AP35" s="7">
        <f t="shared" si="25"/>
        <v>4</v>
      </c>
      <c r="BH35" s="121">
        <v>120</v>
      </c>
      <c r="BI35" s="7">
        <v>115.2</v>
      </c>
      <c r="BJ35" s="7">
        <v>106.8</v>
      </c>
      <c r="BK35" s="7">
        <v>92.4</v>
      </c>
      <c r="BL35" s="7">
        <v>72</v>
      </c>
      <c r="BM35" s="7">
        <v>48</v>
      </c>
      <c r="BN35" s="7">
        <v>27.6</v>
      </c>
      <c r="BO35" s="7">
        <v>13.2</v>
      </c>
      <c r="BP35" s="7">
        <v>0</v>
      </c>
      <c r="BQ35" s="121">
        <v>40</v>
      </c>
      <c r="BR35" s="7">
        <v>40</v>
      </c>
      <c r="BS35" s="7">
        <v>40</v>
      </c>
      <c r="BT35" s="7">
        <v>39</v>
      </c>
      <c r="BU35" s="7">
        <v>38</v>
      </c>
      <c r="BV35" s="7">
        <v>37</v>
      </c>
      <c r="BW35" s="7">
        <v>36</v>
      </c>
      <c r="BX35" s="7">
        <v>35</v>
      </c>
      <c r="BY35" s="7">
        <v>34</v>
      </c>
      <c r="CI35" s="7">
        <f t="shared" si="26"/>
        <v>120</v>
      </c>
      <c r="CJ35" s="163">
        <f t="shared" si="27"/>
        <v>100</v>
      </c>
      <c r="CK35" s="7">
        <f t="shared" si="28"/>
        <v>40</v>
      </c>
      <c r="CN35" s="7">
        <v>2</v>
      </c>
      <c r="CZ35" s="7">
        <f t="shared" si="29"/>
        <v>2</v>
      </c>
      <c r="DA35" s="7">
        <f t="shared" si="30"/>
        <v>2</v>
      </c>
      <c r="DB35" s="7">
        <f t="shared" si="11"/>
        <v>0</v>
      </c>
      <c r="DC35" s="7">
        <f t="shared" si="31"/>
        <v>0</v>
      </c>
      <c r="DE35" s="7">
        <f t="shared" si="12"/>
        <v>0</v>
      </c>
      <c r="DF35" s="7">
        <f t="shared" si="13"/>
        <v>0</v>
      </c>
      <c r="DG35" s="7">
        <f>IFERROR(IF(LEFT($AP35,1)="4",INDEX('변표 테이블'!$H$86:$H$165,MATCH($O35,'변표 테이블'!$B$86:$B$165,0)),INDEX(DG$4:DG$8,MATCH(AH35,$DC$4:$DC$8,0))),0)</f>
        <v>0</v>
      </c>
      <c r="DH35" s="7">
        <f>IFERROR(IF(LEFT($AP35,1)="4",INDEX('변표 테이블'!$I$86:$I$165,MATCH($O35,'변표 테이블'!$B$86:$B$165,0)),INDEX(DH$4:DH$8,MATCH(AI35,$DC$4:$DC$8,0))),0)</f>
        <v>0</v>
      </c>
      <c r="DJ35" s="7">
        <f>IFERROR(IF(LEFT($AP35,1)="4",INDEX('변표 테이블'!$J$86:$J$165,MATCH($O35,'변표 테이블'!$B$86:$B$165,0)),INDEX(DI$4:DI$8,MATCH(AK35,$DC$4:$DC$8,0))),0)</f>
        <v>0</v>
      </c>
      <c r="DK35" s="7">
        <f>IFERROR(IF(LEFT($AP35,1)="4",INDEX('변표 테이블'!$K$86:$K$165,MATCH($O35,'변표 테이블'!$B$86:$B$165,0)),INDEX(DJ$4:DJ$8,MATCH(AL35,$DC$4:$DC$8,0))),0)</f>
        <v>0</v>
      </c>
      <c r="DL35" s="7" t="str">
        <f t="shared" si="32"/>
        <v/>
      </c>
      <c r="DM35" s="7" t="str">
        <f t="shared" si="33"/>
        <v/>
      </c>
      <c r="DN35" s="7">
        <f t="shared" si="34"/>
        <v>0</v>
      </c>
      <c r="DP35" s="7">
        <f t="shared" si="14"/>
        <v>0</v>
      </c>
      <c r="DQ35" s="7">
        <f t="shared" si="15"/>
        <v>0</v>
      </c>
      <c r="DR35" s="7">
        <f t="shared" si="16"/>
        <v>0</v>
      </c>
      <c r="DS35" s="7">
        <f t="shared" si="35"/>
        <v>0</v>
      </c>
      <c r="DT35" s="7">
        <f t="shared" si="17"/>
        <v>0</v>
      </c>
      <c r="DU35" s="7">
        <f t="shared" si="18"/>
        <v>0</v>
      </c>
      <c r="DV35" s="7">
        <f t="shared" si="36"/>
        <v>0</v>
      </c>
      <c r="DW35" s="7">
        <f>LARGE((DR35:DS35,DU35:DV35),1)</f>
        <v>0</v>
      </c>
      <c r="DX35" s="7">
        <f>IF(DA35&lt;2,0,LARGE((DR35:DS35,DU35:DV35),2))</f>
        <v>0</v>
      </c>
      <c r="DY35" s="7">
        <f t="shared" si="19"/>
        <v>0</v>
      </c>
      <c r="DZ35" s="7">
        <f t="shared" si="20"/>
        <v>0</v>
      </c>
      <c r="EA35" s="7">
        <f t="shared" si="21"/>
        <v>0</v>
      </c>
      <c r="EF35" s="7">
        <f t="shared" si="37"/>
        <v>0</v>
      </c>
      <c r="EH35" s="7">
        <f t="shared" si="38"/>
        <v>0</v>
      </c>
      <c r="EI35" s="7">
        <f>IF(EH35=0,0,COUNTIF($EH$16:EH35,"&gt;"&amp;0))</f>
        <v>0</v>
      </c>
    </row>
    <row r="36" spans="1:139" x14ac:dyDescent="0.3">
      <c r="A36" s="165">
        <v>35</v>
      </c>
      <c r="C36" s="7" t="s">
        <v>139</v>
      </c>
      <c r="D36" s="7">
        <v>800</v>
      </c>
      <c r="E36" s="7">
        <v>0.25</v>
      </c>
      <c r="F36" s="7">
        <v>0.35</v>
      </c>
      <c r="G36" s="7">
        <v>0.1</v>
      </c>
      <c r="H36" s="7">
        <v>0.1</v>
      </c>
      <c r="J36" s="7">
        <v>0.1</v>
      </c>
      <c r="K36" s="7">
        <v>0.1</v>
      </c>
      <c r="M36" s="7">
        <v>1</v>
      </c>
      <c r="O36" s="7">
        <f t="shared" si="45"/>
        <v>1</v>
      </c>
      <c r="Q36" s="7">
        <f t="shared" si="22"/>
        <v>1</v>
      </c>
      <c r="R36" s="7">
        <f t="shared" si="23"/>
        <v>1.4</v>
      </c>
      <c r="S36" s="7">
        <f t="shared" si="9"/>
        <v>0.8</v>
      </c>
      <c r="T36" s="7">
        <f t="shared" si="10"/>
        <v>0.8</v>
      </c>
      <c r="U36" s="7">
        <f t="shared" si="24"/>
        <v>0.8</v>
      </c>
      <c r="V36" s="7">
        <f t="shared" si="39"/>
        <v>1</v>
      </c>
      <c r="W36" s="7">
        <f t="shared" si="40"/>
        <v>1.4</v>
      </c>
      <c r="X36" s="7">
        <f t="shared" si="41"/>
        <v>0.8</v>
      </c>
      <c r="Y36" s="7">
        <f t="shared" si="42"/>
        <v>0.8</v>
      </c>
      <c r="AA36" s="7">
        <f t="shared" si="43"/>
        <v>0.8</v>
      </c>
      <c r="AB36" s="7">
        <f t="shared" si="44"/>
        <v>0.8</v>
      </c>
      <c r="AC36" s="7">
        <f>INDEX('변표 테이블'!$C$86:$C$165,MATCH(O36,'변표 테이블'!$B$86:$B$165,0))</f>
        <v>71.13</v>
      </c>
      <c r="AD36" s="7">
        <f>INDEX('변표 테이블'!$D$86:$D$165,MATCH(O36,'변표 테이블'!$B$86:$B$165,0))</f>
        <v>66</v>
      </c>
      <c r="AF36" s="7">
        <v>1</v>
      </c>
      <c r="AG36" s="7">
        <v>1</v>
      </c>
      <c r="AH36" s="7">
        <v>4</v>
      </c>
      <c r="AI36" s="7">
        <v>4</v>
      </c>
      <c r="AK36" s="7">
        <v>4</v>
      </c>
      <c r="AL36" s="7">
        <v>4</v>
      </c>
      <c r="AM36" s="7">
        <v>3</v>
      </c>
      <c r="AN36" s="7">
        <v>3</v>
      </c>
      <c r="AP36" s="7">
        <f t="shared" si="25"/>
        <v>4</v>
      </c>
      <c r="BH36" s="121">
        <v>120</v>
      </c>
      <c r="BI36" s="7">
        <v>115.2</v>
      </c>
      <c r="BJ36" s="7">
        <v>106.8</v>
      </c>
      <c r="BK36" s="7">
        <v>92.4</v>
      </c>
      <c r="BL36" s="7">
        <v>72</v>
      </c>
      <c r="BM36" s="7">
        <v>48</v>
      </c>
      <c r="BN36" s="7">
        <v>27.6</v>
      </c>
      <c r="BO36" s="7">
        <v>13.2</v>
      </c>
      <c r="BP36" s="7">
        <v>0</v>
      </c>
      <c r="BQ36" s="121">
        <v>40</v>
      </c>
      <c r="BR36" s="7">
        <v>40</v>
      </c>
      <c r="BS36" s="7">
        <v>40</v>
      </c>
      <c r="BT36" s="7">
        <v>39</v>
      </c>
      <c r="BU36" s="7">
        <v>38</v>
      </c>
      <c r="BV36" s="7">
        <v>37</v>
      </c>
      <c r="BW36" s="7">
        <v>36</v>
      </c>
      <c r="BX36" s="7">
        <v>35</v>
      </c>
      <c r="BY36" s="7">
        <v>34</v>
      </c>
      <c r="CI36" s="7">
        <f t="shared" si="26"/>
        <v>120</v>
      </c>
      <c r="CJ36" s="163">
        <f t="shared" si="27"/>
        <v>100</v>
      </c>
      <c r="CK36" s="7">
        <f t="shared" si="28"/>
        <v>40</v>
      </c>
      <c r="CN36" s="7">
        <v>2</v>
      </c>
      <c r="CZ36" s="7">
        <f t="shared" si="29"/>
        <v>2</v>
      </c>
      <c r="DA36" s="7">
        <f t="shared" si="30"/>
        <v>2</v>
      </c>
      <c r="DB36" s="7">
        <f t="shared" si="11"/>
        <v>0</v>
      </c>
      <c r="DC36" s="7">
        <f t="shared" si="31"/>
        <v>0</v>
      </c>
      <c r="DE36" s="7">
        <f t="shared" si="12"/>
        <v>0</v>
      </c>
      <c r="DF36" s="7">
        <f t="shared" si="13"/>
        <v>0</v>
      </c>
      <c r="DG36" s="7">
        <f>IFERROR(IF(LEFT($AP36,1)="4",INDEX('변표 테이블'!$H$86:$H$165,MATCH($O36,'변표 테이블'!$B$86:$B$165,0)),INDEX(DG$4:DG$8,MATCH(AH36,$DC$4:$DC$8,0))),0)</f>
        <v>0</v>
      </c>
      <c r="DH36" s="7">
        <f>IFERROR(IF(LEFT($AP36,1)="4",INDEX('변표 테이블'!$I$86:$I$165,MATCH($O36,'변표 테이블'!$B$86:$B$165,0)),INDEX(DH$4:DH$8,MATCH(AI36,$DC$4:$DC$8,0))),0)</f>
        <v>0</v>
      </c>
      <c r="DJ36" s="7">
        <f>IFERROR(IF(LEFT($AP36,1)="4",INDEX('변표 테이블'!$J$86:$J$165,MATCH($O36,'변표 테이블'!$B$86:$B$165,0)),INDEX(DI$4:DI$8,MATCH(AK36,$DC$4:$DC$8,0))),0)</f>
        <v>0</v>
      </c>
      <c r="DK36" s="7">
        <f>IFERROR(IF(LEFT($AP36,1)="4",INDEX('변표 테이블'!$K$86:$K$165,MATCH($O36,'변표 테이블'!$B$86:$B$165,0)),INDEX(DJ$4:DJ$8,MATCH(AL36,$DC$4:$DC$8,0))),0)</f>
        <v>0</v>
      </c>
      <c r="DL36" s="7" t="str">
        <f t="shared" si="32"/>
        <v/>
      </c>
      <c r="DM36" s="7" t="str">
        <f t="shared" si="33"/>
        <v/>
      </c>
      <c r="DN36" s="7">
        <f t="shared" si="34"/>
        <v>0</v>
      </c>
      <c r="DP36" s="7">
        <f t="shared" si="14"/>
        <v>0</v>
      </c>
      <c r="DQ36" s="7">
        <f t="shared" si="15"/>
        <v>0</v>
      </c>
      <c r="DR36" s="7">
        <f t="shared" si="16"/>
        <v>0</v>
      </c>
      <c r="DS36" s="7">
        <f t="shared" si="35"/>
        <v>0</v>
      </c>
      <c r="DT36" s="7">
        <f t="shared" si="17"/>
        <v>0</v>
      </c>
      <c r="DU36" s="7">
        <f t="shared" si="18"/>
        <v>0</v>
      </c>
      <c r="DV36" s="7">
        <f t="shared" si="36"/>
        <v>0</v>
      </c>
      <c r="DW36" s="7">
        <f>LARGE((DR36:DS36,DU36:DV36),1)</f>
        <v>0</v>
      </c>
      <c r="DX36" s="7">
        <f>IF(DA36&lt;2,0,LARGE((DR36:DS36,DU36:DV36),2))</f>
        <v>0</v>
      </c>
      <c r="DY36" s="7">
        <f t="shared" si="19"/>
        <v>0</v>
      </c>
      <c r="DZ36" s="7">
        <f t="shared" si="20"/>
        <v>0</v>
      </c>
      <c r="EA36" s="7">
        <f t="shared" si="21"/>
        <v>0</v>
      </c>
      <c r="EF36" s="7">
        <f t="shared" si="37"/>
        <v>0</v>
      </c>
      <c r="EH36" s="7">
        <f t="shared" si="38"/>
        <v>0</v>
      </c>
      <c r="EI36" s="7">
        <f>IF(EH36=0,0,COUNTIF($EH$16:EH36,"&gt;"&amp;0))</f>
        <v>0</v>
      </c>
    </row>
    <row r="37" spans="1:139" x14ac:dyDescent="0.3">
      <c r="A37" s="165">
        <v>36</v>
      </c>
      <c r="C37" s="7" t="s">
        <v>870</v>
      </c>
      <c r="D37" s="7">
        <v>700</v>
      </c>
      <c r="E37" s="7">
        <v>0.3</v>
      </c>
      <c r="F37" s="7">
        <v>0.3</v>
      </c>
      <c r="G37" s="7">
        <v>0.1</v>
      </c>
      <c r="H37" s="7">
        <v>0.1</v>
      </c>
      <c r="J37" s="7">
        <v>0.1</v>
      </c>
      <c r="K37" s="7">
        <v>0.1</v>
      </c>
      <c r="M37" s="7">
        <v>1</v>
      </c>
      <c r="O37" s="7">
        <f t="shared" si="45"/>
        <v>1</v>
      </c>
      <c r="Q37" s="7">
        <f t="shared" si="22"/>
        <v>1.4093959731543624</v>
      </c>
      <c r="R37" s="7">
        <f t="shared" si="23"/>
        <v>1.4285714285714286</v>
      </c>
      <c r="S37" s="7">
        <f t="shared" si="9"/>
        <v>0.98411359482637428</v>
      </c>
      <c r="T37" s="7">
        <f t="shared" si="10"/>
        <v>1.0606060606060606</v>
      </c>
      <c r="U37" s="7">
        <f t="shared" si="24"/>
        <v>1.0606060606060606</v>
      </c>
      <c r="V37" s="7">
        <f t="shared" si="39"/>
        <v>1.4093959731543624</v>
      </c>
      <c r="W37" s="7">
        <f t="shared" si="40"/>
        <v>1.4285714285714286</v>
      </c>
      <c r="X37" s="7">
        <f t="shared" si="41"/>
        <v>0.98411359482637428</v>
      </c>
      <c r="Y37" s="7">
        <f t="shared" si="42"/>
        <v>0.98411359482637428</v>
      </c>
      <c r="AA37" s="7">
        <f t="shared" si="43"/>
        <v>1.0606060606060606</v>
      </c>
      <c r="AB37" s="7">
        <f t="shared" si="44"/>
        <v>1.0606060606060606</v>
      </c>
      <c r="AC37" s="7">
        <f>INDEX('변표 테이블'!$C$86:$C$165,MATCH(O37,'변표 테이블'!$B$86:$B$165,0))</f>
        <v>71.13</v>
      </c>
      <c r="AD37" s="7">
        <f>INDEX('변표 테이블'!$D$86:$D$165,MATCH(O37,'변표 테이블'!$B$86:$B$165,0))</f>
        <v>66</v>
      </c>
      <c r="AF37" s="7">
        <v>12</v>
      </c>
      <c r="AG37" s="7">
        <v>12</v>
      </c>
      <c r="AH37" s="7">
        <v>42</v>
      </c>
      <c r="AI37" s="7">
        <v>42</v>
      </c>
      <c r="AK37" s="7">
        <v>42</v>
      </c>
      <c r="AL37" s="7">
        <v>42</v>
      </c>
      <c r="AM37" s="7">
        <v>3</v>
      </c>
      <c r="AN37" s="7">
        <v>3</v>
      </c>
      <c r="AP37" s="7">
        <f t="shared" si="25"/>
        <v>42</v>
      </c>
      <c r="BH37" s="121">
        <v>140</v>
      </c>
      <c r="BI37" s="7">
        <v>138</v>
      </c>
      <c r="BJ37" s="7">
        <v>134</v>
      </c>
      <c r="BK37" s="7">
        <v>128</v>
      </c>
      <c r="BL37" s="7">
        <v>120</v>
      </c>
      <c r="BM37" s="7">
        <v>110</v>
      </c>
      <c r="BN37" s="7">
        <v>90</v>
      </c>
      <c r="BO37" s="7">
        <v>60</v>
      </c>
      <c r="BP37" s="7">
        <v>0</v>
      </c>
      <c r="BQ37" s="121">
        <v>10</v>
      </c>
      <c r="BR37" s="7">
        <v>10</v>
      </c>
      <c r="BS37" s="7">
        <v>10</v>
      </c>
      <c r="BT37" s="7">
        <v>9.8000000000000007</v>
      </c>
      <c r="BU37" s="7">
        <v>9.6</v>
      </c>
      <c r="BV37" s="7">
        <v>9.4</v>
      </c>
      <c r="BW37" s="7">
        <v>9.1999999999999993</v>
      </c>
      <c r="BX37" s="7">
        <v>9</v>
      </c>
      <c r="BY37" s="7">
        <v>8</v>
      </c>
      <c r="CI37" s="7">
        <f t="shared" si="26"/>
        <v>140</v>
      </c>
      <c r="CJ37" s="163">
        <f t="shared" si="27"/>
        <v>100</v>
      </c>
      <c r="CK37" s="7">
        <f t="shared" si="28"/>
        <v>10</v>
      </c>
      <c r="CN37" s="7">
        <v>2</v>
      </c>
      <c r="CZ37" s="7">
        <f t="shared" si="29"/>
        <v>2</v>
      </c>
      <c r="DA37" s="7">
        <f t="shared" si="30"/>
        <v>2</v>
      </c>
      <c r="DB37" s="7">
        <f t="shared" si="11"/>
        <v>0</v>
      </c>
      <c r="DC37" s="7">
        <f t="shared" si="31"/>
        <v>0</v>
      </c>
      <c r="DE37" s="7">
        <f t="shared" si="12"/>
        <v>0</v>
      </c>
      <c r="DF37" s="7">
        <f t="shared" si="13"/>
        <v>0</v>
      </c>
      <c r="DG37" s="7">
        <f>IFERROR(IF(LEFT($AP37,1)="4",INDEX('변표 테이블'!$H$86:$H$165,MATCH($O37,'변표 테이블'!$B$86:$B$165,0)),INDEX(DG$4:DG$8,MATCH(AH37,$DC$4:$DC$8,0))),0)</f>
        <v>0</v>
      </c>
      <c r="DH37" s="7">
        <f>IFERROR(IF(LEFT($AP37,1)="4",INDEX('변표 테이블'!$I$86:$I$165,MATCH($O37,'변표 테이블'!$B$86:$B$165,0)),INDEX(DH$4:DH$8,MATCH(AI37,$DC$4:$DC$8,0))),0)</f>
        <v>0</v>
      </c>
      <c r="DJ37" s="7">
        <f>IFERROR(IF(LEFT($AP37,1)="4",INDEX('변표 테이블'!$J$86:$J$165,MATCH($O37,'변표 테이블'!$B$86:$B$165,0)),INDEX(DI$4:DI$8,MATCH(AK37,$DC$4:$DC$8,0))),0)</f>
        <v>0</v>
      </c>
      <c r="DK37" s="7">
        <f>IFERROR(IF(LEFT($AP37,1)="4",INDEX('변표 테이블'!$K$86:$K$165,MATCH($O37,'변표 테이블'!$B$86:$B$165,0)),INDEX(DJ$4:DJ$8,MATCH(AL37,$DC$4:$DC$8,0))),0)</f>
        <v>0</v>
      </c>
      <c r="DL37" s="7" t="str">
        <f t="shared" si="32"/>
        <v/>
      </c>
      <c r="DM37" s="7" t="str">
        <f t="shared" si="33"/>
        <v/>
      </c>
      <c r="DN37" s="7">
        <f t="shared" si="34"/>
        <v>0</v>
      </c>
      <c r="DP37" s="7">
        <f t="shared" si="14"/>
        <v>0</v>
      </c>
      <c r="DQ37" s="7">
        <f t="shared" si="15"/>
        <v>0</v>
      </c>
      <c r="DR37" s="7">
        <f t="shared" si="16"/>
        <v>0</v>
      </c>
      <c r="DS37" s="7">
        <f t="shared" si="35"/>
        <v>0</v>
      </c>
      <c r="DT37" s="7">
        <f t="shared" si="17"/>
        <v>0</v>
      </c>
      <c r="DU37" s="7">
        <f t="shared" si="18"/>
        <v>0</v>
      </c>
      <c r="DV37" s="7">
        <f t="shared" si="36"/>
        <v>0</v>
      </c>
      <c r="DW37" s="7">
        <f>LARGE((DR37:DS37,DU37:DV37),1)</f>
        <v>0</v>
      </c>
      <c r="DX37" s="7">
        <f>IF(DA37&lt;2,0,LARGE((DR37:DS37,DU37:DV37),2))</f>
        <v>0</v>
      </c>
      <c r="DY37" s="7">
        <f t="shared" si="19"/>
        <v>0</v>
      </c>
      <c r="DZ37" s="7">
        <f t="shared" si="20"/>
        <v>0</v>
      </c>
      <c r="EA37" s="7">
        <f t="shared" si="21"/>
        <v>0</v>
      </c>
      <c r="EF37" s="7">
        <f t="shared" si="37"/>
        <v>0</v>
      </c>
      <c r="EH37" s="7">
        <f t="shared" si="38"/>
        <v>0</v>
      </c>
      <c r="EI37" s="7">
        <f>IF(EH37=0,0,COUNTIF($EH$16:EH37,"&gt;"&amp;0))</f>
        <v>0</v>
      </c>
    </row>
    <row r="38" spans="1:139" x14ac:dyDescent="0.3">
      <c r="A38" s="165">
        <v>37</v>
      </c>
      <c r="C38" s="7" t="s">
        <v>871</v>
      </c>
      <c r="D38" s="7">
        <v>700</v>
      </c>
      <c r="E38" s="7">
        <v>0.3</v>
      </c>
      <c r="F38" s="7">
        <v>0.3</v>
      </c>
      <c r="G38" s="7">
        <v>0.1</v>
      </c>
      <c r="H38" s="7">
        <v>0.1</v>
      </c>
      <c r="J38" s="7">
        <v>0.1</v>
      </c>
      <c r="K38" s="7">
        <v>0.1</v>
      </c>
      <c r="M38" s="7">
        <v>1</v>
      </c>
      <c r="O38" s="7">
        <f t="shared" si="45"/>
        <v>1</v>
      </c>
      <c r="Q38" s="7">
        <f t="shared" si="22"/>
        <v>1.4093959731543624</v>
      </c>
      <c r="R38" s="7">
        <f t="shared" si="23"/>
        <v>1.4285714285714286</v>
      </c>
      <c r="S38" s="7">
        <f t="shared" si="9"/>
        <v>0.98411359482637428</v>
      </c>
      <c r="T38" s="7">
        <f t="shared" si="10"/>
        <v>1.0606060606060606</v>
      </c>
      <c r="U38" s="7">
        <f t="shared" si="24"/>
        <v>1.0606060606060606</v>
      </c>
      <c r="V38" s="7">
        <f t="shared" si="39"/>
        <v>1.4093959731543624</v>
      </c>
      <c r="W38" s="7">
        <f t="shared" si="40"/>
        <v>1.4285714285714286</v>
      </c>
      <c r="X38" s="7">
        <f t="shared" si="41"/>
        <v>0.98411359482637428</v>
      </c>
      <c r="Y38" s="7">
        <f t="shared" si="42"/>
        <v>0.98411359482637428</v>
      </c>
      <c r="AA38" s="7">
        <f t="shared" si="43"/>
        <v>1.0606060606060606</v>
      </c>
      <c r="AB38" s="7">
        <f t="shared" si="44"/>
        <v>1.0606060606060606</v>
      </c>
      <c r="AC38" s="7">
        <f>INDEX('변표 테이블'!$C$86:$C$165,MATCH(O38,'변표 테이블'!$B$86:$B$165,0))</f>
        <v>71.13</v>
      </c>
      <c r="AD38" s="7">
        <f>INDEX('변표 테이블'!$D$86:$D$165,MATCH(O38,'변표 테이블'!$B$86:$B$165,0))</f>
        <v>66</v>
      </c>
      <c r="AF38" s="7">
        <v>12</v>
      </c>
      <c r="AG38" s="7">
        <v>12</v>
      </c>
      <c r="AH38" s="7">
        <v>42</v>
      </c>
      <c r="AI38" s="7">
        <v>42</v>
      </c>
      <c r="AK38" s="7">
        <v>42</v>
      </c>
      <c r="AL38" s="7">
        <v>42</v>
      </c>
      <c r="AM38" s="7">
        <v>3</v>
      </c>
      <c r="AN38" s="7">
        <v>3</v>
      </c>
      <c r="AP38" s="7">
        <f t="shared" si="25"/>
        <v>42</v>
      </c>
      <c r="BH38" s="121">
        <v>140</v>
      </c>
      <c r="BI38" s="7">
        <v>138</v>
      </c>
      <c r="BJ38" s="7">
        <v>134</v>
      </c>
      <c r="BK38" s="7">
        <v>128</v>
      </c>
      <c r="BL38" s="7">
        <v>120</v>
      </c>
      <c r="BM38" s="7">
        <v>110</v>
      </c>
      <c r="BN38" s="7">
        <v>90</v>
      </c>
      <c r="BO38" s="7">
        <v>60</v>
      </c>
      <c r="BP38" s="7">
        <v>0</v>
      </c>
      <c r="BQ38" s="121">
        <v>10</v>
      </c>
      <c r="BR38" s="7">
        <v>10</v>
      </c>
      <c r="BS38" s="7">
        <v>10</v>
      </c>
      <c r="BT38" s="7">
        <v>9.8000000000000007</v>
      </c>
      <c r="BU38" s="7">
        <v>9.6</v>
      </c>
      <c r="BV38" s="7">
        <v>9.4</v>
      </c>
      <c r="BW38" s="7">
        <v>9.1999999999999993</v>
      </c>
      <c r="BX38" s="7">
        <v>9</v>
      </c>
      <c r="BY38" s="7">
        <v>8</v>
      </c>
      <c r="CI38" s="7">
        <f t="shared" si="26"/>
        <v>140</v>
      </c>
      <c r="CJ38" s="163">
        <f t="shared" si="27"/>
        <v>100</v>
      </c>
      <c r="CK38" s="7">
        <f t="shared" si="28"/>
        <v>10</v>
      </c>
      <c r="CN38" s="7">
        <v>2</v>
      </c>
      <c r="CZ38" s="7">
        <f t="shared" si="29"/>
        <v>2</v>
      </c>
      <c r="DA38" s="7">
        <f t="shared" si="30"/>
        <v>2</v>
      </c>
      <c r="DB38" s="7">
        <f t="shared" si="11"/>
        <v>0</v>
      </c>
      <c r="DC38" s="7">
        <f t="shared" si="31"/>
        <v>0</v>
      </c>
      <c r="DE38" s="7">
        <f t="shared" si="12"/>
        <v>0</v>
      </c>
      <c r="DF38" s="7">
        <f t="shared" si="13"/>
        <v>0</v>
      </c>
      <c r="DG38" s="7">
        <f>IFERROR(IF(LEFT($AP38,1)="4",INDEX('변표 테이블'!$H$86:$H$165,MATCH($O38,'변표 테이블'!$B$86:$B$165,0)),INDEX(DG$4:DG$8,MATCH(AH38,$DC$4:$DC$8,0))),0)</f>
        <v>0</v>
      </c>
      <c r="DH38" s="7">
        <f>IFERROR(IF(LEFT($AP38,1)="4",INDEX('변표 테이블'!$I$86:$I$165,MATCH($O38,'변표 테이블'!$B$86:$B$165,0)),INDEX(DH$4:DH$8,MATCH(AI38,$DC$4:$DC$8,0))),0)</f>
        <v>0</v>
      </c>
      <c r="DJ38" s="7">
        <f>IFERROR(IF(LEFT($AP38,1)="4",INDEX('변표 테이블'!$J$86:$J$165,MATCH($O38,'변표 테이블'!$B$86:$B$165,0)),INDEX(DI$4:DI$8,MATCH(AK38,$DC$4:$DC$8,0))),0)</f>
        <v>0</v>
      </c>
      <c r="DK38" s="7">
        <f>IFERROR(IF(LEFT($AP38,1)="4",INDEX('변표 테이블'!$K$86:$K$165,MATCH($O38,'변표 테이블'!$B$86:$B$165,0)),INDEX(DJ$4:DJ$8,MATCH(AL38,$DC$4:$DC$8,0))),0)</f>
        <v>0</v>
      </c>
      <c r="DL38" s="7" t="str">
        <f t="shared" si="32"/>
        <v/>
      </c>
      <c r="DM38" s="7" t="str">
        <f t="shared" si="33"/>
        <v/>
      </c>
      <c r="DN38" s="7">
        <f t="shared" si="34"/>
        <v>0</v>
      </c>
      <c r="DP38" s="7">
        <f t="shared" si="14"/>
        <v>0</v>
      </c>
      <c r="DQ38" s="7">
        <f t="shared" si="15"/>
        <v>0</v>
      </c>
      <c r="DR38" s="7">
        <f t="shared" si="16"/>
        <v>0</v>
      </c>
      <c r="DS38" s="7">
        <f t="shared" si="35"/>
        <v>0</v>
      </c>
      <c r="DT38" s="7">
        <f t="shared" si="17"/>
        <v>0</v>
      </c>
      <c r="DU38" s="7">
        <f t="shared" si="18"/>
        <v>0</v>
      </c>
      <c r="DV38" s="7">
        <f t="shared" si="36"/>
        <v>0</v>
      </c>
      <c r="DW38" s="7">
        <f>LARGE((DR38:DS38,DU38:DV38),1)</f>
        <v>0</v>
      </c>
      <c r="DX38" s="7">
        <f>IF(DA38&lt;2,0,LARGE((DR38:DS38,DU38:DV38),2))</f>
        <v>0</v>
      </c>
      <c r="DY38" s="7">
        <f t="shared" si="19"/>
        <v>0</v>
      </c>
      <c r="DZ38" s="7">
        <f t="shared" si="20"/>
        <v>0</v>
      </c>
      <c r="EA38" s="7">
        <f t="shared" si="21"/>
        <v>0</v>
      </c>
      <c r="EF38" s="7">
        <f t="shared" si="37"/>
        <v>0</v>
      </c>
      <c r="EH38" s="7">
        <f t="shared" si="38"/>
        <v>0</v>
      </c>
      <c r="EI38" s="7">
        <f>IF(EH38=0,0,COUNTIF($EH$16:EH38,"&gt;"&amp;0))</f>
        <v>0</v>
      </c>
    </row>
    <row r="39" spans="1:139" x14ac:dyDescent="0.3">
      <c r="A39" s="165">
        <v>38</v>
      </c>
      <c r="C39" s="7" t="s">
        <v>872</v>
      </c>
      <c r="D39" s="7">
        <v>700</v>
      </c>
      <c r="E39" s="7">
        <v>0.2</v>
      </c>
      <c r="F39" s="7">
        <v>0.35</v>
      </c>
      <c r="G39" s="7">
        <v>0.15</v>
      </c>
      <c r="H39" s="7">
        <v>0.15</v>
      </c>
      <c r="J39" s="7">
        <v>0.15</v>
      </c>
      <c r="K39" s="7">
        <v>0.15</v>
      </c>
      <c r="M39" s="7">
        <v>1</v>
      </c>
      <c r="O39" s="7">
        <f t="shared" si="45"/>
        <v>1</v>
      </c>
      <c r="Q39" s="7">
        <f t="shared" si="22"/>
        <v>0.93959731543624159</v>
      </c>
      <c r="R39" s="7">
        <f t="shared" si="23"/>
        <v>1.6666666666666665</v>
      </c>
      <c r="S39" s="7">
        <f t="shared" si="9"/>
        <v>1.4761703922395615</v>
      </c>
      <c r="T39" s="7">
        <f t="shared" si="10"/>
        <v>1.5909090909090908</v>
      </c>
      <c r="U39" s="7">
        <f t="shared" si="24"/>
        <v>1.5909090909090908</v>
      </c>
      <c r="V39" s="7">
        <f t="shared" si="39"/>
        <v>0.93959731543624159</v>
      </c>
      <c r="W39" s="7">
        <f t="shared" si="40"/>
        <v>1.6666666666666665</v>
      </c>
      <c r="X39" s="7">
        <f t="shared" si="41"/>
        <v>1.4761703922395615</v>
      </c>
      <c r="Y39" s="7">
        <f t="shared" si="42"/>
        <v>1.4761703922395615</v>
      </c>
      <c r="AA39" s="7">
        <f t="shared" si="43"/>
        <v>1.5909090909090908</v>
      </c>
      <c r="AB39" s="7">
        <f t="shared" si="44"/>
        <v>1.5909090909090908</v>
      </c>
      <c r="AC39" s="7">
        <f>INDEX('변표 테이블'!$C$86:$C$165,MATCH(O39,'변표 테이블'!$B$86:$B$165,0))</f>
        <v>71.13</v>
      </c>
      <c r="AD39" s="7">
        <f>INDEX('변표 테이블'!$D$86:$D$165,MATCH(O39,'변표 테이블'!$B$86:$B$165,0))</f>
        <v>66</v>
      </c>
      <c r="AF39" s="7">
        <v>12</v>
      </c>
      <c r="AG39" s="7">
        <v>12</v>
      </c>
      <c r="AH39" s="7">
        <v>42</v>
      </c>
      <c r="AI39" s="7">
        <v>42</v>
      </c>
      <c r="AK39" s="7">
        <v>42</v>
      </c>
      <c r="AL39" s="7">
        <v>42</v>
      </c>
      <c r="AM39" s="7">
        <v>3</v>
      </c>
      <c r="AN39" s="7">
        <v>3</v>
      </c>
      <c r="AP39" s="7">
        <f t="shared" si="25"/>
        <v>42</v>
      </c>
      <c r="BH39" s="121">
        <v>105</v>
      </c>
      <c r="BI39" s="7">
        <v>104.5</v>
      </c>
      <c r="BJ39" s="7">
        <v>103.5</v>
      </c>
      <c r="BK39" s="7">
        <v>102</v>
      </c>
      <c r="BL39" s="7">
        <v>100</v>
      </c>
      <c r="BM39" s="7">
        <v>97.5</v>
      </c>
      <c r="BN39" s="7">
        <v>94.5</v>
      </c>
      <c r="BO39" s="7">
        <v>90</v>
      </c>
      <c r="BP39" s="7">
        <v>0</v>
      </c>
      <c r="CI39" s="7">
        <f t="shared" si="26"/>
        <v>105</v>
      </c>
      <c r="CJ39" s="163">
        <f t="shared" si="27"/>
        <v>100</v>
      </c>
      <c r="CK39" s="7">
        <f t="shared" si="28"/>
        <v>0</v>
      </c>
      <c r="CN39" s="7">
        <v>2</v>
      </c>
      <c r="CZ39" s="7">
        <f t="shared" si="29"/>
        <v>2</v>
      </c>
      <c r="DA39" s="7">
        <f t="shared" si="30"/>
        <v>2</v>
      </c>
      <c r="DB39" s="7">
        <f t="shared" si="11"/>
        <v>0</v>
      </c>
      <c r="DC39" s="7">
        <f t="shared" si="31"/>
        <v>0</v>
      </c>
      <c r="DE39" s="7">
        <f t="shared" si="12"/>
        <v>0</v>
      </c>
      <c r="DF39" s="7">
        <f t="shared" si="13"/>
        <v>0</v>
      </c>
      <c r="DG39" s="7">
        <f>IFERROR(IF(LEFT($AP39,1)="4",INDEX('변표 테이블'!$H$86:$H$165,MATCH($O39,'변표 테이블'!$B$86:$B$165,0)),INDEX(DG$4:DG$8,MATCH(AH39,$DC$4:$DC$8,0))),0)</f>
        <v>0</v>
      </c>
      <c r="DH39" s="7">
        <f>IFERROR(IF(LEFT($AP39,1)="4",INDEX('변표 테이블'!$I$86:$I$165,MATCH($O39,'변표 테이블'!$B$86:$B$165,0)),INDEX(DH$4:DH$8,MATCH(AI39,$DC$4:$DC$8,0))),0)</f>
        <v>0</v>
      </c>
      <c r="DJ39" s="7">
        <f>IFERROR(IF(LEFT($AP39,1)="4",INDEX('변표 테이블'!$J$86:$J$165,MATCH($O39,'변표 테이블'!$B$86:$B$165,0)),INDEX(DI$4:DI$8,MATCH(AK39,$DC$4:$DC$8,0))),0)</f>
        <v>0</v>
      </c>
      <c r="DK39" s="7">
        <f>IFERROR(IF(LEFT($AP39,1)="4",INDEX('변표 테이블'!$K$86:$K$165,MATCH($O39,'변표 테이블'!$B$86:$B$165,0)),INDEX(DJ$4:DJ$8,MATCH(AL39,$DC$4:$DC$8,0))),0)</f>
        <v>0</v>
      </c>
      <c r="DL39" s="7" t="str">
        <f t="shared" si="32"/>
        <v/>
      </c>
      <c r="DM39" s="7" t="str">
        <f t="shared" si="33"/>
        <v/>
      </c>
      <c r="DN39" s="7">
        <f t="shared" si="34"/>
        <v>0</v>
      </c>
      <c r="DP39" s="7">
        <f t="shared" si="14"/>
        <v>0</v>
      </c>
      <c r="DQ39" s="7">
        <f t="shared" si="15"/>
        <v>0</v>
      </c>
      <c r="DR39" s="7">
        <f t="shared" si="16"/>
        <v>0</v>
      </c>
      <c r="DS39" s="7">
        <f t="shared" si="35"/>
        <v>0</v>
      </c>
      <c r="DT39" s="7">
        <f t="shared" si="17"/>
        <v>0</v>
      </c>
      <c r="DU39" s="7">
        <f t="shared" si="18"/>
        <v>0</v>
      </c>
      <c r="DV39" s="7">
        <f t="shared" si="36"/>
        <v>0</v>
      </c>
      <c r="DW39" s="7">
        <f>LARGE((DR39:DS39,DU39:DV39),1)</f>
        <v>0</v>
      </c>
      <c r="DX39" s="7">
        <f>IF(DA39&lt;2,0,LARGE((DR39:DS39,DU39:DV39),2))</f>
        <v>0</v>
      </c>
      <c r="DY39" s="7">
        <f t="shared" si="19"/>
        <v>0</v>
      </c>
      <c r="DZ39" s="7">
        <f t="shared" si="20"/>
        <v>0</v>
      </c>
      <c r="EA39" s="7">
        <f t="shared" si="21"/>
        <v>0</v>
      </c>
      <c r="EF39" s="7">
        <f t="shared" si="37"/>
        <v>0</v>
      </c>
      <c r="EH39" s="7">
        <f t="shared" si="38"/>
        <v>0</v>
      </c>
      <c r="EI39" s="7">
        <f>IF(EH39=0,0,COUNTIF($EH$16:EH39,"&gt;"&amp;0))</f>
        <v>0</v>
      </c>
    </row>
    <row r="40" spans="1:139" x14ac:dyDescent="0.3">
      <c r="A40" s="165">
        <v>39</v>
      </c>
      <c r="C40" s="7" t="s">
        <v>873</v>
      </c>
      <c r="D40" s="7">
        <v>1000</v>
      </c>
      <c r="E40" s="7">
        <v>0.3</v>
      </c>
      <c r="F40" s="7">
        <v>0.3</v>
      </c>
      <c r="G40" s="7">
        <v>7.4999999999999997E-2</v>
      </c>
      <c r="H40" s="7">
        <v>7.4999999999999997E-2</v>
      </c>
      <c r="J40" s="7">
        <v>7.4999999999999997E-2</v>
      </c>
      <c r="K40" s="7">
        <v>7.4999999999999997E-2</v>
      </c>
      <c r="M40" s="120">
        <v>1</v>
      </c>
      <c r="O40" s="7">
        <f t="shared" si="45"/>
        <v>1</v>
      </c>
      <c r="Q40" s="7">
        <f t="shared" si="22"/>
        <v>2.0134228187919465</v>
      </c>
      <c r="R40" s="7">
        <f t="shared" si="23"/>
        <v>2.0408163265306123</v>
      </c>
      <c r="S40" s="7">
        <f t="shared" si="9"/>
        <v>1.0544074230282583</v>
      </c>
      <c r="T40" s="7">
        <f t="shared" si="10"/>
        <v>1.1363636363636365</v>
      </c>
      <c r="U40" s="7">
        <f t="shared" si="24"/>
        <v>1.1363636363636365</v>
      </c>
      <c r="V40" s="7">
        <f t="shared" si="39"/>
        <v>2.0134228187919465</v>
      </c>
      <c r="W40" s="7">
        <f t="shared" si="40"/>
        <v>2.0408163265306123</v>
      </c>
      <c r="X40" s="7">
        <f t="shared" si="41"/>
        <v>1.0544074230282583</v>
      </c>
      <c r="Y40" s="7">
        <f t="shared" si="42"/>
        <v>1.0544074230282583</v>
      </c>
      <c r="AA40" s="7">
        <f t="shared" si="43"/>
        <v>1.1363636363636365</v>
      </c>
      <c r="AB40" s="7">
        <f t="shared" si="44"/>
        <v>1.1363636363636365</v>
      </c>
      <c r="AC40" s="7">
        <f>INDEX('변표 테이블'!$C$86:$C$165,MATCH(O40,'변표 테이블'!$B$86:$B$165,0))</f>
        <v>71.13</v>
      </c>
      <c r="AD40" s="7">
        <f>INDEX('변표 테이블'!$D$86:$D$165,MATCH(O40,'변표 테이블'!$B$86:$B$165,0))</f>
        <v>66</v>
      </c>
      <c r="AF40" s="7">
        <v>12</v>
      </c>
      <c r="AG40" s="7">
        <v>12</v>
      </c>
      <c r="AH40" s="7">
        <v>42</v>
      </c>
      <c r="AI40" s="7">
        <v>42</v>
      </c>
      <c r="AK40" s="7">
        <v>42</v>
      </c>
      <c r="AL40" s="7">
        <v>42</v>
      </c>
      <c r="AM40" s="7">
        <v>3</v>
      </c>
      <c r="AN40" s="7">
        <v>3</v>
      </c>
      <c r="AP40" s="7">
        <f t="shared" si="25"/>
        <v>42</v>
      </c>
      <c r="BH40" s="121">
        <v>250</v>
      </c>
      <c r="BI40" s="7">
        <v>248</v>
      </c>
      <c r="BJ40" s="7">
        <v>244</v>
      </c>
      <c r="BK40" s="7">
        <v>240</v>
      </c>
      <c r="BL40" s="7">
        <v>236</v>
      </c>
      <c r="BM40" s="7">
        <v>232</v>
      </c>
      <c r="BN40" s="7">
        <v>228</v>
      </c>
      <c r="BO40" s="7">
        <v>224</v>
      </c>
      <c r="BP40" s="7">
        <v>0</v>
      </c>
      <c r="BU40" s="7">
        <v>-2</v>
      </c>
      <c r="BV40" s="7">
        <v>-4</v>
      </c>
      <c r="BW40" s="7">
        <v>-6</v>
      </c>
      <c r="BX40" s="7">
        <v>-8</v>
      </c>
      <c r="BY40" s="7">
        <v>-10</v>
      </c>
      <c r="CI40" s="7">
        <f t="shared" si="26"/>
        <v>250</v>
      </c>
      <c r="CJ40" s="163">
        <f t="shared" si="27"/>
        <v>100</v>
      </c>
      <c r="CK40" s="7">
        <f t="shared" si="28"/>
        <v>0</v>
      </c>
      <c r="CN40" s="7">
        <v>2</v>
      </c>
      <c r="CZ40" s="7">
        <f t="shared" si="29"/>
        <v>2</v>
      </c>
      <c r="DA40" s="7">
        <f t="shared" si="30"/>
        <v>2</v>
      </c>
      <c r="DB40" s="7">
        <f t="shared" si="11"/>
        <v>0</v>
      </c>
      <c r="DC40" s="7">
        <f t="shared" si="31"/>
        <v>0</v>
      </c>
      <c r="DE40" s="7">
        <f t="shared" si="12"/>
        <v>0</v>
      </c>
      <c r="DF40" s="7">
        <f t="shared" si="13"/>
        <v>0</v>
      </c>
      <c r="DG40" s="7">
        <f>IFERROR(IF(LEFT($AP40,1)="4",INDEX('변표 테이블'!$H$86:$H$165,MATCH($O40,'변표 테이블'!$B$86:$B$165,0)),INDEX(DG$4:DG$8,MATCH(AH40,$DC$4:$DC$8,0))),0)</f>
        <v>0</v>
      </c>
      <c r="DH40" s="7">
        <f>IFERROR(IF(LEFT($AP40,1)="4",INDEX('변표 테이블'!$I$86:$I$165,MATCH($O40,'변표 테이블'!$B$86:$B$165,0)),INDEX(DH$4:DH$8,MATCH(AI40,$DC$4:$DC$8,0))),0)</f>
        <v>0</v>
      </c>
      <c r="DJ40" s="7">
        <f>IFERROR(IF(LEFT($AP40,1)="4",INDEX('변표 테이블'!$J$86:$J$165,MATCH($O40,'변표 테이블'!$B$86:$B$165,0)),INDEX(DI$4:DI$8,MATCH(AK40,$DC$4:$DC$8,0))),0)</f>
        <v>0</v>
      </c>
      <c r="DK40" s="7">
        <f>IFERROR(IF(LEFT($AP40,1)="4",INDEX('변표 테이블'!$K$86:$K$165,MATCH($O40,'변표 테이블'!$B$86:$B$165,0)),INDEX(DJ$4:DJ$8,MATCH(AL40,$DC$4:$DC$8,0))),0)</f>
        <v>0</v>
      </c>
      <c r="DL40" s="7" t="str">
        <f t="shared" si="32"/>
        <v/>
      </c>
      <c r="DM40" s="7" t="str">
        <f t="shared" si="33"/>
        <v/>
      </c>
      <c r="DN40" s="7">
        <f t="shared" si="34"/>
        <v>0</v>
      </c>
      <c r="DP40" s="7">
        <f t="shared" si="14"/>
        <v>0</v>
      </c>
      <c r="DQ40" s="7">
        <f t="shared" si="15"/>
        <v>0</v>
      </c>
      <c r="DR40" s="7">
        <f t="shared" si="16"/>
        <v>0</v>
      </c>
      <c r="DS40" s="7">
        <f t="shared" si="35"/>
        <v>0</v>
      </c>
      <c r="DT40" s="7">
        <f t="shared" si="17"/>
        <v>0</v>
      </c>
      <c r="DU40" s="7">
        <f t="shared" si="18"/>
        <v>0</v>
      </c>
      <c r="DV40" s="7">
        <f t="shared" si="36"/>
        <v>0</v>
      </c>
      <c r="DW40" s="7">
        <f>LARGE((DR40:DS40,DU40:DV40),1)</f>
        <v>0</v>
      </c>
      <c r="DX40" s="7">
        <f>IF(DA40&lt;2,0,LARGE((DR40:DS40,DU40:DV40),2))</f>
        <v>0</v>
      </c>
      <c r="DY40" s="7">
        <f t="shared" si="19"/>
        <v>0</v>
      </c>
      <c r="DZ40" s="7">
        <f t="shared" si="20"/>
        <v>0</v>
      </c>
      <c r="EA40" s="7">
        <f t="shared" si="21"/>
        <v>0</v>
      </c>
      <c r="EF40" s="7">
        <f t="shared" si="37"/>
        <v>0</v>
      </c>
      <c r="EH40" s="7">
        <f t="shared" si="38"/>
        <v>0</v>
      </c>
      <c r="EI40" s="7">
        <f>IF(EH40=0,0,COUNTIF($EH$16:EH40,"&gt;"&amp;0))</f>
        <v>0</v>
      </c>
    </row>
    <row r="41" spans="1:139" x14ac:dyDescent="0.3">
      <c r="A41" s="165">
        <v>40</v>
      </c>
      <c r="C41" s="7" t="s">
        <v>876</v>
      </c>
      <c r="D41" s="7">
        <v>1000</v>
      </c>
      <c r="E41" s="7">
        <v>0.3</v>
      </c>
      <c r="F41" s="7">
        <v>0.35</v>
      </c>
      <c r="G41" s="7">
        <v>0.05</v>
      </c>
      <c r="H41" s="7">
        <v>0.05</v>
      </c>
      <c r="J41" s="7">
        <v>0.05</v>
      </c>
      <c r="K41" s="7">
        <v>0.05</v>
      </c>
      <c r="M41" s="7">
        <v>1</v>
      </c>
      <c r="O41" s="7">
        <f t="shared" si="45"/>
        <v>1</v>
      </c>
      <c r="Q41" s="7">
        <f t="shared" si="22"/>
        <v>2.0134228187919465</v>
      </c>
      <c r="R41" s="7">
        <f t="shared" si="23"/>
        <v>2.3809523809523809</v>
      </c>
      <c r="S41" s="7">
        <f t="shared" si="9"/>
        <v>0.70293828201883879</v>
      </c>
      <c r="T41" s="7">
        <f t="shared" si="10"/>
        <v>0.75757575757575757</v>
      </c>
      <c r="U41" s="7">
        <f t="shared" si="24"/>
        <v>0.75757575757575757</v>
      </c>
      <c r="V41" s="7">
        <f t="shared" si="39"/>
        <v>2.0134228187919465</v>
      </c>
      <c r="W41" s="7">
        <f t="shared" si="40"/>
        <v>2.3809523809523809</v>
      </c>
      <c r="X41" s="7">
        <f t="shared" si="41"/>
        <v>0.70293828201883879</v>
      </c>
      <c r="Y41" s="7">
        <f t="shared" si="42"/>
        <v>0.70293828201883879</v>
      </c>
      <c r="AA41" s="7">
        <f t="shared" si="43"/>
        <v>0.75757575757575757</v>
      </c>
      <c r="AB41" s="7">
        <f t="shared" si="44"/>
        <v>0.75757575757575757</v>
      </c>
      <c r="AC41" s="7">
        <f>INDEX('변표 테이블'!$C$86:$C$165,MATCH(O41,'변표 테이블'!$B$86:$B$165,0))</f>
        <v>71.13</v>
      </c>
      <c r="AD41" s="7">
        <f>INDEX('변표 테이블'!$D$86:$D$165,MATCH(O41,'변표 테이블'!$B$86:$B$165,0))</f>
        <v>66</v>
      </c>
      <c r="AF41" s="7">
        <v>12</v>
      </c>
      <c r="AG41" s="7">
        <v>12</v>
      </c>
      <c r="AH41" s="7">
        <v>42</v>
      </c>
      <c r="AI41" s="7">
        <v>42</v>
      </c>
      <c r="AK41" s="7">
        <v>42</v>
      </c>
      <c r="AL41" s="7">
        <v>42</v>
      </c>
      <c r="AM41" s="7">
        <v>3</v>
      </c>
      <c r="AN41" s="7">
        <v>3</v>
      </c>
      <c r="AP41" s="7">
        <f t="shared" si="25"/>
        <v>42</v>
      </c>
      <c r="BH41" s="121">
        <v>250</v>
      </c>
      <c r="BI41" s="7">
        <v>248</v>
      </c>
      <c r="BJ41" s="7">
        <v>244</v>
      </c>
      <c r="BK41" s="7">
        <v>240</v>
      </c>
      <c r="BL41" s="7">
        <v>236</v>
      </c>
      <c r="BM41" s="7">
        <v>232</v>
      </c>
      <c r="BN41" s="7">
        <v>228</v>
      </c>
      <c r="BO41" s="7">
        <v>224</v>
      </c>
      <c r="BP41" s="7">
        <v>0</v>
      </c>
      <c r="BU41" s="7">
        <v>-2</v>
      </c>
      <c r="BV41" s="7">
        <v>-4</v>
      </c>
      <c r="BW41" s="7">
        <v>-6</v>
      </c>
      <c r="BX41" s="7">
        <v>-8</v>
      </c>
      <c r="BY41" s="7">
        <v>-10</v>
      </c>
      <c r="CI41" s="7">
        <f t="shared" si="26"/>
        <v>250</v>
      </c>
      <c r="CJ41" s="163">
        <f t="shared" si="27"/>
        <v>100</v>
      </c>
      <c r="CK41" s="7">
        <f t="shared" si="28"/>
        <v>0</v>
      </c>
      <c r="CN41" s="7">
        <v>2</v>
      </c>
      <c r="CZ41" s="7">
        <f t="shared" si="29"/>
        <v>2</v>
      </c>
      <c r="DA41" s="7">
        <f t="shared" si="30"/>
        <v>2</v>
      </c>
      <c r="DB41" s="7">
        <f t="shared" si="11"/>
        <v>0</v>
      </c>
      <c r="DC41" s="7">
        <f t="shared" si="31"/>
        <v>0</v>
      </c>
      <c r="DE41" s="7">
        <f t="shared" si="12"/>
        <v>0</v>
      </c>
      <c r="DF41" s="7">
        <f t="shared" si="13"/>
        <v>0</v>
      </c>
      <c r="DG41" s="7">
        <f>IFERROR(IF(LEFT($AP41,1)="4",INDEX('변표 테이블'!$H$86:$H$165,MATCH($O41,'변표 테이블'!$B$86:$B$165,0)),INDEX(DG$4:DG$8,MATCH(AH41,$DC$4:$DC$8,0))),0)</f>
        <v>0</v>
      </c>
      <c r="DH41" s="7">
        <f>IFERROR(IF(LEFT($AP41,1)="4",INDEX('변표 테이블'!$I$86:$I$165,MATCH($O41,'변표 테이블'!$B$86:$B$165,0)),INDEX(DH$4:DH$8,MATCH(AI41,$DC$4:$DC$8,0))),0)</f>
        <v>0</v>
      </c>
      <c r="DJ41" s="7">
        <f>IFERROR(IF(LEFT($AP41,1)="4",INDEX('변표 테이블'!$J$86:$J$165,MATCH($O41,'변표 테이블'!$B$86:$B$165,0)),INDEX(DI$4:DI$8,MATCH(AK41,$DC$4:$DC$8,0))),0)</f>
        <v>0</v>
      </c>
      <c r="DK41" s="7">
        <f>IFERROR(IF(LEFT($AP41,1)="4",INDEX('변표 테이블'!$K$86:$K$165,MATCH($O41,'변표 테이블'!$B$86:$B$165,0)),INDEX(DJ$4:DJ$8,MATCH(AL41,$DC$4:$DC$8,0))),0)</f>
        <v>0</v>
      </c>
      <c r="DL41" s="7" t="str">
        <f t="shared" si="32"/>
        <v/>
      </c>
      <c r="DM41" s="7" t="str">
        <f t="shared" si="33"/>
        <v/>
      </c>
      <c r="DN41" s="7">
        <f t="shared" si="34"/>
        <v>0</v>
      </c>
      <c r="DP41" s="7">
        <f t="shared" si="14"/>
        <v>0</v>
      </c>
      <c r="DQ41" s="7">
        <f t="shared" si="15"/>
        <v>0</v>
      </c>
      <c r="DR41" s="7">
        <f t="shared" si="16"/>
        <v>0</v>
      </c>
      <c r="DS41" s="7">
        <f t="shared" si="35"/>
        <v>0</v>
      </c>
      <c r="DT41" s="7">
        <f t="shared" si="17"/>
        <v>0</v>
      </c>
      <c r="DU41" s="7">
        <f t="shared" si="18"/>
        <v>0</v>
      </c>
      <c r="DV41" s="7">
        <f t="shared" si="36"/>
        <v>0</v>
      </c>
      <c r="DW41" s="7">
        <f>LARGE((DR41:DS41,DU41:DV41),1)</f>
        <v>0</v>
      </c>
      <c r="DX41" s="7">
        <f>IF(DA41&lt;2,0,LARGE((DR41:DS41,DU41:DV41),2))</f>
        <v>0</v>
      </c>
      <c r="DY41" s="7">
        <f t="shared" si="19"/>
        <v>0</v>
      </c>
      <c r="DZ41" s="7">
        <f t="shared" si="20"/>
        <v>0</v>
      </c>
      <c r="EA41" s="7">
        <f t="shared" si="21"/>
        <v>0</v>
      </c>
      <c r="EF41" s="7">
        <f t="shared" si="37"/>
        <v>0</v>
      </c>
      <c r="EH41" s="7">
        <f t="shared" si="38"/>
        <v>0</v>
      </c>
      <c r="EI41" s="7">
        <f>IF(EH41=0,0,COUNTIF($EH$16:EH41,"&gt;"&amp;0))</f>
        <v>0</v>
      </c>
    </row>
    <row r="42" spans="1:139" x14ac:dyDescent="0.3">
      <c r="A42" s="165">
        <v>41</v>
      </c>
      <c r="C42" s="7" t="s">
        <v>874</v>
      </c>
      <c r="D42" s="7">
        <v>1000</v>
      </c>
      <c r="E42" s="7">
        <v>0.2</v>
      </c>
      <c r="F42" s="7">
        <v>0.35</v>
      </c>
      <c r="G42" s="7">
        <v>0.1</v>
      </c>
      <c r="H42" s="7">
        <v>0.1</v>
      </c>
      <c r="M42" s="7">
        <v>1</v>
      </c>
      <c r="O42" s="7">
        <f t="shared" si="45"/>
        <v>1</v>
      </c>
      <c r="Q42" s="7">
        <f t="shared" si="22"/>
        <v>1.3422818791946309</v>
      </c>
      <c r="R42" s="7">
        <f t="shared" si="23"/>
        <v>2.3809523809523809</v>
      </c>
      <c r="S42" s="7">
        <f t="shared" si="9"/>
        <v>1.4058765640376776</v>
      </c>
      <c r="T42" s="7" t="str">
        <f t="shared" si="10"/>
        <v>자동</v>
      </c>
      <c r="U42" s="7">
        <f t="shared" si="24"/>
        <v>1.4058765640376776</v>
      </c>
      <c r="V42" s="7">
        <f t="shared" si="39"/>
        <v>1.3422818791946309</v>
      </c>
      <c r="W42" s="7">
        <f t="shared" si="40"/>
        <v>2.3809523809523809</v>
      </c>
      <c r="X42" s="7">
        <f t="shared" si="41"/>
        <v>1.4058765640376776</v>
      </c>
      <c r="Y42" s="7">
        <f t="shared" si="42"/>
        <v>1.4058765640376776</v>
      </c>
      <c r="AA42" s="7" t="str">
        <f t="shared" si="43"/>
        <v>자동</v>
      </c>
      <c r="AB42" s="7" t="str">
        <f t="shared" si="44"/>
        <v>자동</v>
      </c>
      <c r="AC42" s="7">
        <f>INDEX('변표 테이블'!$C$86:$C$165,MATCH(O42,'변표 테이블'!$B$86:$B$165,0))</f>
        <v>71.13</v>
      </c>
      <c r="AD42" s="7">
        <f>INDEX('변표 테이블'!$D$86:$D$165,MATCH(O42,'변표 테이블'!$B$86:$B$165,0))</f>
        <v>66</v>
      </c>
      <c r="AF42" s="7">
        <v>12</v>
      </c>
      <c r="AG42" s="7">
        <v>12</v>
      </c>
      <c r="AH42" s="7">
        <v>42</v>
      </c>
      <c r="AI42" s="7">
        <v>42</v>
      </c>
      <c r="AM42" s="7">
        <v>3</v>
      </c>
      <c r="AN42" s="7">
        <v>3</v>
      </c>
      <c r="AP42" s="7">
        <f t="shared" si="25"/>
        <v>42</v>
      </c>
      <c r="BH42" s="121">
        <v>250</v>
      </c>
      <c r="BI42" s="7">
        <v>248</v>
      </c>
      <c r="BJ42" s="7">
        <v>244</v>
      </c>
      <c r="BK42" s="7">
        <v>240</v>
      </c>
      <c r="BL42" s="7">
        <v>236</v>
      </c>
      <c r="BM42" s="7">
        <v>232</v>
      </c>
      <c r="BN42" s="7">
        <v>228</v>
      </c>
      <c r="BO42" s="7">
        <v>224</v>
      </c>
      <c r="BP42" s="7">
        <v>0</v>
      </c>
      <c r="BU42" s="7">
        <v>-2</v>
      </c>
      <c r="BV42" s="7">
        <v>-4</v>
      </c>
      <c r="BW42" s="7">
        <v>-6</v>
      </c>
      <c r="BX42" s="7">
        <v>-8</v>
      </c>
      <c r="BY42" s="7">
        <v>-10</v>
      </c>
      <c r="CI42" s="7">
        <f t="shared" si="26"/>
        <v>250</v>
      </c>
      <c r="CJ42" s="163">
        <f t="shared" si="27"/>
        <v>100</v>
      </c>
      <c r="CK42" s="7">
        <f t="shared" si="28"/>
        <v>0</v>
      </c>
      <c r="CL42" s="7">
        <v>2</v>
      </c>
      <c r="CP42" s="7">
        <v>1</v>
      </c>
      <c r="CR42" s="7">
        <v>1</v>
      </c>
      <c r="CZ42" s="7">
        <f t="shared" si="29"/>
        <v>1</v>
      </c>
      <c r="DA42" s="7">
        <f t="shared" si="30"/>
        <v>2</v>
      </c>
      <c r="DB42" s="7">
        <f t="shared" si="11"/>
        <v>0</v>
      </c>
      <c r="DC42" s="7">
        <f t="shared" si="31"/>
        <v>0</v>
      </c>
      <c r="DE42" s="7">
        <f t="shared" si="12"/>
        <v>0</v>
      </c>
      <c r="DF42" s="7">
        <f t="shared" si="13"/>
        <v>0</v>
      </c>
      <c r="DG42" s="7">
        <f>IFERROR(IF(LEFT($AP42,1)="4",INDEX('변표 테이블'!$H$86:$H$165,MATCH($O42,'변표 테이블'!$B$86:$B$165,0)),INDEX(DG$4:DG$8,MATCH(AH42,$DC$4:$DC$8,0))),0)</f>
        <v>0</v>
      </c>
      <c r="DH42" s="7">
        <f>IFERROR(IF(LEFT($AP42,1)="4",INDEX('변표 테이블'!$I$86:$I$165,MATCH($O42,'변표 테이블'!$B$86:$B$165,0)),INDEX(DH$4:DH$8,MATCH(AI42,$DC$4:$DC$8,0))),0)</f>
        <v>0</v>
      </c>
      <c r="DJ42" s="7">
        <f>IFERROR(IF(LEFT($AP42,1)="4",INDEX('변표 테이블'!$J$86:$J$165,MATCH($O42,'변표 테이블'!$B$86:$B$165,0)),INDEX(DI$4:DI$8,MATCH(AK42,$DC$4:$DC$8,0))),0)</f>
        <v>0</v>
      </c>
      <c r="DK42" s="7">
        <f>IFERROR(IF(LEFT($AP42,1)="4",INDEX('변표 테이블'!$K$86:$K$165,MATCH($O42,'변표 테이블'!$B$86:$B$165,0)),INDEX(DJ$4:DJ$8,MATCH(AL42,$DC$4:$DC$8,0))),0)</f>
        <v>0</v>
      </c>
      <c r="DL42" s="7" t="str">
        <f t="shared" si="32"/>
        <v/>
      </c>
      <c r="DM42" s="7" t="str">
        <f t="shared" si="33"/>
        <v/>
      </c>
      <c r="DN42" s="7">
        <f t="shared" si="34"/>
        <v>0</v>
      </c>
      <c r="DP42" s="7">
        <f t="shared" si="14"/>
        <v>0</v>
      </c>
      <c r="DQ42" s="7">
        <f t="shared" si="15"/>
        <v>0</v>
      </c>
      <c r="DR42" s="7">
        <f t="shared" si="16"/>
        <v>0</v>
      </c>
      <c r="DS42" s="7">
        <f t="shared" si="35"/>
        <v>0</v>
      </c>
      <c r="DT42" s="7">
        <f t="shared" si="17"/>
        <v>0</v>
      </c>
      <c r="DU42" s="7">
        <f t="shared" si="18"/>
        <v>0</v>
      </c>
      <c r="DV42" s="7">
        <f t="shared" si="36"/>
        <v>0</v>
      </c>
      <c r="DW42" s="7">
        <f>LARGE((DR42:DS42,DU42:DV42),1)</f>
        <v>0</v>
      </c>
      <c r="DX42" s="7">
        <f>IF(DA42&lt;2,0,LARGE((DR42:DS42,DU42:DV42),2))</f>
        <v>0</v>
      </c>
      <c r="DY42" s="7">
        <f t="shared" si="19"/>
        <v>0</v>
      </c>
      <c r="DZ42" s="7">
        <f t="shared" si="20"/>
        <v>0</v>
      </c>
      <c r="EA42" s="7">
        <f t="shared" si="21"/>
        <v>0</v>
      </c>
      <c r="EF42" s="7">
        <f t="shared" si="37"/>
        <v>0</v>
      </c>
      <c r="EH42" s="7">
        <f t="shared" si="38"/>
        <v>0</v>
      </c>
      <c r="EI42" s="7">
        <f>IF(EH42=0,0,COUNTIF($EH$16:EH42,"&gt;"&amp;0))</f>
        <v>0</v>
      </c>
    </row>
    <row r="43" spans="1:139" x14ac:dyDescent="0.3">
      <c r="A43" s="165">
        <v>42</v>
      </c>
      <c r="C43" s="7" t="s">
        <v>875</v>
      </c>
      <c r="D43" s="7">
        <v>1000</v>
      </c>
      <c r="E43" s="7">
        <v>0.2</v>
      </c>
      <c r="F43" s="7">
        <v>0.35</v>
      </c>
      <c r="G43" s="7">
        <v>0.1</v>
      </c>
      <c r="H43" s="7">
        <v>0.1</v>
      </c>
      <c r="M43" s="7">
        <v>1</v>
      </c>
      <c r="O43" s="7">
        <f t="shared" si="45"/>
        <v>1</v>
      </c>
      <c r="Q43" s="7">
        <f t="shared" si="22"/>
        <v>1.3422818791946309</v>
      </c>
      <c r="R43" s="7">
        <f t="shared" si="23"/>
        <v>2.3809523809523809</v>
      </c>
      <c r="S43" s="7">
        <f t="shared" si="9"/>
        <v>1.4058765640376776</v>
      </c>
      <c r="T43" s="7" t="str">
        <f t="shared" si="10"/>
        <v>자동</v>
      </c>
      <c r="U43" s="7">
        <f t="shared" si="24"/>
        <v>1.4058765640376776</v>
      </c>
      <c r="V43" s="7">
        <f t="shared" si="39"/>
        <v>1.3422818791946309</v>
      </c>
      <c r="W43" s="7">
        <f t="shared" si="40"/>
        <v>2.3809523809523809</v>
      </c>
      <c r="X43" s="7">
        <f t="shared" si="41"/>
        <v>1.4058765640376776</v>
      </c>
      <c r="Y43" s="7">
        <f t="shared" si="42"/>
        <v>1.4058765640376776</v>
      </c>
      <c r="AA43" s="7" t="str">
        <f t="shared" si="43"/>
        <v>자동</v>
      </c>
      <c r="AB43" s="7" t="str">
        <f t="shared" si="44"/>
        <v>자동</v>
      </c>
      <c r="AC43" s="7">
        <f>INDEX('변표 테이블'!$C$86:$C$165,MATCH(O43,'변표 테이블'!$B$86:$B$165,0))</f>
        <v>71.13</v>
      </c>
      <c r="AD43" s="7">
        <f>INDEX('변표 테이블'!$D$86:$D$165,MATCH(O43,'변표 테이블'!$B$86:$B$165,0))</f>
        <v>66</v>
      </c>
      <c r="AF43" s="7">
        <v>12</v>
      </c>
      <c r="AG43" s="7">
        <v>12</v>
      </c>
      <c r="AH43" s="7">
        <v>42</v>
      </c>
      <c r="AI43" s="7">
        <v>42</v>
      </c>
      <c r="AM43" s="7">
        <v>3</v>
      </c>
      <c r="AN43" s="7">
        <v>3</v>
      </c>
      <c r="AP43" s="7">
        <f t="shared" si="25"/>
        <v>42</v>
      </c>
      <c r="BH43" s="121">
        <v>250</v>
      </c>
      <c r="BI43" s="7">
        <v>248</v>
      </c>
      <c r="BJ43" s="7">
        <v>244</v>
      </c>
      <c r="BK43" s="7">
        <v>240</v>
      </c>
      <c r="BL43" s="7">
        <v>236</v>
      </c>
      <c r="BM43" s="7">
        <v>232</v>
      </c>
      <c r="BN43" s="7">
        <v>228</v>
      </c>
      <c r="BO43" s="7">
        <v>224</v>
      </c>
      <c r="BP43" s="7">
        <v>0</v>
      </c>
      <c r="BU43" s="7">
        <v>-2</v>
      </c>
      <c r="BV43" s="7">
        <v>-4</v>
      </c>
      <c r="BW43" s="7">
        <v>-6</v>
      </c>
      <c r="BX43" s="7">
        <v>-8</v>
      </c>
      <c r="BY43" s="7">
        <v>-10</v>
      </c>
      <c r="CI43" s="7">
        <f t="shared" si="26"/>
        <v>250</v>
      </c>
      <c r="CJ43" s="163">
        <f t="shared" si="27"/>
        <v>100</v>
      </c>
      <c r="CK43" s="7">
        <f t="shared" si="28"/>
        <v>0</v>
      </c>
      <c r="CL43" s="7">
        <v>2</v>
      </c>
      <c r="CR43" s="7">
        <v>1</v>
      </c>
      <c r="CZ43" s="7">
        <f t="shared" si="29"/>
        <v>1</v>
      </c>
      <c r="DA43" s="7">
        <f t="shared" si="30"/>
        <v>2</v>
      </c>
      <c r="DB43" s="7">
        <f t="shared" si="11"/>
        <v>0</v>
      </c>
      <c r="DC43" s="7">
        <f t="shared" si="31"/>
        <v>0</v>
      </c>
      <c r="DE43" s="7">
        <f t="shared" si="12"/>
        <v>0</v>
      </c>
      <c r="DF43" s="7">
        <f t="shared" si="13"/>
        <v>0</v>
      </c>
      <c r="DG43" s="7">
        <f>IFERROR(IF(LEFT($AP43,1)="4",INDEX('변표 테이블'!$H$86:$H$165,MATCH($O43,'변표 테이블'!$B$86:$B$165,0)),INDEX(DG$4:DG$8,MATCH(AH43,$DC$4:$DC$8,0))),0)</f>
        <v>0</v>
      </c>
      <c r="DH43" s="7">
        <f>IFERROR(IF(LEFT($AP43,1)="4",INDEX('변표 테이블'!$I$86:$I$165,MATCH($O43,'변표 테이블'!$B$86:$B$165,0)),INDEX(DH$4:DH$8,MATCH(AI43,$DC$4:$DC$8,0))),0)</f>
        <v>0</v>
      </c>
      <c r="DJ43" s="7">
        <f>IFERROR(IF(LEFT($AP43,1)="4",INDEX('변표 테이블'!$J$86:$J$165,MATCH($O43,'변표 테이블'!$B$86:$B$165,0)),INDEX(DI$4:DI$8,MATCH(AK43,$DC$4:$DC$8,0))),0)</f>
        <v>0</v>
      </c>
      <c r="DK43" s="7">
        <f>IFERROR(IF(LEFT($AP43,1)="4",INDEX('변표 테이블'!$K$86:$K$165,MATCH($O43,'변표 테이블'!$B$86:$B$165,0)),INDEX(DJ$4:DJ$8,MATCH(AL43,$DC$4:$DC$8,0))),0)</f>
        <v>0</v>
      </c>
      <c r="DL43" s="7" t="str">
        <f t="shared" si="32"/>
        <v/>
      </c>
      <c r="DM43" s="7" t="str">
        <f t="shared" si="33"/>
        <v/>
      </c>
      <c r="DN43" s="7">
        <f t="shared" si="34"/>
        <v>0</v>
      </c>
      <c r="DP43" s="7">
        <f t="shared" si="14"/>
        <v>0</v>
      </c>
      <c r="DQ43" s="7">
        <f t="shared" si="15"/>
        <v>0</v>
      </c>
      <c r="DR43" s="7">
        <f t="shared" si="16"/>
        <v>0</v>
      </c>
      <c r="DS43" s="7">
        <f t="shared" si="35"/>
        <v>0</v>
      </c>
      <c r="DT43" s="7">
        <f t="shared" si="17"/>
        <v>0</v>
      </c>
      <c r="DU43" s="7">
        <f t="shared" si="18"/>
        <v>0</v>
      </c>
      <c r="DV43" s="7">
        <f t="shared" si="36"/>
        <v>0</v>
      </c>
      <c r="DW43" s="7">
        <f>LARGE((DR43:DS43,DU43:DV43),1)</f>
        <v>0</v>
      </c>
      <c r="DX43" s="7">
        <f>IF(DA43&lt;2,0,LARGE((DR43:DS43,DU43:DV43),2))</f>
        <v>0</v>
      </c>
      <c r="DY43" s="7">
        <f t="shared" si="19"/>
        <v>0</v>
      </c>
      <c r="DZ43" s="7">
        <f t="shared" si="20"/>
        <v>0</v>
      </c>
      <c r="EA43" s="7">
        <f t="shared" si="21"/>
        <v>0</v>
      </c>
      <c r="EF43" s="7">
        <f t="shared" si="37"/>
        <v>0</v>
      </c>
      <c r="EH43" s="7">
        <f t="shared" si="38"/>
        <v>0</v>
      </c>
      <c r="EI43" s="7">
        <f>IF(EH43=0,0,COUNTIF($EH$16:EH43,"&gt;"&amp;0))</f>
        <v>0</v>
      </c>
    </row>
    <row r="44" spans="1:139" x14ac:dyDescent="0.3">
      <c r="A44" s="165">
        <v>43</v>
      </c>
      <c r="C44" s="7" t="s">
        <v>143</v>
      </c>
      <c r="D44" s="7">
        <v>1000</v>
      </c>
      <c r="E44" s="7">
        <v>0.2</v>
      </c>
      <c r="F44" s="7">
        <v>0.35</v>
      </c>
      <c r="G44" s="7">
        <v>0.125</v>
      </c>
      <c r="H44" s="7">
        <v>0.125</v>
      </c>
      <c r="M44" s="7">
        <v>1</v>
      </c>
      <c r="O44" s="7">
        <f t="shared" si="45"/>
        <v>1</v>
      </c>
      <c r="Q44" s="7">
        <f t="shared" si="22"/>
        <v>1</v>
      </c>
      <c r="R44" s="7">
        <f t="shared" si="23"/>
        <v>1.75</v>
      </c>
      <c r="S44" s="7">
        <f t="shared" si="9"/>
        <v>1.25</v>
      </c>
      <c r="T44" s="7" t="str">
        <f t="shared" si="10"/>
        <v>자동</v>
      </c>
      <c r="U44" s="7">
        <f t="shared" si="24"/>
        <v>1.25</v>
      </c>
      <c r="V44" s="7">
        <f t="shared" si="39"/>
        <v>1</v>
      </c>
      <c r="W44" s="7">
        <f t="shared" si="40"/>
        <v>1.75</v>
      </c>
      <c r="X44" s="7">
        <f t="shared" si="41"/>
        <v>1.25</v>
      </c>
      <c r="Y44" s="7">
        <f t="shared" si="42"/>
        <v>1.25</v>
      </c>
      <c r="AA44" s="7" t="str">
        <f t="shared" si="43"/>
        <v>자동</v>
      </c>
      <c r="AB44" s="7" t="str">
        <f t="shared" si="44"/>
        <v>자동</v>
      </c>
      <c r="AC44" s="7">
        <f>INDEX('변표 테이블'!$C$86:$C$165,MATCH(O44,'변표 테이블'!$B$86:$B$165,0))</f>
        <v>71.13</v>
      </c>
      <c r="AD44" s="7">
        <f>INDEX('변표 테이블'!$D$86:$D$165,MATCH(O44,'변표 테이블'!$B$86:$B$165,0))</f>
        <v>66</v>
      </c>
      <c r="AF44" s="7">
        <v>1</v>
      </c>
      <c r="AG44" s="7">
        <v>1</v>
      </c>
      <c r="AH44" s="7">
        <v>4</v>
      </c>
      <c r="AI44" s="7">
        <v>4</v>
      </c>
      <c r="AM44" s="7">
        <v>3</v>
      </c>
      <c r="AN44" s="7">
        <v>3</v>
      </c>
      <c r="AP44" s="7">
        <f t="shared" si="25"/>
        <v>4</v>
      </c>
      <c r="BH44" s="121">
        <v>200</v>
      </c>
      <c r="BI44" s="7">
        <v>198</v>
      </c>
      <c r="BJ44" s="7">
        <v>196</v>
      </c>
      <c r="BK44" s="7">
        <v>193</v>
      </c>
      <c r="BL44" s="7">
        <v>188</v>
      </c>
      <c r="BM44" s="7">
        <v>183</v>
      </c>
      <c r="BN44" s="7">
        <v>180</v>
      </c>
      <c r="BO44" s="7">
        <v>170</v>
      </c>
      <c r="BP44" s="7">
        <v>160</v>
      </c>
      <c r="BQ44" s="121">
        <v>200</v>
      </c>
      <c r="BR44" s="7">
        <v>200</v>
      </c>
      <c r="BS44" s="7">
        <v>200</v>
      </c>
      <c r="BT44" s="7">
        <v>200</v>
      </c>
      <c r="BU44" s="7">
        <v>196</v>
      </c>
      <c r="BV44" s="7">
        <v>193</v>
      </c>
      <c r="BW44" s="7">
        <v>188</v>
      </c>
      <c r="BX44" s="7">
        <v>183</v>
      </c>
      <c r="BY44" s="7">
        <v>180</v>
      </c>
      <c r="CI44" s="7">
        <f t="shared" si="26"/>
        <v>200</v>
      </c>
      <c r="CJ44" s="163">
        <f t="shared" si="27"/>
        <v>100</v>
      </c>
      <c r="CK44" s="7">
        <f t="shared" si="28"/>
        <v>200</v>
      </c>
      <c r="CL44" s="7">
        <v>2</v>
      </c>
      <c r="CP44" s="7">
        <v>1</v>
      </c>
      <c r="CR44" s="7">
        <v>1</v>
      </c>
      <c r="CZ44" s="7">
        <f t="shared" si="29"/>
        <v>1</v>
      </c>
      <c r="DA44" s="7">
        <f t="shared" si="30"/>
        <v>2</v>
      </c>
      <c r="DB44" s="7">
        <f t="shared" si="11"/>
        <v>0</v>
      </c>
      <c r="DC44" s="7">
        <f t="shared" si="31"/>
        <v>0</v>
      </c>
      <c r="DE44" s="7">
        <f t="shared" si="12"/>
        <v>0</v>
      </c>
      <c r="DF44" s="7">
        <f t="shared" si="13"/>
        <v>0</v>
      </c>
      <c r="DG44" s="7">
        <f>IFERROR(IF(LEFT($AP44,1)="4",INDEX('변표 테이블'!$H$86:$H$165,MATCH($O44,'변표 테이블'!$B$86:$B$165,0)),INDEX(DG$4:DG$8,MATCH(AH44,$DC$4:$DC$8,0))),0)</f>
        <v>0</v>
      </c>
      <c r="DH44" s="7">
        <f>IFERROR(IF(LEFT($AP44,1)="4",INDEX('변표 테이블'!$I$86:$I$165,MATCH($O44,'변표 테이블'!$B$86:$B$165,0)),INDEX(DH$4:DH$8,MATCH(AI44,$DC$4:$DC$8,0))),0)</f>
        <v>0</v>
      </c>
      <c r="DJ44" s="7">
        <f>IFERROR(IF(LEFT($AP44,1)="4",INDEX('변표 테이블'!$J$86:$J$165,MATCH($O44,'변표 테이블'!$B$86:$B$165,0)),INDEX(DI$4:DI$8,MATCH(AK44,$DC$4:$DC$8,0))),0)</f>
        <v>0</v>
      </c>
      <c r="DK44" s="7">
        <f>IFERROR(IF(LEFT($AP44,1)="4",INDEX('변표 테이블'!$K$86:$K$165,MATCH($O44,'변표 테이블'!$B$86:$B$165,0)),INDEX(DJ$4:DJ$8,MATCH(AL44,$DC$4:$DC$8,0))),0)</f>
        <v>0</v>
      </c>
      <c r="DL44" s="7" t="str">
        <f t="shared" si="32"/>
        <v/>
      </c>
      <c r="DM44" s="7" t="str">
        <f t="shared" si="33"/>
        <v/>
      </c>
      <c r="DN44" s="7">
        <f t="shared" si="34"/>
        <v>0</v>
      </c>
      <c r="DP44" s="7">
        <f t="shared" si="14"/>
        <v>0</v>
      </c>
      <c r="DQ44" s="7">
        <f t="shared" si="15"/>
        <v>0</v>
      </c>
      <c r="DR44" s="7">
        <f t="shared" si="16"/>
        <v>0</v>
      </c>
      <c r="DS44" s="7">
        <f t="shared" si="35"/>
        <v>0</v>
      </c>
      <c r="DT44" s="7">
        <f t="shared" si="17"/>
        <v>0</v>
      </c>
      <c r="DU44" s="7">
        <f t="shared" si="18"/>
        <v>0</v>
      </c>
      <c r="DV44" s="7">
        <f t="shared" si="36"/>
        <v>0</v>
      </c>
      <c r="DW44" s="7">
        <f>LARGE((DR44:DS44,DU44:DV44),1)</f>
        <v>0</v>
      </c>
      <c r="DX44" s="7">
        <f>IF(DA44&lt;2,0,LARGE((DR44:DS44,DU44:DV44),2))</f>
        <v>0</v>
      </c>
      <c r="DY44" s="7">
        <f t="shared" si="19"/>
        <v>0</v>
      </c>
      <c r="DZ44" s="7">
        <f t="shared" si="20"/>
        <v>0</v>
      </c>
      <c r="EA44" s="7">
        <f t="shared" si="21"/>
        <v>0</v>
      </c>
      <c r="EF44" s="7">
        <f t="shared" si="37"/>
        <v>0</v>
      </c>
      <c r="EH44" s="7">
        <f t="shared" si="38"/>
        <v>0</v>
      </c>
      <c r="EI44" s="7">
        <f>IF(EH44=0,0,COUNTIF($EH$16:EH44,"&gt;"&amp;0))</f>
        <v>0</v>
      </c>
    </row>
    <row r="45" spans="1:139" x14ac:dyDescent="0.3">
      <c r="A45" s="165">
        <v>44</v>
      </c>
      <c r="C45" s="7" t="s">
        <v>144</v>
      </c>
      <c r="D45" s="7">
        <v>1000</v>
      </c>
      <c r="E45" s="7">
        <v>0.2</v>
      </c>
      <c r="F45" s="7">
        <v>0.3</v>
      </c>
      <c r="G45" s="7">
        <v>0.15</v>
      </c>
      <c r="H45" s="7">
        <v>0.15</v>
      </c>
      <c r="M45" s="7">
        <v>1</v>
      </c>
      <c r="O45" s="7">
        <f t="shared" si="45"/>
        <v>1</v>
      </c>
      <c r="Q45" s="7">
        <f t="shared" si="22"/>
        <v>1</v>
      </c>
      <c r="R45" s="7">
        <f t="shared" si="23"/>
        <v>1.5</v>
      </c>
      <c r="S45" s="7">
        <f t="shared" si="9"/>
        <v>1.5</v>
      </c>
      <c r="T45" s="7" t="str">
        <f t="shared" si="10"/>
        <v>자동</v>
      </c>
      <c r="U45" s="7">
        <f t="shared" si="24"/>
        <v>1.5</v>
      </c>
      <c r="V45" s="7">
        <f t="shared" si="39"/>
        <v>1</v>
      </c>
      <c r="W45" s="7">
        <f t="shared" si="40"/>
        <v>1.5</v>
      </c>
      <c r="X45" s="7">
        <f t="shared" si="41"/>
        <v>1.5</v>
      </c>
      <c r="Y45" s="7">
        <f t="shared" si="42"/>
        <v>1.5</v>
      </c>
      <c r="AA45" s="7" t="str">
        <f t="shared" si="43"/>
        <v>자동</v>
      </c>
      <c r="AB45" s="7" t="str">
        <f t="shared" si="44"/>
        <v>자동</v>
      </c>
      <c r="AC45" s="7">
        <f>INDEX('변표 테이블'!$C$86:$C$165,MATCH(O45,'변표 테이블'!$B$86:$B$165,0))</f>
        <v>71.13</v>
      </c>
      <c r="AD45" s="7">
        <f>INDEX('변표 테이블'!$D$86:$D$165,MATCH(O45,'변표 테이블'!$B$86:$B$165,0))</f>
        <v>66</v>
      </c>
      <c r="AF45" s="7">
        <v>1</v>
      </c>
      <c r="AG45" s="7">
        <v>1</v>
      </c>
      <c r="AH45" s="7">
        <v>4</v>
      </c>
      <c r="AI45" s="7">
        <v>4</v>
      </c>
      <c r="AM45" s="7">
        <v>3</v>
      </c>
      <c r="AN45" s="7">
        <v>3</v>
      </c>
      <c r="AP45" s="7">
        <f t="shared" si="25"/>
        <v>4</v>
      </c>
      <c r="BH45" s="121">
        <v>200</v>
      </c>
      <c r="BI45" s="7">
        <v>198</v>
      </c>
      <c r="BJ45" s="7">
        <v>196</v>
      </c>
      <c r="BK45" s="7">
        <v>193</v>
      </c>
      <c r="BL45" s="7">
        <v>188</v>
      </c>
      <c r="BM45" s="7">
        <v>183</v>
      </c>
      <c r="BN45" s="7">
        <v>180</v>
      </c>
      <c r="BO45" s="7">
        <v>170</v>
      </c>
      <c r="BP45" s="7">
        <v>160</v>
      </c>
      <c r="BQ45" s="121">
        <v>200</v>
      </c>
      <c r="BR45" s="7">
        <v>200</v>
      </c>
      <c r="BS45" s="7">
        <v>200</v>
      </c>
      <c r="BT45" s="7">
        <v>200</v>
      </c>
      <c r="BU45" s="7">
        <v>196</v>
      </c>
      <c r="BV45" s="7">
        <v>193</v>
      </c>
      <c r="BW45" s="7">
        <v>188</v>
      </c>
      <c r="BX45" s="7">
        <v>183</v>
      </c>
      <c r="BY45" s="7">
        <v>180</v>
      </c>
      <c r="CI45" s="7">
        <f t="shared" si="26"/>
        <v>200</v>
      </c>
      <c r="CJ45" s="163">
        <f t="shared" si="27"/>
        <v>100</v>
      </c>
      <c r="CK45" s="7">
        <f t="shared" si="28"/>
        <v>200</v>
      </c>
      <c r="CL45" s="7">
        <v>2</v>
      </c>
      <c r="CP45" s="7">
        <v>1</v>
      </c>
      <c r="CR45" s="7">
        <v>1</v>
      </c>
      <c r="CZ45" s="7">
        <f t="shared" si="29"/>
        <v>1</v>
      </c>
      <c r="DA45" s="7">
        <f t="shared" si="30"/>
        <v>2</v>
      </c>
      <c r="DB45" s="7">
        <f t="shared" si="11"/>
        <v>0</v>
      </c>
      <c r="DC45" s="7">
        <f t="shared" si="31"/>
        <v>0</v>
      </c>
      <c r="DE45" s="7">
        <f t="shared" si="12"/>
        <v>0</v>
      </c>
      <c r="DF45" s="7">
        <f t="shared" si="13"/>
        <v>0</v>
      </c>
      <c r="DG45" s="7">
        <f>IFERROR(IF(LEFT($AP45,1)="4",INDEX('변표 테이블'!$H$86:$H$165,MATCH($O45,'변표 테이블'!$B$86:$B$165,0)),INDEX(DG$4:DG$8,MATCH(AH45,$DC$4:$DC$8,0))),0)</f>
        <v>0</v>
      </c>
      <c r="DH45" s="7">
        <f>IFERROR(IF(LEFT($AP45,1)="4",INDEX('변표 테이블'!$I$86:$I$165,MATCH($O45,'변표 테이블'!$B$86:$B$165,0)),INDEX(DH$4:DH$8,MATCH(AI45,$DC$4:$DC$8,0))),0)</f>
        <v>0</v>
      </c>
      <c r="DJ45" s="7">
        <f>IFERROR(IF(LEFT($AP45,1)="4",INDEX('변표 테이블'!$J$86:$J$165,MATCH($O45,'변표 테이블'!$B$86:$B$165,0)),INDEX(DI$4:DI$8,MATCH(AK45,$DC$4:$DC$8,0))),0)</f>
        <v>0</v>
      </c>
      <c r="DK45" s="7">
        <f>IFERROR(IF(LEFT($AP45,1)="4",INDEX('변표 테이블'!$K$86:$K$165,MATCH($O45,'변표 테이블'!$B$86:$B$165,0)),INDEX(DJ$4:DJ$8,MATCH(AL45,$DC$4:$DC$8,0))),0)</f>
        <v>0</v>
      </c>
      <c r="DL45" s="7" t="str">
        <f t="shared" si="32"/>
        <v/>
      </c>
      <c r="DM45" s="7" t="str">
        <f t="shared" si="33"/>
        <v/>
      </c>
      <c r="DN45" s="7">
        <f t="shared" si="34"/>
        <v>0</v>
      </c>
      <c r="DP45" s="7">
        <f t="shared" si="14"/>
        <v>0</v>
      </c>
      <c r="DQ45" s="7">
        <f t="shared" si="15"/>
        <v>0</v>
      </c>
      <c r="DR45" s="7">
        <f t="shared" si="16"/>
        <v>0</v>
      </c>
      <c r="DS45" s="7">
        <f t="shared" si="35"/>
        <v>0</v>
      </c>
      <c r="DT45" s="7">
        <f t="shared" si="17"/>
        <v>0</v>
      </c>
      <c r="DU45" s="7">
        <f t="shared" si="18"/>
        <v>0</v>
      </c>
      <c r="DV45" s="7">
        <f t="shared" si="36"/>
        <v>0</v>
      </c>
      <c r="DW45" s="7">
        <f>LARGE((DR45:DS45,DU45:DV45),1)</f>
        <v>0</v>
      </c>
      <c r="DX45" s="7">
        <f>IF(DA45&lt;2,0,LARGE((DR45:DS45,DU45:DV45),2))</f>
        <v>0</v>
      </c>
      <c r="DY45" s="7">
        <f t="shared" si="19"/>
        <v>0</v>
      </c>
      <c r="DZ45" s="7">
        <f t="shared" si="20"/>
        <v>0</v>
      </c>
      <c r="EA45" s="7">
        <f t="shared" si="21"/>
        <v>0</v>
      </c>
      <c r="EF45" s="7">
        <f t="shared" si="37"/>
        <v>0</v>
      </c>
      <c r="EH45" s="7">
        <f t="shared" si="38"/>
        <v>0</v>
      </c>
      <c r="EI45" s="7">
        <f>IF(EH45=0,0,COUNTIF($EH$16:EH45,"&gt;"&amp;0))</f>
        <v>0</v>
      </c>
    </row>
    <row r="46" spans="1:139" x14ac:dyDescent="0.3">
      <c r="A46" s="165">
        <v>45</v>
      </c>
      <c r="C46" s="7" t="s">
        <v>145</v>
      </c>
      <c r="D46" s="7">
        <v>1000</v>
      </c>
      <c r="E46" s="7">
        <v>0.3</v>
      </c>
      <c r="F46" s="7">
        <v>0.25</v>
      </c>
      <c r="G46" s="7">
        <v>0.125</v>
      </c>
      <c r="H46" s="7">
        <v>0.125</v>
      </c>
      <c r="J46" s="7">
        <v>0.125</v>
      </c>
      <c r="K46" s="7">
        <v>0.125</v>
      </c>
      <c r="M46" s="7">
        <v>1</v>
      </c>
      <c r="O46" s="7">
        <f t="shared" si="45"/>
        <v>1</v>
      </c>
      <c r="Q46" s="7">
        <f t="shared" si="22"/>
        <v>1.5</v>
      </c>
      <c r="R46" s="7">
        <f t="shared" si="23"/>
        <v>1.25</v>
      </c>
      <c r="S46" s="7">
        <f t="shared" si="9"/>
        <v>1.25</v>
      </c>
      <c r="T46" s="7">
        <f t="shared" si="10"/>
        <v>1.25</v>
      </c>
      <c r="U46" s="7">
        <f t="shared" si="24"/>
        <v>1.25</v>
      </c>
      <c r="V46" s="7">
        <f t="shared" si="39"/>
        <v>1.5</v>
      </c>
      <c r="W46" s="7">
        <f t="shared" si="40"/>
        <v>1.25</v>
      </c>
      <c r="X46" s="7">
        <f t="shared" si="41"/>
        <v>1.25</v>
      </c>
      <c r="Y46" s="7">
        <f t="shared" si="42"/>
        <v>1.25</v>
      </c>
      <c r="AA46" s="7">
        <f t="shared" si="43"/>
        <v>1.25</v>
      </c>
      <c r="AB46" s="7">
        <f t="shared" si="44"/>
        <v>1.25</v>
      </c>
      <c r="AC46" s="7">
        <f>INDEX('변표 테이블'!$C$86:$C$165,MATCH(O46,'변표 테이블'!$B$86:$B$165,0))</f>
        <v>71.13</v>
      </c>
      <c r="AD46" s="7">
        <f>INDEX('변표 테이블'!$D$86:$D$165,MATCH(O46,'변표 테이블'!$B$86:$B$165,0))</f>
        <v>66</v>
      </c>
      <c r="AF46" s="7">
        <v>1</v>
      </c>
      <c r="AG46" s="7">
        <v>1</v>
      </c>
      <c r="AH46" s="7">
        <v>4</v>
      </c>
      <c r="AI46" s="7">
        <v>4</v>
      </c>
      <c r="AK46" s="7">
        <v>4</v>
      </c>
      <c r="AL46" s="7">
        <v>4</v>
      </c>
      <c r="AM46" s="7">
        <v>3</v>
      </c>
      <c r="AN46" s="7">
        <v>3</v>
      </c>
      <c r="AP46" s="7">
        <f t="shared" si="25"/>
        <v>4</v>
      </c>
      <c r="BH46" s="121">
        <v>200</v>
      </c>
      <c r="BI46" s="7">
        <v>196</v>
      </c>
      <c r="BJ46" s="7">
        <v>193</v>
      </c>
      <c r="BK46" s="7">
        <v>188</v>
      </c>
      <c r="BL46" s="7">
        <v>183</v>
      </c>
      <c r="BM46" s="7">
        <v>180</v>
      </c>
      <c r="BN46" s="7">
        <v>170</v>
      </c>
      <c r="BO46" s="7">
        <v>160</v>
      </c>
      <c r="BP46" s="7">
        <v>150</v>
      </c>
      <c r="BQ46" s="121">
        <v>200</v>
      </c>
      <c r="BR46" s="7">
        <v>200</v>
      </c>
      <c r="BS46" s="7">
        <v>200</v>
      </c>
      <c r="BT46" s="7">
        <v>200</v>
      </c>
      <c r="BU46" s="7">
        <v>196</v>
      </c>
      <c r="BV46" s="7">
        <v>193</v>
      </c>
      <c r="BW46" s="7">
        <v>188</v>
      </c>
      <c r="BX46" s="7">
        <v>183</v>
      </c>
      <c r="BY46" s="7">
        <v>180</v>
      </c>
      <c r="CI46" s="7">
        <f t="shared" si="26"/>
        <v>200</v>
      </c>
      <c r="CJ46" s="163">
        <f t="shared" si="27"/>
        <v>100</v>
      </c>
      <c r="CK46" s="7">
        <f t="shared" si="28"/>
        <v>200</v>
      </c>
      <c r="CN46" s="7">
        <v>2</v>
      </c>
      <c r="CZ46" s="7">
        <f t="shared" si="29"/>
        <v>2</v>
      </c>
      <c r="DA46" s="7">
        <f t="shared" si="30"/>
        <v>2</v>
      </c>
      <c r="DB46" s="7">
        <f t="shared" si="11"/>
        <v>0</v>
      </c>
      <c r="DC46" s="7">
        <f t="shared" si="31"/>
        <v>0</v>
      </c>
      <c r="DE46" s="7">
        <f t="shared" si="12"/>
        <v>0</v>
      </c>
      <c r="DF46" s="7">
        <f t="shared" si="13"/>
        <v>0</v>
      </c>
      <c r="DG46" s="7">
        <f>IFERROR(IF(LEFT($AP46,1)="4",INDEX('변표 테이블'!$H$86:$H$165,MATCH($O46,'변표 테이블'!$B$86:$B$165,0)),INDEX(DG$4:DG$8,MATCH(AH46,$DC$4:$DC$8,0))),0)</f>
        <v>0</v>
      </c>
      <c r="DH46" s="7">
        <f>IFERROR(IF(LEFT($AP46,1)="4",INDEX('변표 테이블'!$I$86:$I$165,MATCH($O46,'변표 테이블'!$B$86:$B$165,0)),INDEX(DH$4:DH$8,MATCH(AI46,$DC$4:$DC$8,0))),0)</f>
        <v>0</v>
      </c>
      <c r="DJ46" s="7">
        <f>IFERROR(IF(LEFT($AP46,1)="4",INDEX('변표 테이블'!$J$86:$J$165,MATCH($O46,'변표 테이블'!$B$86:$B$165,0)),INDEX(DI$4:DI$8,MATCH(AK46,$DC$4:$DC$8,0))),0)</f>
        <v>0</v>
      </c>
      <c r="DK46" s="7">
        <f>IFERROR(IF(LEFT($AP46,1)="4",INDEX('변표 테이블'!$K$86:$K$165,MATCH($O46,'변표 테이블'!$B$86:$B$165,0)),INDEX(DJ$4:DJ$8,MATCH(AL46,$DC$4:$DC$8,0))),0)</f>
        <v>0</v>
      </c>
      <c r="DL46" s="7" t="str">
        <f t="shared" si="32"/>
        <v/>
      </c>
      <c r="DM46" s="7" t="str">
        <f t="shared" si="33"/>
        <v/>
      </c>
      <c r="DN46" s="7">
        <f t="shared" si="34"/>
        <v>0</v>
      </c>
      <c r="DP46" s="7">
        <f t="shared" si="14"/>
        <v>0</v>
      </c>
      <c r="DQ46" s="7">
        <f t="shared" si="15"/>
        <v>0</v>
      </c>
      <c r="DR46" s="7">
        <f t="shared" si="16"/>
        <v>0</v>
      </c>
      <c r="DS46" s="7">
        <f t="shared" si="35"/>
        <v>0</v>
      </c>
      <c r="DT46" s="7">
        <f t="shared" si="17"/>
        <v>0</v>
      </c>
      <c r="DU46" s="7">
        <f t="shared" si="18"/>
        <v>0</v>
      </c>
      <c r="DV46" s="7">
        <f t="shared" si="36"/>
        <v>0</v>
      </c>
      <c r="DW46" s="7">
        <f>LARGE((DR46:DS46,DU46:DV46),1)</f>
        <v>0</v>
      </c>
      <c r="DX46" s="7">
        <f>IF(DA46&lt;2,0,LARGE((DR46:DS46,DU46:DV46),2))</f>
        <v>0</v>
      </c>
      <c r="DY46" s="7">
        <f t="shared" si="19"/>
        <v>0</v>
      </c>
      <c r="DZ46" s="7">
        <f t="shared" si="20"/>
        <v>0</v>
      </c>
      <c r="EA46" s="7">
        <f t="shared" si="21"/>
        <v>0</v>
      </c>
      <c r="EF46" s="7">
        <f t="shared" si="37"/>
        <v>0</v>
      </c>
      <c r="EH46" s="7">
        <f t="shared" si="38"/>
        <v>0</v>
      </c>
      <c r="EI46" s="7">
        <f>IF(EH46=0,0,COUNTIF($EH$16:EH46,"&gt;"&amp;0))</f>
        <v>0</v>
      </c>
    </row>
    <row r="47" spans="1:139" x14ac:dyDescent="0.3">
      <c r="A47" s="165">
        <v>46</v>
      </c>
      <c r="C47" s="7" t="s">
        <v>146</v>
      </c>
      <c r="D47" s="7">
        <v>1000</v>
      </c>
      <c r="E47" s="7">
        <v>0.25</v>
      </c>
      <c r="F47" s="7">
        <v>0.3</v>
      </c>
      <c r="G47" s="7">
        <v>0.125</v>
      </c>
      <c r="H47" s="7">
        <v>0.125</v>
      </c>
      <c r="J47" s="7">
        <v>0.125</v>
      </c>
      <c r="K47" s="7">
        <v>0.125</v>
      </c>
      <c r="M47" s="7">
        <v>1</v>
      </c>
      <c r="O47" s="7">
        <f t="shared" si="45"/>
        <v>1</v>
      </c>
      <c r="Q47" s="7">
        <f t="shared" si="22"/>
        <v>1.25</v>
      </c>
      <c r="R47" s="7">
        <f t="shared" si="23"/>
        <v>1.5</v>
      </c>
      <c r="S47" s="7">
        <f t="shared" si="9"/>
        <v>1.25</v>
      </c>
      <c r="T47" s="7">
        <f t="shared" si="10"/>
        <v>1.25</v>
      </c>
      <c r="U47" s="7">
        <f t="shared" si="24"/>
        <v>1.25</v>
      </c>
      <c r="V47" s="7">
        <f t="shared" si="39"/>
        <v>1.25</v>
      </c>
      <c r="W47" s="7">
        <f t="shared" si="40"/>
        <v>1.5</v>
      </c>
      <c r="X47" s="7">
        <f t="shared" si="41"/>
        <v>1.25</v>
      </c>
      <c r="Y47" s="7">
        <f t="shared" si="42"/>
        <v>1.25</v>
      </c>
      <c r="AA47" s="7">
        <f t="shared" si="43"/>
        <v>1.25</v>
      </c>
      <c r="AB47" s="7">
        <f t="shared" si="44"/>
        <v>1.25</v>
      </c>
      <c r="AC47" s="7">
        <f>INDEX('변표 테이블'!$C$86:$C$165,MATCH(O47,'변표 테이블'!$B$86:$B$165,0))</f>
        <v>71.13</v>
      </c>
      <c r="AD47" s="7">
        <f>INDEX('변표 테이블'!$D$86:$D$165,MATCH(O47,'변표 테이블'!$B$86:$B$165,0))</f>
        <v>66</v>
      </c>
      <c r="AF47" s="7">
        <v>1</v>
      </c>
      <c r="AG47" s="7">
        <v>1</v>
      </c>
      <c r="AH47" s="7">
        <v>4</v>
      </c>
      <c r="AI47" s="7">
        <v>4</v>
      </c>
      <c r="AK47" s="7">
        <v>4</v>
      </c>
      <c r="AL47" s="7">
        <v>4</v>
      </c>
      <c r="AM47" s="7">
        <v>3</v>
      </c>
      <c r="AN47" s="7">
        <v>3</v>
      </c>
      <c r="AP47" s="7">
        <f t="shared" si="25"/>
        <v>4</v>
      </c>
      <c r="BH47" s="121">
        <v>200</v>
      </c>
      <c r="BI47" s="7">
        <v>196</v>
      </c>
      <c r="BJ47" s="7">
        <v>193</v>
      </c>
      <c r="BK47" s="7">
        <v>188</v>
      </c>
      <c r="BL47" s="7">
        <v>183</v>
      </c>
      <c r="BM47" s="7">
        <v>180</v>
      </c>
      <c r="BN47" s="7">
        <v>170</v>
      </c>
      <c r="BO47" s="7">
        <v>160</v>
      </c>
      <c r="BP47" s="7">
        <v>150</v>
      </c>
      <c r="BQ47" s="121">
        <v>200</v>
      </c>
      <c r="BR47" s="7">
        <v>200</v>
      </c>
      <c r="BS47" s="7">
        <v>200</v>
      </c>
      <c r="BT47" s="7">
        <v>200</v>
      </c>
      <c r="BU47" s="7">
        <v>196</v>
      </c>
      <c r="BV47" s="7">
        <v>193</v>
      </c>
      <c r="BW47" s="7">
        <v>188</v>
      </c>
      <c r="BX47" s="7">
        <v>183</v>
      </c>
      <c r="BY47" s="7">
        <v>180</v>
      </c>
      <c r="CI47" s="7">
        <f t="shared" si="26"/>
        <v>200</v>
      </c>
      <c r="CJ47" s="163">
        <f t="shared" si="27"/>
        <v>100</v>
      </c>
      <c r="CK47" s="7">
        <f t="shared" si="28"/>
        <v>200</v>
      </c>
      <c r="CN47" s="7">
        <v>2</v>
      </c>
      <c r="CZ47" s="7">
        <f t="shared" si="29"/>
        <v>2</v>
      </c>
      <c r="DA47" s="7">
        <f t="shared" si="30"/>
        <v>2</v>
      </c>
      <c r="DB47" s="7">
        <f t="shared" si="11"/>
        <v>0</v>
      </c>
      <c r="DC47" s="7">
        <f t="shared" si="31"/>
        <v>0</v>
      </c>
      <c r="DE47" s="7">
        <f t="shared" si="12"/>
        <v>0</v>
      </c>
      <c r="DF47" s="7">
        <f t="shared" si="13"/>
        <v>0</v>
      </c>
      <c r="DG47" s="7">
        <f>IFERROR(IF(LEFT($AP47,1)="4",INDEX('변표 테이블'!$H$86:$H$165,MATCH($O47,'변표 테이블'!$B$86:$B$165,0)),INDEX(DG$4:DG$8,MATCH(AH47,$DC$4:$DC$8,0))),0)</f>
        <v>0</v>
      </c>
      <c r="DH47" s="7">
        <f>IFERROR(IF(LEFT($AP47,1)="4",INDEX('변표 테이블'!$I$86:$I$165,MATCH($O47,'변표 테이블'!$B$86:$B$165,0)),INDEX(DH$4:DH$8,MATCH(AI47,$DC$4:$DC$8,0))),0)</f>
        <v>0</v>
      </c>
      <c r="DJ47" s="7">
        <f>IFERROR(IF(LEFT($AP47,1)="4",INDEX('변표 테이블'!$J$86:$J$165,MATCH($O47,'변표 테이블'!$B$86:$B$165,0)),INDEX(DI$4:DI$8,MATCH(AK47,$DC$4:$DC$8,0))),0)</f>
        <v>0</v>
      </c>
      <c r="DK47" s="7">
        <f>IFERROR(IF(LEFT($AP47,1)="4",INDEX('변표 테이블'!$K$86:$K$165,MATCH($O47,'변표 테이블'!$B$86:$B$165,0)),INDEX(DJ$4:DJ$8,MATCH(AL47,$DC$4:$DC$8,0))),0)</f>
        <v>0</v>
      </c>
      <c r="DL47" s="7" t="str">
        <f t="shared" si="32"/>
        <v/>
      </c>
      <c r="DM47" s="7" t="str">
        <f t="shared" si="33"/>
        <v/>
      </c>
      <c r="DN47" s="7">
        <f t="shared" si="34"/>
        <v>0</v>
      </c>
      <c r="DP47" s="7">
        <f t="shared" si="14"/>
        <v>0</v>
      </c>
      <c r="DQ47" s="7">
        <f t="shared" si="15"/>
        <v>0</v>
      </c>
      <c r="DR47" s="7">
        <f t="shared" si="16"/>
        <v>0</v>
      </c>
      <c r="DS47" s="7">
        <f t="shared" si="35"/>
        <v>0</v>
      </c>
      <c r="DT47" s="7">
        <f t="shared" si="17"/>
        <v>0</v>
      </c>
      <c r="DU47" s="7">
        <f t="shared" si="18"/>
        <v>0</v>
      </c>
      <c r="DV47" s="7">
        <f t="shared" si="36"/>
        <v>0</v>
      </c>
      <c r="DW47" s="7">
        <f>LARGE((DR47:DS47,DU47:DV47),1)</f>
        <v>0</v>
      </c>
      <c r="DX47" s="7">
        <f>IF(DA47&lt;2,0,LARGE((DR47:DS47,DU47:DV47),2))</f>
        <v>0</v>
      </c>
      <c r="DY47" s="7">
        <f t="shared" si="19"/>
        <v>0</v>
      </c>
      <c r="DZ47" s="7">
        <f t="shared" si="20"/>
        <v>0</v>
      </c>
      <c r="EA47" s="7">
        <f t="shared" si="21"/>
        <v>0</v>
      </c>
      <c r="EF47" s="7">
        <f t="shared" si="37"/>
        <v>0</v>
      </c>
      <c r="EH47" s="7">
        <f t="shared" si="38"/>
        <v>0</v>
      </c>
      <c r="EI47" s="7">
        <f>IF(EH47=0,0,COUNTIF($EH$16:EH47,"&gt;"&amp;0))</f>
        <v>0</v>
      </c>
    </row>
    <row r="48" spans="1:139" x14ac:dyDescent="0.3">
      <c r="A48" s="165">
        <v>47</v>
      </c>
      <c r="C48" s="7" t="s">
        <v>147</v>
      </c>
      <c r="D48" s="7">
        <v>1000</v>
      </c>
      <c r="E48" s="7">
        <v>0.2</v>
      </c>
      <c r="F48" s="7">
        <v>0.3</v>
      </c>
      <c r="G48" s="7">
        <v>0.15</v>
      </c>
      <c r="H48" s="7">
        <v>0.15</v>
      </c>
      <c r="M48" s="7">
        <v>1</v>
      </c>
      <c r="O48" s="7">
        <f t="shared" si="45"/>
        <v>1</v>
      </c>
      <c r="Q48" s="7">
        <f t="shared" si="22"/>
        <v>1</v>
      </c>
      <c r="R48" s="7">
        <f t="shared" si="23"/>
        <v>1.5</v>
      </c>
      <c r="S48" s="7">
        <f t="shared" si="9"/>
        <v>1.5</v>
      </c>
      <c r="T48" s="7" t="str">
        <f t="shared" si="10"/>
        <v>자동</v>
      </c>
      <c r="U48" s="7">
        <f t="shared" si="24"/>
        <v>1.5</v>
      </c>
      <c r="V48" s="7">
        <f t="shared" si="39"/>
        <v>1</v>
      </c>
      <c r="W48" s="7">
        <f t="shared" si="40"/>
        <v>1.5</v>
      </c>
      <c r="X48" s="7">
        <f t="shared" si="41"/>
        <v>1.5</v>
      </c>
      <c r="Y48" s="7">
        <f t="shared" si="42"/>
        <v>1.5</v>
      </c>
      <c r="AA48" s="7" t="str">
        <f t="shared" si="43"/>
        <v>자동</v>
      </c>
      <c r="AB48" s="7" t="str">
        <f t="shared" si="44"/>
        <v>자동</v>
      </c>
      <c r="AC48" s="7">
        <f>INDEX('변표 테이블'!$C$86:$C$165,MATCH(O48,'변표 테이블'!$B$86:$B$165,0))</f>
        <v>71.13</v>
      </c>
      <c r="AD48" s="7">
        <f>INDEX('변표 테이블'!$D$86:$D$165,MATCH(O48,'변표 테이블'!$B$86:$B$165,0))</f>
        <v>66</v>
      </c>
      <c r="AF48" s="7">
        <v>1</v>
      </c>
      <c r="AG48" s="7">
        <v>1</v>
      </c>
      <c r="AH48" s="7">
        <v>4</v>
      </c>
      <c r="AI48" s="7">
        <v>4</v>
      </c>
      <c r="AM48" s="7">
        <v>3</v>
      </c>
      <c r="AN48" s="7">
        <v>3</v>
      </c>
      <c r="AP48" s="7">
        <f t="shared" si="25"/>
        <v>4</v>
      </c>
      <c r="BH48" s="121">
        <v>200</v>
      </c>
      <c r="BI48" s="7">
        <v>196</v>
      </c>
      <c r="BJ48" s="7">
        <v>193</v>
      </c>
      <c r="BK48" s="7">
        <v>188</v>
      </c>
      <c r="BL48" s="7">
        <v>183</v>
      </c>
      <c r="BM48" s="7">
        <v>180</v>
      </c>
      <c r="BN48" s="7">
        <v>170</v>
      </c>
      <c r="BO48" s="7">
        <v>160</v>
      </c>
      <c r="BP48" s="7">
        <v>150</v>
      </c>
      <c r="BQ48" s="121">
        <v>200</v>
      </c>
      <c r="BR48" s="7">
        <v>200</v>
      </c>
      <c r="BS48" s="7">
        <v>200</v>
      </c>
      <c r="BT48" s="7">
        <v>200</v>
      </c>
      <c r="BU48" s="7">
        <v>196</v>
      </c>
      <c r="BV48" s="7">
        <v>193</v>
      </c>
      <c r="BW48" s="7">
        <v>188</v>
      </c>
      <c r="BX48" s="7">
        <v>183</v>
      </c>
      <c r="BY48" s="7">
        <v>180</v>
      </c>
      <c r="CI48" s="7">
        <f t="shared" si="26"/>
        <v>200</v>
      </c>
      <c r="CJ48" s="163">
        <f t="shared" si="27"/>
        <v>100</v>
      </c>
      <c r="CK48" s="7">
        <f t="shared" si="28"/>
        <v>200</v>
      </c>
      <c r="CL48" s="7">
        <v>2</v>
      </c>
      <c r="CP48" s="7">
        <v>1</v>
      </c>
      <c r="CR48" s="7">
        <v>1</v>
      </c>
      <c r="CZ48" s="7">
        <f t="shared" si="29"/>
        <v>1</v>
      </c>
      <c r="DA48" s="7">
        <f t="shared" si="30"/>
        <v>2</v>
      </c>
      <c r="DB48" s="7">
        <f t="shared" si="11"/>
        <v>0</v>
      </c>
      <c r="DC48" s="7">
        <f t="shared" si="31"/>
        <v>0</v>
      </c>
      <c r="DE48" s="7">
        <f t="shared" si="12"/>
        <v>0</v>
      </c>
      <c r="DF48" s="7">
        <f t="shared" si="13"/>
        <v>0</v>
      </c>
      <c r="DG48" s="7">
        <f>IFERROR(IF(LEFT($AP48,1)="4",INDEX('변표 테이블'!$H$86:$H$165,MATCH($O48,'변표 테이블'!$B$86:$B$165,0)),INDEX(DG$4:DG$8,MATCH(AH48,$DC$4:$DC$8,0))),0)</f>
        <v>0</v>
      </c>
      <c r="DH48" s="7">
        <f>IFERROR(IF(LEFT($AP48,1)="4",INDEX('변표 테이블'!$I$86:$I$165,MATCH($O48,'변표 테이블'!$B$86:$B$165,0)),INDEX(DH$4:DH$8,MATCH(AI48,$DC$4:$DC$8,0))),0)</f>
        <v>0</v>
      </c>
      <c r="DJ48" s="7">
        <f>IFERROR(IF(LEFT($AP48,1)="4",INDEX('변표 테이블'!$J$86:$J$165,MATCH($O48,'변표 테이블'!$B$86:$B$165,0)),INDEX(DI$4:DI$8,MATCH(AK48,$DC$4:$DC$8,0))),0)</f>
        <v>0</v>
      </c>
      <c r="DK48" s="7">
        <f>IFERROR(IF(LEFT($AP48,1)="4",INDEX('변표 테이블'!$K$86:$K$165,MATCH($O48,'변표 테이블'!$B$86:$B$165,0)),INDEX(DJ$4:DJ$8,MATCH(AL48,$DC$4:$DC$8,0))),0)</f>
        <v>0</v>
      </c>
      <c r="DL48" s="7" t="str">
        <f t="shared" si="32"/>
        <v/>
      </c>
      <c r="DM48" s="7" t="str">
        <f t="shared" si="33"/>
        <v/>
      </c>
      <c r="DN48" s="7">
        <f t="shared" si="34"/>
        <v>0</v>
      </c>
      <c r="DP48" s="7">
        <f t="shared" si="14"/>
        <v>0</v>
      </c>
      <c r="DQ48" s="7">
        <f t="shared" si="15"/>
        <v>0</v>
      </c>
      <c r="DR48" s="7">
        <f t="shared" si="16"/>
        <v>0</v>
      </c>
      <c r="DS48" s="7">
        <f t="shared" si="35"/>
        <v>0</v>
      </c>
      <c r="DT48" s="7">
        <f t="shared" si="17"/>
        <v>0</v>
      </c>
      <c r="DU48" s="7">
        <f t="shared" si="18"/>
        <v>0</v>
      </c>
      <c r="DV48" s="7">
        <f t="shared" si="36"/>
        <v>0</v>
      </c>
      <c r="DW48" s="7">
        <f>LARGE((DR48:DS48,DU48:DV48),1)</f>
        <v>0</v>
      </c>
      <c r="DX48" s="7">
        <f>IF(DA48&lt;2,0,LARGE((DR48:DS48,DU48:DV48),2))</f>
        <v>0</v>
      </c>
      <c r="DY48" s="7">
        <f t="shared" si="19"/>
        <v>0</v>
      </c>
      <c r="DZ48" s="7">
        <f t="shared" si="20"/>
        <v>0</v>
      </c>
      <c r="EA48" s="7">
        <f t="shared" si="21"/>
        <v>0</v>
      </c>
      <c r="EF48" s="7">
        <f t="shared" si="37"/>
        <v>0</v>
      </c>
      <c r="EH48" s="7">
        <f t="shared" si="38"/>
        <v>0</v>
      </c>
      <c r="EI48" s="7">
        <f>IF(EH48=0,0,COUNTIF($EH$16:EH48,"&gt;"&amp;0))</f>
        <v>0</v>
      </c>
    </row>
    <row r="49" spans="1:139" x14ac:dyDescent="0.3">
      <c r="A49" s="165">
        <v>48</v>
      </c>
      <c r="C49" s="7" t="s">
        <v>148</v>
      </c>
      <c r="D49" s="7">
        <v>1000</v>
      </c>
      <c r="E49" s="7">
        <v>0.25</v>
      </c>
      <c r="F49" s="7">
        <v>0.3</v>
      </c>
      <c r="G49" s="7">
        <v>0.1</v>
      </c>
      <c r="H49" s="7">
        <v>0.1</v>
      </c>
      <c r="M49" s="7">
        <v>1</v>
      </c>
      <c r="O49" s="7">
        <f t="shared" si="45"/>
        <v>1</v>
      </c>
      <c r="Q49" s="7">
        <f t="shared" si="22"/>
        <v>1.25</v>
      </c>
      <c r="R49" s="7">
        <f t="shared" si="23"/>
        <v>1.5</v>
      </c>
      <c r="S49" s="7">
        <f t="shared" si="9"/>
        <v>1</v>
      </c>
      <c r="T49" s="7">
        <f t="shared" si="10"/>
        <v>0</v>
      </c>
      <c r="U49" s="7">
        <f t="shared" si="24"/>
        <v>1</v>
      </c>
      <c r="V49" s="7">
        <f t="shared" si="39"/>
        <v>1.25</v>
      </c>
      <c r="W49" s="7">
        <f t="shared" si="40"/>
        <v>1.5</v>
      </c>
      <c r="X49" s="7">
        <f t="shared" si="41"/>
        <v>1</v>
      </c>
      <c r="Y49" s="7">
        <f t="shared" si="42"/>
        <v>1</v>
      </c>
      <c r="AA49" s="7">
        <f t="shared" si="43"/>
        <v>0</v>
      </c>
      <c r="AB49" s="7">
        <f t="shared" si="44"/>
        <v>0</v>
      </c>
      <c r="AC49" s="7">
        <f>INDEX('변표 테이블'!$C$86:$C$165,MATCH(O49,'변표 테이블'!$B$86:$B$165,0))</f>
        <v>71.13</v>
      </c>
      <c r="AD49" s="7">
        <f>INDEX('변표 테이블'!$D$86:$D$165,MATCH(O49,'변표 테이블'!$B$86:$B$165,0))</f>
        <v>66</v>
      </c>
      <c r="AF49" s="7">
        <v>1</v>
      </c>
      <c r="AG49" s="7">
        <v>1</v>
      </c>
      <c r="AH49" s="7">
        <v>4</v>
      </c>
      <c r="AI49" s="7">
        <v>4</v>
      </c>
      <c r="AK49" s="7">
        <v>4</v>
      </c>
      <c r="AL49" s="7">
        <v>4</v>
      </c>
      <c r="AM49" s="7">
        <v>3</v>
      </c>
      <c r="AN49" s="7">
        <v>3</v>
      </c>
      <c r="AP49" s="7">
        <f t="shared" si="25"/>
        <v>4</v>
      </c>
      <c r="BH49" s="121">
        <v>200</v>
      </c>
      <c r="BI49" s="7">
        <v>199</v>
      </c>
      <c r="BJ49" s="7">
        <v>197</v>
      </c>
      <c r="BK49" s="7">
        <v>190</v>
      </c>
      <c r="BL49" s="7">
        <v>180</v>
      </c>
      <c r="BM49" s="7">
        <v>140</v>
      </c>
      <c r="BN49" s="7">
        <v>90</v>
      </c>
      <c r="BO49" s="7">
        <v>20</v>
      </c>
      <c r="BP49" s="7">
        <v>0</v>
      </c>
      <c r="BQ49" s="121">
        <f>BH49/4</f>
        <v>50</v>
      </c>
      <c r="BR49" s="7">
        <f t="shared" ref="BR49:BY49" si="53">BI49/4</f>
        <v>49.75</v>
      </c>
      <c r="BS49" s="7">
        <f t="shared" si="53"/>
        <v>49.25</v>
      </c>
      <c r="BT49" s="7">
        <f t="shared" si="53"/>
        <v>47.5</v>
      </c>
      <c r="BU49" s="7">
        <f t="shared" si="53"/>
        <v>45</v>
      </c>
      <c r="BV49" s="7">
        <f t="shared" si="53"/>
        <v>35</v>
      </c>
      <c r="BW49" s="7">
        <f t="shared" si="53"/>
        <v>22.5</v>
      </c>
      <c r="BX49" s="7">
        <f t="shared" si="53"/>
        <v>5</v>
      </c>
      <c r="BY49" s="7">
        <f t="shared" si="53"/>
        <v>0</v>
      </c>
      <c r="CI49" s="7">
        <f t="shared" si="26"/>
        <v>200</v>
      </c>
      <c r="CJ49" s="163">
        <f t="shared" si="27"/>
        <v>100</v>
      </c>
      <c r="CK49" s="7">
        <f t="shared" si="28"/>
        <v>50</v>
      </c>
      <c r="CL49" s="7">
        <v>2</v>
      </c>
      <c r="CP49" s="7">
        <v>1</v>
      </c>
      <c r="CR49" s="7">
        <v>1</v>
      </c>
      <c r="CZ49" s="7">
        <f t="shared" si="29"/>
        <v>1</v>
      </c>
      <c r="DA49" s="7">
        <f t="shared" si="30"/>
        <v>2</v>
      </c>
      <c r="DB49" s="7">
        <f t="shared" ref="DB49:DB80" si="54">IF(OR(AND(CL49&gt;0,CL49&lt;=$CL$8),AND(CM49&gt;0,CM49&lt;=$CM$8),AND(CN49&gt;0,CN49&lt;=$CN$8)),1,0)</f>
        <v>0</v>
      </c>
      <c r="DC49" s="7">
        <f t="shared" si="31"/>
        <v>0</v>
      </c>
      <c r="DE49" s="7">
        <f t="shared" ref="DE49:DE80" si="55">IFERROR(INDEX(DE$4:DE$10,MATCH(AF49,$DC$4:$DC$10,0)),0)</f>
        <v>0</v>
      </c>
      <c r="DF49" s="7">
        <f t="shared" ref="DF49:DF80" si="56">IFERROR(INDEX(DF$4:DF$10,MATCH(AG49,$DC$4:$DC$10,0)),0)</f>
        <v>0</v>
      </c>
      <c r="DG49" s="7">
        <f>IFERROR(IF(LEFT($AP49,1)="4",INDEX('변표 테이블'!$H$86:$H$165,MATCH($O49,'변표 테이블'!$B$86:$B$165,0)),INDEX(DG$4:DG$8,MATCH(AH49,$DC$4:$DC$8,0))),0)</f>
        <v>0</v>
      </c>
      <c r="DH49" s="7">
        <f>IFERROR(IF(LEFT($AP49,1)="4",INDEX('변표 테이블'!$I$86:$I$165,MATCH($O49,'변표 테이블'!$B$86:$B$165,0)),INDEX(DH$4:DH$8,MATCH(AI49,$DC$4:$DC$8,0))),0)</f>
        <v>0</v>
      </c>
      <c r="DJ49" s="7">
        <f>IFERROR(IF(LEFT($AP49,1)="4",INDEX('변표 테이블'!$J$86:$J$165,MATCH($O49,'변표 테이블'!$B$86:$B$165,0)),INDEX(DI$4:DI$8,MATCH(AK49,$DC$4:$DC$8,0))),0)</f>
        <v>0</v>
      </c>
      <c r="DK49" s="7">
        <f>IFERROR(IF(LEFT($AP49,1)="4",INDEX('변표 테이블'!$K$86:$K$165,MATCH($O49,'변표 테이블'!$B$86:$B$165,0)),INDEX(DJ$4:DJ$8,MATCH(AL49,$DC$4:$DC$8,0))),0)</f>
        <v>0</v>
      </c>
      <c r="DL49" s="7" t="str">
        <f t="shared" si="32"/>
        <v/>
      </c>
      <c r="DM49" s="7" t="str">
        <f t="shared" si="33"/>
        <v/>
      </c>
      <c r="DN49" s="7">
        <f t="shared" si="34"/>
        <v>0</v>
      </c>
      <c r="DP49" s="7">
        <f t="shared" ref="DP49:DP80" si="57">IFERROR((DE49*V49+AZ49)*$DO$9,0)</f>
        <v>0</v>
      </c>
      <c r="DQ49" s="7">
        <f t="shared" ref="DQ49:DQ80" si="58">IFERROR((DF49*W49+BA49+BB49)*$DO$9,0)</f>
        <v>0</v>
      </c>
      <c r="DR49" s="7">
        <f t="shared" ref="DR49:DR80" si="59">IFERROR((DG49*X49+BC49)*$DO$9,0)</f>
        <v>0</v>
      </c>
      <c r="DS49" s="7">
        <f t="shared" si="35"/>
        <v>0</v>
      </c>
      <c r="DT49" s="7">
        <f t="shared" ref="DT49:DT80" si="60">IFERROR(BE49*$DO$9,0)</f>
        <v>0</v>
      </c>
      <c r="DU49" s="7">
        <f t="shared" ref="DU49:DU80" si="61">IFERROR((DJ49*AA49+BF49)*$DO$9,0)</f>
        <v>0</v>
      </c>
      <c r="DV49" s="7">
        <f t="shared" si="36"/>
        <v>0</v>
      </c>
      <c r="DW49" s="7">
        <f>LARGE((DR49:DS49,DU49:DV49),1)</f>
        <v>0</v>
      </c>
      <c r="DX49" s="7">
        <f>IF(DA49&lt;2,0,LARGE((DR49:DS49,DU49:DV49),2))</f>
        <v>0</v>
      </c>
      <c r="DY49" s="7">
        <f t="shared" ref="DY49:DY80" si="62">IFERROR(INDEX(BH49:BP49,MATCH(DL49,$BH$15:$BP$15,0)),0)</f>
        <v>0</v>
      </c>
      <c r="DZ49" s="7">
        <f t="shared" ref="DZ49:DZ80" si="63">IFERROR(INDEX(BQ49:BY49,MATCH(DM49,$BQ$15:$BY$15,0)),0)</f>
        <v>0</v>
      </c>
      <c r="EA49" s="7">
        <f t="shared" ref="EA49:EA80" si="64">IFERROR(INDEX(BZ49:CH49,MATCH(DN49,$BZ$15:$CH$15,0)),0)</f>
        <v>0</v>
      </c>
      <c r="EF49" s="7">
        <f t="shared" si="37"/>
        <v>0</v>
      </c>
      <c r="EH49" s="7">
        <f t="shared" si="38"/>
        <v>0</v>
      </c>
      <c r="EI49" s="7">
        <f>IF(EH49=0,0,COUNTIF($EH$16:EH49,"&gt;"&amp;0))</f>
        <v>0</v>
      </c>
    </row>
    <row r="50" spans="1:139" x14ac:dyDescent="0.3">
      <c r="A50" s="165">
        <v>49</v>
      </c>
      <c r="C50" s="7" t="s">
        <v>149</v>
      </c>
      <c r="D50" s="7">
        <v>1000</v>
      </c>
      <c r="E50" s="7">
        <v>0.3</v>
      </c>
      <c r="F50" s="7">
        <v>0.25</v>
      </c>
      <c r="G50" s="7">
        <v>0.1</v>
      </c>
      <c r="H50" s="7">
        <v>0.1</v>
      </c>
      <c r="J50" s="7">
        <v>0.1</v>
      </c>
      <c r="K50" s="7">
        <v>0.1</v>
      </c>
      <c r="M50" s="7">
        <v>1</v>
      </c>
      <c r="O50" s="7">
        <f t="shared" si="45"/>
        <v>1</v>
      </c>
      <c r="Q50" s="7">
        <f t="shared" si="22"/>
        <v>1.5</v>
      </c>
      <c r="R50" s="7">
        <f t="shared" si="23"/>
        <v>1.25</v>
      </c>
      <c r="S50" s="7">
        <f t="shared" si="9"/>
        <v>1</v>
      </c>
      <c r="T50" s="7">
        <f t="shared" si="10"/>
        <v>1</v>
      </c>
      <c r="U50" s="7">
        <f t="shared" si="24"/>
        <v>1</v>
      </c>
      <c r="V50" s="7">
        <f t="shared" si="39"/>
        <v>1.5</v>
      </c>
      <c r="W50" s="7">
        <f t="shared" si="40"/>
        <v>1.25</v>
      </c>
      <c r="X50" s="7">
        <f t="shared" si="41"/>
        <v>1</v>
      </c>
      <c r="Y50" s="7">
        <f t="shared" si="42"/>
        <v>1</v>
      </c>
      <c r="AA50" s="7">
        <f t="shared" si="43"/>
        <v>1</v>
      </c>
      <c r="AB50" s="7">
        <f t="shared" si="44"/>
        <v>1</v>
      </c>
      <c r="AC50" s="7">
        <f>INDEX('변표 테이블'!$C$86:$C$165,MATCH(O50,'변표 테이블'!$B$86:$B$165,0))</f>
        <v>71.13</v>
      </c>
      <c r="AD50" s="7">
        <f>INDEX('변표 테이블'!$D$86:$D$165,MATCH(O50,'변표 테이블'!$B$86:$B$165,0))</f>
        <v>66</v>
      </c>
      <c r="AF50" s="7">
        <v>1</v>
      </c>
      <c r="AG50" s="7">
        <v>1</v>
      </c>
      <c r="AH50" s="7">
        <v>4</v>
      </c>
      <c r="AI50" s="7">
        <v>4</v>
      </c>
      <c r="AK50" s="7">
        <v>4</v>
      </c>
      <c r="AL50" s="7">
        <v>4</v>
      </c>
      <c r="AM50" s="7">
        <v>3</v>
      </c>
      <c r="AN50" s="7">
        <v>3</v>
      </c>
      <c r="AP50" s="7">
        <f t="shared" si="25"/>
        <v>4</v>
      </c>
      <c r="BH50" s="121">
        <v>200</v>
      </c>
      <c r="BI50" s="7">
        <v>199</v>
      </c>
      <c r="BJ50" s="7">
        <v>197</v>
      </c>
      <c r="BK50" s="7">
        <v>190</v>
      </c>
      <c r="BL50" s="7">
        <v>180</v>
      </c>
      <c r="BM50" s="7">
        <v>140</v>
      </c>
      <c r="BN50" s="7">
        <v>90</v>
      </c>
      <c r="BO50" s="7">
        <v>20</v>
      </c>
      <c r="BP50" s="7">
        <v>0</v>
      </c>
      <c r="BQ50" s="121">
        <f>BH50/4</f>
        <v>50</v>
      </c>
      <c r="BR50" s="7">
        <f t="shared" ref="BR50:BR52" si="65">BI50/4</f>
        <v>49.75</v>
      </c>
      <c r="BS50" s="7">
        <f t="shared" ref="BS50:BS52" si="66">BJ50/4</f>
        <v>49.25</v>
      </c>
      <c r="BT50" s="7">
        <f t="shared" ref="BT50:BT52" si="67">BK50/4</f>
        <v>47.5</v>
      </c>
      <c r="BU50" s="7">
        <f t="shared" ref="BU50:BU52" si="68">BL50/4</f>
        <v>45</v>
      </c>
      <c r="BV50" s="7">
        <f t="shared" ref="BV50:BV52" si="69">BM50/4</f>
        <v>35</v>
      </c>
      <c r="BW50" s="7">
        <f t="shared" ref="BW50:BW52" si="70">BN50/4</f>
        <v>22.5</v>
      </c>
      <c r="BX50" s="7">
        <f t="shared" ref="BX50:BX52" si="71">BO50/4</f>
        <v>5</v>
      </c>
      <c r="BY50" s="7">
        <f t="shared" ref="BY50:BY52" si="72">BP50/4</f>
        <v>0</v>
      </c>
      <c r="CI50" s="7">
        <f t="shared" si="26"/>
        <v>200</v>
      </c>
      <c r="CJ50" s="163">
        <f t="shared" si="27"/>
        <v>100</v>
      </c>
      <c r="CK50" s="7">
        <f t="shared" si="28"/>
        <v>50</v>
      </c>
      <c r="CN50" s="7">
        <v>2</v>
      </c>
      <c r="CZ50" s="7">
        <f t="shared" si="29"/>
        <v>2</v>
      </c>
      <c r="DA50" s="7">
        <f t="shared" si="30"/>
        <v>2</v>
      </c>
      <c r="DB50" s="7">
        <f t="shared" si="54"/>
        <v>0</v>
      </c>
      <c r="DC50" s="7">
        <f t="shared" si="31"/>
        <v>0</v>
      </c>
      <c r="DE50" s="7">
        <f t="shared" si="55"/>
        <v>0</v>
      </c>
      <c r="DF50" s="7">
        <f t="shared" si="56"/>
        <v>0</v>
      </c>
      <c r="DG50" s="7">
        <f>IFERROR(IF(LEFT($AP50,1)="4",INDEX('변표 테이블'!$H$86:$H$165,MATCH($O50,'변표 테이블'!$B$86:$B$165,0)),INDEX(DG$4:DG$8,MATCH(AH50,$DC$4:$DC$8,0))),0)</f>
        <v>0</v>
      </c>
      <c r="DH50" s="7">
        <f>IFERROR(IF(LEFT($AP50,1)="4",INDEX('변표 테이블'!$I$86:$I$165,MATCH($O50,'변표 테이블'!$B$86:$B$165,0)),INDEX(DH$4:DH$8,MATCH(AI50,$DC$4:$DC$8,0))),0)</f>
        <v>0</v>
      </c>
      <c r="DJ50" s="7">
        <f>IFERROR(IF(LEFT($AP50,1)="4",INDEX('변표 테이블'!$J$86:$J$165,MATCH($O50,'변표 테이블'!$B$86:$B$165,0)),INDEX(DI$4:DI$8,MATCH(AK50,$DC$4:$DC$8,0))),0)</f>
        <v>0</v>
      </c>
      <c r="DK50" s="7">
        <f>IFERROR(IF(LEFT($AP50,1)="4",INDEX('변표 테이블'!$K$86:$K$165,MATCH($O50,'변표 테이블'!$B$86:$B$165,0)),INDEX(DJ$4:DJ$8,MATCH(AL50,$DC$4:$DC$8,0))),0)</f>
        <v>0</v>
      </c>
      <c r="DL50" s="7" t="str">
        <f t="shared" si="32"/>
        <v/>
      </c>
      <c r="DM50" s="7" t="str">
        <f t="shared" si="33"/>
        <v/>
      </c>
      <c r="DN50" s="7">
        <f t="shared" si="34"/>
        <v>0</v>
      </c>
      <c r="DP50" s="7">
        <f t="shared" si="57"/>
        <v>0</v>
      </c>
      <c r="DQ50" s="7">
        <f t="shared" si="58"/>
        <v>0</v>
      </c>
      <c r="DR50" s="7">
        <f t="shared" si="59"/>
        <v>0</v>
      </c>
      <c r="DS50" s="7">
        <f t="shared" si="35"/>
        <v>0</v>
      </c>
      <c r="DT50" s="7">
        <f t="shared" si="60"/>
        <v>0</v>
      </c>
      <c r="DU50" s="7">
        <f t="shared" si="61"/>
        <v>0</v>
      </c>
      <c r="DV50" s="7">
        <f t="shared" si="36"/>
        <v>0</v>
      </c>
      <c r="DW50" s="7">
        <f>LARGE((DR50:DS50,DU50:DV50),1)</f>
        <v>0</v>
      </c>
      <c r="DX50" s="7">
        <f>IF(DA50&lt;2,0,LARGE((DR50:DS50,DU50:DV50),2))</f>
        <v>0</v>
      </c>
      <c r="DY50" s="7">
        <f t="shared" si="62"/>
        <v>0</v>
      </c>
      <c r="DZ50" s="7">
        <f t="shared" si="63"/>
        <v>0</v>
      </c>
      <c r="EA50" s="7">
        <f t="shared" si="64"/>
        <v>0</v>
      </c>
      <c r="EF50" s="7">
        <f t="shared" si="37"/>
        <v>0</v>
      </c>
      <c r="EH50" s="7">
        <f t="shared" si="38"/>
        <v>0</v>
      </c>
      <c r="EI50" s="7">
        <f>IF(EH50=0,0,COUNTIF($EH$16:EH50,"&gt;"&amp;0))</f>
        <v>0</v>
      </c>
    </row>
    <row r="51" spans="1:139" x14ac:dyDescent="0.3">
      <c r="A51" s="165">
        <v>50</v>
      </c>
      <c r="C51" s="7" t="s">
        <v>150</v>
      </c>
      <c r="D51" s="7">
        <v>1000</v>
      </c>
      <c r="E51" s="7">
        <v>0.25</v>
      </c>
      <c r="F51" s="7">
        <v>0.3</v>
      </c>
      <c r="G51" s="7">
        <v>0.1</v>
      </c>
      <c r="H51" s="7">
        <v>0.1</v>
      </c>
      <c r="M51" s="7">
        <v>1</v>
      </c>
      <c r="O51" s="7">
        <f t="shared" si="45"/>
        <v>1</v>
      </c>
      <c r="Q51" s="7">
        <f t="shared" si="22"/>
        <v>1.25</v>
      </c>
      <c r="R51" s="7">
        <f t="shared" si="23"/>
        <v>1.5</v>
      </c>
      <c r="S51" s="7">
        <f t="shared" si="9"/>
        <v>1</v>
      </c>
      <c r="T51" s="7">
        <f t="shared" si="10"/>
        <v>0</v>
      </c>
      <c r="U51" s="7">
        <f t="shared" si="24"/>
        <v>1</v>
      </c>
      <c r="V51" s="7">
        <f t="shared" ref="V51:V82" si="73">IF(AF51=12,$D51*E51/$AF$9,IF(OR(AF51=1,AF51=4),$D51*E51/200,IF(OR(AF51=2,AF51=9),$D51*E51/100,"자동")))</f>
        <v>1.25</v>
      </c>
      <c r="W51" s="7">
        <f t="shared" ref="W51:W82" si="74">IF(AG51=12,$D51*F51/$AG$9,IF(OR(AG51=1,AG51=4),$D51*F51/200,IF(OR(AG51=2,AG51=9),$D51*F51/100,"자동")))</f>
        <v>1.5</v>
      </c>
      <c r="X51" s="7">
        <f t="shared" ref="X51:X82" si="75">IF(AH51=12,$D51*G51/$AH$9,IF(AH51=42,$D51*G51/AC51,IF(OR(AH51=1,AH51=4,AH51=2),$D51*G51/100,IF(AH51=9,$D51*G51/50,"자동"))))</f>
        <v>1</v>
      </c>
      <c r="Y51" s="7">
        <f t="shared" ref="Y51:Y82" si="76">IF(AI51=12,$D51*H51/$AI$9,IF(AI51=42,$D51*H51/AC51,IF(OR(AI51=1,AI51=4,AI51=2),$D51*H51/100,IF(AI51=9,$D51*H51/50,"자동"))))</f>
        <v>1</v>
      </c>
      <c r="AA51" s="7">
        <f t="shared" ref="AA51:AA82" si="77">IF(AK51=12,$D51*J51/$AK$9,IF(AK51=42,$D51*J51/AD51,IF(OR(AK51=1,AK51=4,AK51=2),$D51*J51/100,IF(AK51=9,$D51*J51/50,"자동"))))</f>
        <v>0</v>
      </c>
      <c r="AB51" s="7">
        <f t="shared" ref="AB51:AB82" si="78">IF(AL51=12,$D51*K51/$AL$9,IF(AL51=42,$D51*K51/AD51,IF(OR(AL51=1,AL51=4,AL51=2),$D51*K51/100,IF(AL51=9,$D51*K51/50,"자동"))))</f>
        <v>0</v>
      </c>
      <c r="AC51" s="7">
        <f>INDEX('변표 테이블'!$C$86:$C$165,MATCH(O51,'변표 테이블'!$B$86:$B$165,0))</f>
        <v>71.13</v>
      </c>
      <c r="AD51" s="7">
        <f>INDEX('변표 테이블'!$D$86:$D$165,MATCH(O51,'변표 테이블'!$B$86:$B$165,0))</f>
        <v>66</v>
      </c>
      <c r="AF51" s="7">
        <v>1</v>
      </c>
      <c r="AG51" s="7">
        <v>1</v>
      </c>
      <c r="AH51" s="7">
        <v>4</v>
      </c>
      <c r="AI51" s="7">
        <v>4</v>
      </c>
      <c r="AK51" s="7">
        <v>4</v>
      </c>
      <c r="AL51" s="7">
        <v>4</v>
      </c>
      <c r="AM51" s="7">
        <v>3</v>
      </c>
      <c r="AN51" s="7">
        <v>3</v>
      </c>
      <c r="AP51" s="7">
        <f t="shared" si="25"/>
        <v>4</v>
      </c>
      <c r="BH51" s="121">
        <v>200</v>
      </c>
      <c r="BI51" s="7">
        <v>199</v>
      </c>
      <c r="BJ51" s="7">
        <v>197</v>
      </c>
      <c r="BK51" s="7">
        <v>190</v>
      </c>
      <c r="BL51" s="7">
        <v>180</v>
      </c>
      <c r="BM51" s="7">
        <v>140</v>
      </c>
      <c r="BN51" s="7">
        <v>90</v>
      </c>
      <c r="BO51" s="7">
        <v>20</v>
      </c>
      <c r="BP51" s="7">
        <v>0</v>
      </c>
      <c r="BQ51" s="121">
        <f>BH51/4</f>
        <v>50</v>
      </c>
      <c r="BR51" s="7">
        <f t="shared" si="65"/>
        <v>49.75</v>
      </c>
      <c r="BS51" s="7">
        <f t="shared" si="66"/>
        <v>49.25</v>
      </c>
      <c r="BT51" s="7">
        <f t="shared" si="67"/>
        <v>47.5</v>
      </c>
      <c r="BU51" s="7">
        <f t="shared" si="68"/>
        <v>45</v>
      </c>
      <c r="BV51" s="7">
        <f t="shared" si="69"/>
        <v>35</v>
      </c>
      <c r="BW51" s="7">
        <f t="shared" si="70"/>
        <v>22.5</v>
      </c>
      <c r="BX51" s="7">
        <f t="shared" si="71"/>
        <v>5</v>
      </c>
      <c r="BY51" s="7">
        <f t="shared" si="72"/>
        <v>0</v>
      </c>
      <c r="CI51" s="7">
        <f t="shared" si="26"/>
        <v>200</v>
      </c>
      <c r="CJ51" s="163">
        <f t="shared" si="27"/>
        <v>100</v>
      </c>
      <c r="CK51" s="7">
        <f t="shared" si="28"/>
        <v>50</v>
      </c>
      <c r="CL51" s="7">
        <v>2</v>
      </c>
      <c r="CR51" s="7">
        <v>1</v>
      </c>
      <c r="CZ51" s="7">
        <f t="shared" si="29"/>
        <v>1</v>
      </c>
      <c r="DA51" s="7">
        <f t="shared" si="30"/>
        <v>2</v>
      </c>
      <c r="DB51" s="7">
        <f t="shared" si="54"/>
        <v>0</v>
      </c>
      <c r="DC51" s="7">
        <f t="shared" si="31"/>
        <v>0</v>
      </c>
      <c r="DE51" s="7">
        <f t="shared" si="55"/>
        <v>0</v>
      </c>
      <c r="DF51" s="7">
        <f t="shared" si="56"/>
        <v>0</v>
      </c>
      <c r="DG51" s="7">
        <f>IFERROR(IF(LEFT($AP51,1)="4",INDEX('변표 테이블'!$H$86:$H$165,MATCH($O51,'변표 테이블'!$B$86:$B$165,0)),INDEX(DG$4:DG$8,MATCH(AH51,$DC$4:$DC$8,0))),0)</f>
        <v>0</v>
      </c>
      <c r="DH51" s="7">
        <f>IFERROR(IF(LEFT($AP51,1)="4",INDEX('변표 테이블'!$I$86:$I$165,MATCH($O51,'변표 테이블'!$B$86:$B$165,0)),INDEX(DH$4:DH$8,MATCH(AI51,$DC$4:$DC$8,0))),0)</f>
        <v>0</v>
      </c>
      <c r="DJ51" s="7">
        <f>IFERROR(IF(LEFT($AP51,1)="4",INDEX('변표 테이블'!$J$86:$J$165,MATCH($O51,'변표 테이블'!$B$86:$B$165,0)),INDEX(DI$4:DI$8,MATCH(AK51,$DC$4:$DC$8,0))),0)</f>
        <v>0</v>
      </c>
      <c r="DK51" s="7">
        <f>IFERROR(IF(LEFT($AP51,1)="4",INDEX('변표 테이블'!$K$86:$K$165,MATCH($O51,'변표 테이블'!$B$86:$B$165,0)),INDEX(DJ$4:DJ$8,MATCH(AL51,$DC$4:$DC$8,0))),0)</f>
        <v>0</v>
      </c>
      <c r="DL51" s="7" t="str">
        <f t="shared" si="32"/>
        <v/>
      </c>
      <c r="DM51" s="7" t="str">
        <f t="shared" si="33"/>
        <v/>
      </c>
      <c r="DN51" s="7">
        <f t="shared" si="34"/>
        <v>0</v>
      </c>
      <c r="DP51" s="7">
        <f t="shared" si="57"/>
        <v>0</v>
      </c>
      <c r="DQ51" s="7">
        <f t="shared" si="58"/>
        <v>0</v>
      </c>
      <c r="DR51" s="7">
        <f t="shared" si="59"/>
        <v>0</v>
      </c>
      <c r="DS51" s="7">
        <f t="shared" si="35"/>
        <v>0</v>
      </c>
      <c r="DT51" s="7">
        <f t="shared" si="60"/>
        <v>0</v>
      </c>
      <c r="DU51" s="7">
        <f t="shared" si="61"/>
        <v>0</v>
      </c>
      <c r="DV51" s="7">
        <f t="shared" si="36"/>
        <v>0</v>
      </c>
      <c r="DW51" s="7">
        <f>LARGE((DR51:DS51,DU51:DV51),1)</f>
        <v>0</v>
      </c>
      <c r="DX51" s="7">
        <f>IF(DA51&lt;2,0,LARGE((DR51:DS51,DU51:DV51),2))</f>
        <v>0</v>
      </c>
      <c r="DY51" s="7">
        <f t="shared" si="62"/>
        <v>0</v>
      </c>
      <c r="DZ51" s="7">
        <f t="shared" si="63"/>
        <v>0</v>
      </c>
      <c r="EA51" s="7">
        <f t="shared" si="64"/>
        <v>0</v>
      </c>
      <c r="EF51" s="7">
        <f t="shared" si="37"/>
        <v>0</v>
      </c>
      <c r="EH51" s="7">
        <f t="shared" si="38"/>
        <v>0</v>
      </c>
      <c r="EI51" s="7">
        <f>IF(EH51=0,0,COUNTIF($EH$16:EH51,"&gt;"&amp;0))</f>
        <v>0</v>
      </c>
    </row>
    <row r="52" spans="1:139" x14ac:dyDescent="0.3">
      <c r="A52" s="165">
        <v>51</v>
      </c>
      <c r="C52" s="7" t="s">
        <v>151</v>
      </c>
      <c r="D52" s="7">
        <v>1000</v>
      </c>
      <c r="E52" s="7">
        <v>0.25</v>
      </c>
      <c r="F52" s="7">
        <v>0.3</v>
      </c>
      <c r="G52" s="7">
        <v>0.1</v>
      </c>
      <c r="H52" s="7">
        <v>0.1</v>
      </c>
      <c r="J52" s="7">
        <v>0.1</v>
      </c>
      <c r="K52" s="7">
        <v>0.1</v>
      </c>
      <c r="M52" s="7">
        <v>1</v>
      </c>
      <c r="O52" s="7">
        <f t="shared" si="45"/>
        <v>1</v>
      </c>
      <c r="Q52" s="7">
        <f t="shared" si="22"/>
        <v>1.25</v>
      </c>
      <c r="R52" s="7">
        <f t="shared" si="23"/>
        <v>1.5</v>
      </c>
      <c r="S52" s="7">
        <f t="shared" si="9"/>
        <v>1</v>
      </c>
      <c r="T52" s="7">
        <f t="shared" si="10"/>
        <v>1</v>
      </c>
      <c r="U52" s="7">
        <f t="shared" si="24"/>
        <v>1</v>
      </c>
      <c r="V52" s="7">
        <f t="shared" si="73"/>
        <v>1.25</v>
      </c>
      <c r="W52" s="7">
        <f t="shared" si="74"/>
        <v>1.5</v>
      </c>
      <c r="X52" s="7">
        <f t="shared" si="75"/>
        <v>1</v>
      </c>
      <c r="Y52" s="7">
        <f t="shared" si="76"/>
        <v>1</v>
      </c>
      <c r="AA52" s="7">
        <f t="shared" si="77"/>
        <v>1</v>
      </c>
      <c r="AB52" s="7">
        <f t="shared" si="78"/>
        <v>1</v>
      </c>
      <c r="AC52" s="7">
        <f>INDEX('변표 테이블'!$C$86:$C$165,MATCH(O52,'변표 테이블'!$B$86:$B$165,0))</f>
        <v>71.13</v>
      </c>
      <c r="AD52" s="7">
        <f>INDEX('변표 테이블'!$D$86:$D$165,MATCH(O52,'변표 테이블'!$B$86:$B$165,0))</f>
        <v>66</v>
      </c>
      <c r="AF52" s="7">
        <v>1</v>
      </c>
      <c r="AG52" s="7">
        <v>1</v>
      </c>
      <c r="AH52" s="7">
        <v>4</v>
      </c>
      <c r="AI52" s="7">
        <v>4</v>
      </c>
      <c r="AK52" s="7">
        <v>4</v>
      </c>
      <c r="AL52" s="7">
        <v>4</v>
      </c>
      <c r="AM52" s="7">
        <v>3</v>
      </c>
      <c r="AN52" s="7">
        <v>3</v>
      </c>
      <c r="AP52" s="7">
        <f t="shared" si="25"/>
        <v>4</v>
      </c>
      <c r="BH52" s="121">
        <v>200</v>
      </c>
      <c r="BI52" s="7">
        <v>199</v>
      </c>
      <c r="BJ52" s="7">
        <v>197</v>
      </c>
      <c r="BK52" s="7">
        <v>190</v>
      </c>
      <c r="BL52" s="7">
        <v>180</v>
      </c>
      <c r="BM52" s="7">
        <v>140</v>
      </c>
      <c r="BN52" s="7">
        <v>90</v>
      </c>
      <c r="BO52" s="7">
        <v>20</v>
      </c>
      <c r="BP52" s="7">
        <v>0</v>
      </c>
      <c r="BQ52" s="121">
        <f>BH52/4</f>
        <v>50</v>
      </c>
      <c r="BR52" s="7">
        <f t="shared" si="65"/>
        <v>49.75</v>
      </c>
      <c r="BS52" s="7">
        <f t="shared" si="66"/>
        <v>49.25</v>
      </c>
      <c r="BT52" s="7">
        <f t="shared" si="67"/>
        <v>47.5</v>
      </c>
      <c r="BU52" s="7">
        <f t="shared" si="68"/>
        <v>45</v>
      </c>
      <c r="BV52" s="7">
        <f t="shared" si="69"/>
        <v>35</v>
      </c>
      <c r="BW52" s="7">
        <f t="shared" si="70"/>
        <v>22.5</v>
      </c>
      <c r="BX52" s="7">
        <f t="shared" si="71"/>
        <v>5</v>
      </c>
      <c r="BY52" s="7">
        <f t="shared" si="72"/>
        <v>0</v>
      </c>
      <c r="CI52" s="7">
        <f t="shared" si="26"/>
        <v>200</v>
      </c>
      <c r="CJ52" s="163">
        <f t="shared" si="27"/>
        <v>100</v>
      </c>
      <c r="CK52" s="7">
        <f t="shared" si="28"/>
        <v>50</v>
      </c>
      <c r="CN52" s="7">
        <v>2</v>
      </c>
      <c r="CY52" s="7">
        <v>1</v>
      </c>
      <c r="CZ52" s="7">
        <f t="shared" si="29"/>
        <v>1</v>
      </c>
      <c r="DA52" s="7">
        <f t="shared" si="30"/>
        <v>2</v>
      </c>
      <c r="DB52" s="7">
        <f t="shared" si="54"/>
        <v>0</v>
      </c>
      <c r="DC52" s="7">
        <f t="shared" si="31"/>
        <v>0</v>
      </c>
      <c r="DE52" s="7">
        <f t="shared" si="55"/>
        <v>0</v>
      </c>
      <c r="DF52" s="7">
        <f t="shared" si="56"/>
        <v>0</v>
      </c>
      <c r="DG52" s="7">
        <f>IFERROR(IF(LEFT($AP52,1)="4",INDEX('변표 테이블'!$H$86:$H$165,MATCH($O52,'변표 테이블'!$B$86:$B$165,0)),INDEX(DG$4:DG$8,MATCH(AH52,$DC$4:$DC$8,0))),0)</f>
        <v>0</v>
      </c>
      <c r="DH52" s="7">
        <f>IFERROR(IF(LEFT($AP52,1)="4",INDEX('변표 테이블'!$I$86:$I$165,MATCH($O52,'변표 테이블'!$B$86:$B$165,0)),INDEX(DH$4:DH$8,MATCH(AI52,$DC$4:$DC$8,0))),0)</f>
        <v>0</v>
      </c>
      <c r="DJ52" s="7">
        <f>IFERROR(IF(LEFT($AP52,1)="4",INDEX('변표 테이블'!$J$86:$J$165,MATCH($O52,'변표 테이블'!$B$86:$B$165,0)),INDEX(DI$4:DI$8,MATCH(AK52,$DC$4:$DC$8,0))),0)</f>
        <v>0</v>
      </c>
      <c r="DK52" s="7">
        <f>IFERROR(IF(LEFT($AP52,1)="4",INDEX('변표 테이블'!$K$86:$K$165,MATCH($O52,'변표 테이블'!$B$86:$B$165,0)),INDEX(DJ$4:DJ$8,MATCH(AL52,$DC$4:$DC$8,0))),0)</f>
        <v>0</v>
      </c>
      <c r="DL52" s="7" t="str">
        <f t="shared" si="32"/>
        <v/>
      </c>
      <c r="DM52" s="7" t="str">
        <f t="shared" si="33"/>
        <v/>
      </c>
      <c r="DN52" s="7">
        <f t="shared" si="34"/>
        <v>0</v>
      </c>
      <c r="DP52" s="7">
        <f t="shared" si="57"/>
        <v>0</v>
      </c>
      <c r="DQ52" s="7">
        <f t="shared" si="58"/>
        <v>0</v>
      </c>
      <c r="DR52" s="7">
        <f t="shared" si="59"/>
        <v>0</v>
      </c>
      <c r="DS52" s="7">
        <f t="shared" si="35"/>
        <v>0</v>
      </c>
      <c r="DT52" s="7">
        <f t="shared" si="60"/>
        <v>0</v>
      </c>
      <c r="DU52" s="7">
        <f t="shared" si="61"/>
        <v>0</v>
      </c>
      <c r="DV52" s="7">
        <f t="shared" si="36"/>
        <v>0</v>
      </c>
      <c r="DW52" s="7">
        <f>LARGE((DR52:DS52,DU52:DV52),1)</f>
        <v>0</v>
      </c>
      <c r="DX52" s="7">
        <f>IF(DA52&lt;2,0,LARGE((DR52:DS52,DU52:DV52),2))</f>
        <v>0</v>
      </c>
      <c r="DY52" s="7">
        <f t="shared" si="62"/>
        <v>0</v>
      </c>
      <c r="DZ52" s="7">
        <f t="shared" si="63"/>
        <v>0</v>
      </c>
      <c r="EA52" s="7">
        <f t="shared" si="64"/>
        <v>0</v>
      </c>
      <c r="EF52" s="7">
        <f t="shared" si="37"/>
        <v>0</v>
      </c>
      <c r="EH52" s="7">
        <f t="shared" si="38"/>
        <v>0</v>
      </c>
      <c r="EI52" s="7">
        <f>IF(EH52=0,0,COUNTIF($EH$16:EH52,"&gt;"&amp;0))</f>
        <v>0</v>
      </c>
    </row>
    <row r="53" spans="1:139" x14ac:dyDescent="0.3">
      <c r="A53" s="165">
        <v>52</v>
      </c>
      <c r="C53" s="7" t="s">
        <v>152</v>
      </c>
      <c r="D53" s="7">
        <v>200</v>
      </c>
      <c r="E53" s="7">
        <v>0.2</v>
      </c>
      <c r="F53" s="7">
        <v>0.35</v>
      </c>
      <c r="G53" s="7">
        <v>0.15</v>
      </c>
      <c r="H53" s="7">
        <v>0.15</v>
      </c>
      <c r="O53" s="7">
        <f t="shared" si="45"/>
        <v>0</v>
      </c>
      <c r="Q53" s="7">
        <f t="shared" si="22"/>
        <v>0.2</v>
      </c>
      <c r="R53" s="7">
        <f t="shared" si="23"/>
        <v>0.35</v>
      </c>
      <c r="S53" s="7">
        <f t="shared" si="9"/>
        <v>0.3</v>
      </c>
      <c r="T53" s="7" t="str">
        <f t="shared" si="10"/>
        <v>자동</v>
      </c>
      <c r="U53" s="7">
        <f t="shared" si="24"/>
        <v>0.3</v>
      </c>
      <c r="V53" s="7">
        <f t="shared" si="73"/>
        <v>0.2</v>
      </c>
      <c r="W53" s="7">
        <f t="shared" si="74"/>
        <v>0.35</v>
      </c>
      <c r="X53" s="7">
        <f t="shared" si="75"/>
        <v>0.3</v>
      </c>
      <c r="Y53" s="7">
        <f t="shared" si="76"/>
        <v>0.3</v>
      </c>
      <c r="AA53" s="7" t="str">
        <f t="shared" si="77"/>
        <v>자동</v>
      </c>
      <c r="AB53" s="7" t="str">
        <f t="shared" si="78"/>
        <v>자동</v>
      </c>
      <c r="AC53" s="7" t="e">
        <f>INDEX('변표 테이블'!$C$86:$C$165,MATCH(O53,'변표 테이블'!$B$86:$B$165,0))</f>
        <v>#N/A</v>
      </c>
      <c r="AD53" s="7" t="e">
        <f>INDEX('변표 테이블'!$D$86:$D$165,MATCH(O53,'변표 테이블'!$B$86:$B$165,0))</f>
        <v>#N/A</v>
      </c>
      <c r="AF53" s="7">
        <v>1</v>
      </c>
      <c r="AG53" s="7">
        <v>1</v>
      </c>
      <c r="AH53" s="7">
        <v>1</v>
      </c>
      <c r="AI53" s="7">
        <v>1</v>
      </c>
      <c r="AM53" s="7">
        <v>3</v>
      </c>
      <c r="AN53" s="7">
        <v>3</v>
      </c>
      <c r="AP53" s="7">
        <f t="shared" si="25"/>
        <v>1</v>
      </c>
      <c r="BH53" s="121">
        <f>200*0.15</f>
        <v>30</v>
      </c>
      <c r="BI53" s="7">
        <f>195*0.15</f>
        <v>29.25</v>
      </c>
      <c r="BJ53" s="7">
        <f>188*0.15</f>
        <v>28.2</v>
      </c>
      <c r="BK53" s="7">
        <f>179*0.15</f>
        <v>26.849999999999998</v>
      </c>
      <c r="BL53" s="7">
        <f>168*0.15</f>
        <v>25.2</v>
      </c>
      <c r="BM53" s="7">
        <f>155*0.15</f>
        <v>23.25</v>
      </c>
      <c r="BN53" s="7">
        <f>140*0.15</f>
        <v>21</v>
      </c>
      <c r="BO53" s="7">
        <f>123*0.15</f>
        <v>18.45</v>
      </c>
      <c r="BP53" s="7">
        <f>104*0.15</f>
        <v>15.6</v>
      </c>
      <c r="BQ53" s="121">
        <v>10</v>
      </c>
      <c r="BR53" s="7">
        <v>10</v>
      </c>
      <c r="BS53" s="7">
        <v>10</v>
      </c>
      <c r="BT53" s="7">
        <v>9.9</v>
      </c>
      <c r="BU53" s="7">
        <v>9.8000000000000007</v>
      </c>
      <c r="BV53" s="7">
        <v>9.6999999999999993</v>
      </c>
      <c r="BW53" s="7">
        <v>9.6</v>
      </c>
      <c r="BX53" s="7">
        <v>9.5</v>
      </c>
      <c r="BY53" s="7">
        <v>9.4</v>
      </c>
      <c r="CI53" s="7">
        <f t="shared" si="26"/>
        <v>30</v>
      </c>
      <c r="CJ53" s="163">
        <f t="shared" si="27"/>
        <v>100</v>
      </c>
      <c r="CK53" s="7">
        <f t="shared" si="28"/>
        <v>10</v>
      </c>
      <c r="CL53" s="7">
        <v>2</v>
      </c>
      <c r="CP53" s="7">
        <v>1</v>
      </c>
      <c r="CR53" s="7">
        <v>1</v>
      </c>
      <c r="CZ53" s="7">
        <f t="shared" si="29"/>
        <v>1</v>
      </c>
      <c r="DA53" s="7">
        <f t="shared" si="30"/>
        <v>2</v>
      </c>
      <c r="DB53" s="7">
        <f t="shared" si="54"/>
        <v>0</v>
      </c>
      <c r="DC53" s="7">
        <f t="shared" si="31"/>
        <v>0</v>
      </c>
      <c r="DE53" s="7">
        <f t="shared" si="55"/>
        <v>0</v>
      </c>
      <c r="DF53" s="7">
        <f t="shared" si="56"/>
        <v>0</v>
      </c>
      <c r="DG53" s="7">
        <f>IFERROR(IF(LEFT($AP53,1)="4",INDEX('변표 테이블'!$H$86:$H$165,MATCH($O53,'변표 테이블'!$B$86:$B$165,0)),INDEX(DG$4:DG$8,MATCH(AH53,$DC$4:$DC$8,0))),0)</f>
        <v>0</v>
      </c>
      <c r="DH53" s="7">
        <f>IFERROR(IF(LEFT($AP53,1)="4",INDEX('변표 테이블'!$I$86:$I$165,MATCH($O53,'변표 테이블'!$B$86:$B$165,0)),INDEX(DH$4:DH$8,MATCH(AI53,$DC$4:$DC$8,0))),0)</f>
        <v>0</v>
      </c>
      <c r="DJ53" s="7">
        <f>IFERROR(IF(LEFT($AP53,1)="4",INDEX('변표 테이블'!$J$86:$J$165,MATCH($O53,'변표 테이블'!$B$86:$B$165,0)),INDEX(DI$4:DI$8,MATCH(AK53,$DC$4:$DC$8,0))),0)</f>
        <v>0</v>
      </c>
      <c r="DK53" s="7">
        <f>IFERROR(IF(LEFT($AP53,1)="4",INDEX('변표 테이블'!$K$86:$K$165,MATCH($O53,'변표 테이블'!$B$86:$B$165,0)),INDEX(DJ$4:DJ$8,MATCH(AL53,$DC$4:$DC$8,0))),0)</f>
        <v>0</v>
      </c>
      <c r="DL53" s="7" t="str">
        <f t="shared" si="32"/>
        <v/>
      </c>
      <c r="DM53" s="7" t="str">
        <f t="shared" si="33"/>
        <v/>
      </c>
      <c r="DN53" s="7">
        <f t="shared" si="34"/>
        <v>0</v>
      </c>
      <c r="DP53" s="7">
        <f t="shared" si="57"/>
        <v>0</v>
      </c>
      <c r="DQ53" s="7">
        <f t="shared" si="58"/>
        <v>0</v>
      </c>
      <c r="DR53" s="7">
        <f t="shared" si="59"/>
        <v>0</v>
      </c>
      <c r="DS53" s="7">
        <f t="shared" si="35"/>
        <v>0</v>
      </c>
      <c r="DT53" s="7">
        <f t="shared" si="60"/>
        <v>0</v>
      </c>
      <c r="DU53" s="7">
        <f t="shared" si="61"/>
        <v>0</v>
      </c>
      <c r="DV53" s="7">
        <f t="shared" si="36"/>
        <v>0</v>
      </c>
      <c r="DW53" s="7">
        <f>LARGE((DR53:DS53,DU53:DV53),1)</f>
        <v>0</v>
      </c>
      <c r="DX53" s="7">
        <f>IF(DA53&lt;2,0,LARGE((DR53:DS53,DU53:DV53),2))</f>
        <v>0</v>
      </c>
      <c r="DY53" s="7">
        <f t="shared" si="62"/>
        <v>0</v>
      </c>
      <c r="DZ53" s="7">
        <f t="shared" si="63"/>
        <v>0</v>
      </c>
      <c r="EA53" s="7">
        <f t="shared" si="64"/>
        <v>0</v>
      </c>
      <c r="EF53" s="7">
        <f t="shared" si="37"/>
        <v>0</v>
      </c>
      <c r="EH53" s="7">
        <f t="shared" si="38"/>
        <v>0</v>
      </c>
      <c r="EI53" s="7">
        <f>IF(EH53=0,0,COUNTIF($EH$16:EH53,"&gt;"&amp;0))</f>
        <v>0</v>
      </c>
    </row>
    <row r="54" spans="1:139" x14ac:dyDescent="0.3">
      <c r="A54" s="165">
        <v>53</v>
      </c>
      <c r="C54" s="7" t="s">
        <v>153</v>
      </c>
      <c r="D54" s="7">
        <v>200</v>
      </c>
      <c r="E54" s="7">
        <v>0.3</v>
      </c>
      <c r="F54" s="7">
        <v>0.3</v>
      </c>
      <c r="G54" s="7">
        <v>0.125</v>
      </c>
      <c r="H54" s="7">
        <v>0.125</v>
      </c>
      <c r="J54" s="7">
        <v>0.125</v>
      </c>
      <c r="K54" s="7">
        <v>0.125</v>
      </c>
      <c r="O54" s="7">
        <f t="shared" si="45"/>
        <v>0</v>
      </c>
      <c r="Q54" s="7">
        <f t="shared" si="22"/>
        <v>0.3</v>
      </c>
      <c r="R54" s="7">
        <f t="shared" si="23"/>
        <v>0.3</v>
      </c>
      <c r="S54" s="7">
        <f t="shared" si="9"/>
        <v>0.25</v>
      </c>
      <c r="T54" s="7">
        <f t="shared" si="10"/>
        <v>0.25</v>
      </c>
      <c r="U54" s="7">
        <f t="shared" si="24"/>
        <v>0.25</v>
      </c>
      <c r="V54" s="7">
        <f t="shared" si="73"/>
        <v>0.3</v>
      </c>
      <c r="W54" s="7">
        <f t="shared" si="74"/>
        <v>0.3</v>
      </c>
      <c r="X54" s="7">
        <f t="shared" si="75"/>
        <v>0.25</v>
      </c>
      <c r="Y54" s="7">
        <f t="shared" si="76"/>
        <v>0.25</v>
      </c>
      <c r="AA54" s="7">
        <f t="shared" si="77"/>
        <v>0.25</v>
      </c>
      <c r="AB54" s="7">
        <f t="shared" si="78"/>
        <v>0.25</v>
      </c>
      <c r="AC54" s="7" t="e">
        <f>INDEX('변표 테이블'!$C$86:$C$165,MATCH(O54,'변표 테이블'!$B$86:$B$165,0))</f>
        <v>#N/A</v>
      </c>
      <c r="AD54" s="7" t="e">
        <f>INDEX('변표 테이블'!$D$86:$D$165,MATCH(O54,'변표 테이블'!$B$86:$B$165,0))</f>
        <v>#N/A</v>
      </c>
      <c r="AF54" s="7">
        <v>1</v>
      </c>
      <c r="AG54" s="7">
        <v>1</v>
      </c>
      <c r="AH54" s="7">
        <v>1</v>
      </c>
      <c r="AI54" s="7">
        <v>1</v>
      </c>
      <c r="AK54" s="7">
        <v>1</v>
      </c>
      <c r="AL54" s="7">
        <v>1</v>
      </c>
      <c r="AM54" s="7">
        <v>3</v>
      </c>
      <c r="AN54" s="7">
        <v>3</v>
      </c>
      <c r="AP54" s="7">
        <f t="shared" si="25"/>
        <v>1</v>
      </c>
      <c r="BH54" s="121">
        <f>200*0.15</f>
        <v>30</v>
      </c>
      <c r="BI54" s="7">
        <f>195*0.15</f>
        <v>29.25</v>
      </c>
      <c r="BJ54" s="7">
        <f>188*0.15</f>
        <v>28.2</v>
      </c>
      <c r="BK54" s="7">
        <f>179*0.15</f>
        <v>26.849999999999998</v>
      </c>
      <c r="BL54" s="7">
        <f>168*0.15</f>
        <v>25.2</v>
      </c>
      <c r="BM54" s="7">
        <f>155*0.15</f>
        <v>23.25</v>
      </c>
      <c r="BN54" s="7">
        <f>140*0.15</f>
        <v>21</v>
      </c>
      <c r="BO54" s="7">
        <f>123*0.15</f>
        <v>18.45</v>
      </c>
      <c r="BP54" s="7">
        <f>104*0.15</f>
        <v>15.6</v>
      </c>
      <c r="BQ54" s="121">
        <v>10</v>
      </c>
      <c r="BR54" s="7">
        <v>10</v>
      </c>
      <c r="BS54" s="7">
        <v>10</v>
      </c>
      <c r="BT54" s="7">
        <v>9.9</v>
      </c>
      <c r="BU54" s="7">
        <v>9.8000000000000007</v>
      </c>
      <c r="BV54" s="7">
        <v>9.6999999999999993</v>
      </c>
      <c r="BW54" s="7">
        <v>9.6</v>
      </c>
      <c r="BX54" s="7">
        <v>9.5</v>
      </c>
      <c r="BY54" s="7">
        <v>9.4</v>
      </c>
      <c r="CI54" s="7">
        <f t="shared" si="26"/>
        <v>30</v>
      </c>
      <c r="CJ54" s="163">
        <f t="shared" si="27"/>
        <v>100</v>
      </c>
      <c r="CK54" s="7">
        <f t="shared" si="28"/>
        <v>10</v>
      </c>
      <c r="CN54" s="7">
        <v>2</v>
      </c>
      <c r="CZ54" s="7">
        <f t="shared" si="29"/>
        <v>2</v>
      </c>
      <c r="DA54" s="7">
        <f t="shared" si="30"/>
        <v>2</v>
      </c>
      <c r="DB54" s="7">
        <f t="shared" si="54"/>
        <v>0</v>
      </c>
      <c r="DC54" s="7">
        <f t="shared" si="31"/>
        <v>0</v>
      </c>
      <c r="DE54" s="7">
        <f t="shared" si="55"/>
        <v>0</v>
      </c>
      <c r="DF54" s="7">
        <f t="shared" si="56"/>
        <v>0</v>
      </c>
      <c r="DG54" s="7">
        <f>IFERROR(IF(LEFT($AP54,1)="4",INDEX('변표 테이블'!$H$86:$H$165,MATCH($O54,'변표 테이블'!$B$86:$B$165,0)),INDEX(DG$4:DG$8,MATCH(AH54,$DC$4:$DC$8,0))),0)</f>
        <v>0</v>
      </c>
      <c r="DH54" s="7">
        <f>IFERROR(IF(LEFT($AP54,1)="4",INDEX('변표 테이블'!$I$86:$I$165,MATCH($O54,'변표 테이블'!$B$86:$B$165,0)),INDEX(DH$4:DH$8,MATCH(AI54,$DC$4:$DC$8,0))),0)</f>
        <v>0</v>
      </c>
      <c r="DJ54" s="7">
        <f>IFERROR(IF(LEFT($AP54,1)="4",INDEX('변표 테이블'!$J$86:$J$165,MATCH($O54,'변표 테이블'!$B$86:$B$165,0)),INDEX(DI$4:DI$8,MATCH(AK54,$DC$4:$DC$8,0))),0)</f>
        <v>0</v>
      </c>
      <c r="DK54" s="7">
        <f>IFERROR(IF(LEFT($AP54,1)="4",INDEX('변표 테이블'!$K$86:$K$165,MATCH($O54,'변표 테이블'!$B$86:$B$165,0)),INDEX(DJ$4:DJ$8,MATCH(AL54,$DC$4:$DC$8,0))),0)</f>
        <v>0</v>
      </c>
      <c r="DL54" s="7" t="str">
        <f t="shared" si="32"/>
        <v/>
      </c>
      <c r="DM54" s="7" t="str">
        <f t="shared" si="33"/>
        <v/>
      </c>
      <c r="DN54" s="7">
        <f t="shared" si="34"/>
        <v>0</v>
      </c>
      <c r="DP54" s="7">
        <f t="shared" si="57"/>
        <v>0</v>
      </c>
      <c r="DQ54" s="7">
        <f t="shared" si="58"/>
        <v>0</v>
      </c>
      <c r="DR54" s="7">
        <f t="shared" si="59"/>
        <v>0</v>
      </c>
      <c r="DS54" s="7">
        <f t="shared" si="35"/>
        <v>0</v>
      </c>
      <c r="DT54" s="7">
        <f t="shared" si="60"/>
        <v>0</v>
      </c>
      <c r="DU54" s="7">
        <f t="shared" si="61"/>
        <v>0</v>
      </c>
      <c r="DV54" s="7">
        <f t="shared" si="36"/>
        <v>0</v>
      </c>
      <c r="DW54" s="7">
        <f>LARGE((DR54:DS54,DU54:DV54),1)</f>
        <v>0</v>
      </c>
      <c r="DX54" s="7">
        <f>IF(DA54&lt;2,0,LARGE((DR54:DS54,DU54:DV54),2))</f>
        <v>0</v>
      </c>
      <c r="DY54" s="7">
        <f t="shared" si="62"/>
        <v>0</v>
      </c>
      <c r="DZ54" s="7">
        <f t="shared" si="63"/>
        <v>0</v>
      </c>
      <c r="EA54" s="7">
        <f t="shared" si="64"/>
        <v>0</v>
      </c>
      <c r="EF54" s="7">
        <f t="shared" si="37"/>
        <v>0</v>
      </c>
      <c r="EH54" s="7">
        <f t="shared" si="38"/>
        <v>0</v>
      </c>
      <c r="EI54" s="7">
        <f>IF(EH54=0,0,COUNTIF($EH$16:EH54,"&gt;"&amp;0))</f>
        <v>0</v>
      </c>
    </row>
    <row r="55" spans="1:139" x14ac:dyDescent="0.3">
      <c r="A55" s="165">
        <v>54</v>
      </c>
      <c r="C55" s="7" t="s">
        <v>154</v>
      </c>
      <c r="D55" s="7">
        <v>1000</v>
      </c>
      <c r="E55" s="7">
        <v>0.2</v>
      </c>
      <c r="F55" s="7">
        <v>0.3</v>
      </c>
      <c r="G55" s="7">
        <v>0.15</v>
      </c>
      <c r="H55" s="7">
        <v>0.15</v>
      </c>
      <c r="O55" s="7">
        <f t="shared" si="45"/>
        <v>0</v>
      </c>
      <c r="Q55" s="7">
        <f t="shared" si="22"/>
        <v>2</v>
      </c>
      <c r="R55" s="7">
        <f t="shared" si="23"/>
        <v>3</v>
      </c>
      <c r="S55" s="7">
        <f t="shared" si="9"/>
        <v>1.5</v>
      </c>
      <c r="T55" s="7" t="str">
        <f t="shared" si="10"/>
        <v>자동</v>
      </c>
      <c r="U55" s="7">
        <f t="shared" si="24"/>
        <v>3</v>
      </c>
      <c r="V55" s="7">
        <f t="shared" si="73"/>
        <v>2</v>
      </c>
      <c r="W55" s="7">
        <f t="shared" si="74"/>
        <v>3</v>
      </c>
      <c r="X55" s="7">
        <f t="shared" si="75"/>
        <v>1.5</v>
      </c>
      <c r="Y55" s="7">
        <f t="shared" si="76"/>
        <v>1.5</v>
      </c>
      <c r="AA55" s="7" t="str">
        <f t="shared" si="77"/>
        <v>자동</v>
      </c>
      <c r="AB55" s="7" t="str">
        <f t="shared" si="78"/>
        <v>자동</v>
      </c>
      <c r="AC55" s="7" t="e">
        <f>INDEX('변표 테이블'!$C$86:$C$165,MATCH(O55,'변표 테이블'!$B$86:$B$165,0))</f>
        <v>#N/A</v>
      </c>
      <c r="AD55" s="7" t="e">
        <f>INDEX('변표 테이블'!$D$86:$D$165,MATCH(O55,'변표 테이블'!$B$86:$B$165,0))</f>
        <v>#N/A</v>
      </c>
      <c r="AF55" s="7">
        <v>2</v>
      </c>
      <c r="AG55" s="7">
        <v>2</v>
      </c>
      <c r="AH55" s="7">
        <v>2</v>
      </c>
      <c r="AI55" s="7">
        <v>2</v>
      </c>
      <c r="AM55" s="7">
        <v>3</v>
      </c>
      <c r="AN55" s="7">
        <v>3</v>
      </c>
      <c r="AP55" s="7">
        <f t="shared" si="25"/>
        <v>2</v>
      </c>
      <c r="BH55" s="121">
        <v>200</v>
      </c>
      <c r="BI55" s="7">
        <v>196</v>
      </c>
      <c r="BJ55" s="7">
        <v>190</v>
      </c>
      <c r="BK55" s="7">
        <v>180</v>
      </c>
      <c r="BL55" s="7">
        <v>170</v>
      </c>
      <c r="BM55" s="7">
        <v>160</v>
      </c>
      <c r="BN55" s="7">
        <v>150</v>
      </c>
      <c r="BO55" s="7">
        <v>140</v>
      </c>
      <c r="BP55" s="7">
        <v>0</v>
      </c>
      <c r="BU55" s="7">
        <v>-0.2</v>
      </c>
      <c r="BV55" s="7">
        <v>-0.4</v>
      </c>
      <c r="BW55" s="7">
        <v>-0.6</v>
      </c>
      <c r="BX55" s="7">
        <v>-0.8</v>
      </c>
      <c r="BY55" s="7">
        <v>-1</v>
      </c>
      <c r="CI55" s="7">
        <f t="shared" si="26"/>
        <v>200</v>
      </c>
      <c r="CJ55" s="163">
        <f t="shared" si="27"/>
        <v>100</v>
      </c>
      <c r="CK55" s="7">
        <f t="shared" si="28"/>
        <v>0</v>
      </c>
      <c r="CL55" s="7">
        <v>2</v>
      </c>
      <c r="CP55" s="7">
        <v>1</v>
      </c>
      <c r="CR55" s="7">
        <v>1</v>
      </c>
      <c r="CZ55" s="7">
        <f t="shared" si="29"/>
        <v>1</v>
      </c>
      <c r="DA55" s="7">
        <f t="shared" si="30"/>
        <v>2</v>
      </c>
      <c r="DB55" s="7">
        <f t="shared" si="54"/>
        <v>0</v>
      </c>
      <c r="DC55" s="7">
        <f t="shared" si="31"/>
        <v>0</v>
      </c>
      <c r="DE55" s="7">
        <f t="shared" si="55"/>
        <v>0</v>
      </c>
      <c r="DF55" s="7">
        <f t="shared" si="56"/>
        <v>0</v>
      </c>
      <c r="DG55" s="7">
        <f>IFERROR(IF(LEFT($AP55,1)="4",INDEX('변표 테이블'!$H$86:$H$165,MATCH($O55,'변표 테이블'!$B$86:$B$165,0)),INDEX(DG$4:DG$8,MATCH(AH55,$DC$4:$DC$8,0))),0)</f>
        <v>0</v>
      </c>
      <c r="DH55" s="7">
        <f>IFERROR(IF(LEFT($AP55,1)="4",INDEX('변표 테이블'!$I$86:$I$165,MATCH($O55,'변표 테이블'!$B$86:$B$165,0)),INDEX(DH$4:DH$8,MATCH(AI55,$DC$4:$DC$8,0))),0)</f>
        <v>0</v>
      </c>
      <c r="DJ55" s="7">
        <f>IFERROR(IF(LEFT($AP55,1)="4",INDEX('변표 테이블'!$J$86:$J$165,MATCH($O55,'변표 테이블'!$B$86:$B$165,0)),INDEX(DI$4:DI$8,MATCH(AK55,$DC$4:$DC$8,0))),0)</f>
        <v>0</v>
      </c>
      <c r="DK55" s="7">
        <f>IFERROR(IF(LEFT($AP55,1)="4",INDEX('변표 테이블'!$K$86:$K$165,MATCH($O55,'변표 테이블'!$B$86:$B$165,0)),INDEX(DJ$4:DJ$8,MATCH(AL55,$DC$4:$DC$8,0))),0)</f>
        <v>0</v>
      </c>
      <c r="DL55" s="7" t="str">
        <f t="shared" si="32"/>
        <v/>
      </c>
      <c r="DM55" s="7" t="str">
        <f t="shared" si="33"/>
        <v/>
      </c>
      <c r="DN55" s="7">
        <f t="shared" si="34"/>
        <v>0</v>
      </c>
      <c r="DP55" s="7">
        <f t="shared" si="57"/>
        <v>0</v>
      </c>
      <c r="DQ55" s="7">
        <f t="shared" si="58"/>
        <v>0</v>
      </c>
      <c r="DR55" s="7">
        <f t="shared" si="59"/>
        <v>0</v>
      </c>
      <c r="DS55" s="7">
        <f t="shared" si="35"/>
        <v>0</v>
      </c>
      <c r="DT55" s="7">
        <f t="shared" si="60"/>
        <v>0</v>
      </c>
      <c r="DU55" s="7">
        <f t="shared" si="61"/>
        <v>0</v>
      </c>
      <c r="DV55" s="7">
        <f t="shared" si="36"/>
        <v>0</v>
      </c>
      <c r="DW55" s="7">
        <f>LARGE((DR55:DS55,DU55:DV55),1)</f>
        <v>0</v>
      </c>
      <c r="DX55" s="7">
        <f>IF(DA55&lt;2,0,LARGE((DR55:DS55,DU55:DV55),2))</f>
        <v>0</v>
      </c>
      <c r="DY55" s="7">
        <f t="shared" si="62"/>
        <v>0</v>
      </c>
      <c r="DZ55" s="7">
        <f t="shared" si="63"/>
        <v>0</v>
      </c>
      <c r="EA55" s="7">
        <f t="shared" si="64"/>
        <v>0</v>
      </c>
      <c r="EF55" s="7">
        <f t="shared" si="37"/>
        <v>0</v>
      </c>
      <c r="EH55" s="7">
        <f t="shared" si="38"/>
        <v>0</v>
      </c>
      <c r="EI55" s="7">
        <f>IF(EH55=0,0,COUNTIF($EH$16:EH55,"&gt;"&amp;0))</f>
        <v>0</v>
      </c>
    </row>
    <row r="56" spans="1:139" x14ac:dyDescent="0.3">
      <c r="A56" s="165">
        <v>55</v>
      </c>
      <c r="C56" s="7" t="s">
        <v>155</v>
      </c>
      <c r="D56" s="7">
        <v>1000</v>
      </c>
      <c r="E56" s="7">
        <v>0.3</v>
      </c>
      <c r="F56" s="7">
        <v>0.2</v>
      </c>
      <c r="G56" s="7">
        <v>0.15</v>
      </c>
      <c r="H56" s="7">
        <v>0.15</v>
      </c>
      <c r="J56" s="7">
        <v>0.15</v>
      </c>
      <c r="K56" s="7">
        <v>0.15</v>
      </c>
      <c r="O56" s="7">
        <f t="shared" si="45"/>
        <v>0</v>
      </c>
      <c r="Q56" s="7">
        <f t="shared" si="22"/>
        <v>3</v>
      </c>
      <c r="R56" s="7">
        <f t="shared" si="23"/>
        <v>2</v>
      </c>
      <c r="S56" s="7">
        <f t="shared" si="9"/>
        <v>1.5</v>
      </c>
      <c r="T56" s="7">
        <f t="shared" si="10"/>
        <v>1.5</v>
      </c>
      <c r="U56" s="7">
        <f t="shared" si="24"/>
        <v>3</v>
      </c>
      <c r="V56" s="7">
        <f t="shared" si="73"/>
        <v>3</v>
      </c>
      <c r="W56" s="7">
        <f t="shared" si="74"/>
        <v>2</v>
      </c>
      <c r="X56" s="7">
        <f t="shared" si="75"/>
        <v>1.5</v>
      </c>
      <c r="Y56" s="7">
        <f t="shared" si="76"/>
        <v>1.5</v>
      </c>
      <c r="AA56" s="7">
        <f t="shared" si="77"/>
        <v>1.5</v>
      </c>
      <c r="AB56" s="7">
        <f t="shared" si="78"/>
        <v>1.5</v>
      </c>
      <c r="AC56" s="7" t="e">
        <f>INDEX('변표 테이블'!$C$86:$C$165,MATCH(O56,'변표 테이블'!$B$86:$B$165,0))</f>
        <v>#N/A</v>
      </c>
      <c r="AD56" s="7" t="e">
        <f>INDEX('변표 테이블'!$D$86:$D$165,MATCH(O56,'변표 테이블'!$B$86:$B$165,0))</f>
        <v>#N/A</v>
      </c>
      <c r="AF56" s="7">
        <v>2</v>
      </c>
      <c r="AG56" s="7">
        <v>2</v>
      </c>
      <c r="AH56" s="7">
        <v>2</v>
      </c>
      <c r="AI56" s="7">
        <v>2</v>
      </c>
      <c r="AK56" s="7">
        <v>2</v>
      </c>
      <c r="AL56" s="7">
        <v>2</v>
      </c>
      <c r="AM56" s="7">
        <v>3</v>
      </c>
      <c r="AN56" s="7">
        <v>3</v>
      </c>
      <c r="AP56" s="7">
        <f t="shared" si="25"/>
        <v>2</v>
      </c>
      <c r="BH56" s="121">
        <v>200</v>
      </c>
      <c r="BI56" s="7">
        <v>196</v>
      </c>
      <c r="BJ56" s="7">
        <v>190</v>
      </c>
      <c r="BK56" s="7">
        <v>180</v>
      </c>
      <c r="BL56" s="7">
        <v>170</v>
      </c>
      <c r="BM56" s="7">
        <v>160</v>
      </c>
      <c r="BN56" s="7">
        <v>150</v>
      </c>
      <c r="BO56" s="7">
        <v>140</v>
      </c>
      <c r="BP56" s="7">
        <v>0</v>
      </c>
      <c r="BU56" s="7">
        <v>-0.2</v>
      </c>
      <c r="BV56" s="7">
        <v>-0.4</v>
      </c>
      <c r="BW56" s="7">
        <v>-0.6</v>
      </c>
      <c r="BX56" s="7">
        <v>-0.8</v>
      </c>
      <c r="BY56" s="7">
        <v>-1</v>
      </c>
      <c r="CI56" s="7">
        <f t="shared" si="26"/>
        <v>200</v>
      </c>
      <c r="CJ56" s="163">
        <f t="shared" si="27"/>
        <v>100</v>
      </c>
      <c r="CK56" s="7">
        <f t="shared" si="28"/>
        <v>0</v>
      </c>
      <c r="CN56" s="7">
        <v>2</v>
      </c>
      <c r="CZ56" s="7">
        <f t="shared" si="29"/>
        <v>2</v>
      </c>
      <c r="DA56" s="7">
        <f t="shared" si="30"/>
        <v>2</v>
      </c>
      <c r="DB56" s="7">
        <f t="shared" si="54"/>
        <v>0</v>
      </c>
      <c r="DC56" s="7">
        <f t="shared" si="31"/>
        <v>0</v>
      </c>
      <c r="DE56" s="7">
        <f t="shared" si="55"/>
        <v>0</v>
      </c>
      <c r="DF56" s="7">
        <f t="shared" si="56"/>
        <v>0</v>
      </c>
      <c r="DG56" s="7">
        <f>IFERROR(IF(LEFT($AP56,1)="4",INDEX('변표 테이블'!$H$86:$H$165,MATCH($O56,'변표 테이블'!$B$86:$B$165,0)),INDEX(DG$4:DG$8,MATCH(AH56,$DC$4:$DC$8,0))),0)</f>
        <v>0</v>
      </c>
      <c r="DH56" s="7">
        <f>IFERROR(IF(LEFT($AP56,1)="4",INDEX('변표 테이블'!$I$86:$I$165,MATCH($O56,'변표 테이블'!$B$86:$B$165,0)),INDEX(DH$4:DH$8,MATCH(AI56,$DC$4:$DC$8,0))),0)</f>
        <v>0</v>
      </c>
      <c r="DJ56" s="7">
        <f>IFERROR(IF(LEFT($AP56,1)="4",INDEX('변표 테이블'!$J$86:$J$165,MATCH($O56,'변표 테이블'!$B$86:$B$165,0)),INDEX(DI$4:DI$8,MATCH(AK56,$DC$4:$DC$8,0))),0)</f>
        <v>0</v>
      </c>
      <c r="DK56" s="7">
        <f>IFERROR(IF(LEFT($AP56,1)="4",INDEX('변표 테이블'!$K$86:$K$165,MATCH($O56,'변표 테이블'!$B$86:$B$165,0)),INDEX(DJ$4:DJ$8,MATCH(AL56,$DC$4:$DC$8,0))),0)</f>
        <v>0</v>
      </c>
      <c r="DL56" s="7" t="str">
        <f t="shared" si="32"/>
        <v/>
      </c>
      <c r="DM56" s="7" t="str">
        <f t="shared" si="33"/>
        <v/>
      </c>
      <c r="DN56" s="7">
        <f t="shared" si="34"/>
        <v>0</v>
      </c>
      <c r="DP56" s="7">
        <f t="shared" si="57"/>
        <v>0</v>
      </c>
      <c r="DQ56" s="7">
        <f t="shared" si="58"/>
        <v>0</v>
      </c>
      <c r="DR56" s="7">
        <f t="shared" si="59"/>
        <v>0</v>
      </c>
      <c r="DS56" s="7">
        <f t="shared" si="35"/>
        <v>0</v>
      </c>
      <c r="DT56" s="7">
        <f t="shared" si="60"/>
        <v>0</v>
      </c>
      <c r="DU56" s="7">
        <f t="shared" si="61"/>
        <v>0</v>
      </c>
      <c r="DV56" s="7">
        <f t="shared" si="36"/>
        <v>0</v>
      </c>
      <c r="DW56" s="7">
        <f>LARGE((DR56:DS56,DU56:DV56),1)</f>
        <v>0</v>
      </c>
      <c r="DX56" s="7">
        <f>IF(DA56&lt;2,0,LARGE((DR56:DS56,DU56:DV56),2))</f>
        <v>0</v>
      </c>
      <c r="DY56" s="7">
        <f t="shared" si="62"/>
        <v>0</v>
      </c>
      <c r="DZ56" s="7">
        <f t="shared" si="63"/>
        <v>0</v>
      </c>
      <c r="EA56" s="7">
        <f t="shared" si="64"/>
        <v>0</v>
      </c>
      <c r="EF56" s="7">
        <f t="shared" si="37"/>
        <v>0</v>
      </c>
      <c r="EH56" s="7">
        <f t="shared" si="38"/>
        <v>0</v>
      </c>
      <c r="EI56" s="7">
        <f>IF(EH56=0,0,COUNTIF($EH$16:EH56,"&gt;"&amp;0))</f>
        <v>0</v>
      </c>
    </row>
    <row r="57" spans="1:139" x14ac:dyDescent="0.3">
      <c r="A57" s="165">
        <v>56</v>
      </c>
      <c r="C57" s="7" t="s">
        <v>156</v>
      </c>
      <c r="D57" s="7">
        <v>1000</v>
      </c>
      <c r="E57" s="7">
        <v>0.2</v>
      </c>
      <c r="F57" s="7">
        <v>0.35</v>
      </c>
      <c r="G57" s="7">
        <v>0.125</v>
      </c>
      <c r="H57" s="7">
        <v>0.125</v>
      </c>
      <c r="M57" s="7">
        <v>1</v>
      </c>
      <c r="O57" s="7">
        <f t="shared" si="45"/>
        <v>1</v>
      </c>
      <c r="Q57" s="7">
        <f t="shared" si="22"/>
        <v>1.3422818791946309</v>
      </c>
      <c r="R57" s="7">
        <f t="shared" si="23"/>
        <v>2.3809523809523809</v>
      </c>
      <c r="S57" s="7">
        <f t="shared" si="9"/>
        <v>1.7573457050470971</v>
      </c>
      <c r="T57" s="7" t="str">
        <f t="shared" si="10"/>
        <v>자동</v>
      </c>
      <c r="U57" s="7">
        <f t="shared" si="24"/>
        <v>1.7573457050470971</v>
      </c>
      <c r="V57" s="7">
        <f t="shared" si="73"/>
        <v>1.3422818791946309</v>
      </c>
      <c r="W57" s="7">
        <f t="shared" si="74"/>
        <v>2.3809523809523809</v>
      </c>
      <c r="X57" s="7">
        <f t="shared" si="75"/>
        <v>1.7573457050470971</v>
      </c>
      <c r="Y57" s="7">
        <f t="shared" si="76"/>
        <v>1.7573457050470971</v>
      </c>
      <c r="AA57" s="7" t="str">
        <f t="shared" si="77"/>
        <v>자동</v>
      </c>
      <c r="AB57" s="7" t="str">
        <f t="shared" si="78"/>
        <v>자동</v>
      </c>
      <c r="AC57" s="7">
        <f>INDEX('변표 테이블'!$C$86:$C$165,MATCH(O57,'변표 테이블'!$B$86:$B$165,0))</f>
        <v>71.13</v>
      </c>
      <c r="AD57" s="7">
        <f>INDEX('변표 테이블'!$D$86:$D$165,MATCH(O57,'변표 테이블'!$B$86:$B$165,0))</f>
        <v>66</v>
      </c>
      <c r="AF57" s="7">
        <v>12</v>
      </c>
      <c r="AG57" s="7">
        <v>12</v>
      </c>
      <c r="AH57" s="7">
        <v>42</v>
      </c>
      <c r="AI57" s="7">
        <v>42</v>
      </c>
      <c r="AM57" s="7">
        <v>3</v>
      </c>
      <c r="AN57" s="7">
        <v>3</v>
      </c>
      <c r="AP57" s="7">
        <f t="shared" si="25"/>
        <v>42</v>
      </c>
      <c r="BH57" s="121">
        <v>200</v>
      </c>
      <c r="BI57" s="7">
        <v>194</v>
      </c>
      <c r="BJ57" s="7">
        <v>186</v>
      </c>
      <c r="BK57" s="7">
        <v>173</v>
      </c>
      <c r="BL57" s="7">
        <v>144</v>
      </c>
      <c r="BM57" s="7">
        <v>116</v>
      </c>
      <c r="BN57" s="7">
        <v>87</v>
      </c>
      <c r="BO57" s="7">
        <v>44</v>
      </c>
      <c r="BP57" s="7">
        <v>0</v>
      </c>
      <c r="BQ57" s="121">
        <v>4</v>
      </c>
      <c r="BR57" s="7">
        <v>3.5</v>
      </c>
      <c r="BS57" s="7">
        <v>3</v>
      </c>
      <c r="BT57" s="7">
        <v>2.5</v>
      </c>
      <c r="BU57" s="7">
        <v>2</v>
      </c>
      <c r="BV57" s="7">
        <v>1.5</v>
      </c>
      <c r="BW57" s="7">
        <v>1</v>
      </c>
      <c r="BX57" s="7">
        <v>0.5</v>
      </c>
      <c r="BY57" s="7">
        <v>0</v>
      </c>
      <c r="CI57" s="7">
        <f t="shared" si="26"/>
        <v>200</v>
      </c>
      <c r="CJ57" s="163">
        <f t="shared" si="27"/>
        <v>100</v>
      </c>
      <c r="CK57" s="7">
        <f t="shared" si="28"/>
        <v>4</v>
      </c>
      <c r="CL57" s="7">
        <v>2</v>
      </c>
      <c r="CP57" s="7">
        <v>1</v>
      </c>
      <c r="CR57" s="7">
        <v>1</v>
      </c>
      <c r="CZ57" s="7">
        <f t="shared" si="29"/>
        <v>1</v>
      </c>
      <c r="DA57" s="7">
        <f t="shared" si="30"/>
        <v>2</v>
      </c>
      <c r="DB57" s="7">
        <f t="shared" si="54"/>
        <v>0</v>
      </c>
      <c r="DC57" s="7">
        <f t="shared" si="31"/>
        <v>0</v>
      </c>
      <c r="DE57" s="7">
        <f t="shared" si="55"/>
        <v>0</v>
      </c>
      <c r="DF57" s="7">
        <f t="shared" si="56"/>
        <v>0</v>
      </c>
      <c r="DG57" s="7">
        <f>IFERROR(IF(LEFT($AP57,1)="4",INDEX('변표 테이블'!$H$86:$H$165,MATCH($O57,'변표 테이블'!$B$86:$B$165,0)),INDEX(DG$4:DG$8,MATCH(AH57,$DC$4:$DC$8,0))),0)</f>
        <v>0</v>
      </c>
      <c r="DH57" s="7">
        <f>IFERROR(IF(LEFT($AP57,1)="4",INDEX('변표 테이블'!$I$86:$I$165,MATCH($O57,'변표 테이블'!$B$86:$B$165,0)),INDEX(DH$4:DH$8,MATCH(AI57,$DC$4:$DC$8,0))),0)</f>
        <v>0</v>
      </c>
      <c r="DJ57" s="7">
        <f>IFERROR(IF(LEFT($AP57,1)="4",INDEX('변표 테이블'!$J$86:$J$165,MATCH($O57,'변표 테이블'!$B$86:$B$165,0)),INDEX(DI$4:DI$8,MATCH(AK57,$DC$4:$DC$8,0))),0)</f>
        <v>0</v>
      </c>
      <c r="DK57" s="7">
        <f>IFERROR(IF(LEFT($AP57,1)="4",INDEX('변표 테이블'!$K$86:$K$165,MATCH($O57,'변표 테이블'!$B$86:$B$165,0)),INDEX(DJ$4:DJ$8,MATCH(AL57,$DC$4:$DC$8,0))),0)</f>
        <v>0</v>
      </c>
      <c r="DL57" s="7" t="str">
        <f t="shared" si="32"/>
        <v/>
      </c>
      <c r="DM57" s="7" t="str">
        <f t="shared" si="33"/>
        <v/>
      </c>
      <c r="DN57" s="7">
        <f t="shared" si="34"/>
        <v>0</v>
      </c>
      <c r="DP57" s="7">
        <f t="shared" si="57"/>
        <v>0</v>
      </c>
      <c r="DQ57" s="7">
        <f t="shared" si="58"/>
        <v>0</v>
      </c>
      <c r="DR57" s="7">
        <f t="shared" si="59"/>
        <v>0</v>
      </c>
      <c r="DS57" s="7">
        <f t="shared" si="35"/>
        <v>0</v>
      </c>
      <c r="DT57" s="7">
        <f t="shared" si="60"/>
        <v>0</v>
      </c>
      <c r="DU57" s="7">
        <f t="shared" si="61"/>
        <v>0</v>
      </c>
      <c r="DV57" s="7">
        <f t="shared" si="36"/>
        <v>0</v>
      </c>
      <c r="DW57" s="7">
        <f>LARGE((DR57:DS57,DU57:DV57),1)</f>
        <v>0</v>
      </c>
      <c r="DX57" s="7">
        <f>IF(DA57&lt;2,0,LARGE((DR57:DS57,DU57:DV57),2))</f>
        <v>0</v>
      </c>
      <c r="DY57" s="7">
        <f t="shared" si="62"/>
        <v>0</v>
      </c>
      <c r="DZ57" s="7">
        <f t="shared" si="63"/>
        <v>0</v>
      </c>
      <c r="EA57" s="7">
        <f t="shared" si="64"/>
        <v>0</v>
      </c>
      <c r="EF57" s="7">
        <f t="shared" si="37"/>
        <v>0</v>
      </c>
      <c r="EH57" s="7">
        <f t="shared" si="38"/>
        <v>0</v>
      </c>
      <c r="EI57" s="7">
        <f>IF(EH57=0,0,COUNTIF($EH$16:EH57,"&gt;"&amp;0))</f>
        <v>0</v>
      </c>
    </row>
    <row r="58" spans="1:139" x14ac:dyDescent="0.3">
      <c r="A58" s="165">
        <v>57</v>
      </c>
      <c r="C58" s="7" t="s">
        <v>460</v>
      </c>
      <c r="D58" s="7">
        <v>1000</v>
      </c>
      <c r="E58" s="7">
        <v>0.2</v>
      </c>
      <c r="F58" s="7">
        <v>0.35</v>
      </c>
      <c r="G58" s="7">
        <v>0.125</v>
      </c>
      <c r="H58" s="7">
        <v>0.125</v>
      </c>
      <c r="J58" s="7">
        <v>0.125</v>
      </c>
      <c r="K58" s="7">
        <v>0.125</v>
      </c>
      <c r="M58" s="7">
        <v>1</v>
      </c>
      <c r="O58" s="7">
        <f t="shared" si="45"/>
        <v>1</v>
      </c>
      <c r="Q58" s="7">
        <f t="shared" si="22"/>
        <v>1.3422818791946309</v>
      </c>
      <c r="R58" s="7">
        <f t="shared" si="23"/>
        <v>2.3809523809523809</v>
      </c>
      <c r="S58" s="7">
        <f t="shared" si="9"/>
        <v>1.7573457050470971</v>
      </c>
      <c r="T58" s="7">
        <f t="shared" si="10"/>
        <v>1.893939393939394</v>
      </c>
      <c r="U58" s="7">
        <f t="shared" si="24"/>
        <v>1.893939393939394</v>
      </c>
      <c r="V58" s="7">
        <f t="shared" si="73"/>
        <v>1.3422818791946309</v>
      </c>
      <c r="W58" s="7">
        <f t="shared" si="74"/>
        <v>2.3809523809523809</v>
      </c>
      <c r="X58" s="7">
        <f t="shared" si="75"/>
        <v>1.7573457050470971</v>
      </c>
      <c r="Y58" s="7">
        <f t="shared" si="76"/>
        <v>1.7573457050470971</v>
      </c>
      <c r="AA58" s="7">
        <f t="shared" si="77"/>
        <v>1.893939393939394</v>
      </c>
      <c r="AB58" s="7">
        <f t="shared" si="78"/>
        <v>1.893939393939394</v>
      </c>
      <c r="AC58" s="7">
        <f>INDEX('변표 테이블'!$C$86:$C$165,MATCH(O58,'변표 테이블'!$B$86:$B$165,0))</f>
        <v>71.13</v>
      </c>
      <c r="AD58" s="7">
        <f>INDEX('변표 테이블'!$D$86:$D$165,MATCH(O58,'변표 테이블'!$B$86:$B$165,0))</f>
        <v>66</v>
      </c>
      <c r="AF58" s="7">
        <v>12</v>
      </c>
      <c r="AG58" s="7">
        <v>12</v>
      </c>
      <c r="AH58" s="7">
        <v>42</v>
      </c>
      <c r="AI58" s="7">
        <v>42</v>
      </c>
      <c r="AK58" s="7">
        <v>42</v>
      </c>
      <c r="AL58" s="7">
        <v>42</v>
      </c>
      <c r="AM58" s="7">
        <v>3</v>
      </c>
      <c r="AN58" s="7">
        <v>3</v>
      </c>
      <c r="AP58" s="7">
        <f t="shared" si="25"/>
        <v>42</v>
      </c>
      <c r="AR58" s="7">
        <v>0.05</v>
      </c>
      <c r="AS58" s="7">
        <v>0.05</v>
      </c>
      <c r="AT58" s="7">
        <v>2.5000000000000001E-2</v>
      </c>
      <c r="AU58" s="7">
        <v>2.5000000000000001E-2</v>
      </c>
      <c r="BA58" s="7">
        <f>BA5*AR58</f>
        <v>0</v>
      </c>
      <c r="BB58" s="7">
        <f>BB5*AS58</f>
        <v>0</v>
      </c>
      <c r="BC58" s="7">
        <f>AH6*AT58</f>
        <v>0</v>
      </c>
      <c r="BD58" s="7">
        <f>AI6*AU58</f>
        <v>0</v>
      </c>
      <c r="BH58" s="121">
        <v>200</v>
      </c>
      <c r="BI58" s="7">
        <v>194</v>
      </c>
      <c r="BJ58" s="7">
        <v>186</v>
      </c>
      <c r="BK58" s="7">
        <v>173</v>
      </c>
      <c r="BL58" s="7">
        <v>144</v>
      </c>
      <c r="BM58" s="7">
        <v>116</v>
      </c>
      <c r="BN58" s="7">
        <v>87</v>
      </c>
      <c r="BO58" s="7">
        <v>44</v>
      </c>
      <c r="BP58" s="7">
        <v>0</v>
      </c>
      <c r="BQ58" s="121">
        <v>4</v>
      </c>
      <c r="BR58" s="7">
        <v>3.5</v>
      </c>
      <c r="BS58" s="7">
        <v>3</v>
      </c>
      <c r="BT58" s="7">
        <v>2.5</v>
      </c>
      <c r="BU58" s="7">
        <v>2</v>
      </c>
      <c r="BV58" s="7">
        <v>1.5</v>
      </c>
      <c r="BW58" s="7">
        <v>1</v>
      </c>
      <c r="BX58" s="7">
        <v>0.5</v>
      </c>
      <c r="BY58" s="7">
        <v>0</v>
      </c>
      <c r="CI58" s="7">
        <f t="shared" si="26"/>
        <v>200</v>
      </c>
      <c r="CJ58" s="163">
        <f t="shared" si="27"/>
        <v>100</v>
      </c>
      <c r="CK58" s="7">
        <f t="shared" si="28"/>
        <v>4</v>
      </c>
      <c r="CN58" s="7">
        <v>2</v>
      </c>
      <c r="CY58" s="7">
        <v>1</v>
      </c>
      <c r="CZ58" s="7">
        <f t="shared" si="29"/>
        <v>1</v>
      </c>
      <c r="DA58" s="7">
        <f t="shared" si="30"/>
        <v>2</v>
      </c>
      <c r="DB58" s="7">
        <f t="shared" si="54"/>
        <v>0</v>
      </c>
      <c r="DC58" s="7">
        <f t="shared" si="31"/>
        <v>0</v>
      </c>
      <c r="DE58" s="7">
        <f t="shared" si="55"/>
        <v>0</v>
      </c>
      <c r="DF58" s="7">
        <f t="shared" si="56"/>
        <v>0</v>
      </c>
      <c r="DG58" s="7">
        <f>IFERROR(IF(LEFT($AP58,1)="4",INDEX('변표 테이블'!$H$86:$H$165,MATCH($O58,'변표 테이블'!$B$86:$B$165,0)),INDEX(DG$4:DG$8,MATCH(AH58,$DC$4:$DC$8,0))),0)</f>
        <v>0</v>
      </c>
      <c r="DH58" s="7">
        <f>IFERROR(IF(LEFT($AP58,1)="4",INDEX('변표 테이블'!$I$86:$I$165,MATCH($O58,'변표 테이블'!$B$86:$B$165,0)),INDEX(DH$4:DH$8,MATCH(AI58,$DC$4:$DC$8,0))),0)</f>
        <v>0</v>
      </c>
      <c r="DJ58" s="7">
        <f>IFERROR(IF(LEFT($AP58,1)="4",INDEX('변표 테이블'!$J$86:$J$165,MATCH($O58,'변표 테이블'!$B$86:$B$165,0)),INDEX(DI$4:DI$8,MATCH(AK58,$DC$4:$DC$8,0))),0)</f>
        <v>0</v>
      </c>
      <c r="DK58" s="7">
        <f>IFERROR(IF(LEFT($AP58,1)="4",INDEX('변표 테이블'!$K$86:$K$165,MATCH($O58,'변표 테이블'!$B$86:$B$165,0)),INDEX(DJ$4:DJ$8,MATCH(AL58,$DC$4:$DC$8,0))),0)</f>
        <v>0</v>
      </c>
      <c r="DL58" s="7" t="str">
        <f t="shared" si="32"/>
        <v/>
      </c>
      <c r="DM58" s="7" t="str">
        <f t="shared" si="33"/>
        <v/>
      </c>
      <c r="DN58" s="7">
        <f t="shared" si="34"/>
        <v>0</v>
      </c>
      <c r="DP58" s="7">
        <f t="shared" si="57"/>
        <v>0</v>
      </c>
      <c r="DQ58" s="7">
        <f t="shared" si="58"/>
        <v>0</v>
      </c>
      <c r="DR58" s="7">
        <f t="shared" si="59"/>
        <v>0</v>
      </c>
      <c r="DS58" s="7">
        <f t="shared" si="35"/>
        <v>0</v>
      </c>
      <c r="DT58" s="7">
        <f t="shared" si="60"/>
        <v>0</v>
      </c>
      <c r="DU58" s="7">
        <f t="shared" si="61"/>
        <v>0</v>
      </c>
      <c r="DV58" s="7">
        <f t="shared" si="36"/>
        <v>0</v>
      </c>
      <c r="DW58" s="7">
        <f>LARGE((DR58:DS58,DU58:DV58),1)</f>
        <v>0</v>
      </c>
      <c r="DX58" s="7">
        <f>IF(DA58&lt;2,0,LARGE((DR58:DS58,DU58:DV58),2))</f>
        <v>0</v>
      </c>
      <c r="DY58" s="7">
        <f t="shared" si="62"/>
        <v>0</v>
      </c>
      <c r="DZ58" s="7">
        <f t="shared" si="63"/>
        <v>0</v>
      </c>
      <c r="EA58" s="7">
        <f t="shared" si="64"/>
        <v>0</v>
      </c>
      <c r="EF58" s="7">
        <f t="shared" si="37"/>
        <v>0</v>
      </c>
      <c r="EH58" s="7">
        <f t="shared" si="38"/>
        <v>1</v>
      </c>
      <c r="EI58" s="7">
        <f>IF(EH58=0,0,COUNTIF($EH$16:EH58,"&gt;"&amp;0))</f>
        <v>2</v>
      </c>
    </row>
    <row r="59" spans="1:139" x14ac:dyDescent="0.3">
      <c r="A59" s="165">
        <v>58</v>
      </c>
      <c r="C59" s="7" t="s">
        <v>157</v>
      </c>
      <c r="D59" s="7">
        <v>1000</v>
      </c>
      <c r="E59" s="7">
        <v>0.35</v>
      </c>
      <c r="F59" s="7">
        <v>0.25</v>
      </c>
      <c r="G59" s="7">
        <v>0.1</v>
      </c>
      <c r="H59" s="7">
        <v>0.1</v>
      </c>
      <c r="J59" s="7">
        <v>0.1</v>
      </c>
      <c r="K59" s="7">
        <v>0.1</v>
      </c>
      <c r="M59" s="7">
        <v>1</v>
      </c>
      <c r="O59" s="7">
        <f t="shared" si="45"/>
        <v>1</v>
      </c>
      <c r="Q59" s="7">
        <f t="shared" si="22"/>
        <v>2.348993288590604</v>
      </c>
      <c r="R59" s="7">
        <f t="shared" si="23"/>
        <v>1.7006802721088434</v>
      </c>
      <c r="S59" s="7">
        <f t="shared" si="9"/>
        <v>1.4058765640376776</v>
      </c>
      <c r="T59" s="7">
        <f t="shared" si="10"/>
        <v>1.5151515151515151</v>
      </c>
      <c r="U59" s="7">
        <f t="shared" si="24"/>
        <v>1.5151515151515151</v>
      </c>
      <c r="V59" s="7">
        <f t="shared" si="73"/>
        <v>2.348993288590604</v>
      </c>
      <c r="W59" s="7">
        <f t="shared" si="74"/>
        <v>1.7006802721088434</v>
      </c>
      <c r="X59" s="7">
        <f t="shared" si="75"/>
        <v>1.4058765640376776</v>
      </c>
      <c r="Y59" s="7">
        <f t="shared" si="76"/>
        <v>1.4058765640376776</v>
      </c>
      <c r="AA59" s="7">
        <f t="shared" si="77"/>
        <v>1.5151515151515151</v>
      </c>
      <c r="AB59" s="7">
        <f t="shared" si="78"/>
        <v>1.5151515151515151</v>
      </c>
      <c r="AC59" s="7">
        <f>INDEX('변표 테이블'!$C$86:$C$165,MATCH(O59,'변표 테이블'!$B$86:$B$165,0))</f>
        <v>71.13</v>
      </c>
      <c r="AD59" s="7">
        <f>INDEX('변표 테이블'!$D$86:$D$165,MATCH(O59,'변표 테이블'!$B$86:$B$165,0))</f>
        <v>66</v>
      </c>
      <c r="AF59" s="7">
        <v>12</v>
      </c>
      <c r="AG59" s="7">
        <v>12</v>
      </c>
      <c r="AH59" s="7">
        <v>42</v>
      </c>
      <c r="AI59" s="7">
        <v>42</v>
      </c>
      <c r="AK59" s="7">
        <v>42</v>
      </c>
      <c r="AL59" s="7">
        <v>42</v>
      </c>
      <c r="AM59" s="7">
        <v>3</v>
      </c>
      <c r="AN59" s="7">
        <v>3</v>
      </c>
      <c r="AP59" s="7">
        <f t="shared" si="25"/>
        <v>42</v>
      </c>
      <c r="BH59" s="121">
        <v>200</v>
      </c>
      <c r="BI59" s="7">
        <v>194</v>
      </c>
      <c r="BJ59" s="7">
        <v>186</v>
      </c>
      <c r="BK59" s="7">
        <v>173</v>
      </c>
      <c r="BL59" s="7">
        <v>144</v>
      </c>
      <c r="BM59" s="7">
        <v>116</v>
      </c>
      <c r="BN59" s="7">
        <v>87</v>
      </c>
      <c r="BO59" s="7">
        <v>44</v>
      </c>
      <c r="BP59" s="7">
        <v>0</v>
      </c>
      <c r="BQ59" s="121">
        <v>4</v>
      </c>
      <c r="BR59" s="7">
        <v>3.5</v>
      </c>
      <c r="BS59" s="7">
        <v>3</v>
      </c>
      <c r="BT59" s="7">
        <v>2.5</v>
      </c>
      <c r="BU59" s="7">
        <v>2</v>
      </c>
      <c r="BV59" s="7">
        <v>1.5</v>
      </c>
      <c r="BW59" s="7">
        <v>1</v>
      </c>
      <c r="BX59" s="7">
        <v>0.5</v>
      </c>
      <c r="BY59" s="7">
        <v>0</v>
      </c>
      <c r="CI59" s="7">
        <f t="shared" si="26"/>
        <v>200</v>
      </c>
      <c r="CJ59" s="163">
        <f t="shared" si="27"/>
        <v>100</v>
      </c>
      <c r="CK59" s="7">
        <f t="shared" si="28"/>
        <v>4</v>
      </c>
      <c r="CN59" s="7">
        <v>2</v>
      </c>
      <c r="CZ59" s="7">
        <f t="shared" si="29"/>
        <v>2</v>
      </c>
      <c r="DA59" s="7">
        <f t="shared" si="30"/>
        <v>2</v>
      </c>
      <c r="DB59" s="7">
        <f t="shared" si="54"/>
        <v>0</v>
      </c>
      <c r="DC59" s="7">
        <f t="shared" si="31"/>
        <v>0</v>
      </c>
      <c r="DE59" s="7">
        <f t="shared" si="55"/>
        <v>0</v>
      </c>
      <c r="DF59" s="7">
        <f t="shared" si="56"/>
        <v>0</v>
      </c>
      <c r="DG59" s="7">
        <f>IFERROR(IF(LEFT($AP59,1)="4",INDEX('변표 테이블'!$H$86:$H$165,MATCH($O59,'변표 테이블'!$B$86:$B$165,0)),INDEX(DG$4:DG$8,MATCH(AH59,$DC$4:$DC$8,0))),0)</f>
        <v>0</v>
      </c>
      <c r="DH59" s="7">
        <f>IFERROR(IF(LEFT($AP59,1)="4",INDEX('변표 테이블'!$I$86:$I$165,MATCH($O59,'변표 테이블'!$B$86:$B$165,0)),INDEX(DH$4:DH$8,MATCH(AI59,$DC$4:$DC$8,0))),0)</f>
        <v>0</v>
      </c>
      <c r="DJ59" s="7">
        <f>IFERROR(IF(LEFT($AP59,1)="4",INDEX('변표 테이블'!$J$86:$J$165,MATCH($O59,'변표 테이블'!$B$86:$B$165,0)),INDEX(DI$4:DI$8,MATCH(AK59,$DC$4:$DC$8,0))),0)</f>
        <v>0</v>
      </c>
      <c r="DK59" s="7">
        <f>IFERROR(IF(LEFT($AP59,1)="4",INDEX('변표 테이블'!$K$86:$K$165,MATCH($O59,'변표 테이블'!$B$86:$B$165,0)),INDEX(DJ$4:DJ$8,MATCH(AL59,$DC$4:$DC$8,0))),0)</f>
        <v>0</v>
      </c>
      <c r="DL59" s="7" t="str">
        <f t="shared" si="32"/>
        <v/>
      </c>
      <c r="DM59" s="7" t="str">
        <f t="shared" si="33"/>
        <v/>
      </c>
      <c r="DN59" s="7">
        <f t="shared" si="34"/>
        <v>0</v>
      </c>
      <c r="DP59" s="7">
        <f t="shared" si="57"/>
        <v>0</v>
      </c>
      <c r="DQ59" s="7">
        <f t="shared" si="58"/>
        <v>0</v>
      </c>
      <c r="DR59" s="7">
        <f t="shared" si="59"/>
        <v>0</v>
      </c>
      <c r="DS59" s="7">
        <f t="shared" si="35"/>
        <v>0</v>
      </c>
      <c r="DT59" s="7">
        <f t="shared" si="60"/>
        <v>0</v>
      </c>
      <c r="DU59" s="7">
        <f t="shared" si="61"/>
        <v>0</v>
      </c>
      <c r="DV59" s="7">
        <f t="shared" si="36"/>
        <v>0</v>
      </c>
      <c r="DW59" s="7">
        <f>LARGE((DR59:DS59,DU59:DV59),1)</f>
        <v>0</v>
      </c>
      <c r="DX59" s="7">
        <f>IF(DA59&lt;2,0,LARGE((DR59:DS59,DU59:DV59),2))</f>
        <v>0</v>
      </c>
      <c r="DY59" s="7">
        <f t="shared" si="62"/>
        <v>0</v>
      </c>
      <c r="DZ59" s="7">
        <f t="shared" si="63"/>
        <v>0</v>
      </c>
      <c r="EA59" s="7">
        <f t="shared" si="64"/>
        <v>0</v>
      </c>
      <c r="EF59" s="7">
        <f t="shared" si="37"/>
        <v>0</v>
      </c>
      <c r="EH59" s="7">
        <f t="shared" si="38"/>
        <v>0</v>
      </c>
      <c r="EI59" s="7">
        <f>IF(EH59=0,0,COUNTIF($EH$16:EH59,"&gt;"&amp;0))</f>
        <v>0</v>
      </c>
    </row>
    <row r="60" spans="1:139" x14ac:dyDescent="0.3">
      <c r="A60" s="165">
        <v>59</v>
      </c>
      <c r="C60" s="7" t="s">
        <v>158</v>
      </c>
      <c r="D60" s="7">
        <v>1000</v>
      </c>
      <c r="E60" s="7">
        <v>0.25</v>
      </c>
      <c r="F60" s="7">
        <v>0.35</v>
      </c>
      <c r="G60" s="7">
        <v>0.1</v>
      </c>
      <c r="H60" s="7">
        <v>0.1</v>
      </c>
      <c r="J60" s="7">
        <v>0.1</v>
      </c>
      <c r="K60" s="7">
        <v>0.1</v>
      </c>
      <c r="M60" s="7">
        <v>1</v>
      </c>
      <c r="O60" s="7">
        <f t="shared" si="45"/>
        <v>1</v>
      </c>
      <c r="Q60" s="7">
        <f t="shared" si="22"/>
        <v>1.6778523489932886</v>
      </c>
      <c r="R60" s="7">
        <f t="shared" si="23"/>
        <v>2.3809523809523809</v>
      </c>
      <c r="S60" s="7">
        <f t="shared" si="9"/>
        <v>1.4058765640376776</v>
      </c>
      <c r="T60" s="7">
        <f t="shared" si="10"/>
        <v>1.5151515151515151</v>
      </c>
      <c r="U60" s="7">
        <f t="shared" si="24"/>
        <v>1.5151515151515151</v>
      </c>
      <c r="V60" s="7">
        <f t="shared" si="73"/>
        <v>1.6778523489932886</v>
      </c>
      <c r="W60" s="7">
        <f t="shared" si="74"/>
        <v>2.3809523809523809</v>
      </c>
      <c r="X60" s="7">
        <f t="shared" si="75"/>
        <v>1.4058765640376776</v>
      </c>
      <c r="Y60" s="7">
        <f t="shared" si="76"/>
        <v>1.4058765640376776</v>
      </c>
      <c r="AA60" s="7">
        <f t="shared" si="77"/>
        <v>1.5151515151515151</v>
      </c>
      <c r="AB60" s="7">
        <f t="shared" si="78"/>
        <v>1.5151515151515151</v>
      </c>
      <c r="AC60" s="7">
        <f>INDEX('변표 테이블'!$C$86:$C$165,MATCH(O60,'변표 테이블'!$B$86:$B$165,0))</f>
        <v>71.13</v>
      </c>
      <c r="AD60" s="7">
        <f>INDEX('변표 테이블'!$D$86:$D$165,MATCH(O60,'변표 테이블'!$B$86:$B$165,0))</f>
        <v>66</v>
      </c>
      <c r="AF60" s="7">
        <v>12</v>
      </c>
      <c r="AG60" s="7">
        <v>12</v>
      </c>
      <c r="AH60" s="7">
        <v>42</v>
      </c>
      <c r="AI60" s="7">
        <v>42</v>
      </c>
      <c r="AK60" s="7">
        <v>42</v>
      </c>
      <c r="AL60" s="7">
        <v>42</v>
      </c>
      <c r="AM60" s="7">
        <v>3</v>
      </c>
      <c r="AN60" s="7">
        <v>3</v>
      </c>
      <c r="AP60" s="7">
        <f t="shared" si="25"/>
        <v>42</v>
      </c>
      <c r="BH60" s="121">
        <v>200</v>
      </c>
      <c r="BI60" s="7">
        <v>194</v>
      </c>
      <c r="BJ60" s="7">
        <v>186</v>
      </c>
      <c r="BK60" s="7">
        <v>173</v>
      </c>
      <c r="BL60" s="7">
        <v>144</v>
      </c>
      <c r="BM60" s="7">
        <v>116</v>
      </c>
      <c r="BN60" s="7">
        <v>87</v>
      </c>
      <c r="BO60" s="7">
        <v>44</v>
      </c>
      <c r="BP60" s="7">
        <v>0</v>
      </c>
      <c r="BQ60" s="121">
        <v>4</v>
      </c>
      <c r="BR60" s="7">
        <v>3.5</v>
      </c>
      <c r="BS60" s="7">
        <v>3</v>
      </c>
      <c r="BT60" s="7">
        <v>2.5</v>
      </c>
      <c r="BU60" s="7">
        <v>2</v>
      </c>
      <c r="BV60" s="7">
        <v>1.5</v>
      </c>
      <c r="BW60" s="7">
        <v>1</v>
      </c>
      <c r="BX60" s="7">
        <v>0.5</v>
      </c>
      <c r="BY60" s="7">
        <v>0</v>
      </c>
      <c r="CI60" s="7">
        <f t="shared" si="26"/>
        <v>200</v>
      </c>
      <c r="CJ60" s="163">
        <f t="shared" si="27"/>
        <v>100</v>
      </c>
      <c r="CK60" s="7">
        <f t="shared" si="28"/>
        <v>4</v>
      </c>
      <c r="CN60" s="7">
        <v>2</v>
      </c>
      <c r="CZ60" s="7">
        <f t="shared" si="29"/>
        <v>2</v>
      </c>
      <c r="DA60" s="7">
        <f t="shared" si="30"/>
        <v>2</v>
      </c>
      <c r="DB60" s="7">
        <f t="shared" si="54"/>
        <v>0</v>
      </c>
      <c r="DC60" s="7">
        <f t="shared" si="31"/>
        <v>0</v>
      </c>
      <c r="DE60" s="7">
        <f t="shared" si="55"/>
        <v>0</v>
      </c>
      <c r="DF60" s="7">
        <f t="shared" si="56"/>
        <v>0</v>
      </c>
      <c r="DG60" s="7">
        <f>IFERROR(IF(LEFT($AP60,1)="4",INDEX('변표 테이블'!$H$86:$H$165,MATCH($O60,'변표 테이블'!$B$86:$B$165,0)),INDEX(DG$4:DG$8,MATCH(AH60,$DC$4:$DC$8,0))),0)</f>
        <v>0</v>
      </c>
      <c r="DH60" s="7">
        <f>IFERROR(IF(LEFT($AP60,1)="4",INDEX('변표 테이블'!$I$86:$I$165,MATCH($O60,'변표 테이블'!$B$86:$B$165,0)),INDEX(DH$4:DH$8,MATCH(AI60,$DC$4:$DC$8,0))),0)</f>
        <v>0</v>
      </c>
      <c r="DJ60" s="7">
        <f>IFERROR(IF(LEFT($AP60,1)="4",INDEX('변표 테이블'!$J$86:$J$165,MATCH($O60,'변표 테이블'!$B$86:$B$165,0)),INDEX(DI$4:DI$8,MATCH(AK60,$DC$4:$DC$8,0))),0)</f>
        <v>0</v>
      </c>
      <c r="DK60" s="7">
        <f>IFERROR(IF(LEFT($AP60,1)="4",INDEX('변표 테이블'!$K$86:$K$165,MATCH($O60,'변표 테이블'!$B$86:$B$165,0)),INDEX(DJ$4:DJ$8,MATCH(AL60,$DC$4:$DC$8,0))),0)</f>
        <v>0</v>
      </c>
      <c r="DL60" s="7" t="str">
        <f t="shared" si="32"/>
        <v/>
      </c>
      <c r="DM60" s="7" t="str">
        <f t="shared" si="33"/>
        <v/>
      </c>
      <c r="DN60" s="7">
        <f t="shared" si="34"/>
        <v>0</v>
      </c>
      <c r="DP60" s="7">
        <f t="shared" si="57"/>
        <v>0</v>
      </c>
      <c r="DQ60" s="7">
        <f t="shared" si="58"/>
        <v>0</v>
      </c>
      <c r="DR60" s="7">
        <f t="shared" si="59"/>
        <v>0</v>
      </c>
      <c r="DS60" s="7">
        <f t="shared" si="35"/>
        <v>0</v>
      </c>
      <c r="DT60" s="7">
        <f t="shared" si="60"/>
        <v>0</v>
      </c>
      <c r="DU60" s="7">
        <f t="shared" si="61"/>
        <v>0</v>
      </c>
      <c r="DV60" s="7">
        <f t="shared" si="36"/>
        <v>0</v>
      </c>
      <c r="DW60" s="7">
        <f>LARGE((DR60:DS60,DU60:DV60),1)</f>
        <v>0</v>
      </c>
      <c r="DX60" s="7">
        <f>IF(DA60&lt;2,0,LARGE((DR60:DS60,DU60:DV60),2))</f>
        <v>0</v>
      </c>
      <c r="DY60" s="7">
        <f t="shared" si="62"/>
        <v>0</v>
      </c>
      <c r="DZ60" s="7">
        <f t="shared" si="63"/>
        <v>0</v>
      </c>
      <c r="EA60" s="7">
        <f t="shared" si="64"/>
        <v>0</v>
      </c>
      <c r="EF60" s="7">
        <f t="shared" si="37"/>
        <v>0</v>
      </c>
      <c r="EH60" s="7">
        <f t="shared" si="38"/>
        <v>0</v>
      </c>
      <c r="EI60" s="7">
        <f>IF(EH60=0,0,COUNTIF($EH$16:EH60,"&gt;"&amp;0))</f>
        <v>0</v>
      </c>
    </row>
    <row r="61" spans="1:139" x14ac:dyDescent="0.3">
      <c r="A61" s="165">
        <v>60</v>
      </c>
      <c r="C61" s="7" t="s">
        <v>159</v>
      </c>
      <c r="D61" s="7">
        <v>1000</v>
      </c>
      <c r="E61" s="7">
        <v>0.2</v>
      </c>
      <c r="F61" s="7">
        <v>0.35</v>
      </c>
      <c r="G61" s="7">
        <v>0.125</v>
      </c>
      <c r="H61" s="7">
        <v>0.125</v>
      </c>
      <c r="M61" s="7">
        <v>1</v>
      </c>
      <c r="O61" s="7">
        <f t="shared" si="45"/>
        <v>1</v>
      </c>
      <c r="Q61" s="7">
        <f t="shared" si="22"/>
        <v>1</v>
      </c>
      <c r="R61" s="7">
        <f t="shared" si="23"/>
        <v>1.75</v>
      </c>
      <c r="S61" s="7">
        <f t="shared" si="9"/>
        <v>1.25</v>
      </c>
      <c r="T61" s="7">
        <f t="shared" si="10"/>
        <v>0</v>
      </c>
      <c r="U61" s="7">
        <f t="shared" si="24"/>
        <v>1.25</v>
      </c>
      <c r="V61" s="7">
        <f t="shared" si="73"/>
        <v>1</v>
      </c>
      <c r="W61" s="7">
        <f t="shared" si="74"/>
        <v>1.75</v>
      </c>
      <c r="X61" s="7">
        <f t="shared" si="75"/>
        <v>1.25</v>
      </c>
      <c r="Y61" s="7">
        <f t="shared" si="76"/>
        <v>1.25</v>
      </c>
      <c r="AA61" s="7">
        <f t="shared" si="77"/>
        <v>0</v>
      </c>
      <c r="AB61" s="7">
        <f t="shared" si="78"/>
        <v>0</v>
      </c>
      <c r="AC61" s="7">
        <f>INDEX('변표 테이블'!$C$86:$C$165,MATCH(O61,'변표 테이블'!$B$86:$B$165,0))</f>
        <v>71.13</v>
      </c>
      <c r="AD61" s="7">
        <f>INDEX('변표 테이블'!$D$86:$D$165,MATCH(O61,'변표 테이블'!$B$86:$B$165,0))</f>
        <v>66</v>
      </c>
      <c r="AF61" s="7">
        <v>1</v>
      </c>
      <c r="AG61" s="7">
        <v>1</v>
      </c>
      <c r="AH61" s="7">
        <v>4</v>
      </c>
      <c r="AI61" s="7">
        <v>4</v>
      </c>
      <c r="AK61" s="7">
        <v>4</v>
      </c>
      <c r="AL61" s="7">
        <v>4</v>
      </c>
      <c r="AM61" s="7">
        <v>3</v>
      </c>
      <c r="AN61" s="7">
        <v>3</v>
      </c>
      <c r="AP61" s="7">
        <f t="shared" si="25"/>
        <v>4</v>
      </c>
      <c r="BH61" s="121">
        <v>200</v>
      </c>
      <c r="BI61" s="7">
        <v>195</v>
      </c>
      <c r="BJ61" s="7">
        <v>190</v>
      </c>
      <c r="BK61" s="7">
        <v>180</v>
      </c>
      <c r="BL61" s="7">
        <v>160</v>
      </c>
      <c r="BM61" s="7">
        <v>140</v>
      </c>
      <c r="BN61" s="7">
        <v>120</v>
      </c>
      <c r="BO61" s="7">
        <v>100</v>
      </c>
      <c r="BP61" s="7">
        <v>0</v>
      </c>
      <c r="BQ61" s="121">
        <v>10</v>
      </c>
      <c r="BR61" s="7">
        <v>10</v>
      </c>
      <c r="BS61" s="7">
        <v>10</v>
      </c>
      <c r="BT61" s="7">
        <v>9.8000000000000007</v>
      </c>
      <c r="BU61" s="7">
        <v>9.6</v>
      </c>
      <c r="BV61" s="7">
        <v>9.4</v>
      </c>
      <c r="BW61" s="7">
        <v>9.1999999999999993</v>
      </c>
      <c r="BX61" s="7">
        <v>9</v>
      </c>
      <c r="BY61" s="7">
        <v>8.7999999999999901</v>
      </c>
      <c r="CI61" s="7">
        <f t="shared" si="26"/>
        <v>200</v>
      </c>
      <c r="CJ61" s="163">
        <f t="shared" si="27"/>
        <v>100</v>
      </c>
      <c r="CK61" s="7">
        <f t="shared" si="28"/>
        <v>10</v>
      </c>
      <c r="CL61" s="7">
        <v>2</v>
      </c>
      <c r="CP61" s="7">
        <v>1</v>
      </c>
      <c r="CR61" s="7">
        <v>1</v>
      </c>
      <c r="CZ61" s="7">
        <f t="shared" si="29"/>
        <v>1</v>
      </c>
      <c r="DA61" s="7">
        <f t="shared" si="30"/>
        <v>2</v>
      </c>
      <c r="DB61" s="7">
        <f t="shared" si="54"/>
        <v>0</v>
      </c>
      <c r="DC61" s="7">
        <f t="shared" si="31"/>
        <v>0</v>
      </c>
      <c r="DE61" s="7">
        <f t="shared" si="55"/>
        <v>0</v>
      </c>
      <c r="DF61" s="7">
        <f t="shared" si="56"/>
        <v>0</v>
      </c>
      <c r="DG61" s="7">
        <f>IFERROR(IF(LEFT($AP61,1)="4",INDEX('변표 테이블'!$H$86:$H$165,MATCH($O61,'변표 테이블'!$B$86:$B$165,0)),INDEX(DG$4:DG$8,MATCH(AH61,$DC$4:$DC$8,0))),0)</f>
        <v>0</v>
      </c>
      <c r="DH61" s="7">
        <f>IFERROR(IF(LEFT($AP61,1)="4",INDEX('변표 테이블'!$I$86:$I$165,MATCH($O61,'변표 테이블'!$B$86:$B$165,0)),INDEX(DH$4:DH$8,MATCH(AI61,$DC$4:$DC$8,0))),0)</f>
        <v>0</v>
      </c>
      <c r="DJ61" s="7">
        <f>IFERROR(IF(LEFT($AP61,1)="4",INDEX('변표 테이블'!$J$86:$J$165,MATCH($O61,'변표 테이블'!$B$86:$B$165,0)),INDEX(DI$4:DI$8,MATCH(AK61,$DC$4:$DC$8,0))),0)</f>
        <v>0</v>
      </c>
      <c r="DK61" s="7">
        <f>IFERROR(IF(LEFT($AP61,1)="4",INDEX('변표 테이블'!$K$86:$K$165,MATCH($O61,'변표 테이블'!$B$86:$B$165,0)),INDEX(DJ$4:DJ$8,MATCH(AL61,$DC$4:$DC$8,0))),0)</f>
        <v>0</v>
      </c>
      <c r="DL61" s="7" t="str">
        <f t="shared" si="32"/>
        <v/>
      </c>
      <c r="DM61" s="7" t="str">
        <f t="shared" si="33"/>
        <v/>
      </c>
      <c r="DN61" s="7">
        <f t="shared" si="34"/>
        <v>0</v>
      </c>
      <c r="DP61" s="7">
        <f t="shared" si="57"/>
        <v>0</v>
      </c>
      <c r="DQ61" s="7">
        <f t="shared" si="58"/>
        <v>0</v>
      </c>
      <c r="DR61" s="7">
        <f t="shared" si="59"/>
        <v>0</v>
      </c>
      <c r="DS61" s="7">
        <f t="shared" si="35"/>
        <v>0</v>
      </c>
      <c r="DT61" s="7">
        <f t="shared" si="60"/>
        <v>0</v>
      </c>
      <c r="DU61" s="7">
        <f t="shared" si="61"/>
        <v>0</v>
      </c>
      <c r="DV61" s="7">
        <f t="shared" si="36"/>
        <v>0</v>
      </c>
      <c r="DW61" s="7">
        <f>LARGE((DR61:DS61,DU61:DV61),1)</f>
        <v>0</v>
      </c>
      <c r="DX61" s="7">
        <f>IF(DA61&lt;2,0,LARGE((DR61:DS61,DU61:DV61),2))</f>
        <v>0</v>
      </c>
      <c r="DY61" s="7">
        <f t="shared" si="62"/>
        <v>0</v>
      </c>
      <c r="DZ61" s="7">
        <f t="shared" si="63"/>
        <v>0</v>
      </c>
      <c r="EA61" s="7">
        <f t="shared" si="64"/>
        <v>0</v>
      </c>
      <c r="EF61" s="7">
        <f t="shared" si="37"/>
        <v>0</v>
      </c>
      <c r="EH61" s="7">
        <f t="shared" si="38"/>
        <v>0</v>
      </c>
      <c r="EI61" s="7">
        <f>IF(EH61=0,0,COUNTIF($EH$16:EH61,"&gt;"&amp;0))</f>
        <v>0</v>
      </c>
    </row>
    <row r="62" spans="1:139" x14ac:dyDescent="0.3">
      <c r="A62" s="165">
        <v>61</v>
      </c>
      <c r="C62" s="7" t="s">
        <v>160</v>
      </c>
      <c r="D62" s="7">
        <v>1000</v>
      </c>
      <c r="E62" s="7">
        <v>0.3</v>
      </c>
      <c r="F62" s="7">
        <v>0.3</v>
      </c>
      <c r="G62" s="7">
        <v>0.1</v>
      </c>
      <c r="H62" s="7">
        <v>0.1</v>
      </c>
      <c r="J62" s="7">
        <v>0.1</v>
      </c>
      <c r="K62" s="7">
        <v>0.1</v>
      </c>
      <c r="M62" s="7">
        <v>1</v>
      </c>
      <c r="O62" s="7">
        <f t="shared" si="45"/>
        <v>1</v>
      </c>
      <c r="Q62" s="7">
        <f t="shared" si="22"/>
        <v>1.5</v>
      </c>
      <c r="R62" s="7">
        <f t="shared" si="23"/>
        <v>1.5</v>
      </c>
      <c r="S62" s="7">
        <f t="shared" si="9"/>
        <v>1</v>
      </c>
      <c r="T62" s="7">
        <f t="shared" si="10"/>
        <v>1</v>
      </c>
      <c r="U62" s="7">
        <f t="shared" si="24"/>
        <v>1</v>
      </c>
      <c r="V62" s="7">
        <f t="shared" si="73"/>
        <v>1.5</v>
      </c>
      <c r="W62" s="7">
        <f t="shared" si="74"/>
        <v>1.5</v>
      </c>
      <c r="X62" s="7">
        <f t="shared" si="75"/>
        <v>1</v>
      </c>
      <c r="Y62" s="7">
        <f t="shared" si="76"/>
        <v>1</v>
      </c>
      <c r="AA62" s="7">
        <f t="shared" si="77"/>
        <v>1</v>
      </c>
      <c r="AB62" s="7">
        <f t="shared" si="78"/>
        <v>1</v>
      </c>
      <c r="AC62" s="7">
        <f>INDEX('변표 테이블'!$C$86:$C$165,MATCH(O62,'변표 테이블'!$B$86:$B$165,0))</f>
        <v>71.13</v>
      </c>
      <c r="AD62" s="7">
        <f>INDEX('변표 테이블'!$D$86:$D$165,MATCH(O62,'변표 테이블'!$B$86:$B$165,0))</f>
        <v>66</v>
      </c>
      <c r="AF62" s="7">
        <v>1</v>
      </c>
      <c r="AG62" s="7">
        <v>1</v>
      </c>
      <c r="AH62" s="7">
        <v>4</v>
      </c>
      <c r="AI62" s="7">
        <v>4</v>
      </c>
      <c r="AK62" s="7">
        <v>4</v>
      </c>
      <c r="AL62" s="7">
        <v>4</v>
      </c>
      <c r="AM62" s="7">
        <v>3</v>
      </c>
      <c r="AN62" s="7">
        <v>3</v>
      </c>
      <c r="AP62" s="7">
        <f t="shared" si="25"/>
        <v>4</v>
      </c>
      <c r="BH62" s="121">
        <v>200</v>
      </c>
      <c r="BI62" s="7">
        <v>195</v>
      </c>
      <c r="BJ62" s="7">
        <v>190</v>
      </c>
      <c r="BK62" s="7">
        <v>180</v>
      </c>
      <c r="BL62" s="7">
        <v>160</v>
      </c>
      <c r="BM62" s="7">
        <v>140</v>
      </c>
      <c r="BN62" s="7">
        <v>120</v>
      </c>
      <c r="BO62" s="7">
        <v>100</v>
      </c>
      <c r="BP62" s="7">
        <v>0</v>
      </c>
      <c r="BQ62" s="121">
        <v>10</v>
      </c>
      <c r="BR62" s="7">
        <v>10</v>
      </c>
      <c r="BS62" s="7">
        <v>10</v>
      </c>
      <c r="BT62" s="7">
        <v>9.8000000000000007</v>
      </c>
      <c r="BU62" s="7">
        <v>9.6</v>
      </c>
      <c r="BV62" s="7">
        <v>9.4</v>
      </c>
      <c r="BW62" s="7">
        <v>9.1999999999999993</v>
      </c>
      <c r="BX62" s="7">
        <v>9</v>
      </c>
      <c r="BY62" s="7">
        <v>8.7999999999999901</v>
      </c>
      <c r="CI62" s="7">
        <f t="shared" si="26"/>
        <v>200</v>
      </c>
      <c r="CJ62" s="163">
        <f t="shared" si="27"/>
        <v>100</v>
      </c>
      <c r="CK62" s="7">
        <f t="shared" si="28"/>
        <v>10</v>
      </c>
      <c r="CN62" s="7">
        <v>2</v>
      </c>
      <c r="CZ62" s="7">
        <f t="shared" si="29"/>
        <v>2</v>
      </c>
      <c r="DA62" s="7">
        <f t="shared" si="30"/>
        <v>2</v>
      </c>
      <c r="DB62" s="7">
        <f t="shared" si="54"/>
        <v>0</v>
      </c>
      <c r="DC62" s="7">
        <f t="shared" si="31"/>
        <v>0</v>
      </c>
      <c r="DE62" s="7">
        <f t="shared" si="55"/>
        <v>0</v>
      </c>
      <c r="DF62" s="7">
        <f t="shared" si="56"/>
        <v>0</v>
      </c>
      <c r="DG62" s="7">
        <f>IFERROR(IF(LEFT($AP62,1)="4",INDEX('변표 테이블'!$H$86:$H$165,MATCH($O62,'변표 테이블'!$B$86:$B$165,0)),INDEX(DG$4:DG$8,MATCH(AH62,$DC$4:$DC$8,0))),0)</f>
        <v>0</v>
      </c>
      <c r="DH62" s="7">
        <f>IFERROR(IF(LEFT($AP62,1)="4",INDEX('변표 테이블'!$I$86:$I$165,MATCH($O62,'변표 테이블'!$B$86:$B$165,0)),INDEX(DH$4:DH$8,MATCH(AI62,$DC$4:$DC$8,0))),0)</f>
        <v>0</v>
      </c>
      <c r="DJ62" s="7">
        <f>IFERROR(IF(LEFT($AP62,1)="4",INDEX('변표 테이블'!$J$86:$J$165,MATCH($O62,'변표 테이블'!$B$86:$B$165,0)),INDEX(DI$4:DI$8,MATCH(AK62,$DC$4:$DC$8,0))),0)</f>
        <v>0</v>
      </c>
      <c r="DK62" s="7">
        <f>IFERROR(IF(LEFT($AP62,1)="4",INDEX('변표 테이블'!$K$86:$K$165,MATCH($O62,'변표 테이블'!$B$86:$B$165,0)),INDEX(DJ$4:DJ$8,MATCH(AL62,$DC$4:$DC$8,0))),0)</f>
        <v>0</v>
      </c>
      <c r="DL62" s="7" t="str">
        <f t="shared" si="32"/>
        <v/>
      </c>
      <c r="DM62" s="7" t="str">
        <f t="shared" si="33"/>
        <v/>
      </c>
      <c r="DN62" s="7">
        <f t="shared" si="34"/>
        <v>0</v>
      </c>
      <c r="DP62" s="7">
        <f t="shared" si="57"/>
        <v>0</v>
      </c>
      <c r="DQ62" s="7">
        <f t="shared" si="58"/>
        <v>0</v>
      </c>
      <c r="DR62" s="7">
        <f t="shared" si="59"/>
        <v>0</v>
      </c>
      <c r="DS62" s="7">
        <f t="shared" si="35"/>
        <v>0</v>
      </c>
      <c r="DT62" s="7">
        <f t="shared" si="60"/>
        <v>0</v>
      </c>
      <c r="DU62" s="7">
        <f t="shared" si="61"/>
        <v>0</v>
      </c>
      <c r="DV62" s="7">
        <f t="shared" si="36"/>
        <v>0</v>
      </c>
      <c r="DW62" s="7">
        <f>LARGE((DR62:DS62,DU62:DV62),1)</f>
        <v>0</v>
      </c>
      <c r="DX62" s="7">
        <f>IF(DA62&lt;2,0,LARGE((DR62:DS62,DU62:DV62),2))</f>
        <v>0</v>
      </c>
      <c r="DY62" s="7">
        <f t="shared" si="62"/>
        <v>0</v>
      </c>
      <c r="DZ62" s="7">
        <f t="shared" si="63"/>
        <v>0</v>
      </c>
      <c r="EA62" s="7">
        <f t="shared" si="64"/>
        <v>0</v>
      </c>
      <c r="EF62" s="7">
        <f t="shared" si="37"/>
        <v>0</v>
      </c>
      <c r="EH62" s="7">
        <f t="shared" si="38"/>
        <v>0</v>
      </c>
      <c r="EI62" s="7">
        <f>IF(EH62=0,0,COUNTIF($EH$16:EH62,"&gt;"&amp;0))</f>
        <v>0</v>
      </c>
    </row>
    <row r="63" spans="1:139" x14ac:dyDescent="0.3">
      <c r="A63" s="165">
        <v>62</v>
      </c>
      <c r="C63" s="7" t="s">
        <v>161</v>
      </c>
      <c r="D63" s="7">
        <v>1000</v>
      </c>
      <c r="E63" s="7">
        <v>0.35</v>
      </c>
      <c r="F63" s="7">
        <v>0.35</v>
      </c>
      <c r="G63" s="7">
        <v>0.05</v>
      </c>
      <c r="H63" s="7">
        <v>0.05</v>
      </c>
      <c r="J63" s="7">
        <v>0.05</v>
      </c>
      <c r="K63" s="7">
        <v>0.05</v>
      </c>
      <c r="M63" s="7">
        <v>1</v>
      </c>
      <c r="O63" s="7">
        <f t="shared" si="45"/>
        <v>1</v>
      </c>
      <c r="Q63" s="7">
        <f t="shared" si="22"/>
        <v>1.75</v>
      </c>
      <c r="R63" s="7">
        <f t="shared" si="23"/>
        <v>1.75</v>
      </c>
      <c r="S63" s="7">
        <f t="shared" si="9"/>
        <v>0.5</v>
      </c>
      <c r="T63" s="7">
        <f t="shared" si="10"/>
        <v>0.5</v>
      </c>
      <c r="U63" s="7">
        <f t="shared" si="24"/>
        <v>0.5</v>
      </c>
      <c r="V63" s="7">
        <f t="shared" si="73"/>
        <v>1.75</v>
      </c>
      <c r="W63" s="7">
        <f t="shared" si="74"/>
        <v>1.75</v>
      </c>
      <c r="X63" s="7">
        <f t="shared" si="75"/>
        <v>0.5</v>
      </c>
      <c r="Y63" s="7">
        <f t="shared" si="76"/>
        <v>0.5</v>
      </c>
      <c r="AA63" s="7">
        <f t="shared" si="77"/>
        <v>0.5</v>
      </c>
      <c r="AB63" s="7">
        <f t="shared" si="78"/>
        <v>0.5</v>
      </c>
      <c r="AC63" s="7">
        <f>INDEX('변표 테이블'!$C$86:$C$165,MATCH(O63,'변표 테이블'!$B$86:$B$165,0))</f>
        <v>71.13</v>
      </c>
      <c r="AD63" s="7">
        <f>INDEX('변표 테이블'!$D$86:$D$165,MATCH(O63,'변표 테이블'!$B$86:$B$165,0))</f>
        <v>66</v>
      </c>
      <c r="AF63" s="7">
        <v>1</v>
      </c>
      <c r="AG63" s="7">
        <v>1</v>
      </c>
      <c r="AH63" s="7">
        <v>4</v>
      </c>
      <c r="AI63" s="7">
        <v>4</v>
      </c>
      <c r="AK63" s="7">
        <v>4</v>
      </c>
      <c r="AL63" s="7">
        <v>4</v>
      </c>
      <c r="AM63" s="7">
        <v>3</v>
      </c>
      <c r="AN63" s="7">
        <v>3</v>
      </c>
      <c r="AP63" s="7">
        <f t="shared" si="25"/>
        <v>4</v>
      </c>
      <c r="AR63" s="7">
        <f>$W$63*0.05</f>
        <v>8.7500000000000008E-2</v>
      </c>
      <c r="AS63" s="7">
        <f>$W$63*0.05</f>
        <v>8.7500000000000008E-2</v>
      </c>
      <c r="BA63" s="7">
        <f>BA5*AR63</f>
        <v>0</v>
      </c>
      <c r="BB63" s="7">
        <f>BB5*AS63</f>
        <v>0</v>
      </c>
      <c r="BH63" s="121">
        <v>200</v>
      </c>
      <c r="BI63" s="7">
        <v>195</v>
      </c>
      <c r="BJ63" s="7">
        <v>190</v>
      </c>
      <c r="BK63" s="7">
        <v>180</v>
      </c>
      <c r="BL63" s="7">
        <v>160</v>
      </c>
      <c r="BM63" s="7">
        <v>140</v>
      </c>
      <c r="BN63" s="7">
        <v>120</v>
      </c>
      <c r="BO63" s="7">
        <v>100</v>
      </c>
      <c r="BP63" s="7">
        <v>0</v>
      </c>
      <c r="BQ63" s="121">
        <v>10</v>
      </c>
      <c r="BR63" s="7">
        <v>10</v>
      </c>
      <c r="BS63" s="7">
        <v>10</v>
      </c>
      <c r="BT63" s="7">
        <v>9.8000000000000007</v>
      </c>
      <c r="BU63" s="7">
        <v>9.6</v>
      </c>
      <c r="BV63" s="7">
        <v>9.4</v>
      </c>
      <c r="BW63" s="7">
        <v>9.1999999999999993</v>
      </c>
      <c r="BX63" s="7">
        <v>9</v>
      </c>
      <c r="BY63" s="7">
        <v>8.7999999999999901</v>
      </c>
      <c r="CI63" s="7">
        <f t="shared" si="26"/>
        <v>200</v>
      </c>
      <c r="CJ63" s="163">
        <f t="shared" si="27"/>
        <v>100</v>
      </c>
      <c r="CK63" s="7">
        <f t="shared" si="28"/>
        <v>10</v>
      </c>
      <c r="CN63" s="7">
        <v>2</v>
      </c>
      <c r="CY63" s="7">
        <v>1</v>
      </c>
      <c r="CZ63" s="7">
        <f t="shared" si="29"/>
        <v>1</v>
      </c>
      <c r="DA63" s="7">
        <f t="shared" si="30"/>
        <v>2</v>
      </c>
      <c r="DB63" s="7">
        <f t="shared" si="54"/>
        <v>0</v>
      </c>
      <c r="DC63" s="7">
        <f t="shared" si="31"/>
        <v>0</v>
      </c>
      <c r="DE63" s="7">
        <f t="shared" si="55"/>
        <v>0</v>
      </c>
      <c r="DF63" s="7">
        <f t="shared" si="56"/>
        <v>0</v>
      </c>
      <c r="DG63" s="7">
        <f>IFERROR(IF(LEFT($AP63,1)="4",INDEX('변표 테이블'!$H$86:$H$165,MATCH($O63,'변표 테이블'!$B$86:$B$165,0)),INDEX(DG$4:DG$8,MATCH(AH63,$DC$4:$DC$8,0))),0)</f>
        <v>0</v>
      </c>
      <c r="DH63" s="7">
        <f>IFERROR(IF(LEFT($AP63,1)="4",INDEX('변표 테이블'!$I$86:$I$165,MATCH($O63,'변표 테이블'!$B$86:$B$165,0)),INDEX(DH$4:DH$8,MATCH(AI63,$DC$4:$DC$8,0))),0)</f>
        <v>0</v>
      </c>
      <c r="DJ63" s="7">
        <f>IFERROR(IF(LEFT($AP63,1)="4",INDEX('변표 테이블'!$J$86:$J$165,MATCH($O63,'변표 테이블'!$B$86:$B$165,0)),INDEX(DI$4:DI$8,MATCH(AK63,$DC$4:$DC$8,0))),0)</f>
        <v>0</v>
      </c>
      <c r="DK63" s="7">
        <f>IFERROR(IF(LEFT($AP63,1)="4",INDEX('변표 테이블'!$K$86:$K$165,MATCH($O63,'변표 테이블'!$B$86:$B$165,0)),INDEX(DJ$4:DJ$8,MATCH(AL63,$DC$4:$DC$8,0))),0)</f>
        <v>0</v>
      </c>
      <c r="DL63" s="7" t="str">
        <f t="shared" si="32"/>
        <v/>
      </c>
      <c r="DM63" s="7" t="str">
        <f t="shared" si="33"/>
        <v/>
      </c>
      <c r="DN63" s="7">
        <f t="shared" si="34"/>
        <v>0</v>
      </c>
      <c r="DP63" s="7">
        <f t="shared" si="57"/>
        <v>0</v>
      </c>
      <c r="DQ63" s="7">
        <f t="shared" si="58"/>
        <v>0</v>
      </c>
      <c r="DR63" s="7">
        <f t="shared" si="59"/>
        <v>0</v>
      </c>
      <c r="DS63" s="7">
        <f t="shared" si="35"/>
        <v>0</v>
      </c>
      <c r="DT63" s="7">
        <f t="shared" si="60"/>
        <v>0</v>
      </c>
      <c r="DU63" s="7">
        <f t="shared" si="61"/>
        <v>0</v>
      </c>
      <c r="DV63" s="7">
        <f t="shared" si="36"/>
        <v>0</v>
      </c>
      <c r="DW63" s="7">
        <f>LARGE((DR63:DS63,DU63:DV63),1)</f>
        <v>0</v>
      </c>
      <c r="DX63" s="7">
        <f>IF(DA63&lt;2,0,LARGE((DR63:DS63,DU63:DV63),2))</f>
        <v>0</v>
      </c>
      <c r="DY63" s="7">
        <f t="shared" si="62"/>
        <v>0</v>
      </c>
      <c r="DZ63" s="7">
        <f t="shared" si="63"/>
        <v>0</v>
      </c>
      <c r="EA63" s="7">
        <f t="shared" si="64"/>
        <v>0</v>
      </c>
      <c r="EF63" s="7">
        <f t="shared" si="37"/>
        <v>0</v>
      </c>
      <c r="EH63" s="7">
        <f t="shared" si="38"/>
        <v>1</v>
      </c>
      <c r="EI63" s="7">
        <f>IF(EH63=0,0,COUNTIF($EH$16:EH63,"&gt;"&amp;0))</f>
        <v>3</v>
      </c>
    </row>
    <row r="64" spans="1:139" x14ac:dyDescent="0.3">
      <c r="A64" s="165">
        <v>63</v>
      </c>
      <c r="C64" s="7" t="s">
        <v>162</v>
      </c>
      <c r="D64" s="7">
        <v>1000</v>
      </c>
      <c r="E64" s="7">
        <v>0.2</v>
      </c>
      <c r="F64" s="7">
        <v>0.35</v>
      </c>
      <c r="G64" s="7">
        <v>0.125</v>
      </c>
      <c r="H64" s="7">
        <v>0.125</v>
      </c>
      <c r="J64" s="7">
        <v>0.125</v>
      </c>
      <c r="K64" s="7">
        <v>0.125</v>
      </c>
      <c r="M64" s="7">
        <v>1</v>
      </c>
      <c r="O64" s="7">
        <f t="shared" si="45"/>
        <v>1</v>
      </c>
      <c r="Q64" s="7">
        <f t="shared" si="22"/>
        <v>1</v>
      </c>
      <c r="R64" s="7">
        <f t="shared" si="23"/>
        <v>1.75</v>
      </c>
      <c r="S64" s="7">
        <f t="shared" si="9"/>
        <v>1.25</v>
      </c>
      <c r="T64" s="7">
        <f t="shared" si="10"/>
        <v>1.25</v>
      </c>
      <c r="U64" s="7">
        <f t="shared" si="24"/>
        <v>1.25</v>
      </c>
      <c r="V64" s="7">
        <f t="shared" si="73"/>
        <v>1</v>
      </c>
      <c r="W64" s="7">
        <f t="shared" si="74"/>
        <v>1.75</v>
      </c>
      <c r="X64" s="7">
        <f t="shared" si="75"/>
        <v>1.25</v>
      </c>
      <c r="Y64" s="7">
        <f t="shared" si="76"/>
        <v>1.25</v>
      </c>
      <c r="AA64" s="7">
        <f t="shared" si="77"/>
        <v>1.25</v>
      </c>
      <c r="AB64" s="7">
        <f t="shared" si="78"/>
        <v>1.25</v>
      </c>
      <c r="AC64" s="7">
        <f>INDEX('변표 테이블'!$C$86:$C$165,MATCH(O64,'변표 테이블'!$B$86:$B$165,0))</f>
        <v>71.13</v>
      </c>
      <c r="AD64" s="7">
        <f>INDEX('변표 테이블'!$D$86:$D$165,MATCH(O64,'변표 테이블'!$B$86:$B$165,0))</f>
        <v>66</v>
      </c>
      <c r="AF64" s="7">
        <v>1</v>
      </c>
      <c r="AG64" s="7">
        <v>1</v>
      </c>
      <c r="AH64" s="7">
        <v>4</v>
      </c>
      <c r="AI64" s="7">
        <v>4</v>
      </c>
      <c r="AK64" s="7">
        <v>4</v>
      </c>
      <c r="AL64" s="7">
        <v>4</v>
      </c>
      <c r="AM64" s="7">
        <v>3</v>
      </c>
      <c r="AN64" s="7">
        <v>3</v>
      </c>
      <c r="AP64" s="7">
        <f t="shared" si="25"/>
        <v>4</v>
      </c>
      <c r="AR64" s="7">
        <f>$W$63*0.1</f>
        <v>0.17500000000000002</v>
      </c>
      <c r="AS64" s="7">
        <f>$W$63*0.1</f>
        <v>0.17500000000000002</v>
      </c>
      <c r="BA64" s="7">
        <f>BA5*AR64</f>
        <v>0</v>
      </c>
      <c r="BB64" s="7">
        <f>BB5*AS64</f>
        <v>0</v>
      </c>
      <c r="BH64" s="121">
        <v>200</v>
      </c>
      <c r="BI64" s="7">
        <v>195</v>
      </c>
      <c r="BJ64" s="7">
        <v>190</v>
      </c>
      <c r="BK64" s="7">
        <v>180</v>
      </c>
      <c r="BL64" s="7">
        <v>160</v>
      </c>
      <c r="BM64" s="7">
        <v>140</v>
      </c>
      <c r="BN64" s="7">
        <v>120</v>
      </c>
      <c r="BO64" s="7">
        <v>100</v>
      </c>
      <c r="BP64" s="7">
        <v>0</v>
      </c>
      <c r="BQ64" s="121">
        <v>10</v>
      </c>
      <c r="BR64" s="7">
        <v>10</v>
      </c>
      <c r="BS64" s="7">
        <v>10</v>
      </c>
      <c r="BT64" s="7">
        <v>9.8000000000000007</v>
      </c>
      <c r="BU64" s="7">
        <v>9.6</v>
      </c>
      <c r="BV64" s="7">
        <v>9.4</v>
      </c>
      <c r="BW64" s="7">
        <v>9.1999999999999993</v>
      </c>
      <c r="BX64" s="7">
        <v>9</v>
      </c>
      <c r="BY64" s="7">
        <v>8.7999999999999901</v>
      </c>
      <c r="CI64" s="7">
        <f t="shared" si="26"/>
        <v>200</v>
      </c>
      <c r="CJ64" s="163">
        <f t="shared" si="27"/>
        <v>100</v>
      </c>
      <c r="CK64" s="7">
        <f t="shared" si="28"/>
        <v>10</v>
      </c>
      <c r="CN64" s="7">
        <v>2</v>
      </c>
      <c r="CY64" s="7">
        <v>1</v>
      </c>
      <c r="CZ64" s="7">
        <f t="shared" si="29"/>
        <v>1</v>
      </c>
      <c r="DA64" s="7">
        <f t="shared" si="30"/>
        <v>2</v>
      </c>
      <c r="DB64" s="7">
        <f t="shared" si="54"/>
        <v>0</v>
      </c>
      <c r="DC64" s="7">
        <f t="shared" si="31"/>
        <v>0</v>
      </c>
      <c r="DE64" s="7">
        <f t="shared" si="55"/>
        <v>0</v>
      </c>
      <c r="DF64" s="7">
        <f t="shared" si="56"/>
        <v>0</v>
      </c>
      <c r="DG64" s="7">
        <f>IFERROR(IF(LEFT($AP64,1)="4",INDEX('변표 테이블'!$H$86:$H$165,MATCH($O64,'변표 테이블'!$B$86:$B$165,0)),INDEX(DG$4:DG$8,MATCH(AH64,$DC$4:$DC$8,0))),0)</f>
        <v>0</v>
      </c>
      <c r="DH64" s="7">
        <f>IFERROR(IF(LEFT($AP64,1)="4",INDEX('변표 테이블'!$I$86:$I$165,MATCH($O64,'변표 테이블'!$B$86:$B$165,0)),INDEX(DH$4:DH$8,MATCH(AI64,$DC$4:$DC$8,0))),0)</f>
        <v>0</v>
      </c>
      <c r="DJ64" s="7">
        <f>IFERROR(IF(LEFT($AP64,1)="4",INDEX('변표 테이블'!$J$86:$J$165,MATCH($O64,'변표 테이블'!$B$86:$B$165,0)),INDEX(DI$4:DI$8,MATCH(AK64,$DC$4:$DC$8,0))),0)</f>
        <v>0</v>
      </c>
      <c r="DK64" s="7">
        <f>IFERROR(IF(LEFT($AP64,1)="4",INDEX('변표 테이블'!$K$86:$K$165,MATCH($O64,'변표 테이블'!$B$86:$B$165,0)),INDEX(DJ$4:DJ$8,MATCH(AL64,$DC$4:$DC$8,0))),0)</f>
        <v>0</v>
      </c>
      <c r="DL64" s="7" t="str">
        <f t="shared" si="32"/>
        <v/>
      </c>
      <c r="DM64" s="7" t="str">
        <f t="shared" si="33"/>
        <v/>
      </c>
      <c r="DN64" s="7">
        <f t="shared" si="34"/>
        <v>0</v>
      </c>
      <c r="DP64" s="7">
        <f t="shared" si="57"/>
        <v>0</v>
      </c>
      <c r="DQ64" s="7">
        <f t="shared" si="58"/>
        <v>0</v>
      </c>
      <c r="DR64" s="7">
        <f t="shared" si="59"/>
        <v>0</v>
      </c>
      <c r="DS64" s="7">
        <f t="shared" si="35"/>
        <v>0</v>
      </c>
      <c r="DT64" s="7">
        <f t="shared" si="60"/>
        <v>0</v>
      </c>
      <c r="DU64" s="7">
        <f t="shared" si="61"/>
        <v>0</v>
      </c>
      <c r="DV64" s="7">
        <f t="shared" si="36"/>
        <v>0</v>
      </c>
      <c r="DW64" s="7">
        <f>LARGE((DR64:DS64,DU64:DV64),1)</f>
        <v>0</v>
      </c>
      <c r="DX64" s="7">
        <f>IF(DA64&lt;2,0,LARGE((DR64:DS64,DU64:DV64),2))</f>
        <v>0</v>
      </c>
      <c r="DY64" s="7">
        <f t="shared" si="62"/>
        <v>0</v>
      </c>
      <c r="DZ64" s="7">
        <f t="shared" si="63"/>
        <v>0</v>
      </c>
      <c r="EA64" s="7">
        <f t="shared" si="64"/>
        <v>0</v>
      </c>
      <c r="EF64" s="7">
        <f t="shared" si="37"/>
        <v>0</v>
      </c>
      <c r="EH64" s="7">
        <f t="shared" si="38"/>
        <v>1</v>
      </c>
      <c r="EI64" s="7">
        <f>IF(EH64=0,0,COUNTIF($EH$16:EH64,"&gt;"&amp;0))</f>
        <v>4</v>
      </c>
    </row>
    <row r="65" spans="1:139" x14ac:dyDescent="0.3">
      <c r="A65" s="165">
        <v>64</v>
      </c>
      <c r="C65" s="7" t="s">
        <v>163</v>
      </c>
      <c r="D65" s="7">
        <v>1000</v>
      </c>
      <c r="E65" s="7">
        <v>0.25</v>
      </c>
      <c r="F65" s="7">
        <v>0.3</v>
      </c>
      <c r="G65" s="7">
        <v>0.125</v>
      </c>
      <c r="H65" s="7">
        <v>0.125</v>
      </c>
      <c r="M65" s="7">
        <v>1</v>
      </c>
      <c r="O65" s="7">
        <f t="shared" si="45"/>
        <v>1</v>
      </c>
      <c r="Q65" s="7">
        <f t="shared" si="22"/>
        <v>1.6778523489932886</v>
      </c>
      <c r="R65" s="7">
        <f t="shared" si="23"/>
        <v>2.0408163265306123</v>
      </c>
      <c r="S65" s="7">
        <f t="shared" si="9"/>
        <v>1.7573457050470971</v>
      </c>
      <c r="T65" s="7" t="str">
        <f t="shared" si="10"/>
        <v>자동</v>
      </c>
      <c r="U65" s="7">
        <f t="shared" si="24"/>
        <v>1.7573457050470971</v>
      </c>
      <c r="V65" s="7">
        <f t="shared" si="73"/>
        <v>1.6778523489932886</v>
      </c>
      <c r="W65" s="7">
        <f t="shared" si="74"/>
        <v>2.0408163265306123</v>
      </c>
      <c r="X65" s="7">
        <f t="shared" si="75"/>
        <v>1.7573457050470971</v>
      </c>
      <c r="Y65" s="7">
        <f t="shared" si="76"/>
        <v>1.7573457050470971</v>
      </c>
      <c r="AA65" s="7" t="str">
        <f t="shared" si="77"/>
        <v>자동</v>
      </c>
      <c r="AB65" s="7" t="str">
        <f t="shared" si="78"/>
        <v>자동</v>
      </c>
      <c r="AC65" s="7">
        <f>INDEX('변표 테이블'!$C$86:$C$165,MATCH(O65,'변표 테이블'!$B$86:$B$165,0))</f>
        <v>71.13</v>
      </c>
      <c r="AD65" s="7">
        <f>INDEX('변표 테이블'!$D$86:$D$165,MATCH(O65,'변표 테이블'!$B$86:$B$165,0))</f>
        <v>66</v>
      </c>
      <c r="AF65" s="7">
        <v>12</v>
      </c>
      <c r="AG65" s="7">
        <v>12</v>
      </c>
      <c r="AH65" s="7">
        <v>42</v>
      </c>
      <c r="AI65" s="7">
        <v>42</v>
      </c>
      <c r="AM65" s="7">
        <v>3</v>
      </c>
      <c r="AN65" s="7">
        <v>3</v>
      </c>
      <c r="AP65" s="7">
        <f t="shared" si="25"/>
        <v>42</v>
      </c>
      <c r="BH65" s="121">
        <v>200</v>
      </c>
      <c r="BI65" s="7">
        <v>196</v>
      </c>
      <c r="BJ65" s="7">
        <v>192</v>
      </c>
      <c r="BK65" s="7">
        <v>176</v>
      </c>
      <c r="BL65" s="7">
        <v>168</v>
      </c>
      <c r="BM65" s="7">
        <v>160</v>
      </c>
      <c r="BN65" s="7">
        <v>152</v>
      </c>
      <c r="BO65" s="7">
        <v>144</v>
      </c>
      <c r="BP65" s="7">
        <v>136</v>
      </c>
      <c r="BQ65" s="121">
        <v>10</v>
      </c>
      <c r="BR65" s="7">
        <v>10</v>
      </c>
      <c r="BS65" s="7">
        <v>10</v>
      </c>
      <c r="BT65" s="7">
        <v>10</v>
      </c>
      <c r="BU65" s="7">
        <v>9.8000000000000007</v>
      </c>
      <c r="BV65" s="7">
        <v>9.6</v>
      </c>
      <c r="BW65" s="7">
        <v>9.4</v>
      </c>
      <c r="BX65" s="7">
        <v>9.1999999999999993</v>
      </c>
      <c r="BY65" s="7">
        <v>8.5</v>
      </c>
      <c r="CI65" s="7">
        <f t="shared" si="26"/>
        <v>200</v>
      </c>
      <c r="CJ65" s="163">
        <f t="shared" si="27"/>
        <v>100</v>
      </c>
      <c r="CK65" s="7">
        <f t="shared" si="28"/>
        <v>10</v>
      </c>
      <c r="CL65" s="7">
        <v>2</v>
      </c>
      <c r="CP65" s="7">
        <v>1</v>
      </c>
      <c r="CR65" s="7">
        <v>1</v>
      </c>
      <c r="CX65" s="121">
        <v>1</v>
      </c>
      <c r="CZ65" s="7">
        <f t="shared" si="29"/>
        <v>1</v>
      </c>
      <c r="DA65" s="7">
        <f t="shared" si="30"/>
        <v>2</v>
      </c>
      <c r="DB65" s="7">
        <f t="shared" si="54"/>
        <v>0</v>
      </c>
      <c r="DC65" s="7">
        <f t="shared" si="31"/>
        <v>0</v>
      </c>
      <c r="DE65" s="7">
        <f t="shared" si="55"/>
        <v>0</v>
      </c>
      <c r="DF65" s="7">
        <f t="shared" si="56"/>
        <v>0</v>
      </c>
      <c r="DG65" s="7">
        <f>IFERROR(IF(LEFT($AP65,1)="4",INDEX('변표 테이블'!$H$86:$H$165,MATCH($O65,'변표 테이블'!$B$86:$B$165,0)),INDEX(DG$4:DG$8,MATCH(AH65,$DC$4:$DC$8,0))),0)</f>
        <v>0</v>
      </c>
      <c r="DH65" s="7">
        <f>IFERROR(IF(LEFT($AP65,1)="4",INDEX('변표 테이블'!$I$86:$I$165,MATCH($O65,'변표 테이블'!$B$86:$B$165,0)),INDEX(DH$4:DH$8,MATCH(AI65,$DC$4:$DC$8,0))),0)</f>
        <v>0</v>
      </c>
      <c r="DJ65" s="7">
        <f>IFERROR(IF(LEFT($AP65,1)="4",INDEX('변표 테이블'!$J$86:$J$165,MATCH($O65,'변표 테이블'!$B$86:$B$165,0)),INDEX(DI$4:DI$8,MATCH(AK65,$DC$4:$DC$8,0))),0)</f>
        <v>0</v>
      </c>
      <c r="DK65" s="7">
        <f>IFERROR(IF(LEFT($AP65,1)="4",INDEX('변표 테이블'!$K$86:$K$165,MATCH($O65,'변표 테이블'!$B$86:$B$165,0)),INDEX(DJ$4:DJ$8,MATCH(AL65,$DC$4:$DC$8,0))),0)</f>
        <v>0</v>
      </c>
      <c r="DL65" s="7" t="str">
        <f t="shared" si="32"/>
        <v/>
      </c>
      <c r="DM65" s="7" t="str">
        <f t="shared" si="33"/>
        <v/>
      </c>
      <c r="DN65" s="7">
        <f t="shared" si="34"/>
        <v>0</v>
      </c>
      <c r="DP65" s="7">
        <f t="shared" si="57"/>
        <v>0</v>
      </c>
      <c r="DQ65" s="7">
        <f t="shared" si="58"/>
        <v>0</v>
      </c>
      <c r="DR65" s="7">
        <f t="shared" si="59"/>
        <v>0</v>
      </c>
      <c r="DS65" s="7">
        <f t="shared" si="35"/>
        <v>0</v>
      </c>
      <c r="DT65" s="7">
        <f t="shared" si="60"/>
        <v>0</v>
      </c>
      <c r="DU65" s="7">
        <f t="shared" si="61"/>
        <v>0</v>
      </c>
      <c r="DV65" s="7">
        <f t="shared" si="36"/>
        <v>0</v>
      </c>
      <c r="DW65" s="7">
        <f>LARGE((DR65:DS65,DU65:DV65),1)</f>
        <v>0</v>
      </c>
      <c r="DX65" s="7">
        <f>IF(DA65&lt;2,0,LARGE((DR65:DS65,DU65:DV65),2))</f>
        <v>0</v>
      </c>
      <c r="DY65" s="7">
        <f t="shared" si="62"/>
        <v>0</v>
      </c>
      <c r="DZ65" s="7">
        <f t="shared" si="63"/>
        <v>0</v>
      </c>
      <c r="EA65" s="7">
        <f t="shared" si="64"/>
        <v>0</v>
      </c>
      <c r="EF65" s="7">
        <f t="shared" si="37"/>
        <v>0</v>
      </c>
      <c r="EH65" s="7">
        <f t="shared" si="38"/>
        <v>0</v>
      </c>
      <c r="EI65" s="7">
        <f>IF(EH65=0,0,COUNTIF($EH$16:EH65,"&gt;"&amp;0))</f>
        <v>0</v>
      </c>
    </row>
    <row r="66" spans="1:139" x14ac:dyDescent="0.3">
      <c r="A66" s="165">
        <v>65</v>
      </c>
      <c r="C66" s="7" t="s">
        <v>164</v>
      </c>
      <c r="D66" s="7">
        <v>1000</v>
      </c>
      <c r="E66" s="7">
        <v>0.3</v>
      </c>
      <c r="F66" s="7">
        <v>0.25</v>
      </c>
      <c r="G66" s="7">
        <v>0.125</v>
      </c>
      <c r="H66" s="7">
        <v>0.125</v>
      </c>
      <c r="J66" s="7">
        <v>0.125</v>
      </c>
      <c r="K66" s="7">
        <v>0.125</v>
      </c>
      <c r="M66" s="7">
        <v>1</v>
      </c>
      <c r="O66" s="7">
        <f t="shared" si="45"/>
        <v>1</v>
      </c>
      <c r="Q66" s="7">
        <f t="shared" si="22"/>
        <v>2.0134228187919465</v>
      </c>
      <c r="R66" s="7">
        <f t="shared" si="23"/>
        <v>1.7006802721088434</v>
      </c>
      <c r="S66" s="7">
        <f t="shared" si="9"/>
        <v>1.7573457050470971</v>
      </c>
      <c r="T66" s="7">
        <f t="shared" si="10"/>
        <v>1.893939393939394</v>
      </c>
      <c r="U66" s="7">
        <f t="shared" si="24"/>
        <v>1.893939393939394</v>
      </c>
      <c r="V66" s="7">
        <f t="shared" si="73"/>
        <v>2.0134228187919465</v>
      </c>
      <c r="W66" s="7">
        <f t="shared" si="74"/>
        <v>1.7006802721088434</v>
      </c>
      <c r="X66" s="7">
        <f t="shared" si="75"/>
        <v>1.7573457050470971</v>
      </c>
      <c r="Y66" s="7">
        <f t="shared" si="76"/>
        <v>1.7573457050470971</v>
      </c>
      <c r="AA66" s="7">
        <f t="shared" si="77"/>
        <v>1.893939393939394</v>
      </c>
      <c r="AB66" s="7">
        <f t="shared" si="78"/>
        <v>1.893939393939394</v>
      </c>
      <c r="AC66" s="7">
        <f>INDEX('변표 테이블'!$C$86:$C$165,MATCH(O66,'변표 테이블'!$B$86:$B$165,0))</f>
        <v>71.13</v>
      </c>
      <c r="AD66" s="7">
        <f>INDEX('변표 테이블'!$D$86:$D$165,MATCH(O66,'변표 테이블'!$B$86:$B$165,0))</f>
        <v>66</v>
      </c>
      <c r="AF66" s="7">
        <v>12</v>
      </c>
      <c r="AG66" s="7">
        <v>12</v>
      </c>
      <c r="AH66" s="7">
        <v>42</v>
      </c>
      <c r="AI66" s="7">
        <v>42</v>
      </c>
      <c r="AK66" s="7">
        <v>42</v>
      </c>
      <c r="AL66" s="7">
        <v>42</v>
      </c>
      <c r="AM66" s="7">
        <v>3</v>
      </c>
      <c r="AN66" s="7">
        <v>3</v>
      </c>
      <c r="AP66" s="7">
        <f t="shared" si="25"/>
        <v>42</v>
      </c>
      <c r="BH66" s="121">
        <v>200</v>
      </c>
      <c r="BI66" s="7">
        <v>196</v>
      </c>
      <c r="BJ66" s="7">
        <v>192</v>
      </c>
      <c r="BK66" s="7">
        <v>176</v>
      </c>
      <c r="BL66" s="7">
        <v>168</v>
      </c>
      <c r="BM66" s="7">
        <v>160</v>
      </c>
      <c r="BN66" s="7">
        <v>152</v>
      </c>
      <c r="BO66" s="7">
        <v>144</v>
      </c>
      <c r="BP66" s="7">
        <v>136</v>
      </c>
      <c r="BQ66" s="121">
        <v>10</v>
      </c>
      <c r="BR66" s="7">
        <v>10</v>
      </c>
      <c r="BS66" s="7">
        <v>10</v>
      </c>
      <c r="BT66" s="7">
        <v>9.8000000000000007</v>
      </c>
      <c r="BU66" s="7">
        <v>9.6</v>
      </c>
      <c r="BV66" s="7">
        <v>9.4</v>
      </c>
      <c r="BW66" s="7">
        <v>9.1999999999999993</v>
      </c>
      <c r="BX66" s="7">
        <v>9</v>
      </c>
      <c r="BY66" s="7">
        <v>8.5</v>
      </c>
      <c r="CI66" s="7">
        <f t="shared" si="26"/>
        <v>200</v>
      </c>
      <c r="CJ66" s="163">
        <f t="shared" si="27"/>
        <v>100</v>
      </c>
      <c r="CK66" s="7">
        <f t="shared" si="28"/>
        <v>10</v>
      </c>
      <c r="CN66" s="7">
        <v>2</v>
      </c>
      <c r="CZ66" s="7">
        <f t="shared" si="29"/>
        <v>2</v>
      </c>
      <c r="DA66" s="7">
        <f t="shared" si="30"/>
        <v>2</v>
      </c>
      <c r="DB66" s="7">
        <f t="shared" si="54"/>
        <v>0</v>
      </c>
      <c r="DC66" s="7">
        <f t="shared" si="31"/>
        <v>0</v>
      </c>
      <c r="DE66" s="7">
        <f t="shared" si="55"/>
        <v>0</v>
      </c>
      <c r="DF66" s="7">
        <f t="shared" si="56"/>
        <v>0</v>
      </c>
      <c r="DG66" s="7">
        <f>IFERROR(IF(LEFT($AP66,1)="4",INDEX('변표 테이블'!$H$86:$H$165,MATCH($O66,'변표 테이블'!$B$86:$B$165,0)),INDEX(DG$4:DG$8,MATCH(AH66,$DC$4:$DC$8,0))),0)</f>
        <v>0</v>
      </c>
      <c r="DH66" s="7">
        <f>IFERROR(IF(LEFT($AP66,1)="4",INDEX('변표 테이블'!$I$86:$I$165,MATCH($O66,'변표 테이블'!$B$86:$B$165,0)),INDEX(DH$4:DH$8,MATCH(AI66,$DC$4:$DC$8,0))),0)</f>
        <v>0</v>
      </c>
      <c r="DJ66" s="7">
        <f>IFERROR(IF(LEFT($AP66,1)="4",INDEX('변표 테이블'!$J$86:$J$165,MATCH($O66,'변표 테이블'!$B$86:$B$165,0)),INDEX(DI$4:DI$8,MATCH(AK66,$DC$4:$DC$8,0))),0)</f>
        <v>0</v>
      </c>
      <c r="DK66" s="7">
        <f>IFERROR(IF(LEFT($AP66,1)="4",INDEX('변표 테이블'!$K$86:$K$165,MATCH($O66,'변표 테이블'!$B$86:$B$165,0)),INDEX(DJ$4:DJ$8,MATCH(AL66,$DC$4:$DC$8,0))),0)</f>
        <v>0</v>
      </c>
      <c r="DL66" s="7" t="str">
        <f t="shared" si="32"/>
        <v/>
      </c>
      <c r="DM66" s="7" t="str">
        <f t="shared" si="33"/>
        <v/>
      </c>
      <c r="DN66" s="7">
        <f t="shared" si="34"/>
        <v>0</v>
      </c>
      <c r="DP66" s="7">
        <f t="shared" si="57"/>
        <v>0</v>
      </c>
      <c r="DQ66" s="7">
        <f t="shared" si="58"/>
        <v>0</v>
      </c>
      <c r="DR66" s="7">
        <f t="shared" si="59"/>
        <v>0</v>
      </c>
      <c r="DS66" s="7">
        <f t="shared" si="35"/>
        <v>0</v>
      </c>
      <c r="DT66" s="7">
        <f t="shared" si="60"/>
        <v>0</v>
      </c>
      <c r="DU66" s="7">
        <f t="shared" si="61"/>
        <v>0</v>
      </c>
      <c r="DV66" s="7">
        <f t="shared" si="36"/>
        <v>0</v>
      </c>
      <c r="DW66" s="7">
        <f>LARGE((DR66:DS66,DU66:DV66),1)</f>
        <v>0</v>
      </c>
      <c r="DX66" s="7">
        <f>IF(DA66&lt;2,0,LARGE((DR66:DS66,DU66:DV66),2))</f>
        <v>0</v>
      </c>
      <c r="DY66" s="7">
        <f t="shared" si="62"/>
        <v>0</v>
      </c>
      <c r="DZ66" s="7">
        <f t="shared" si="63"/>
        <v>0</v>
      </c>
      <c r="EA66" s="7">
        <f t="shared" si="64"/>
        <v>0</v>
      </c>
      <c r="EF66" s="7">
        <f t="shared" si="37"/>
        <v>0</v>
      </c>
      <c r="EH66" s="7">
        <f t="shared" si="38"/>
        <v>0</v>
      </c>
      <c r="EI66" s="7">
        <f>IF(EH66=0,0,COUNTIF($EH$16:EH66,"&gt;"&amp;0))</f>
        <v>0</v>
      </c>
    </row>
    <row r="67" spans="1:139" x14ac:dyDescent="0.3">
      <c r="A67" s="165">
        <v>66</v>
      </c>
      <c r="C67" s="7" t="s">
        <v>165</v>
      </c>
      <c r="D67" s="7">
        <v>400</v>
      </c>
      <c r="E67" s="7">
        <v>0.25</v>
      </c>
      <c r="F67" s="7">
        <v>0.3</v>
      </c>
      <c r="G67" s="7">
        <v>0.125</v>
      </c>
      <c r="H67" s="7">
        <v>0.125</v>
      </c>
      <c r="M67" s="7">
        <v>1</v>
      </c>
      <c r="O67" s="7">
        <f t="shared" si="45"/>
        <v>1</v>
      </c>
      <c r="Q67" s="7">
        <f t="shared" si="22"/>
        <v>1</v>
      </c>
      <c r="R67" s="7">
        <f t="shared" si="23"/>
        <v>1.2</v>
      </c>
      <c r="S67" s="7">
        <f t="shared" si="9"/>
        <v>0.5</v>
      </c>
      <c r="T67" s="7" t="str">
        <f t="shared" si="10"/>
        <v>자동</v>
      </c>
      <c r="U67" s="7">
        <f t="shared" si="24"/>
        <v>1</v>
      </c>
      <c r="V67" s="7">
        <f t="shared" si="73"/>
        <v>1</v>
      </c>
      <c r="W67" s="7">
        <f t="shared" si="74"/>
        <v>1.2</v>
      </c>
      <c r="X67" s="7">
        <f t="shared" si="75"/>
        <v>0.5</v>
      </c>
      <c r="Y67" s="7">
        <f t="shared" si="76"/>
        <v>0.5</v>
      </c>
      <c r="AA67" s="7" t="str">
        <f t="shared" si="77"/>
        <v>자동</v>
      </c>
      <c r="AB67" s="7" t="str">
        <f t="shared" si="78"/>
        <v>자동</v>
      </c>
      <c r="AC67" s="7">
        <f>INDEX('변표 테이블'!$C$86:$C$165,MATCH(O67,'변표 테이블'!$B$86:$B$165,0))</f>
        <v>71.13</v>
      </c>
      <c r="AD67" s="7">
        <f>INDEX('변표 테이블'!$D$86:$D$165,MATCH(O67,'변표 테이블'!$B$86:$B$165,0))</f>
        <v>66</v>
      </c>
      <c r="AF67" s="7">
        <v>2</v>
      </c>
      <c r="AG67" s="7">
        <v>2</v>
      </c>
      <c r="AH67" s="7">
        <v>2</v>
      </c>
      <c r="AI67" s="7">
        <v>2</v>
      </c>
      <c r="AM67" s="7">
        <v>3</v>
      </c>
      <c r="AN67" s="7">
        <v>3</v>
      </c>
      <c r="AP67" s="7">
        <f t="shared" si="25"/>
        <v>2</v>
      </c>
      <c r="BH67" s="121">
        <v>78.400000000000006</v>
      </c>
      <c r="BI67" s="7">
        <v>76</v>
      </c>
      <c r="BJ67" s="7">
        <v>73.600000000000009</v>
      </c>
      <c r="BK67" s="7">
        <v>68.8</v>
      </c>
      <c r="BL67" s="7">
        <v>64</v>
      </c>
      <c r="BM67" s="7">
        <v>48</v>
      </c>
      <c r="BN67" s="7">
        <v>40</v>
      </c>
      <c r="BO67" s="7">
        <v>32</v>
      </c>
      <c r="BP67" s="7">
        <v>24</v>
      </c>
      <c r="CI67" s="7">
        <f t="shared" si="26"/>
        <v>78.400000000000006</v>
      </c>
      <c r="CJ67" s="163">
        <f t="shared" si="27"/>
        <v>100</v>
      </c>
      <c r="CK67" s="7">
        <f t="shared" si="28"/>
        <v>0</v>
      </c>
      <c r="CL67" s="7">
        <v>2</v>
      </c>
      <c r="CP67" s="7">
        <v>1</v>
      </c>
      <c r="CR67" s="7">
        <v>1</v>
      </c>
      <c r="CZ67" s="7">
        <f t="shared" si="29"/>
        <v>1</v>
      </c>
      <c r="DA67" s="7">
        <f t="shared" si="30"/>
        <v>2</v>
      </c>
      <c r="DB67" s="7">
        <f t="shared" si="54"/>
        <v>0</v>
      </c>
      <c r="DC67" s="7">
        <f t="shared" si="31"/>
        <v>0</v>
      </c>
      <c r="DE67" s="7">
        <f t="shared" si="55"/>
        <v>0</v>
      </c>
      <c r="DF67" s="7">
        <f t="shared" si="56"/>
        <v>0</v>
      </c>
      <c r="DG67" s="7">
        <f>IFERROR(IF(LEFT($AP67,1)="4",INDEX('변표 테이블'!$H$86:$H$165,MATCH($O67,'변표 테이블'!$B$86:$B$165,0)),INDEX(DG$4:DG$8,MATCH(AH67,$DC$4:$DC$8,0))),0)</f>
        <v>0</v>
      </c>
      <c r="DH67" s="7">
        <f>IFERROR(IF(LEFT($AP67,1)="4",INDEX('변표 테이블'!$I$86:$I$165,MATCH($O67,'변표 테이블'!$B$86:$B$165,0)),INDEX(DH$4:DH$8,MATCH(AI67,$DC$4:$DC$8,0))),0)</f>
        <v>0</v>
      </c>
      <c r="DJ67" s="7">
        <f>IFERROR(IF(LEFT($AP67,1)="4",INDEX('변표 테이블'!$J$86:$J$165,MATCH($O67,'변표 테이블'!$B$86:$B$165,0)),INDEX(DI$4:DI$8,MATCH(AK67,$DC$4:$DC$8,0))),0)</f>
        <v>0</v>
      </c>
      <c r="DK67" s="7">
        <f>IFERROR(IF(LEFT($AP67,1)="4",INDEX('변표 테이블'!$K$86:$K$165,MATCH($O67,'변표 테이블'!$B$86:$B$165,0)),INDEX(DJ$4:DJ$8,MATCH(AL67,$DC$4:$DC$8,0))),0)</f>
        <v>0</v>
      </c>
      <c r="DL67" s="7" t="str">
        <f t="shared" si="32"/>
        <v/>
      </c>
      <c r="DM67" s="7" t="str">
        <f t="shared" si="33"/>
        <v/>
      </c>
      <c r="DN67" s="7">
        <f t="shared" si="34"/>
        <v>0</v>
      </c>
      <c r="DP67" s="7">
        <f t="shared" si="57"/>
        <v>0</v>
      </c>
      <c r="DQ67" s="7">
        <f t="shared" si="58"/>
        <v>0</v>
      </c>
      <c r="DR67" s="7">
        <f t="shared" si="59"/>
        <v>0</v>
      </c>
      <c r="DS67" s="7">
        <f t="shared" si="35"/>
        <v>0</v>
      </c>
      <c r="DT67" s="7">
        <f t="shared" si="60"/>
        <v>0</v>
      </c>
      <c r="DU67" s="7">
        <f t="shared" si="61"/>
        <v>0</v>
      </c>
      <c r="DV67" s="7">
        <f t="shared" si="36"/>
        <v>0</v>
      </c>
      <c r="DW67" s="7">
        <f>LARGE((DR67:DS67,DU67:DV67),1)</f>
        <v>0</v>
      </c>
      <c r="DX67" s="7">
        <f>IF(DA67&lt;2,0,LARGE((DR67:DS67,DU67:DV67),2))</f>
        <v>0</v>
      </c>
      <c r="DY67" s="7">
        <f t="shared" si="62"/>
        <v>0</v>
      </c>
      <c r="DZ67" s="7">
        <f t="shared" si="63"/>
        <v>0</v>
      </c>
      <c r="EA67" s="7">
        <f t="shared" si="64"/>
        <v>0</v>
      </c>
      <c r="EF67" s="7">
        <f t="shared" si="37"/>
        <v>0</v>
      </c>
      <c r="EH67" s="7">
        <f t="shared" si="38"/>
        <v>0</v>
      </c>
      <c r="EI67" s="7">
        <f>IF(EH67=0,0,COUNTIF($EH$16:EH67,"&gt;"&amp;0))</f>
        <v>0</v>
      </c>
    </row>
    <row r="68" spans="1:139" x14ac:dyDescent="0.3">
      <c r="A68" s="165">
        <v>67</v>
      </c>
      <c r="C68" s="7" t="s">
        <v>166</v>
      </c>
      <c r="D68" s="7">
        <v>400</v>
      </c>
      <c r="E68" s="7">
        <v>0.25</v>
      </c>
      <c r="F68" s="7">
        <v>0.3</v>
      </c>
      <c r="G68" s="7">
        <v>0.125</v>
      </c>
      <c r="H68" s="7">
        <v>0.125</v>
      </c>
      <c r="J68" s="7">
        <v>0.125</v>
      </c>
      <c r="K68" s="7">
        <v>0.125</v>
      </c>
      <c r="O68" s="7">
        <f t="shared" si="45"/>
        <v>0</v>
      </c>
      <c r="Q68" s="7">
        <f t="shared" si="22"/>
        <v>1</v>
      </c>
      <c r="R68" s="7">
        <f t="shared" si="23"/>
        <v>1.2</v>
      </c>
      <c r="S68" s="7">
        <f t="shared" si="9"/>
        <v>0.5</v>
      </c>
      <c r="T68" s="7">
        <f t="shared" si="10"/>
        <v>0.5</v>
      </c>
      <c r="U68" s="7">
        <f t="shared" si="24"/>
        <v>1</v>
      </c>
      <c r="V68" s="7">
        <f t="shared" si="73"/>
        <v>1</v>
      </c>
      <c r="W68" s="7">
        <f t="shared" si="74"/>
        <v>1.2</v>
      </c>
      <c r="X68" s="7">
        <f t="shared" si="75"/>
        <v>0.5</v>
      </c>
      <c r="Y68" s="7">
        <f t="shared" si="76"/>
        <v>0.5</v>
      </c>
      <c r="AA68" s="7">
        <f t="shared" si="77"/>
        <v>0.5</v>
      </c>
      <c r="AB68" s="7">
        <f t="shared" si="78"/>
        <v>0.5</v>
      </c>
      <c r="AC68" s="7" t="e">
        <f>INDEX('변표 테이블'!$C$86:$C$165,MATCH(O68,'변표 테이블'!$B$86:$B$165,0))</f>
        <v>#N/A</v>
      </c>
      <c r="AD68" s="7" t="e">
        <f>INDEX('변표 테이블'!$D$86:$D$165,MATCH(O68,'변표 테이블'!$B$86:$B$165,0))</f>
        <v>#N/A</v>
      </c>
      <c r="AF68" s="7">
        <v>2</v>
      </c>
      <c r="AG68" s="7">
        <v>2</v>
      </c>
      <c r="AH68" s="7">
        <v>2</v>
      </c>
      <c r="AI68" s="7">
        <v>2</v>
      </c>
      <c r="AK68" s="7">
        <v>2</v>
      </c>
      <c r="AL68" s="7">
        <v>2</v>
      </c>
      <c r="AM68" s="7">
        <v>3</v>
      </c>
      <c r="AN68" s="7">
        <v>3</v>
      </c>
      <c r="AP68" s="7">
        <f t="shared" si="25"/>
        <v>2</v>
      </c>
      <c r="AR68" s="7">
        <f>0.05</f>
        <v>0.05</v>
      </c>
      <c r="AS68" s="7">
        <f>0.05</f>
        <v>0.05</v>
      </c>
      <c r="AT68" s="7">
        <f>0.015</f>
        <v>1.4999999999999999E-2</v>
      </c>
      <c r="AU68" s="7">
        <f>0.015</f>
        <v>1.4999999999999999E-2</v>
      </c>
      <c r="BA68" s="7">
        <f>IF(BA6&gt;(AH6+AI6)/2,BA6*AR68,BA6*AT68*2)</f>
        <v>0</v>
      </c>
      <c r="BB68" s="7">
        <f>IF(BB6&gt;(AH6+AI6)/2,BB6*AS68,BB6*AU68*2)</f>
        <v>0</v>
      </c>
      <c r="BC68" s="7">
        <f>IF((AH6+AI6)/2&lt;AG6,AH6*AT68,AH6*AR68)</f>
        <v>0</v>
      </c>
      <c r="BD68" s="7">
        <f>IF((AH6+AI6)/2&lt;AH6,AI6*AU68,AI6*AS68)</f>
        <v>0</v>
      </c>
      <c r="BH68" s="121">
        <v>78.400000000000006</v>
      </c>
      <c r="BI68" s="7">
        <v>76</v>
      </c>
      <c r="BJ68" s="7">
        <v>73.600000000000009</v>
      </c>
      <c r="BK68" s="7">
        <v>68.8</v>
      </c>
      <c r="BL68" s="7">
        <v>64</v>
      </c>
      <c r="BM68" s="7">
        <v>48</v>
      </c>
      <c r="BN68" s="7">
        <v>40</v>
      </c>
      <c r="BO68" s="7">
        <v>32</v>
      </c>
      <c r="BP68" s="7">
        <v>24</v>
      </c>
      <c r="CI68" s="7">
        <f t="shared" si="26"/>
        <v>78.400000000000006</v>
      </c>
      <c r="CJ68" s="163">
        <f t="shared" si="27"/>
        <v>100</v>
      </c>
      <c r="CK68" s="7">
        <f t="shared" si="28"/>
        <v>0</v>
      </c>
      <c r="CN68" s="7">
        <v>2</v>
      </c>
      <c r="CY68" s="7">
        <v>1</v>
      </c>
      <c r="CZ68" s="7">
        <f t="shared" si="29"/>
        <v>1</v>
      </c>
      <c r="DA68" s="7">
        <f t="shared" si="30"/>
        <v>2</v>
      </c>
      <c r="DB68" s="7">
        <f t="shared" si="54"/>
        <v>0</v>
      </c>
      <c r="DC68" s="7">
        <f t="shared" si="31"/>
        <v>0</v>
      </c>
      <c r="DE68" s="7">
        <f t="shared" si="55"/>
        <v>0</v>
      </c>
      <c r="DF68" s="7">
        <f t="shared" si="56"/>
        <v>0</v>
      </c>
      <c r="DG68" s="7">
        <f>IFERROR(IF(LEFT($AP68,1)="4",INDEX('변표 테이블'!$H$86:$H$165,MATCH($O68,'변표 테이블'!$B$86:$B$165,0)),INDEX(DG$4:DG$8,MATCH(AH68,$DC$4:$DC$8,0))),0)</f>
        <v>0</v>
      </c>
      <c r="DH68" s="7">
        <f>IFERROR(IF(LEFT($AP68,1)="4",INDEX('변표 테이블'!$I$86:$I$165,MATCH($O68,'변표 테이블'!$B$86:$B$165,0)),INDEX(DH$4:DH$8,MATCH(AI68,$DC$4:$DC$8,0))),0)</f>
        <v>0</v>
      </c>
      <c r="DJ68" s="7">
        <f>IFERROR(IF(LEFT($AP68,1)="4",INDEX('변표 테이블'!$J$86:$J$165,MATCH($O68,'변표 테이블'!$B$86:$B$165,0)),INDEX(DI$4:DI$8,MATCH(AK68,$DC$4:$DC$8,0))),0)</f>
        <v>0</v>
      </c>
      <c r="DK68" s="7">
        <f>IFERROR(IF(LEFT($AP68,1)="4",INDEX('변표 테이블'!$K$86:$K$165,MATCH($O68,'변표 테이블'!$B$86:$B$165,0)),INDEX(DJ$4:DJ$8,MATCH(AL68,$DC$4:$DC$8,0))),0)</f>
        <v>0</v>
      </c>
      <c r="DL68" s="7" t="str">
        <f t="shared" si="32"/>
        <v/>
      </c>
      <c r="DM68" s="7" t="str">
        <f t="shared" si="33"/>
        <v/>
      </c>
      <c r="DN68" s="7">
        <f t="shared" si="34"/>
        <v>0</v>
      </c>
      <c r="DP68" s="7">
        <f t="shared" si="57"/>
        <v>0</v>
      </c>
      <c r="DQ68" s="7">
        <f t="shared" si="58"/>
        <v>0</v>
      </c>
      <c r="DR68" s="7">
        <f t="shared" si="59"/>
        <v>0</v>
      </c>
      <c r="DS68" s="7">
        <f t="shared" si="35"/>
        <v>0</v>
      </c>
      <c r="DT68" s="7">
        <f t="shared" si="60"/>
        <v>0</v>
      </c>
      <c r="DU68" s="7">
        <f t="shared" si="61"/>
        <v>0</v>
      </c>
      <c r="DV68" s="7">
        <f t="shared" si="36"/>
        <v>0</v>
      </c>
      <c r="DW68" s="7">
        <f>LARGE((DR68:DS68,DU68:DV68),1)</f>
        <v>0</v>
      </c>
      <c r="DX68" s="7">
        <f>IF(DA68&lt;2,0,LARGE((DR68:DS68,DU68:DV68),2))</f>
        <v>0</v>
      </c>
      <c r="DY68" s="7">
        <f t="shared" si="62"/>
        <v>0</v>
      </c>
      <c r="DZ68" s="7">
        <f t="shared" si="63"/>
        <v>0</v>
      </c>
      <c r="EA68" s="7">
        <f t="shared" si="64"/>
        <v>0</v>
      </c>
      <c r="EF68" s="7">
        <f t="shared" si="37"/>
        <v>0</v>
      </c>
      <c r="EH68" s="7">
        <f t="shared" si="38"/>
        <v>1</v>
      </c>
      <c r="EI68" s="7">
        <f>IF(EH68=0,0,COUNTIF($EH$16:EH68,"&gt;"&amp;0))</f>
        <v>5</v>
      </c>
    </row>
    <row r="69" spans="1:139" x14ac:dyDescent="0.3">
      <c r="A69" s="165">
        <v>68</v>
      </c>
      <c r="C69" s="7" t="s">
        <v>167</v>
      </c>
      <c r="D69" s="7">
        <v>1000</v>
      </c>
      <c r="E69" s="7">
        <v>0.3</v>
      </c>
      <c r="F69" s="7">
        <v>0.4</v>
      </c>
      <c r="G69" s="7">
        <v>0.15</v>
      </c>
      <c r="H69" s="7">
        <v>0.15</v>
      </c>
      <c r="M69" s="7">
        <v>1</v>
      </c>
      <c r="O69" s="7">
        <f t="shared" si="45"/>
        <v>1</v>
      </c>
      <c r="Q69" s="7">
        <f t="shared" si="22"/>
        <v>1.5</v>
      </c>
      <c r="R69" s="7">
        <f t="shared" si="23"/>
        <v>2</v>
      </c>
      <c r="S69" s="7">
        <f t="shared" si="9"/>
        <v>1.5</v>
      </c>
      <c r="T69" s="7" t="str">
        <f t="shared" si="10"/>
        <v>자동</v>
      </c>
      <c r="U69" s="7">
        <f t="shared" si="24"/>
        <v>1.5</v>
      </c>
      <c r="V69" s="7">
        <f t="shared" si="73"/>
        <v>1.5</v>
      </c>
      <c r="W69" s="7">
        <f t="shared" si="74"/>
        <v>2</v>
      </c>
      <c r="X69" s="7">
        <f t="shared" si="75"/>
        <v>1.5</v>
      </c>
      <c r="Y69" s="7">
        <f t="shared" si="76"/>
        <v>1.5</v>
      </c>
      <c r="AA69" s="7" t="str">
        <f t="shared" si="77"/>
        <v>자동</v>
      </c>
      <c r="AB69" s="7" t="str">
        <f t="shared" si="78"/>
        <v>자동</v>
      </c>
      <c r="AC69" s="7">
        <f>INDEX('변표 테이블'!$C$86:$C$165,MATCH(O69,'변표 테이블'!$B$86:$B$165,0))</f>
        <v>71.13</v>
      </c>
      <c r="AD69" s="7">
        <f>INDEX('변표 테이블'!$D$86:$D$165,MATCH(O69,'변표 테이블'!$B$86:$B$165,0))</f>
        <v>66</v>
      </c>
      <c r="AF69" s="7">
        <v>1</v>
      </c>
      <c r="AG69" s="7">
        <v>1</v>
      </c>
      <c r="AH69" s="7">
        <v>4</v>
      </c>
      <c r="AI69" s="7">
        <v>4</v>
      </c>
      <c r="AM69" s="7">
        <v>3</v>
      </c>
      <c r="AN69" s="7">
        <v>3</v>
      </c>
      <c r="AP69" s="7">
        <f t="shared" si="25"/>
        <v>4</v>
      </c>
      <c r="BH69" s="121">
        <v>10</v>
      </c>
      <c r="BI69" s="7">
        <v>9.5</v>
      </c>
      <c r="BJ69" s="7">
        <v>9</v>
      </c>
      <c r="BK69" s="7">
        <v>8.5</v>
      </c>
      <c r="BL69" s="7">
        <v>8</v>
      </c>
      <c r="BM69" s="7">
        <v>7.5</v>
      </c>
      <c r="BN69" s="7">
        <v>7</v>
      </c>
      <c r="BO69" s="7">
        <v>6.5</v>
      </c>
      <c r="BP69" s="7">
        <v>6</v>
      </c>
      <c r="BQ69" s="121">
        <v>10</v>
      </c>
      <c r="BR69" s="7">
        <v>10</v>
      </c>
      <c r="BS69" s="7">
        <v>10</v>
      </c>
      <c r="BT69" s="7">
        <v>10</v>
      </c>
      <c r="BU69" s="7">
        <v>10</v>
      </c>
      <c r="BV69" s="7">
        <v>9</v>
      </c>
      <c r="BW69" s="7">
        <v>9</v>
      </c>
      <c r="BX69" s="7">
        <v>8</v>
      </c>
      <c r="BY69" s="7">
        <v>8</v>
      </c>
      <c r="CI69" s="7">
        <f t="shared" si="26"/>
        <v>10</v>
      </c>
      <c r="CJ69" s="163">
        <f t="shared" si="27"/>
        <v>100</v>
      </c>
      <c r="CK69" s="7">
        <f t="shared" si="28"/>
        <v>10</v>
      </c>
      <c r="CL69" s="7">
        <v>2</v>
      </c>
      <c r="CP69" s="7">
        <v>1</v>
      </c>
      <c r="CR69" s="7">
        <v>1</v>
      </c>
      <c r="CZ69" s="7">
        <f t="shared" si="29"/>
        <v>1</v>
      </c>
      <c r="DA69" s="7">
        <f t="shared" si="30"/>
        <v>2</v>
      </c>
      <c r="DB69" s="7">
        <f t="shared" si="54"/>
        <v>0</v>
      </c>
      <c r="DC69" s="7">
        <f t="shared" si="31"/>
        <v>0</v>
      </c>
      <c r="DE69" s="7">
        <f t="shared" si="55"/>
        <v>0</v>
      </c>
      <c r="DF69" s="7">
        <f t="shared" si="56"/>
        <v>0</v>
      </c>
      <c r="DG69" s="7">
        <f>IFERROR(IF(LEFT($AP69,1)="4",INDEX('변표 테이블'!$H$86:$H$165,MATCH($O69,'변표 테이블'!$B$86:$B$165,0)),INDEX(DG$4:DG$8,MATCH(AH69,$DC$4:$DC$8,0))),0)</f>
        <v>0</v>
      </c>
      <c r="DH69" s="7">
        <f>IFERROR(IF(LEFT($AP69,1)="4",INDEX('변표 테이블'!$I$86:$I$165,MATCH($O69,'변표 테이블'!$B$86:$B$165,0)),INDEX(DH$4:DH$8,MATCH(AI69,$DC$4:$DC$8,0))),0)</f>
        <v>0</v>
      </c>
      <c r="DJ69" s="7">
        <f>IFERROR(IF(LEFT($AP69,1)="4",INDEX('변표 테이블'!$J$86:$J$165,MATCH($O69,'변표 테이블'!$B$86:$B$165,0)),INDEX(DI$4:DI$8,MATCH(AK69,$DC$4:$DC$8,0))),0)</f>
        <v>0</v>
      </c>
      <c r="DK69" s="7">
        <f>IFERROR(IF(LEFT($AP69,1)="4",INDEX('변표 테이블'!$K$86:$K$165,MATCH($O69,'변표 테이블'!$B$86:$B$165,0)),INDEX(DJ$4:DJ$8,MATCH(AL69,$DC$4:$DC$8,0))),0)</f>
        <v>0</v>
      </c>
      <c r="DL69" s="7" t="str">
        <f t="shared" si="32"/>
        <v/>
      </c>
      <c r="DM69" s="7" t="str">
        <f t="shared" si="33"/>
        <v/>
      </c>
      <c r="DN69" s="7">
        <f t="shared" si="34"/>
        <v>0</v>
      </c>
      <c r="DP69" s="7">
        <f t="shared" si="57"/>
        <v>0</v>
      </c>
      <c r="DQ69" s="7">
        <f t="shared" si="58"/>
        <v>0</v>
      </c>
      <c r="DR69" s="7">
        <f t="shared" si="59"/>
        <v>0</v>
      </c>
      <c r="DS69" s="7">
        <f t="shared" si="35"/>
        <v>0</v>
      </c>
      <c r="DT69" s="7">
        <f t="shared" si="60"/>
        <v>0</v>
      </c>
      <c r="DU69" s="7">
        <f t="shared" si="61"/>
        <v>0</v>
      </c>
      <c r="DV69" s="7">
        <f t="shared" si="36"/>
        <v>0</v>
      </c>
      <c r="DW69" s="7">
        <f>LARGE((DR69:DS69,DU69:DV69),1)</f>
        <v>0</v>
      </c>
      <c r="DX69" s="7">
        <f>IF(DA69&lt;2,0,LARGE((DR69:DS69,DU69:DV69),2))</f>
        <v>0</v>
      </c>
      <c r="DY69" s="7">
        <f t="shared" si="62"/>
        <v>0</v>
      </c>
      <c r="DZ69" s="7">
        <f t="shared" si="63"/>
        <v>0</v>
      </c>
      <c r="EA69" s="7">
        <f t="shared" si="64"/>
        <v>0</v>
      </c>
      <c r="EF69" s="7">
        <f t="shared" si="37"/>
        <v>0</v>
      </c>
      <c r="EH69" s="7">
        <f t="shared" si="38"/>
        <v>0</v>
      </c>
      <c r="EI69" s="7">
        <f>IF(EH69=0,0,COUNTIF($EH$16:EH69,"&gt;"&amp;0))</f>
        <v>0</v>
      </c>
    </row>
    <row r="70" spans="1:139" x14ac:dyDescent="0.3">
      <c r="A70" s="165">
        <v>69</v>
      </c>
      <c r="C70" s="7" t="s">
        <v>168</v>
      </c>
      <c r="D70" s="7">
        <v>1000</v>
      </c>
      <c r="E70" s="7">
        <v>0.2</v>
      </c>
      <c r="F70" s="7">
        <v>0.25</v>
      </c>
      <c r="G70" s="7">
        <v>0.15</v>
      </c>
      <c r="H70" s="7">
        <v>0.15</v>
      </c>
      <c r="O70" s="7">
        <f t="shared" si="45"/>
        <v>0</v>
      </c>
      <c r="Q70" s="7">
        <f t="shared" si="22"/>
        <v>2</v>
      </c>
      <c r="R70" s="7">
        <f t="shared" si="23"/>
        <v>2.5</v>
      </c>
      <c r="S70" s="7">
        <f t="shared" si="9"/>
        <v>1.5</v>
      </c>
      <c r="T70" s="7" t="str">
        <f t="shared" si="10"/>
        <v>자동</v>
      </c>
      <c r="U70" s="7">
        <f t="shared" si="24"/>
        <v>3</v>
      </c>
      <c r="V70" s="7">
        <f t="shared" si="73"/>
        <v>2</v>
      </c>
      <c r="W70" s="7">
        <f t="shared" si="74"/>
        <v>2.5</v>
      </c>
      <c r="X70" s="7">
        <f t="shared" si="75"/>
        <v>1.5</v>
      </c>
      <c r="Y70" s="7">
        <f t="shared" si="76"/>
        <v>1.5</v>
      </c>
      <c r="AA70" s="7" t="str">
        <f t="shared" si="77"/>
        <v>자동</v>
      </c>
      <c r="AB70" s="7" t="str">
        <f t="shared" si="78"/>
        <v>자동</v>
      </c>
      <c r="AC70" s="7" t="e">
        <f>INDEX('변표 테이블'!$C$86:$C$165,MATCH(O70,'변표 테이블'!$B$86:$B$165,0))</f>
        <v>#N/A</v>
      </c>
      <c r="AD70" s="7" t="e">
        <f>INDEX('변표 테이블'!$D$86:$D$165,MATCH(O70,'변표 테이블'!$B$86:$B$165,0))</f>
        <v>#N/A</v>
      </c>
      <c r="AF70" s="7">
        <v>2</v>
      </c>
      <c r="AG70" s="7">
        <v>2</v>
      </c>
      <c r="AH70" s="7">
        <v>2</v>
      </c>
      <c r="AI70" s="7">
        <v>2</v>
      </c>
      <c r="AM70" s="7">
        <v>3</v>
      </c>
      <c r="AN70" s="7">
        <v>3</v>
      </c>
      <c r="AP70" s="7">
        <f t="shared" si="25"/>
        <v>2</v>
      </c>
      <c r="BH70" s="121">
        <v>200</v>
      </c>
      <c r="BI70" s="7">
        <v>190</v>
      </c>
      <c r="BJ70" s="7">
        <v>180</v>
      </c>
      <c r="BK70" s="7">
        <v>170</v>
      </c>
      <c r="BL70" s="7">
        <v>155</v>
      </c>
      <c r="BM70" s="7">
        <v>140</v>
      </c>
      <c r="BN70" s="7">
        <v>125</v>
      </c>
      <c r="BO70" s="7">
        <v>110</v>
      </c>
      <c r="BP70" s="7">
        <v>80</v>
      </c>
      <c r="BQ70" s="121">
        <v>50</v>
      </c>
      <c r="BR70" s="7">
        <v>50</v>
      </c>
      <c r="BS70" s="7">
        <v>50</v>
      </c>
      <c r="BT70" s="7">
        <v>50</v>
      </c>
      <c r="BU70" s="7">
        <v>50</v>
      </c>
      <c r="BV70" s="7">
        <v>45</v>
      </c>
      <c r="BW70" s="7">
        <v>40</v>
      </c>
      <c r="BX70" s="7">
        <v>35</v>
      </c>
      <c r="BY70" s="7">
        <v>30</v>
      </c>
      <c r="CI70" s="7">
        <f t="shared" si="26"/>
        <v>200</v>
      </c>
      <c r="CJ70" s="163">
        <f t="shared" si="27"/>
        <v>100</v>
      </c>
      <c r="CK70" s="7">
        <f t="shared" si="28"/>
        <v>50</v>
      </c>
      <c r="CL70" s="7">
        <v>2</v>
      </c>
      <c r="CR70" s="7">
        <v>1</v>
      </c>
      <c r="CZ70" s="7">
        <f t="shared" si="29"/>
        <v>1</v>
      </c>
      <c r="DA70" s="7">
        <f t="shared" si="30"/>
        <v>2</v>
      </c>
      <c r="DB70" s="7">
        <f t="shared" si="54"/>
        <v>0</v>
      </c>
      <c r="DC70" s="7">
        <f t="shared" si="31"/>
        <v>0</v>
      </c>
      <c r="DE70" s="7">
        <f t="shared" si="55"/>
        <v>0</v>
      </c>
      <c r="DF70" s="7">
        <f t="shared" si="56"/>
        <v>0</v>
      </c>
      <c r="DG70" s="7">
        <f>IFERROR(IF(LEFT($AP70,1)="4",INDEX('변표 테이블'!$H$86:$H$165,MATCH($O70,'변표 테이블'!$B$86:$B$165,0)),INDEX(DG$4:DG$8,MATCH(AH70,$DC$4:$DC$8,0))),0)</f>
        <v>0</v>
      </c>
      <c r="DH70" s="7">
        <f>IFERROR(IF(LEFT($AP70,1)="4",INDEX('변표 테이블'!$I$86:$I$165,MATCH($O70,'변표 테이블'!$B$86:$B$165,0)),INDEX(DH$4:DH$8,MATCH(AI70,$DC$4:$DC$8,0))),0)</f>
        <v>0</v>
      </c>
      <c r="DJ70" s="7">
        <f>IFERROR(IF(LEFT($AP70,1)="4",INDEX('변표 테이블'!$J$86:$J$165,MATCH($O70,'변표 테이블'!$B$86:$B$165,0)),INDEX(DI$4:DI$8,MATCH(AK70,$DC$4:$DC$8,0))),0)</f>
        <v>0</v>
      </c>
      <c r="DK70" s="7">
        <f>IFERROR(IF(LEFT($AP70,1)="4",INDEX('변표 테이블'!$K$86:$K$165,MATCH($O70,'변표 테이블'!$B$86:$B$165,0)),INDEX(DJ$4:DJ$8,MATCH(AL70,$DC$4:$DC$8,0))),0)</f>
        <v>0</v>
      </c>
      <c r="DL70" s="7" t="str">
        <f t="shared" si="32"/>
        <v/>
      </c>
      <c r="DM70" s="7" t="str">
        <f t="shared" si="33"/>
        <v/>
      </c>
      <c r="DN70" s="7">
        <f t="shared" si="34"/>
        <v>0</v>
      </c>
      <c r="DP70" s="7">
        <f t="shared" si="57"/>
        <v>0</v>
      </c>
      <c r="DQ70" s="7">
        <f t="shared" si="58"/>
        <v>0</v>
      </c>
      <c r="DR70" s="7">
        <f t="shared" si="59"/>
        <v>0</v>
      </c>
      <c r="DS70" s="7">
        <f t="shared" si="35"/>
        <v>0</v>
      </c>
      <c r="DT70" s="7">
        <f t="shared" si="60"/>
        <v>0</v>
      </c>
      <c r="DU70" s="7">
        <f t="shared" si="61"/>
        <v>0</v>
      </c>
      <c r="DV70" s="7">
        <f t="shared" si="36"/>
        <v>0</v>
      </c>
      <c r="DW70" s="7">
        <f>LARGE((DR70:DS70,DU70:DV70),1)</f>
        <v>0</v>
      </c>
      <c r="DX70" s="7">
        <f>IF(DA70&lt;2,0,LARGE((DR70:DS70,DU70:DV70),2))</f>
        <v>0</v>
      </c>
      <c r="DY70" s="7">
        <f t="shared" si="62"/>
        <v>0</v>
      </c>
      <c r="DZ70" s="7">
        <f t="shared" si="63"/>
        <v>0</v>
      </c>
      <c r="EA70" s="7">
        <f t="shared" si="64"/>
        <v>0</v>
      </c>
      <c r="EF70" s="7">
        <f t="shared" si="37"/>
        <v>0</v>
      </c>
      <c r="EH70" s="7">
        <f t="shared" si="38"/>
        <v>0</v>
      </c>
      <c r="EI70" s="7">
        <f>IF(EH70=0,0,COUNTIF($EH$16:EH70,"&gt;"&amp;0))</f>
        <v>0</v>
      </c>
    </row>
    <row r="71" spans="1:139" x14ac:dyDescent="0.3">
      <c r="A71" s="165">
        <v>70</v>
      </c>
      <c r="C71" s="7" t="s">
        <v>169</v>
      </c>
      <c r="D71" s="7">
        <v>500</v>
      </c>
      <c r="E71" s="7">
        <v>0.2</v>
      </c>
      <c r="F71" s="7">
        <v>0.3</v>
      </c>
      <c r="G71" s="7">
        <v>0.15</v>
      </c>
      <c r="H71" s="7">
        <v>0.15</v>
      </c>
      <c r="O71" s="7">
        <f t="shared" si="45"/>
        <v>0</v>
      </c>
      <c r="Q71" s="7">
        <f t="shared" si="22"/>
        <v>1</v>
      </c>
      <c r="R71" s="7">
        <f t="shared" si="23"/>
        <v>1.5</v>
      </c>
      <c r="S71" s="7">
        <f t="shared" si="9"/>
        <v>0.75</v>
      </c>
      <c r="T71" s="7" t="str">
        <f t="shared" si="10"/>
        <v>자동</v>
      </c>
      <c r="U71" s="7">
        <f t="shared" si="24"/>
        <v>1.5</v>
      </c>
      <c r="V71" s="7">
        <f t="shared" si="73"/>
        <v>1</v>
      </c>
      <c r="W71" s="7">
        <f t="shared" si="74"/>
        <v>1.5</v>
      </c>
      <c r="X71" s="7">
        <f t="shared" si="75"/>
        <v>0.75</v>
      </c>
      <c r="Y71" s="7">
        <f t="shared" si="76"/>
        <v>0.75</v>
      </c>
      <c r="AA71" s="7" t="str">
        <f t="shared" si="77"/>
        <v>자동</v>
      </c>
      <c r="AB71" s="7" t="str">
        <f t="shared" si="78"/>
        <v>자동</v>
      </c>
      <c r="AC71" s="7" t="e">
        <f>INDEX('변표 테이블'!$C$86:$C$165,MATCH(O71,'변표 테이블'!$B$86:$B$165,0))</f>
        <v>#N/A</v>
      </c>
      <c r="AD71" s="7" t="e">
        <f>INDEX('변표 테이블'!$D$86:$D$165,MATCH(O71,'변표 테이블'!$B$86:$B$165,0))</f>
        <v>#N/A</v>
      </c>
      <c r="AF71" s="7">
        <v>2</v>
      </c>
      <c r="AG71" s="7">
        <v>2</v>
      </c>
      <c r="AH71" s="7">
        <v>2</v>
      </c>
      <c r="AI71" s="7">
        <v>2</v>
      </c>
      <c r="AM71" s="7">
        <v>3</v>
      </c>
      <c r="AN71" s="7">
        <v>3</v>
      </c>
      <c r="AP71" s="7">
        <f t="shared" si="25"/>
        <v>2</v>
      </c>
      <c r="AR71" s="7">
        <f>0.15</f>
        <v>0.15</v>
      </c>
      <c r="AS71" s="7">
        <f>0.15</f>
        <v>0.15</v>
      </c>
      <c r="AT71" s="7">
        <v>7.4999999999999997E-2</v>
      </c>
      <c r="AU71" s="7">
        <v>7.4999999999999997E-2</v>
      </c>
      <c r="BA71" s="7">
        <f>BA6*AR71</f>
        <v>0</v>
      </c>
      <c r="BB71" s="7">
        <f>BB6*AS71</f>
        <v>0</v>
      </c>
      <c r="BC71" s="7">
        <f>AH6*AT71</f>
        <v>0</v>
      </c>
      <c r="BD71" s="7">
        <f>AI6*AU71</f>
        <v>0</v>
      </c>
      <c r="BH71" s="121">
        <v>100</v>
      </c>
      <c r="BI71" s="7">
        <v>97</v>
      </c>
      <c r="BJ71" s="7">
        <v>94</v>
      </c>
      <c r="BK71" s="7">
        <v>84</v>
      </c>
      <c r="BL71" s="7">
        <v>81</v>
      </c>
      <c r="BM71" s="7">
        <v>78</v>
      </c>
      <c r="BN71" s="7">
        <v>75</v>
      </c>
      <c r="BO71" s="7">
        <v>72</v>
      </c>
      <c r="BP71" s="7">
        <v>40</v>
      </c>
      <c r="BQ71" s="121">
        <v>1.5</v>
      </c>
      <c r="BR71" s="7">
        <v>1</v>
      </c>
      <c r="BS71" s="7">
        <v>0.5</v>
      </c>
      <c r="BU71" s="7">
        <v>-0.5</v>
      </c>
      <c r="BV71" s="7">
        <v>-1</v>
      </c>
      <c r="BW71" s="7">
        <v>-1.5</v>
      </c>
      <c r="BX71" s="7">
        <v>-2</v>
      </c>
      <c r="BY71" s="7">
        <v>-2.5</v>
      </c>
      <c r="CI71" s="7">
        <f t="shared" si="26"/>
        <v>100</v>
      </c>
      <c r="CJ71" s="163">
        <f t="shared" si="27"/>
        <v>100</v>
      </c>
      <c r="CK71" s="7">
        <f t="shared" si="28"/>
        <v>1.5</v>
      </c>
      <c r="CL71" s="7">
        <v>2</v>
      </c>
      <c r="CP71" s="7">
        <v>1</v>
      </c>
      <c r="CR71" s="7">
        <v>1</v>
      </c>
      <c r="CZ71" s="7">
        <f t="shared" si="29"/>
        <v>1</v>
      </c>
      <c r="DA71" s="7">
        <f t="shared" si="30"/>
        <v>2</v>
      </c>
      <c r="DB71" s="7">
        <f t="shared" si="54"/>
        <v>0</v>
      </c>
      <c r="DC71" s="7">
        <f t="shared" si="31"/>
        <v>0</v>
      </c>
      <c r="DE71" s="7">
        <f t="shared" si="55"/>
        <v>0</v>
      </c>
      <c r="DF71" s="7">
        <f t="shared" si="56"/>
        <v>0</v>
      </c>
      <c r="DG71" s="7">
        <f>IFERROR(IF(LEFT($AP71,1)="4",INDEX('변표 테이블'!$H$86:$H$165,MATCH($O71,'변표 테이블'!$B$86:$B$165,0)),INDEX(DG$4:DG$8,MATCH(AH71,$DC$4:$DC$8,0))),0)</f>
        <v>0</v>
      </c>
      <c r="DH71" s="7">
        <f>IFERROR(IF(LEFT($AP71,1)="4",INDEX('변표 테이블'!$I$86:$I$165,MATCH($O71,'변표 테이블'!$B$86:$B$165,0)),INDEX(DH$4:DH$8,MATCH(AI71,$DC$4:$DC$8,0))),0)</f>
        <v>0</v>
      </c>
      <c r="DJ71" s="7">
        <f>IFERROR(IF(LEFT($AP71,1)="4",INDEX('변표 테이블'!$J$86:$J$165,MATCH($O71,'변표 테이블'!$B$86:$B$165,0)),INDEX(DI$4:DI$8,MATCH(AK71,$DC$4:$DC$8,0))),0)</f>
        <v>0</v>
      </c>
      <c r="DK71" s="7">
        <f>IFERROR(IF(LEFT($AP71,1)="4",INDEX('변표 테이블'!$K$86:$K$165,MATCH($O71,'변표 테이블'!$B$86:$B$165,0)),INDEX(DJ$4:DJ$8,MATCH(AL71,$DC$4:$DC$8,0))),0)</f>
        <v>0</v>
      </c>
      <c r="DL71" s="7" t="str">
        <f t="shared" si="32"/>
        <v/>
      </c>
      <c r="DM71" s="7" t="str">
        <f t="shared" si="33"/>
        <v/>
      </c>
      <c r="DN71" s="7">
        <f t="shared" si="34"/>
        <v>0</v>
      </c>
      <c r="DP71" s="7">
        <f t="shared" si="57"/>
        <v>0</v>
      </c>
      <c r="DQ71" s="7">
        <f t="shared" si="58"/>
        <v>0</v>
      </c>
      <c r="DR71" s="7">
        <f t="shared" si="59"/>
        <v>0</v>
      </c>
      <c r="DS71" s="7">
        <f t="shared" si="35"/>
        <v>0</v>
      </c>
      <c r="DT71" s="7">
        <f t="shared" si="60"/>
        <v>0</v>
      </c>
      <c r="DU71" s="7">
        <f t="shared" si="61"/>
        <v>0</v>
      </c>
      <c r="DV71" s="7">
        <f t="shared" si="36"/>
        <v>0</v>
      </c>
      <c r="DW71" s="7">
        <f>LARGE((DR71:DS71,DU71:DV71),1)</f>
        <v>0</v>
      </c>
      <c r="DX71" s="7">
        <f>IF(DA71&lt;2,0,LARGE((DR71:DS71,DU71:DV71),2))</f>
        <v>0</v>
      </c>
      <c r="DY71" s="7">
        <f t="shared" si="62"/>
        <v>0</v>
      </c>
      <c r="DZ71" s="7">
        <f t="shared" si="63"/>
        <v>0</v>
      </c>
      <c r="EA71" s="7">
        <f t="shared" si="64"/>
        <v>0</v>
      </c>
      <c r="EF71" s="7">
        <f t="shared" si="37"/>
        <v>0</v>
      </c>
      <c r="EH71" s="7">
        <f t="shared" si="38"/>
        <v>1</v>
      </c>
      <c r="EI71" s="7">
        <f>IF(EH71=0,0,COUNTIF($EH$16:EH71,"&gt;"&amp;0))</f>
        <v>6</v>
      </c>
    </row>
    <row r="72" spans="1:139" x14ac:dyDescent="0.3">
      <c r="A72" s="165">
        <v>71</v>
      </c>
      <c r="C72" s="7" t="s">
        <v>170</v>
      </c>
      <c r="D72" s="7">
        <v>1000</v>
      </c>
      <c r="E72" s="7">
        <v>0.2</v>
      </c>
      <c r="F72" s="7">
        <v>0.3</v>
      </c>
      <c r="G72" s="7">
        <v>0.15</v>
      </c>
      <c r="H72" s="7">
        <v>0.15</v>
      </c>
      <c r="O72" s="7">
        <f t="shared" si="45"/>
        <v>0</v>
      </c>
      <c r="Q72" s="7">
        <f t="shared" si="22"/>
        <v>2</v>
      </c>
      <c r="R72" s="7">
        <f t="shared" si="23"/>
        <v>3</v>
      </c>
      <c r="S72" s="7">
        <f t="shared" si="9"/>
        <v>1.5</v>
      </c>
      <c r="T72" s="7" t="str">
        <f t="shared" si="10"/>
        <v>자동</v>
      </c>
      <c r="U72" s="7">
        <f t="shared" si="24"/>
        <v>3</v>
      </c>
      <c r="V72" s="7">
        <f t="shared" si="73"/>
        <v>2</v>
      </c>
      <c r="W72" s="7">
        <f t="shared" si="74"/>
        <v>3</v>
      </c>
      <c r="X72" s="7">
        <f t="shared" si="75"/>
        <v>1.5</v>
      </c>
      <c r="Y72" s="7">
        <f t="shared" si="76"/>
        <v>1.5</v>
      </c>
      <c r="AA72" s="7" t="str">
        <f t="shared" si="77"/>
        <v>자동</v>
      </c>
      <c r="AB72" s="7" t="str">
        <f t="shared" si="78"/>
        <v>자동</v>
      </c>
      <c r="AC72" s="7" t="e">
        <f>INDEX('변표 테이블'!$C$86:$C$165,MATCH(O72,'변표 테이블'!$B$86:$B$165,0))</f>
        <v>#N/A</v>
      </c>
      <c r="AD72" s="7" t="e">
        <f>INDEX('변표 테이블'!$D$86:$D$165,MATCH(O72,'변표 테이블'!$B$86:$B$165,0))</f>
        <v>#N/A</v>
      </c>
      <c r="AF72" s="7">
        <v>2</v>
      </c>
      <c r="AG72" s="7">
        <v>2</v>
      </c>
      <c r="AH72" s="7">
        <v>2</v>
      </c>
      <c r="AI72" s="7">
        <v>2</v>
      </c>
      <c r="AM72" s="7">
        <v>3</v>
      </c>
      <c r="AN72" s="7">
        <v>3</v>
      </c>
      <c r="AP72" s="7">
        <f t="shared" si="25"/>
        <v>2</v>
      </c>
      <c r="BH72" s="121">
        <v>190</v>
      </c>
      <c r="BI72" s="7">
        <v>180</v>
      </c>
      <c r="BJ72" s="7">
        <v>170</v>
      </c>
      <c r="BK72" s="7">
        <v>160</v>
      </c>
      <c r="BL72" s="7">
        <v>150</v>
      </c>
      <c r="BM72" s="7">
        <v>80</v>
      </c>
      <c r="BN72" s="7">
        <v>60</v>
      </c>
      <c r="BO72" s="7">
        <v>40</v>
      </c>
      <c r="BP72" s="7">
        <v>0</v>
      </c>
      <c r="CI72" s="7">
        <f t="shared" si="26"/>
        <v>190</v>
      </c>
      <c r="CJ72" s="163">
        <f t="shared" si="27"/>
        <v>100</v>
      </c>
      <c r="CK72" s="7">
        <f t="shared" si="28"/>
        <v>0</v>
      </c>
      <c r="CL72" s="7">
        <v>2</v>
      </c>
      <c r="CP72" s="7">
        <v>1</v>
      </c>
      <c r="CR72" s="7">
        <v>1</v>
      </c>
      <c r="CZ72" s="7">
        <f t="shared" si="29"/>
        <v>1</v>
      </c>
      <c r="DA72" s="7">
        <f t="shared" si="30"/>
        <v>2</v>
      </c>
      <c r="DB72" s="7">
        <f t="shared" si="54"/>
        <v>0</v>
      </c>
      <c r="DC72" s="7">
        <f t="shared" si="31"/>
        <v>0</v>
      </c>
      <c r="DE72" s="7">
        <f t="shared" si="55"/>
        <v>0</v>
      </c>
      <c r="DF72" s="7">
        <f t="shared" si="56"/>
        <v>0</v>
      </c>
      <c r="DG72" s="7">
        <f>IFERROR(IF(LEFT($AP72,1)="4",INDEX('변표 테이블'!$H$86:$H$165,MATCH($O72,'변표 테이블'!$B$86:$B$165,0)),INDEX(DG$4:DG$8,MATCH(AH72,$DC$4:$DC$8,0))),0)</f>
        <v>0</v>
      </c>
      <c r="DH72" s="7">
        <f>IFERROR(IF(LEFT($AP72,1)="4",INDEX('변표 테이블'!$I$86:$I$165,MATCH($O72,'변표 테이블'!$B$86:$B$165,0)),INDEX(DH$4:DH$8,MATCH(AI72,$DC$4:$DC$8,0))),0)</f>
        <v>0</v>
      </c>
      <c r="DJ72" s="7">
        <f>IFERROR(IF(LEFT($AP72,1)="4",INDEX('변표 테이블'!$J$86:$J$165,MATCH($O72,'변표 테이블'!$B$86:$B$165,0)),INDEX(DI$4:DI$8,MATCH(AK72,$DC$4:$DC$8,0))),0)</f>
        <v>0</v>
      </c>
      <c r="DK72" s="7">
        <f>IFERROR(IF(LEFT($AP72,1)="4",INDEX('변표 테이블'!$K$86:$K$165,MATCH($O72,'변표 테이블'!$B$86:$B$165,0)),INDEX(DJ$4:DJ$8,MATCH(AL72,$DC$4:$DC$8,0))),0)</f>
        <v>0</v>
      </c>
      <c r="DL72" s="7" t="str">
        <f t="shared" si="32"/>
        <v/>
      </c>
      <c r="DM72" s="7" t="str">
        <f t="shared" si="33"/>
        <v/>
      </c>
      <c r="DN72" s="7">
        <f t="shared" si="34"/>
        <v>0</v>
      </c>
      <c r="DP72" s="7">
        <f t="shared" si="57"/>
        <v>0</v>
      </c>
      <c r="DQ72" s="7">
        <f t="shared" si="58"/>
        <v>0</v>
      </c>
      <c r="DR72" s="7">
        <f t="shared" si="59"/>
        <v>0</v>
      </c>
      <c r="DS72" s="7">
        <f t="shared" si="35"/>
        <v>0</v>
      </c>
      <c r="DT72" s="7">
        <f t="shared" si="60"/>
        <v>0</v>
      </c>
      <c r="DU72" s="7">
        <f t="shared" si="61"/>
        <v>0</v>
      </c>
      <c r="DV72" s="7">
        <f t="shared" si="36"/>
        <v>0</v>
      </c>
      <c r="DW72" s="7">
        <f>LARGE((DR72:DS72,DU72:DV72),1)</f>
        <v>0</v>
      </c>
      <c r="DX72" s="7">
        <f>IF(DA72&lt;2,0,LARGE((DR72:DS72,DU72:DV72),2))</f>
        <v>0</v>
      </c>
      <c r="DY72" s="7">
        <f t="shared" si="62"/>
        <v>0</v>
      </c>
      <c r="DZ72" s="7">
        <f t="shared" si="63"/>
        <v>0</v>
      </c>
      <c r="EA72" s="7">
        <f t="shared" si="64"/>
        <v>0</v>
      </c>
      <c r="EF72" s="7">
        <f t="shared" si="37"/>
        <v>0</v>
      </c>
      <c r="EH72" s="7">
        <f t="shared" si="38"/>
        <v>0</v>
      </c>
      <c r="EI72" s="7">
        <f>IF(EH72=0,0,COUNTIF($EH$16:EH72,"&gt;"&amp;0))</f>
        <v>0</v>
      </c>
    </row>
    <row r="73" spans="1:139" x14ac:dyDescent="0.3">
      <c r="A73" s="165">
        <v>72</v>
      </c>
      <c r="C73" s="7" t="s">
        <v>171</v>
      </c>
      <c r="D73" s="7">
        <v>1000</v>
      </c>
      <c r="E73" s="7">
        <v>0.2</v>
      </c>
      <c r="F73" s="7">
        <v>0.3</v>
      </c>
      <c r="G73" s="7">
        <v>0.15</v>
      </c>
      <c r="H73" s="7">
        <v>0.15</v>
      </c>
      <c r="O73" s="7">
        <f t="shared" si="45"/>
        <v>0</v>
      </c>
      <c r="Q73" s="7">
        <f t="shared" si="22"/>
        <v>2</v>
      </c>
      <c r="R73" s="7">
        <f t="shared" si="23"/>
        <v>3</v>
      </c>
      <c r="S73" s="7">
        <f t="shared" si="9"/>
        <v>1.5</v>
      </c>
      <c r="T73" s="7" t="str">
        <f t="shared" si="10"/>
        <v>자동</v>
      </c>
      <c r="U73" s="7">
        <f t="shared" si="24"/>
        <v>3</v>
      </c>
      <c r="V73" s="7">
        <f t="shared" si="73"/>
        <v>2</v>
      </c>
      <c r="W73" s="7">
        <f t="shared" si="74"/>
        <v>3</v>
      </c>
      <c r="X73" s="7">
        <f t="shared" si="75"/>
        <v>1.5</v>
      </c>
      <c r="Y73" s="7">
        <f t="shared" si="76"/>
        <v>1.5</v>
      </c>
      <c r="AA73" s="7" t="str">
        <f t="shared" si="77"/>
        <v>자동</v>
      </c>
      <c r="AB73" s="7" t="str">
        <f t="shared" si="78"/>
        <v>자동</v>
      </c>
      <c r="AC73" s="7" t="e">
        <f>INDEX('변표 테이블'!$C$86:$C$165,MATCH(O73,'변표 테이블'!$B$86:$B$165,0))</f>
        <v>#N/A</v>
      </c>
      <c r="AD73" s="7" t="e">
        <f>INDEX('변표 테이블'!$D$86:$D$165,MATCH(O73,'변표 테이블'!$B$86:$B$165,0))</f>
        <v>#N/A</v>
      </c>
      <c r="AF73" s="7">
        <v>2</v>
      </c>
      <c r="AG73" s="7">
        <v>2</v>
      </c>
      <c r="AH73" s="7">
        <v>2</v>
      </c>
      <c r="AI73" s="7">
        <v>2</v>
      </c>
      <c r="AM73" s="7">
        <v>3</v>
      </c>
      <c r="AN73" s="7">
        <v>3</v>
      </c>
      <c r="AP73" s="7">
        <f t="shared" si="25"/>
        <v>2</v>
      </c>
      <c r="BH73" s="121">
        <v>200</v>
      </c>
      <c r="BI73" s="7">
        <v>196</v>
      </c>
      <c r="BJ73" s="7">
        <v>192</v>
      </c>
      <c r="BK73" s="7">
        <v>188</v>
      </c>
      <c r="BL73" s="7">
        <v>184</v>
      </c>
      <c r="BM73" s="7">
        <v>180</v>
      </c>
      <c r="BN73" s="7">
        <v>176</v>
      </c>
      <c r="BO73" s="7">
        <v>172</v>
      </c>
      <c r="BP73" s="7">
        <v>168</v>
      </c>
      <c r="CI73" s="7">
        <f t="shared" si="26"/>
        <v>200</v>
      </c>
      <c r="CJ73" s="163">
        <f t="shared" si="27"/>
        <v>100</v>
      </c>
      <c r="CK73" s="7">
        <f t="shared" si="28"/>
        <v>0</v>
      </c>
      <c r="CL73" s="7">
        <v>2</v>
      </c>
      <c r="CR73" s="7">
        <v>1</v>
      </c>
      <c r="CZ73" s="7">
        <f t="shared" si="29"/>
        <v>1</v>
      </c>
      <c r="DA73" s="7">
        <f t="shared" si="30"/>
        <v>2</v>
      </c>
      <c r="DB73" s="7">
        <f t="shared" si="54"/>
        <v>0</v>
      </c>
      <c r="DC73" s="7">
        <f t="shared" si="31"/>
        <v>0</v>
      </c>
      <c r="DE73" s="7">
        <f t="shared" si="55"/>
        <v>0</v>
      </c>
      <c r="DF73" s="7">
        <f t="shared" si="56"/>
        <v>0</v>
      </c>
      <c r="DG73" s="7">
        <f>IFERROR(IF(LEFT($AP73,1)="4",INDEX('변표 테이블'!$H$86:$H$165,MATCH($O73,'변표 테이블'!$B$86:$B$165,0)),INDEX(DG$4:DG$8,MATCH(AH73,$DC$4:$DC$8,0))),0)</f>
        <v>0</v>
      </c>
      <c r="DH73" s="7">
        <f>IFERROR(IF(LEFT($AP73,1)="4",INDEX('변표 테이블'!$I$86:$I$165,MATCH($O73,'변표 테이블'!$B$86:$B$165,0)),INDEX(DH$4:DH$8,MATCH(AI73,$DC$4:$DC$8,0))),0)</f>
        <v>0</v>
      </c>
      <c r="DJ73" s="7">
        <f>IFERROR(IF(LEFT($AP73,1)="4",INDEX('변표 테이블'!$J$86:$J$165,MATCH($O73,'변표 테이블'!$B$86:$B$165,0)),INDEX(DI$4:DI$8,MATCH(AK73,$DC$4:$DC$8,0))),0)</f>
        <v>0</v>
      </c>
      <c r="DK73" s="7">
        <f>IFERROR(IF(LEFT($AP73,1)="4",INDEX('변표 테이블'!$K$86:$K$165,MATCH($O73,'변표 테이블'!$B$86:$B$165,0)),INDEX(DJ$4:DJ$8,MATCH(AL73,$DC$4:$DC$8,0))),0)</f>
        <v>0</v>
      </c>
      <c r="DL73" s="7" t="str">
        <f t="shared" si="32"/>
        <v/>
      </c>
      <c r="DM73" s="7" t="str">
        <f t="shared" si="33"/>
        <v/>
      </c>
      <c r="DN73" s="7">
        <f t="shared" si="34"/>
        <v>0</v>
      </c>
      <c r="DP73" s="7">
        <f t="shared" si="57"/>
        <v>0</v>
      </c>
      <c r="DQ73" s="7">
        <f t="shared" si="58"/>
        <v>0</v>
      </c>
      <c r="DR73" s="7">
        <f t="shared" si="59"/>
        <v>0</v>
      </c>
      <c r="DS73" s="7">
        <f t="shared" si="35"/>
        <v>0</v>
      </c>
      <c r="DT73" s="7">
        <f t="shared" si="60"/>
        <v>0</v>
      </c>
      <c r="DU73" s="7">
        <f t="shared" si="61"/>
        <v>0</v>
      </c>
      <c r="DV73" s="7">
        <f t="shared" si="36"/>
        <v>0</v>
      </c>
      <c r="DW73" s="7">
        <f>LARGE((DR73:DS73,DU73:DV73),1)</f>
        <v>0</v>
      </c>
      <c r="DX73" s="7">
        <f>IF(DA73&lt;2,0,LARGE((DR73:DS73,DU73:DV73),2))</f>
        <v>0</v>
      </c>
      <c r="DY73" s="7">
        <f t="shared" si="62"/>
        <v>0</v>
      </c>
      <c r="DZ73" s="7">
        <f t="shared" si="63"/>
        <v>0</v>
      </c>
      <c r="EA73" s="7">
        <f t="shared" si="64"/>
        <v>0</v>
      </c>
      <c r="EF73" s="7">
        <f t="shared" si="37"/>
        <v>0</v>
      </c>
      <c r="EH73" s="7">
        <f t="shared" si="38"/>
        <v>0</v>
      </c>
      <c r="EI73" s="7">
        <f>IF(EH73=0,0,COUNTIF($EH$16:EH73,"&gt;"&amp;0))</f>
        <v>0</v>
      </c>
    </row>
    <row r="74" spans="1:139" x14ac:dyDescent="0.3">
      <c r="A74" s="165">
        <v>73</v>
      </c>
      <c r="C74" s="7" t="s">
        <v>172</v>
      </c>
      <c r="D74" s="7">
        <v>1000</v>
      </c>
      <c r="E74" s="7">
        <f>200/800</f>
        <v>0.25</v>
      </c>
      <c r="F74" s="7">
        <f>300/800</f>
        <v>0.375</v>
      </c>
      <c r="G74" s="7">
        <f>200/800/2</f>
        <v>0.125</v>
      </c>
      <c r="H74" s="7">
        <f>200/800/2</f>
        <v>0.125</v>
      </c>
      <c r="M74" s="7">
        <v>1</v>
      </c>
      <c r="O74" s="7">
        <f t="shared" si="45"/>
        <v>1</v>
      </c>
      <c r="Q74" s="7">
        <f t="shared" si="22"/>
        <v>1.25</v>
      </c>
      <c r="R74" s="7">
        <f t="shared" si="23"/>
        <v>1.875</v>
      </c>
      <c r="S74" s="7">
        <f t="shared" si="9"/>
        <v>1.25</v>
      </c>
      <c r="T74" s="7" t="str">
        <f t="shared" si="10"/>
        <v>자동</v>
      </c>
      <c r="U74" s="7">
        <f t="shared" si="24"/>
        <v>1.25</v>
      </c>
      <c r="V74" s="7">
        <f t="shared" si="73"/>
        <v>1.25</v>
      </c>
      <c r="W74" s="7">
        <f t="shared" si="74"/>
        <v>1.875</v>
      </c>
      <c r="X74" s="7">
        <f t="shared" si="75"/>
        <v>1.25</v>
      </c>
      <c r="Y74" s="7">
        <f t="shared" si="76"/>
        <v>1.25</v>
      </c>
      <c r="AA74" s="7" t="str">
        <f t="shared" si="77"/>
        <v>자동</v>
      </c>
      <c r="AB74" s="7" t="str">
        <f t="shared" si="78"/>
        <v>자동</v>
      </c>
      <c r="AC74" s="7">
        <f>INDEX('변표 테이블'!$C$86:$C$165,MATCH(O74,'변표 테이블'!$B$86:$B$165,0))</f>
        <v>71.13</v>
      </c>
      <c r="AD74" s="7">
        <f>INDEX('변표 테이블'!$D$86:$D$165,MATCH(O74,'변표 테이블'!$B$86:$B$165,0))</f>
        <v>66</v>
      </c>
      <c r="AF74" s="7">
        <v>1</v>
      </c>
      <c r="AG74" s="7">
        <v>1</v>
      </c>
      <c r="AH74" s="7">
        <v>4</v>
      </c>
      <c r="AI74" s="7">
        <v>4</v>
      </c>
      <c r="AM74" s="7">
        <v>3</v>
      </c>
      <c r="AN74" s="7">
        <v>3</v>
      </c>
      <c r="AP74" s="7">
        <f t="shared" si="25"/>
        <v>4</v>
      </c>
      <c r="BH74" s="121">
        <v>125</v>
      </c>
      <c r="BI74" s="7">
        <v>121.25</v>
      </c>
      <c r="BJ74" s="7">
        <v>115</v>
      </c>
      <c r="BK74" s="7">
        <v>108.75</v>
      </c>
      <c r="BL74" s="7">
        <v>102.5</v>
      </c>
      <c r="BM74" s="7">
        <v>96.25</v>
      </c>
      <c r="BN74" s="7">
        <v>90</v>
      </c>
      <c r="BO74" s="7">
        <v>83.75</v>
      </c>
      <c r="BP74" s="7">
        <v>77.5</v>
      </c>
      <c r="BQ74" s="121">
        <v>10</v>
      </c>
      <c r="BR74" s="7">
        <v>10</v>
      </c>
      <c r="BS74" s="7">
        <v>10</v>
      </c>
      <c r="BT74" s="7">
        <v>10</v>
      </c>
      <c r="BU74" s="7">
        <v>9.8000000000000007</v>
      </c>
      <c r="BV74" s="7">
        <v>9.6</v>
      </c>
      <c r="BW74" s="7">
        <v>9.4</v>
      </c>
      <c r="BX74" s="7">
        <v>9.1999999999999993</v>
      </c>
      <c r="BY74" s="7">
        <v>9</v>
      </c>
      <c r="CI74" s="7">
        <f t="shared" si="26"/>
        <v>125</v>
      </c>
      <c r="CJ74" s="163">
        <f t="shared" si="27"/>
        <v>100</v>
      </c>
      <c r="CK74" s="7">
        <f t="shared" si="28"/>
        <v>10</v>
      </c>
      <c r="CL74" s="7">
        <v>2</v>
      </c>
      <c r="CP74" s="7">
        <v>1</v>
      </c>
      <c r="CR74" s="7">
        <v>1</v>
      </c>
      <c r="CZ74" s="7">
        <f t="shared" si="29"/>
        <v>1</v>
      </c>
      <c r="DA74" s="7">
        <f t="shared" si="30"/>
        <v>2</v>
      </c>
      <c r="DB74" s="7">
        <f t="shared" si="54"/>
        <v>0</v>
      </c>
      <c r="DC74" s="7">
        <f t="shared" si="31"/>
        <v>0</v>
      </c>
      <c r="DE74" s="7">
        <f t="shared" si="55"/>
        <v>0</v>
      </c>
      <c r="DF74" s="7">
        <f t="shared" si="56"/>
        <v>0</v>
      </c>
      <c r="DG74" s="7">
        <f>IFERROR(IF(LEFT($AP74,1)="4",INDEX('변표 테이블'!$H$86:$H$165,MATCH($O74,'변표 테이블'!$B$86:$B$165,0)),INDEX(DG$4:DG$8,MATCH(AH74,$DC$4:$DC$8,0))),0)</f>
        <v>0</v>
      </c>
      <c r="DH74" s="7">
        <f>IFERROR(IF(LEFT($AP74,1)="4",INDEX('변표 테이블'!$I$86:$I$165,MATCH($O74,'변표 테이블'!$B$86:$B$165,0)),INDEX(DH$4:DH$8,MATCH(AI74,$DC$4:$DC$8,0))),0)</f>
        <v>0</v>
      </c>
      <c r="DJ74" s="7">
        <f>IFERROR(IF(LEFT($AP74,1)="4",INDEX('변표 테이블'!$J$86:$J$165,MATCH($O74,'변표 테이블'!$B$86:$B$165,0)),INDEX(DI$4:DI$8,MATCH(AK74,$DC$4:$DC$8,0))),0)</f>
        <v>0</v>
      </c>
      <c r="DK74" s="7">
        <f>IFERROR(IF(LEFT($AP74,1)="4",INDEX('변표 테이블'!$K$86:$K$165,MATCH($O74,'변표 테이블'!$B$86:$B$165,0)),INDEX(DJ$4:DJ$8,MATCH(AL74,$DC$4:$DC$8,0))),0)</f>
        <v>0</v>
      </c>
      <c r="DL74" s="7" t="str">
        <f t="shared" si="32"/>
        <v/>
      </c>
      <c r="DM74" s="7" t="str">
        <f t="shared" si="33"/>
        <v/>
      </c>
      <c r="DN74" s="7">
        <f t="shared" si="34"/>
        <v>0</v>
      </c>
      <c r="DP74" s="7">
        <f t="shared" si="57"/>
        <v>0</v>
      </c>
      <c r="DQ74" s="7">
        <f t="shared" si="58"/>
        <v>0</v>
      </c>
      <c r="DR74" s="7">
        <f t="shared" si="59"/>
        <v>0</v>
      </c>
      <c r="DS74" s="7">
        <f t="shared" si="35"/>
        <v>0</v>
      </c>
      <c r="DT74" s="7">
        <f t="shared" si="60"/>
        <v>0</v>
      </c>
      <c r="DU74" s="7">
        <f t="shared" si="61"/>
        <v>0</v>
      </c>
      <c r="DV74" s="7">
        <f t="shared" si="36"/>
        <v>0</v>
      </c>
      <c r="DW74" s="7">
        <f>LARGE((DR74:DS74,DU74:DV74),1)</f>
        <v>0</v>
      </c>
      <c r="DX74" s="7">
        <f>IF(DA74&lt;2,0,LARGE((DR74:DS74,DU74:DV74),2))</f>
        <v>0</v>
      </c>
      <c r="DY74" s="7">
        <f t="shared" si="62"/>
        <v>0</v>
      </c>
      <c r="DZ74" s="7">
        <f t="shared" si="63"/>
        <v>0</v>
      </c>
      <c r="EA74" s="7">
        <f t="shared" si="64"/>
        <v>0</v>
      </c>
      <c r="EF74" s="7">
        <f t="shared" si="37"/>
        <v>0</v>
      </c>
      <c r="EH74" s="7">
        <f t="shared" si="38"/>
        <v>0</v>
      </c>
      <c r="EI74" s="7">
        <f>IF(EH74=0,0,COUNTIF($EH$16:EH74,"&gt;"&amp;0))</f>
        <v>0</v>
      </c>
    </row>
    <row r="75" spans="1:139" x14ac:dyDescent="0.3">
      <c r="A75" s="165">
        <v>74</v>
      </c>
      <c r="C75" s="7" t="s">
        <v>173</v>
      </c>
      <c r="D75" s="7">
        <v>1000</v>
      </c>
      <c r="E75" s="7">
        <v>0.25</v>
      </c>
      <c r="F75" s="7">
        <v>0.3</v>
      </c>
      <c r="G75" s="7">
        <v>0.125</v>
      </c>
      <c r="H75" s="7">
        <v>0.125</v>
      </c>
      <c r="I75" s="7">
        <v>0.125</v>
      </c>
      <c r="J75" s="7">
        <v>0.125</v>
      </c>
      <c r="K75" s="7">
        <v>0.125</v>
      </c>
      <c r="O75" s="7">
        <f t="shared" si="45"/>
        <v>0</v>
      </c>
      <c r="Q75" s="7">
        <f t="shared" si="22"/>
        <v>1.6778523489932886</v>
      </c>
      <c r="R75" s="7">
        <f t="shared" si="23"/>
        <v>2.0408163265306123</v>
      </c>
      <c r="S75" s="7">
        <f>IF(AH75=12,$D75*G75/$AH$11,X75)</f>
        <v>1.7605633802816902</v>
      </c>
      <c r="T75" s="7">
        <f>IF(AK75=12,$D75*J75/$AL$11,AA75)</f>
        <v>1.9025875190258752</v>
      </c>
      <c r="U75" s="7">
        <f t="shared" si="24"/>
        <v>1.9025875190258752</v>
      </c>
      <c r="V75" s="7">
        <f t="shared" si="73"/>
        <v>1.6778523489932886</v>
      </c>
      <c r="W75" s="7">
        <f t="shared" si="74"/>
        <v>2.0408163265306123</v>
      </c>
      <c r="X75" s="7" t="e">
        <f t="shared" si="75"/>
        <v>#DIV/0!</v>
      </c>
      <c r="Y75" s="7" t="e">
        <f t="shared" si="76"/>
        <v>#DIV/0!</v>
      </c>
      <c r="Z75" s="7" t="e">
        <f>IF(AJ75=12,$D75*I75/$AI$9,IF(AJ75=42,$D75*I75/$AI$10,IF(OR(AJ75=1,AJ75=4,AJ75=2),$D75*I75/100,IF(AJ75=9,$D75*I75/50,"자동"))))</f>
        <v>#DIV/0!</v>
      </c>
      <c r="AA75" s="7" t="e">
        <f t="shared" si="77"/>
        <v>#DIV/0!</v>
      </c>
      <c r="AB75" s="7" t="e">
        <f t="shared" si="78"/>
        <v>#DIV/0!</v>
      </c>
      <c r="AC75" s="7" t="e">
        <f>INDEX('변표 테이블'!$C$86:$C$165,MATCH(O75,'변표 테이블'!$B$86:$B$165,0))</f>
        <v>#N/A</v>
      </c>
      <c r="AD75" s="7" t="e">
        <f>INDEX('변표 테이블'!$D$86:$D$165,MATCH(O75,'변표 테이블'!$B$86:$B$165,0))</f>
        <v>#N/A</v>
      </c>
      <c r="AF75" s="7">
        <v>12</v>
      </c>
      <c r="AG75" s="7">
        <v>12</v>
      </c>
      <c r="AH75" s="7">
        <v>12</v>
      </c>
      <c r="AI75" s="7">
        <v>12</v>
      </c>
      <c r="AJ75" s="7">
        <v>12</v>
      </c>
      <c r="AK75" s="7">
        <v>12</v>
      </c>
      <c r="AL75" s="7">
        <v>12</v>
      </c>
      <c r="AM75" s="7">
        <v>3</v>
      </c>
      <c r="AN75" s="7">
        <v>3</v>
      </c>
      <c r="AP75" s="7">
        <f t="shared" si="25"/>
        <v>12</v>
      </c>
      <c r="AR75" s="7">
        <f>$W$75*0.1</f>
        <v>0.20408163265306123</v>
      </c>
      <c r="AS75" s="7">
        <f>$W$75*0.1</f>
        <v>0.20408163265306123</v>
      </c>
      <c r="AT75" s="7" t="e">
        <f>0.05*X75</f>
        <v>#DIV/0!</v>
      </c>
      <c r="AU75" s="7" t="e">
        <f>0.05*Y75</f>
        <v>#DIV/0!</v>
      </c>
      <c r="AV75" s="7" t="e">
        <f>0.1*Z75</f>
        <v>#DIV/0!</v>
      </c>
      <c r="BA75" s="7">
        <f>BA5*AR75</f>
        <v>0</v>
      </c>
      <c r="BB75" s="7">
        <f>BB5*AS75</f>
        <v>0</v>
      </c>
      <c r="BC75" s="7">
        <f>IF(AND(CL8=2,CS8&gt;=1),AH5*AV75,IF(CL8=2,AH5*AT75,0))</f>
        <v>0</v>
      </c>
      <c r="BD75" s="7">
        <f>IF(AND(CL8=2,CS8&gt;=1),AI5*AV75,IF(CL8=2,AI5*AU75,0))</f>
        <v>0</v>
      </c>
      <c r="BH75" s="121">
        <v>200</v>
      </c>
      <c r="BI75" s="7">
        <v>196</v>
      </c>
      <c r="BJ75" s="7">
        <v>192</v>
      </c>
      <c r="BK75" s="7">
        <v>188</v>
      </c>
      <c r="BL75" s="7">
        <v>184</v>
      </c>
      <c r="BM75" s="7">
        <v>180</v>
      </c>
      <c r="BN75" s="7">
        <v>176</v>
      </c>
      <c r="BO75" s="7">
        <v>172</v>
      </c>
      <c r="BP75" s="7">
        <v>168</v>
      </c>
      <c r="CI75" s="7">
        <f t="shared" si="26"/>
        <v>200</v>
      </c>
      <c r="CJ75" s="163">
        <f t="shared" si="27"/>
        <v>100</v>
      </c>
      <c r="CK75" s="7">
        <f t="shared" si="28"/>
        <v>0</v>
      </c>
      <c r="CN75" s="7">
        <v>2</v>
      </c>
      <c r="CY75" s="7">
        <v>1</v>
      </c>
      <c r="CZ75" s="7">
        <f t="shared" si="29"/>
        <v>1</v>
      </c>
      <c r="DA75" s="7">
        <f t="shared" si="30"/>
        <v>2</v>
      </c>
      <c r="DB75" s="7">
        <f t="shared" si="54"/>
        <v>0</v>
      </c>
      <c r="DC75" s="7">
        <f t="shared" si="31"/>
        <v>0</v>
      </c>
      <c r="DE75" s="7">
        <f t="shared" si="55"/>
        <v>0</v>
      </c>
      <c r="DF75" s="7">
        <f t="shared" si="56"/>
        <v>0</v>
      </c>
      <c r="DG75" s="7">
        <f>IFERROR(IF(LEFT($AP75,1)="4",INDEX('변표 테이블'!$H$86:$H$165,MATCH($O75,'변표 테이블'!$B$86:$B$165,0)),INDEX(DG$4:DG$8,MATCH(AH75,$DC$4:$DC$8,0))),0)</f>
        <v>0</v>
      </c>
      <c r="DH75" s="7">
        <f>IFERROR(IF(LEFT($AP75,1)="4",INDEX('변표 테이블'!$I$86:$I$165,MATCH($O75,'변표 테이블'!$B$86:$B$165,0)),INDEX(DH$4:DH$8,MATCH(AI75,$DC$4:$DC$8,0))),0)</f>
        <v>0</v>
      </c>
      <c r="DJ75" s="7">
        <f>IFERROR(IF(LEFT($AP75,1)="4",INDEX('변표 테이블'!$J$86:$J$165,MATCH($O75,'변표 테이블'!$B$86:$B$165,0)),INDEX(DI$4:DI$8,MATCH(AK75,$DC$4:$DC$8,0))),0)</f>
        <v>0</v>
      </c>
      <c r="DK75" s="7">
        <f>IFERROR(IF(LEFT($AP75,1)="4",INDEX('변표 테이블'!$K$86:$K$165,MATCH($O75,'변표 테이블'!$B$86:$B$165,0)),INDEX(DJ$4:DJ$8,MATCH(AL75,$DC$4:$DC$8,0))),0)</f>
        <v>0</v>
      </c>
      <c r="DL75" s="7" t="str">
        <f t="shared" si="32"/>
        <v/>
      </c>
      <c r="DM75" s="7" t="str">
        <f t="shared" si="33"/>
        <v/>
      </c>
      <c r="DN75" s="7">
        <f t="shared" si="34"/>
        <v>0</v>
      </c>
      <c r="DP75" s="7">
        <f t="shared" si="57"/>
        <v>0</v>
      </c>
      <c r="DQ75" s="7">
        <f t="shared" si="58"/>
        <v>0</v>
      </c>
      <c r="DR75" s="7">
        <f t="shared" si="59"/>
        <v>0</v>
      </c>
      <c r="DS75" s="7">
        <f t="shared" si="35"/>
        <v>0</v>
      </c>
      <c r="DT75" s="7">
        <f t="shared" si="60"/>
        <v>0</v>
      </c>
      <c r="DU75" s="7">
        <f t="shared" si="61"/>
        <v>0</v>
      </c>
      <c r="DV75" s="7">
        <f t="shared" si="36"/>
        <v>0</v>
      </c>
      <c r="DW75" s="7">
        <f>LARGE((DR75:DS75,DU75:DV75),1)</f>
        <v>0</v>
      </c>
      <c r="DX75" s="7">
        <f>IF(DA75&lt;2,0,LARGE((DR75:DS75,DU75:DV75),2))</f>
        <v>0</v>
      </c>
      <c r="DY75" s="7">
        <f t="shared" si="62"/>
        <v>0</v>
      </c>
      <c r="DZ75" s="7">
        <f t="shared" si="63"/>
        <v>0</v>
      </c>
      <c r="EA75" s="7">
        <f t="shared" si="64"/>
        <v>0</v>
      </c>
      <c r="EF75" s="7">
        <f t="shared" si="37"/>
        <v>0</v>
      </c>
      <c r="EH75" s="7">
        <f t="shared" si="38"/>
        <v>1</v>
      </c>
      <c r="EI75" s="7">
        <f>IF(EH75=0,0,COUNTIF($EH$16:EH75,"&gt;"&amp;0))</f>
        <v>7</v>
      </c>
    </row>
    <row r="76" spans="1:139" x14ac:dyDescent="0.3">
      <c r="A76" s="165">
        <v>75</v>
      </c>
      <c r="C76" s="7" t="s">
        <v>175</v>
      </c>
      <c r="D76" s="7">
        <v>800</v>
      </c>
      <c r="E76" s="7">
        <v>0.25</v>
      </c>
      <c r="F76" s="7">
        <v>0.3</v>
      </c>
      <c r="G76" s="7">
        <v>0.125</v>
      </c>
      <c r="H76" s="7">
        <v>0.125</v>
      </c>
      <c r="M76" s="7">
        <v>1</v>
      </c>
      <c r="O76" s="7">
        <f t="shared" si="45"/>
        <v>1</v>
      </c>
      <c r="Q76" s="7">
        <f t="shared" si="22"/>
        <v>1</v>
      </c>
      <c r="R76" s="7">
        <f t="shared" si="23"/>
        <v>1.2</v>
      </c>
      <c r="S76" s="7">
        <f t="shared" ref="S76:S82" si="79">IF(AH76=12,$D76*G76/$AH$11,X76)</f>
        <v>1</v>
      </c>
      <c r="T76" s="7" t="str">
        <f t="shared" ref="T76:T133" si="80">IF(AK76=12,$D76*J76/$AL$11,AA76)</f>
        <v>자동</v>
      </c>
      <c r="U76" s="7">
        <f t="shared" si="24"/>
        <v>1</v>
      </c>
      <c r="V76" s="7">
        <f t="shared" si="73"/>
        <v>1</v>
      </c>
      <c r="W76" s="7">
        <f t="shared" si="74"/>
        <v>1.2</v>
      </c>
      <c r="X76" s="7">
        <f t="shared" si="75"/>
        <v>1</v>
      </c>
      <c r="Y76" s="7">
        <f t="shared" si="76"/>
        <v>1</v>
      </c>
      <c r="AA76" s="7" t="str">
        <f t="shared" si="77"/>
        <v>자동</v>
      </c>
      <c r="AB76" s="7" t="str">
        <f t="shared" si="78"/>
        <v>자동</v>
      </c>
      <c r="AC76" s="7">
        <f>INDEX('변표 테이블'!$C$86:$C$165,MATCH(O76,'변표 테이블'!$B$86:$B$165,0))</f>
        <v>71.13</v>
      </c>
      <c r="AD76" s="7">
        <f>INDEX('변표 테이블'!$D$86:$D$165,MATCH(O76,'변표 테이블'!$B$86:$B$165,0))</f>
        <v>66</v>
      </c>
      <c r="AF76" s="7">
        <v>1</v>
      </c>
      <c r="AG76" s="7">
        <v>1</v>
      </c>
      <c r="AH76" s="7">
        <v>4</v>
      </c>
      <c r="AI76" s="7">
        <v>4</v>
      </c>
      <c r="AM76" s="7">
        <v>3</v>
      </c>
      <c r="AP76" s="7">
        <f t="shared" si="25"/>
        <v>4</v>
      </c>
      <c r="BH76" s="121">
        <v>108</v>
      </c>
      <c r="BI76" s="7">
        <v>104</v>
      </c>
      <c r="BJ76" s="7">
        <v>98.4</v>
      </c>
      <c r="BK76" s="7">
        <v>91.2</v>
      </c>
      <c r="BL76" s="7">
        <v>82.4</v>
      </c>
      <c r="BM76" s="7">
        <v>75.2</v>
      </c>
      <c r="BN76" s="7">
        <v>69.600000000000009</v>
      </c>
      <c r="BO76" s="7">
        <v>65.600000000000009</v>
      </c>
      <c r="BP76" s="7">
        <v>63.2</v>
      </c>
      <c r="CI76" s="7">
        <f t="shared" si="26"/>
        <v>108</v>
      </c>
      <c r="CJ76" s="163">
        <f t="shared" si="27"/>
        <v>100</v>
      </c>
      <c r="CK76" s="7">
        <f t="shared" si="28"/>
        <v>0</v>
      </c>
      <c r="CL76" s="7">
        <v>2</v>
      </c>
      <c r="CP76" s="7">
        <v>1</v>
      </c>
      <c r="CR76" s="7">
        <v>1</v>
      </c>
      <c r="CZ76" s="7">
        <f t="shared" si="29"/>
        <v>1</v>
      </c>
      <c r="DA76" s="7">
        <f t="shared" si="30"/>
        <v>2</v>
      </c>
      <c r="DB76" s="7">
        <f t="shared" si="54"/>
        <v>0</v>
      </c>
      <c r="DC76" s="7">
        <f t="shared" si="31"/>
        <v>0</v>
      </c>
      <c r="DE76" s="7">
        <f t="shared" si="55"/>
        <v>0</v>
      </c>
      <c r="DF76" s="7">
        <f t="shared" si="56"/>
        <v>0</v>
      </c>
      <c r="DG76" s="7">
        <f>IFERROR(IF(LEFT($AP76,1)="4",INDEX('변표 테이블'!$H$86:$H$165,MATCH($O76,'변표 테이블'!$B$86:$B$165,0)),INDEX(DG$4:DG$8,MATCH(AH76,$DC$4:$DC$8,0))),0)</f>
        <v>0</v>
      </c>
      <c r="DH76" s="7">
        <f>IFERROR(IF(LEFT($AP76,1)="4",INDEX('변표 테이블'!$I$86:$I$165,MATCH($O76,'변표 테이블'!$B$86:$B$165,0)),INDEX(DH$4:DH$8,MATCH(AI76,$DC$4:$DC$8,0))),0)</f>
        <v>0</v>
      </c>
      <c r="DJ76" s="7">
        <f>IFERROR(IF(LEFT($AP76,1)="4",INDEX('변표 테이블'!$J$86:$J$165,MATCH($O76,'변표 테이블'!$B$86:$B$165,0)),INDEX(DI$4:DI$8,MATCH(AK76,$DC$4:$DC$8,0))),0)</f>
        <v>0</v>
      </c>
      <c r="DK76" s="7">
        <f>IFERROR(IF(LEFT($AP76,1)="4",INDEX('변표 테이블'!$K$86:$K$165,MATCH($O76,'변표 테이블'!$B$86:$B$165,0)),INDEX(DJ$4:DJ$8,MATCH(AL76,$DC$4:$DC$8,0))),0)</f>
        <v>0</v>
      </c>
      <c r="DL76" s="7" t="str">
        <f t="shared" si="32"/>
        <v/>
      </c>
      <c r="DM76" s="7">
        <f t="shared" si="33"/>
        <v>0</v>
      </c>
      <c r="DN76" s="7">
        <f t="shared" si="34"/>
        <v>0</v>
      </c>
      <c r="DP76" s="7">
        <f t="shared" si="57"/>
        <v>0</v>
      </c>
      <c r="DQ76" s="7">
        <f t="shared" si="58"/>
        <v>0</v>
      </c>
      <c r="DR76" s="7">
        <f t="shared" si="59"/>
        <v>0</v>
      </c>
      <c r="DS76" s="7">
        <f t="shared" si="35"/>
        <v>0</v>
      </c>
      <c r="DT76" s="7">
        <f t="shared" si="60"/>
        <v>0</v>
      </c>
      <c r="DU76" s="7">
        <f t="shared" si="61"/>
        <v>0</v>
      </c>
      <c r="DV76" s="7">
        <f t="shared" si="36"/>
        <v>0</v>
      </c>
      <c r="DW76" s="7">
        <f>LARGE((DR76:DS76,DU76:DV76),1)</f>
        <v>0</v>
      </c>
      <c r="DX76" s="7">
        <f>IF(DA76&lt;2,0,LARGE((DR76:DS76,DU76:DV76),2))</f>
        <v>0</v>
      </c>
      <c r="DY76" s="7">
        <f t="shared" si="62"/>
        <v>0</v>
      </c>
      <c r="DZ76" s="7">
        <f t="shared" si="63"/>
        <v>0</v>
      </c>
      <c r="EA76" s="7">
        <f t="shared" si="64"/>
        <v>0</v>
      </c>
      <c r="EF76" s="7">
        <f t="shared" si="37"/>
        <v>0</v>
      </c>
      <c r="EH76" s="7">
        <f t="shared" si="38"/>
        <v>0</v>
      </c>
      <c r="EI76" s="7">
        <f>IF(EH76=0,0,COUNTIF($EH$16:EH76,"&gt;"&amp;0))</f>
        <v>0</v>
      </c>
    </row>
    <row r="77" spans="1:139" x14ac:dyDescent="0.3">
      <c r="A77" s="165">
        <v>76</v>
      </c>
      <c r="C77" s="7" t="s">
        <v>176</v>
      </c>
      <c r="D77" s="7">
        <v>400</v>
      </c>
      <c r="E77" s="7">
        <v>0.25</v>
      </c>
      <c r="F77" s="7">
        <v>0.25</v>
      </c>
      <c r="G77" s="7">
        <v>0.125</v>
      </c>
      <c r="H77" s="7">
        <v>0.125</v>
      </c>
      <c r="O77" s="7">
        <f t="shared" si="45"/>
        <v>0</v>
      </c>
      <c r="Q77" s="7">
        <f t="shared" si="22"/>
        <v>1</v>
      </c>
      <c r="R77" s="7">
        <f t="shared" si="23"/>
        <v>1</v>
      </c>
      <c r="S77" s="7">
        <f t="shared" si="79"/>
        <v>0.5</v>
      </c>
      <c r="T77" s="7" t="str">
        <f t="shared" si="80"/>
        <v>자동</v>
      </c>
      <c r="U77" s="7">
        <f t="shared" si="24"/>
        <v>1</v>
      </c>
      <c r="V77" s="7">
        <f t="shared" si="73"/>
        <v>1</v>
      </c>
      <c r="W77" s="7">
        <f t="shared" si="74"/>
        <v>1</v>
      </c>
      <c r="X77" s="7">
        <f t="shared" si="75"/>
        <v>0.5</v>
      </c>
      <c r="Y77" s="7">
        <f t="shared" si="76"/>
        <v>0.5</v>
      </c>
      <c r="AA77" s="7" t="str">
        <f t="shared" si="77"/>
        <v>자동</v>
      </c>
      <c r="AB77" s="7" t="str">
        <f t="shared" si="78"/>
        <v>자동</v>
      </c>
      <c r="AC77" s="7" t="e">
        <f>INDEX('변표 테이블'!$C$86:$C$165,MATCH(O77,'변표 테이블'!$B$86:$B$165,0))</f>
        <v>#N/A</v>
      </c>
      <c r="AD77" s="7" t="e">
        <f>INDEX('변표 테이블'!$D$86:$D$165,MATCH(O77,'변표 테이블'!$B$86:$B$165,0))</f>
        <v>#N/A</v>
      </c>
      <c r="AF77" s="7">
        <v>2</v>
      </c>
      <c r="AG77" s="7">
        <v>2</v>
      </c>
      <c r="AH77" s="7">
        <v>2</v>
      </c>
      <c r="AI77" s="7">
        <v>2</v>
      </c>
      <c r="AM77" s="7">
        <v>3</v>
      </c>
      <c r="AN77" s="7">
        <v>3</v>
      </c>
      <c r="AP77" s="7">
        <f t="shared" si="25"/>
        <v>2</v>
      </c>
      <c r="BH77" s="121">
        <v>100</v>
      </c>
      <c r="BI77" s="7">
        <v>95</v>
      </c>
      <c r="BJ77" s="7">
        <v>90</v>
      </c>
      <c r="BK77" s="7">
        <v>85</v>
      </c>
      <c r="BL77" s="7">
        <v>80</v>
      </c>
      <c r="BM77" s="7">
        <v>75</v>
      </c>
      <c r="BN77" s="7">
        <v>70</v>
      </c>
      <c r="BO77" s="7">
        <v>65</v>
      </c>
      <c r="BP77" s="7">
        <v>60</v>
      </c>
      <c r="BQ77" s="121">
        <v>5</v>
      </c>
      <c r="BR77" s="7">
        <v>5</v>
      </c>
      <c r="BS77" s="7">
        <v>4.5</v>
      </c>
      <c r="BT77" s="7">
        <v>4.5</v>
      </c>
      <c r="BU77" s="7">
        <v>4</v>
      </c>
      <c r="BV77" s="7">
        <v>4</v>
      </c>
      <c r="BW77" s="7">
        <v>3.5</v>
      </c>
      <c r="BX77" s="7">
        <v>3.5</v>
      </c>
      <c r="BY77" s="7">
        <v>3</v>
      </c>
      <c r="CI77" s="7">
        <f t="shared" si="26"/>
        <v>100</v>
      </c>
      <c r="CJ77" s="163">
        <f t="shared" si="27"/>
        <v>100</v>
      </c>
      <c r="CK77" s="7">
        <f t="shared" si="28"/>
        <v>5</v>
      </c>
      <c r="CL77" s="7">
        <v>2</v>
      </c>
      <c r="CP77" s="7">
        <v>1</v>
      </c>
      <c r="CR77" s="7">
        <v>1</v>
      </c>
      <c r="CZ77" s="7">
        <f t="shared" si="29"/>
        <v>1</v>
      </c>
      <c r="DA77" s="7">
        <f t="shared" si="30"/>
        <v>2</v>
      </c>
      <c r="DB77" s="7">
        <f t="shared" si="54"/>
        <v>0</v>
      </c>
      <c r="DC77" s="7">
        <f t="shared" si="31"/>
        <v>0</v>
      </c>
      <c r="DE77" s="7">
        <f t="shared" si="55"/>
        <v>0</v>
      </c>
      <c r="DF77" s="7">
        <f t="shared" si="56"/>
        <v>0</v>
      </c>
      <c r="DG77" s="7">
        <f>IFERROR(IF(LEFT($AP77,1)="4",INDEX('변표 테이블'!$H$86:$H$165,MATCH($O77,'변표 테이블'!$B$86:$B$165,0)),INDEX(DG$4:DG$8,MATCH(AH77,$DC$4:$DC$8,0))),0)</f>
        <v>0</v>
      </c>
      <c r="DH77" s="7">
        <f>IFERROR(IF(LEFT($AP77,1)="4",INDEX('변표 테이블'!$I$86:$I$165,MATCH($O77,'변표 테이블'!$B$86:$B$165,0)),INDEX(DH$4:DH$8,MATCH(AI77,$DC$4:$DC$8,0))),0)</f>
        <v>0</v>
      </c>
      <c r="DJ77" s="7">
        <f>IFERROR(IF(LEFT($AP77,1)="4",INDEX('변표 테이블'!$J$86:$J$165,MATCH($O77,'변표 테이블'!$B$86:$B$165,0)),INDEX(DI$4:DI$8,MATCH(AK77,$DC$4:$DC$8,0))),0)</f>
        <v>0</v>
      </c>
      <c r="DK77" s="7">
        <f>IFERROR(IF(LEFT($AP77,1)="4",INDEX('변표 테이블'!$K$86:$K$165,MATCH($O77,'변표 테이블'!$B$86:$B$165,0)),INDEX(DJ$4:DJ$8,MATCH(AL77,$DC$4:$DC$8,0))),0)</f>
        <v>0</v>
      </c>
      <c r="DL77" s="7" t="str">
        <f t="shared" si="32"/>
        <v/>
      </c>
      <c r="DM77" s="7" t="str">
        <f t="shared" si="33"/>
        <v/>
      </c>
      <c r="DN77" s="7">
        <f t="shared" si="34"/>
        <v>0</v>
      </c>
      <c r="DP77" s="7">
        <f t="shared" si="57"/>
        <v>0</v>
      </c>
      <c r="DQ77" s="7">
        <f t="shared" si="58"/>
        <v>0</v>
      </c>
      <c r="DR77" s="7">
        <f t="shared" si="59"/>
        <v>0</v>
      </c>
      <c r="DS77" s="7">
        <f t="shared" si="35"/>
        <v>0</v>
      </c>
      <c r="DT77" s="7">
        <f t="shared" si="60"/>
        <v>0</v>
      </c>
      <c r="DU77" s="7">
        <f t="shared" si="61"/>
        <v>0</v>
      </c>
      <c r="DV77" s="7">
        <f t="shared" si="36"/>
        <v>0</v>
      </c>
      <c r="DW77" s="7">
        <f>LARGE((DR77:DS77,DU77:DV77),1)</f>
        <v>0</v>
      </c>
      <c r="DX77" s="7">
        <f>IF(DA77&lt;2,0,LARGE((DR77:DS77,DU77:DV77),2))</f>
        <v>0</v>
      </c>
      <c r="DY77" s="7">
        <f t="shared" si="62"/>
        <v>0</v>
      </c>
      <c r="DZ77" s="7">
        <f t="shared" si="63"/>
        <v>0</v>
      </c>
      <c r="EA77" s="7">
        <f t="shared" si="64"/>
        <v>0</v>
      </c>
      <c r="EF77" s="7">
        <f t="shared" si="37"/>
        <v>0</v>
      </c>
      <c r="EH77" s="7">
        <f t="shared" si="38"/>
        <v>0</v>
      </c>
      <c r="EI77" s="7">
        <f>IF(EH77=0,0,COUNTIF($EH$16:EH77,"&gt;"&amp;0))</f>
        <v>0</v>
      </c>
    </row>
    <row r="78" spans="1:139" x14ac:dyDescent="0.3">
      <c r="A78" s="165">
        <v>77</v>
      </c>
      <c r="C78" s="7" t="s">
        <v>177</v>
      </c>
      <c r="D78" s="7">
        <v>1000</v>
      </c>
      <c r="E78" s="7">
        <v>0.16700000000000001</v>
      </c>
      <c r="F78" s="7">
        <v>0.33300000000000002</v>
      </c>
      <c r="G78" s="7">
        <v>8.3500000000000005E-2</v>
      </c>
      <c r="H78" s="7">
        <v>8.3500000000000005E-2</v>
      </c>
      <c r="M78" s="7">
        <v>1</v>
      </c>
      <c r="O78" s="7">
        <f t="shared" si="45"/>
        <v>1</v>
      </c>
      <c r="Q78" s="7">
        <f t="shared" si="22"/>
        <v>1.1208053691275168</v>
      </c>
      <c r="R78" s="7">
        <f t="shared" si="23"/>
        <v>2.2653061224489797</v>
      </c>
      <c r="S78" s="7">
        <f t="shared" si="79"/>
        <v>1.1739069309714607</v>
      </c>
      <c r="T78" s="7" t="str">
        <f t="shared" si="80"/>
        <v>자동</v>
      </c>
      <c r="U78" s="7">
        <f t="shared" si="24"/>
        <v>1.1739069309714607</v>
      </c>
      <c r="V78" s="7">
        <f t="shared" si="73"/>
        <v>1.1208053691275168</v>
      </c>
      <c r="W78" s="7">
        <f t="shared" si="74"/>
        <v>2.2653061224489797</v>
      </c>
      <c r="X78" s="7">
        <f t="shared" si="75"/>
        <v>1.1739069309714607</v>
      </c>
      <c r="Y78" s="7">
        <f t="shared" si="76"/>
        <v>1.1739069309714607</v>
      </c>
      <c r="AA78" s="7" t="str">
        <f t="shared" si="77"/>
        <v>자동</v>
      </c>
      <c r="AB78" s="7" t="str">
        <f t="shared" si="78"/>
        <v>자동</v>
      </c>
      <c r="AC78" s="7">
        <f>INDEX('변표 테이블'!$C$86:$C$165,MATCH(O78,'변표 테이블'!$B$86:$B$165,0))</f>
        <v>71.13</v>
      </c>
      <c r="AD78" s="7">
        <f>INDEX('변표 테이블'!$D$86:$D$165,MATCH(O78,'변표 테이블'!$B$86:$B$165,0))</f>
        <v>66</v>
      </c>
      <c r="AF78" s="7">
        <v>12</v>
      </c>
      <c r="AG78" s="7">
        <v>12</v>
      </c>
      <c r="AH78" s="7">
        <v>42</v>
      </c>
      <c r="AI78" s="7">
        <v>42</v>
      </c>
      <c r="AM78" s="7">
        <v>3</v>
      </c>
      <c r="AN78" s="7">
        <v>3</v>
      </c>
      <c r="AP78" s="7">
        <f t="shared" si="25"/>
        <v>42</v>
      </c>
      <c r="BH78" s="121">
        <v>333</v>
      </c>
      <c r="BI78" s="7">
        <v>316.35000000000002</v>
      </c>
      <c r="BJ78" s="7">
        <v>299.7</v>
      </c>
      <c r="BK78" s="7">
        <v>283.05</v>
      </c>
      <c r="BL78" s="7">
        <v>266.39999999999998</v>
      </c>
      <c r="BM78" s="7">
        <v>249.75</v>
      </c>
      <c r="BN78" s="7">
        <v>233.1</v>
      </c>
      <c r="BO78" s="7">
        <v>216.45000000000002</v>
      </c>
      <c r="BP78" s="7">
        <v>199.8</v>
      </c>
      <c r="CI78" s="7">
        <f t="shared" si="26"/>
        <v>333</v>
      </c>
      <c r="CJ78" s="163">
        <f t="shared" si="27"/>
        <v>100</v>
      </c>
      <c r="CK78" s="7">
        <f t="shared" si="28"/>
        <v>0</v>
      </c>
      <c r="CL78" s="7">
        <v>2</v>
      </c>
      <c r="CR78" s="7">
        <v>1</v>
      </c>
      <c r="CZ78" s="7">
        <f t="shared" si="29"/>
        <v>1</v>
      </c>
      <c r="DA78" s="7">
        <f t="shared" si="30"/>
        <v>2</v>
      </c>
      <c r="DB78" s="7">
        <f t="shared" si="54"/>
        <v>0</v>
      </c>
      <c r="DC78" s="7">
        <f t="shared" si="31"/>
        <v>0</v>
      </c>
      <c r="DE78" s="7">
        <f t="shared" si="55"/>
        <v>0</v>
      </c>
      <c r="DF78" s="7">
        <f t="shared" si="56"/>
        <v>0</v>
      </c>
      <c r="DG78" s="7">
        <f>IFERROR(IF(LEFT($AP78,1)="4",INDEX('변표 테이블'!$H$86:$H$165,MATCH($O78,'변표 테이블'!$B$86:$B$165,0)),INDEX(DG$4:DG$8,MATCH(AH78,$DC$4:$DC$8,0))),0)</f>
        <v>0</v>
      </c>
      <c r="DH78" s="7">
        <f>IFERROR(IF(LEFT($AP78,1)="4",INDEX('변표 테이블'!$I$86:$I$165,MATCH($O78,'변표 테이블'!$B$86:$B$165,0)),INDEX(DH$4:DH$8,MATCH(AI78,$DC$4:$DC$8,0))),0)</f>
        <v>0</v>
      </c>
      <c r="DJ78" s="7">
        <f>IFERROR(IF(LEFT($AP78,1)="4",INDEX('변표 테이블'!$J$86:$J$165,MATCH($O78,'변표 테이블'!$B$86:$B$165,0)),INDEX(DI$4:DI$8,MATCH(AK78,$DC$4:$DC$8,0))),0)</f>
        <v>0</v>
      </c>
      <c r="DK78" s="7">
        <f>IFERROR(IF(LEFT($AP78,1)="4",INDEX('변표 테이블'!$K$86:$K$165,MATCH($O78,'변표 테이블'!$B$86:$B$165,0)),INDEX(DJ$4:DJ$8,MATCH(AL78,$DC$4:$DC$8,0))),0)</f>
        <v>0</v>
      </c>
      <c r="DL78" s="7" t="str">
        <f t="shared" si="32"/>
        <v/>
      </c>
      <c r="DM78" s="7" t="str">
        <f t="shared" si="33"/>
        <v/>
      </c>
      <c r="DN78" s="7">
        <f t="shared" si="34"/>
        <v>0</v>
      </c>
      <c r="DP78" s="7">
        <f t="shared" si="57"/>
        <v>0</v>
      </c>
      <c r="DQ78" s="7">
        <f t="shared" si="58"/>
        <v>0</v>
      </c>
      <c r="DR78" s="7">
        <f t="shared" si="59"/>
        <v>0</v>
      </c>
      <c r="DS78" s="7">
        <f t="shared" si="35"/>
        <v>0</v>
      </c>
      <c r="DT78" s="7">
        <f t="shared" si="60"/>
        <v>0</v>
      </c>
      <c r="DU78" s="7">
        <f t="shared" si="61"/>
        <v>0</v>
      </c>
      <c r="DV78" s="7">
        <f t="shared" si="36"/>
        <v>0</v>
      </c>
      <c r="DW78" s="7">
        <f>LARGE((DR78:DS78,DU78:DV78),1)</f>
        <v>0</v>
      </c>
      <c r="DX78" s="7">
        <f>IF(DA78&lt;2,0,LARGE((DR78:DS78,DU78:DV78),2))</f>
        <v>0</v>
      </c>
      <c r="DY78" s="7">
        <f t="shared" si="62"/>
        <v>0</v>
      </c>
      <c r="DZ78" s="7">
        <f t="shared" si="63"/>
        <v>0</v>
      </c>
      <c r="EA78" s="7">
        <f t="shared" si="64"/>
        <v>0</v>
      </c>
      <c r="EF78" s="7">
        <f t="shared" si="37"/>
        <v>0</v>
      </c>
      <c r="EH78" s="7">
        <f t="shared" si="38"/>
        <v>0</v>
      </c>
      <c r="EI78" s="7">
        <f>IF(EH78=0,0,COUNTIF($EH$16:EH78,"&gt;"&amp;0))</f>
        <v>0</v>
      </c>
    </row>
    <row r="79" spans="1:139" x14ac:dyDescent="0.3">
      <c r="A79" s="165">
        <v>78</v>
      </c>
      <c r="C79" s="7" t="s">
        <v>178</v>
      </c>
      <c r="D79" s="7">
        <v>1000</v>
      </c>
      <c r="E79" s="7">
        <v>0.2</v>
      </c>
      <c r="F79" s="7">
        <v>0.3</v>
      </c>
      <c r="G79" s="7">
        <v>0.1</v>
      </c>
      <c r="H79" s="7">
        <v>0.1</v>
      </c>
      <c r="O79" s="7">
        <f t="shared" si="45"/>
        <v>0</v>
      </c>
      <c r="Q79" s="7">
        <f t="shared" si="22"/>
        <v>1</v>
      </c>
      <c r="R79" s="7">
        <f t="shared" si="23"/>
        <v>1.5</v>
      </c>
      <c r="S79" s="7">
        <f t="shared" si="79"/>
        <v>1</v>
      </c>
      <c r="T79" s="7" t="str">
        <f t="shared" si="80"/>
        <v>자동</v>
      </c>
      <c r="U79" s="7">
        <f t="shared" si="24"/>
        <v>1</v>
      </c>
      <c r="V79" s="7">
        <f t="shared" si="73"/>
        <v>1</v>
      </c>
      <c r="W79" s="7">
        <f t="shared" si="74"/>
        <v>1.5</v>
      </c>
      <c r="X79" s="7">
        <f t="shared" si="75"/>
        <v>1</v>
      </c>
      <c r="Y79" s="7">
        <f t="shared" si="76"/>
        <v>1</v>
      </c>
      <c r="AA79" s="7" t="str">
        <f t="shared" si="77"/>
        <v>자동</v>
      </c>
      <c r="AB79" s="7" t="str">
        <f t="shared" si="78"/>
        <v>자동</v>
      </c>
      <c r="AC79" s="7" t="e">
        <f>INDEX('변표 테이블'!$C$86:$C$165,MATCH(O79,'변표 테이블'!$B$86:$B$165,0))</f>
        <v>#N/A</v>
      </c>
      <c r="AD79" s="7" t="e">
        <f>INDEX('변표 테이블'!$D$86:$D$165,MATCH(O79,'변표 테이블'!$B$86:$B$165,0))</f>
        <v>#N/A</v>
      </c>
      <c r="AF79" s="7">
        <v>1</v>
      </c>
      <c r="AG79" s="7">
        <v>1</v>
      </c>
      <c r="AH79" s="7">
        <v>1</v>
      </c>
      <c r="AI79" s="7">
        <v>1</v>
      </c>
      <c r="AM79" s="7">
        <v>3</v>
      </c>
      <c r="AN79" s="7">
        <v>3</v>
      </c>
      <c r="AP79" s="7">
        <f t="shared" si="25"/>
        <v>1</v>
      </c>
      <c r="BH79" s="121">
        <v>202.5</v>
      </c>
      <c r="BI79" s="7">
        <v>195</v>
      </c>
      <c r="BJ79" s="7">
        <v>184.5</v>
      </c>
      <c r="BK79" s="7">
        <v>171</v>
      </c>
      <c r="BL79" s="7">
        <v>154.5</v>
      </c>
      <c r="BM79" s="7">
        <v>141</v>
      </c>
      <c r="BN79" s="7">
        <v>130.5</v>
      </c>
      <c r="BO79" s="7">
        <v>123</v>
      </c>
      <c r="BP79" s="7">
        <v>0</v>
      </c>
      <c r="CI79" s="7">
        <f t="shared" si="26"/>
        <v>202.5</v>
      </c>
      <c r="CJ79" s="163">
        <f t="shared" si="27"/>
        <v>100</v>
      </c>
      <c r="CK79" s="7">
        <f t="shared" si="28"/>
        <v>0</v>
      </c>
      <c r="CL79" s="7">
        <v>2</v>
      </c>
      <c r="CP79" s="7">
        <v>1</v>
      </c>
      <c r="CR79" s="7">
        <v>1</v>
      </c>
      <c r="CX79" s="121">
        <v>1</v>
      </c>
      <c r="CZ79" s="7">
        <f t="shared" si="29"/>
        <v>1</v>
      </c>
      <c r="DA79" s="7">
        <f t="shared" si="30"/>
        <v>2</v>
      </c>
      <c r="DB79" s="7">
        <f t="shared" si="54"/>
        <v>0</v>
      </c>
      <c r="DC79" s="7">
        <f t="shared" si="31"/>
        <v>0</v>
      </c>
      <c r="DE79" s="7">
        <f t="shared" si="55"/>
        <v>0</v>
      </c>
      <c r="DF79" s="7">
        <f t="shared" si="56"/>
        <v>0</v>
      </c>
      <c r="DG79" s="7">
        <f>IFERROR(IF(LEFT($AP79,1)="4",INDEX('변표 테이블'!$H$86:$H$165,MATCH($O79,'변표 테이블'!$B$86:$B$165,0)),INDEX(DG$4:DG$8,MATCH(AH79,$DC$4:$DC$8,0))),0)</f>
        <v>0</v>
      </c>
      <c r="DH79" s="7">
        <f>IFERROR(IF(LEFT($AP79,1)="4",INDEX('변표 테이블'!$I$86:$I$165,MATCH($O79,'변표 테이블'!$B$86:$B$165,0)),INDEX(DH$4:DH$8,MATCH(AI79,$DC$4:$DC$8,0))),0)</f>
        <v>0</v>
      </c>
      <c r="DJ79" s="7">
        <f>IFERROR(IF(LEFT($AP79,1)="4",INDEX('변표 테이블'!$J$86:$J$165,MATCH($O79,'변표 테이블'!$B$86:$B$165,0)),INDEX(DI$4:DI$8,MATCH(AK79,$DC$4:$DC$8,0))),0)</f>
        <v>0</v>
      </c>
      <c r="DK79" s="7">
        <f>IFERROR(IF(LEFT($AP79,1)="4",INDEX('변표 테이블'!$K$86:$K$165,MATCH($O79,'변표 테이블'!$B$86:$B$165,0)),INDEX(DJ$4:DJ$8,MATCH(AL79,$DC$4:$DC$8,0))),0)</f>
        <v>0</v>
      </c>
      <c r="DL79" s="7" t="str">
        <f t="shared" si="32"/>
        <v/>
      </c>
      <c r="DM79" s="7" t="str">
        <f t="shared" si="33"/>
        <v/>
      </c>
      <c r="DN79" s="7">
        <f t="shared" si="34"/>
        <v>0</v>
      </c>
      <c r="DP79" s="7">
        <f t="shared" si="57"/>
        <v>0</v>
      </c>
      <c r="DQ79" s="7">
        <f t="shared" si="58"/>
        <v>0</v>
      </c>
      <c r="DR79" s="7">
        <f t="shared" si="59"/>
        <v>0</v>
      </c>
      <c r="DS79" s="7">
        <f t="shared" si="35"/>
        <v>0</v>
      </c>
      <c r="DT79" s="7">
        <f t="shared" si="60"/>
        <v>0</v>
      </c>
      <c r="DU79" s="7">
        <f t="shared" si="61"/>
        <v>0</v>
      </c>
      <c r="DV79" s="7">
        <f t="shared" si="36"/>
        <v>0</v>
      </c>
      <c r="DW79" s="7">
        <f>LARGE((DR79:DS79,DU79:DV79),1)</f>
        <v>0</v>
      </c>
      <c r="DX79" s="7">
        <f>IF(DA79&lt;2,0,LARGE((DR79:DS79,DU79:DV79),2))</f>
        <v>0</v>
      </c>
      <c r="DY79" s="7">
        <f t="shared" si="62"/>
        <v>0</v>
      </c>
      <c r="DZ79" s="7">
        <f t="shared" si="63"/>
        <v>0</v>
      </c>
      <c r="EA79" s="7">
        <f t="shared" si="64"/>
        <v>0</v>
      </c>
      <c r="EF79" s="7">
        <f t="shared" si="37"/>
        <v>0</v>
      </c>
      <c r="EH79" s="7">
        <f t="shared" si="38"/>
        <v>0</v>
      </c>
      <c r="EI79" s="7">
        <f>IF(EH79=0,0,COUNTIF($EH$16:EH79,"&gt;"&amp;0))</f>
        <v>0</v>
      </c>
    </row>
    <row r="80" spans="1:139" x14ac:dyDescent="0.3">
      <c r="A80" s="165">
        <v>79</v>
      </c>
      <c r="C80" s="7" t="s">
        <v>179</v>
      </c>
      <c r="D80" s="7">
        <v>1000</v>
      </c>
      <c r="E80" s="7">
        <v>0.2</v>
      </c>
      <c r="F80" s="7">
        <v>0.3</v>
      </c>
      <c r="G80" s="7">
        <v>0.15</v>
      </c>
      <c r="H80" s="7">
        <v>0.15</v>
      </c>
      <c r="I80" s="7">
        <v>0.15</v>
      </c>
      <c r="J80" s="7">
        <v>0.15</v>
      </c>
      <c r="K80" s="7">
        <v>0.15</v>
      </c>
      <c r="O80" s="7">
        <f t="shared" si="45"/>
        <v>0</v>
      </c>
      <c r="Q80" s="7">
        <f t="shared" si="22"/>
        <v>2</v>
      </c>
      <c r="R80" s="7">
        <f t="shared" si="23"/>
        <v>3</v>
      </c>
      <c r="S80" s="7">
        <f t="shared" si="79"/>
        <v>1.5</v>
      </c>
      <c r="T80" s="7">
        <f t="shared" si="80"/>
        <v>1.5</v>
      </c>
      <c r="U80" s="7">
        <f t="shared" si="24"/>
        <v>3</v>
      </c>
      <c r="V80" s="7">
        <f t="shared" si="73"/>
        <v>2</v>
      </c>
      <c r="W80" s="7">
        <f t="shared" si="74"/>
        <v>3</v>
      </c>
      <c r="X80" s="7">
        <f t="shared" si="75"/>
        <v>1.5</v>
      </c>
      <c r="Y80" s="7">
        <f t="shared" si="76"/>
        <v>1.5</v>
      </c>
      <c r="Z80" s="7">
        <f>IF(AJ80=12,$D80*I80/$AI$9,IF(AJ80=42,$D80*I80/$AI$10,IF(OR(AJ80=1,AJ80=4,AJ80=2),$D80*I80/100,IF(AJ80=9,$D80*I80/50,"자동"))))</f>
        <v>1.5</v>
      </c>
      <c r="AA80" s="7">
        <f t="shared" si="77"/>
        <v>1.5</v>
      </c>
      <c r="AB80" s="7">
        <f t="shared" si="78"/>
        <v>1.5</v>
      </c>
      <c r="AC80" s="7" t="e">
        <f>INDEX('변표 테이블'!$C$86:$C$165,MATCH(O80,'변표 테이블'!$B$86:$B$165,0))</f>
        <v>#N/A</v>
      </c>
      <c r="AD80" s="7" t="e">
        <f>INDEX('변표 테이블'!$D$86:$D$165,MATCH(O80,'변표 테이블'!$B$86:$B$165,0))</f>
        <v>#N/A</v>
      </c>
      <c r="AF80" s="7">
        <v>2</v>
      </c>
      <c r="AG80" s="7">
        <v>2</v>
      </c>
      <c r="AH80" s="7">
        <v>2</v>
      </c>
      <c r="AI80" s="7">
        <v>2</v>
      </c>
      <c r="AJ80" s="7">
        <v>2</v>
      </c>
      <c r="AK80" s="7">
        <v>2</v>
      </c>
      <c r="AL80" s="7">
        <v>2</v>
      </c>
      <c r="AM80" s="7">
        <v>3</v>
      </c>
      <c r="AN80" s="7">
        <v>3</v>
      </c>
      <c r="AP80" s="7">
        <f t="shared" si="25"/>
        <v>2</v>
      </c>
      <c r="AT80" s="7">
        <f>0.025*X80</f>
        <v>3.7500000000000006E-2</v>
      </c>
      <c r="AU80" s="7">
        <f>0.025*Y80</f>
        <v>3.7500000000000006E-2</v>
      </c>
      <c r="AV80" s="7">
        <f>0.01*Y80</f>
        <v>1.4999999999999999E-2</v>
      </c>
      <c r="BC80" s="7">
        <f>IF($CL$8=2,AH6*AT80,0)</f>
        <v>0</v>
      </c>
      <c r="BD80" s="7">
        <f>IF($CL$8=2,AI6*AU80,0)</f>
        <v>0</v>
      </c>
      <c r="BE80" s="7">
        <f>IF(OR(LEFT(AJ11,1)="생",LEFT(AJ11,1)="화"),AH6*AV80+AI6*AV80,0)</f>
        <v>0</v>
      </c>
      <c r="BH80" s="121">
        <v>200</v>
      </c>
      <c r="BI80" s="7">
        <v>192.5</v>
      </c>
      <c r="BJ80" s="7">
        <v>185</v>
      </c>
      <c r="BK80" s="7">
        <v>177.5</v>
      </c>
      <c r="BL80" s="7">
        <v>170</v>
      </c>
      <c r="BM80" s="7">
        <v>162.5</v>
      </c>
      <c r="BN80" s="7">
        <v>155</v>
      </c>
      <c r="BO80" s="7">
        <v>147.5</v>
      </c>
      <c r="BP80" s="7">
        <v>140</v>
      </c>
      <c r="BQ80" s="121">
        <v>10</v>
      </c>
      <c r="BR80" s="7">
        <v>10</v>
      </c>
      <c r="BS80" s="7">
        <v>10</v>
      </c>
      <c r="BT80" s="7">
        <v>10</v>
      </c>
      <c r="BU80" s="7">
        <v>9.6</v>
      </c>
      <c r="BV80" s="7">
        <v>9.1999999999999993</v>
      </c>
      <c r="BW80" s="7">
        <v>8.8000000000000007</v>
      </c>
      <c r="BX80" s="7">
        <v>8.4</v>
      </c>
      <c r="BY80" s="7">
        <v>8</v>
      </c>
      <c r="CI80" s="7">
        <f t="shared" si="26"/>
        <v>200</v>
      </c>
      <c r="CJ80" s="163">
        <f t="shared" si="27"/>
        <v>100</v>
      </c>
      <c r="CK80" s="7">
        <f t="shared" si="28"/>
        <v>10</v>
      </c>
      <c r="CN80" s="7">
        <v>2</v>
      </c>
      <c r="CY80" s="7">
        <v>1</v>
      </c>
      <c r="CZ80" s="7">
        <f t="shared" si="29"/>
        <v>1</v>
      </c>
      <c r="DA80" s="7">
        <f t="shared" si="30"/>
        <v>2</v>
      </c>
      <c r="DB80" s="7">
        <f t="shared" si="54"/>
        <v>0</v>
      </c>
      <c r="DC80" s="7">
        <f t="shared" si="31"/>
        <v>0</v>
      </c>
      <c r="DE80" s="7">
        <f t="shared" si="55"/>
        <v>0</v>
      </c>
      <c r="DF80" s="7">
        <f t="shared" si="56"/>
        <v>0</v>
      </c>
      <c r="DG80" s="7">
        <f>IFERROR(IF(LEFT($AP80,1)="4",INDEX('변표 테이블'!$H$86:$H$165,MATCH($O80,'변표 테이블'!$B$86:$B$165,0)),INDEX(DG$4:DG$8,MATCH(AH80,$DC$4:$DC$8,0))),0)</f>
        <v>0</v>
      </c>
      <c r="DH80" s="7">
        <f>IFERROR(IF(LEFT($AP80,1)="4",INDEX('변표 테이블'!$I$86:$I$165,MATCH($O80,'변표 테이블'!$B$86:$B$165,0)),INDEX(DH$4:DH$8,MATCH(AI80,$DC$4:$DC$8,0))),0)</f>
        <v>0</v>
      </c>
      <c r="DJ80" s="7">
        <f>IFERROR(IF(LEFT($AP80,1)="4",INDEX('변표 테이블'!$J$86:$J$165,MATCH($O80,'변표 테이블'!$B$86:$B$165,0)),INDEX(DI$4:DI$8,MATCH(AK80,$DC$4:$DC$8,0))),0)</f>
        <v>0</v>
      </c>
      <c r="DK80" s="7">
        <f>IFERROR(IF(LEFT($AP80,1)="4",INDEX('변표 테이블'!$K$86:$K$165,MATCH($O80,'변표 테이블'!$B$86:$B$165,0)),INDEX(DJ$4:DJ$8,MATCH(AL80,$DC$4:$DC$8,0))),0)</f>
        <v>0</v>
      </c>
      <c r="DL80" s="7" t="str">
        <f t="shared" si="32"/>
        <v/>
      </c>
      <c r="DM80" s="7" t="str">
        <f t="shared" si="33"/>
        <v/>
      </c>
      <c r="DN80" s="7">
        <f t="shared" si="34"/>
        <v>0</v>
      </c>
      <c r="DP80" s="7">
        <f t="shared" si="57"/>
        <v>0</v>
      </c>
      <c r="DQ80" s="7">
        <f t="shared" si="58"/>
        <v>0</v>
      </c>
      <c r="DR80" s="7">
        <f t="shared" si="59"/>
        <v>0</v>
      </c>
      <c r="DS80" s="7">
        <f t="shared" si="35"/>
        <v>0</v>
      </c>
      <c r="DT80" s="7">
        <f t="shared" si="60"/>
        <v>0</v>
      </c>
      <c r="DU80" s="7">
        <f t="shared" si="61"/>
        <v>0</v>
      </c>
      <c r="DV80" s="7">
        <f t="shared" si="36"/>
        <v>0</v>
      </c>
      <c r="DW80" s="7">
        <f>LARGE((DR80:DS80,DU80:DV80),1)</f>
        <v>0</v>
      </c>
      <c r="DX80" s="7">
        <f>IF(DA80&lt;2,0,LARGE((DR80:DS80,DU80:DV80),2))</f>
        <v>0</v>
      </c>
      <c r="DY80" s="7">
        <f t="shared" si="62"/>
        <v>0</v>
      </c>
      <c r="DZ80" s="7">
        <f t="shared" si="63"/>
        <v>0</v>
      </c>
      <c r="EA80" s="7">
        <f t="shared" si="64"/>
        <v>0</v>
      </c>
      <c r="EF80" s="7">
        <f t="shared" si="37"/>
        <v>0</v>
      </c>
      <c r="EH80" s="7">
        <f t="shared" si="38"/>
        <v>1</v>
      </c>
      <c r="EI80" s="7">
        <f>IF(EH80=0,0,COUNTIF($EH$16:EH80,"&gt;"&amp;0))</f>
        <v>8</v>
      </c>
    </row>
    <row r="81" spans="1:141" x14ac:dyDescent="0.3">
      <c r="A81" s="165">
        <v>80</v>
      </c>
      <c r="C81" s="7" t="s">
        <v>181</v>
      </c>
      <c r="D81" s="7">
        <v>1000</v>
      </c>
      <c r="E81" s="7">
        <v>0.2</v>
      </c>
      <c r="F81" s="7">
        <v>0.4</v>
      </c>
      <c r="G81" s="7">
        <v>0.125</v>
      </c>
      <c r="H81" s="7">
        <v>0.125</v>
      </c>
      <c r="I81" s="7">
        <v>0.125</v>
      </c>
      <c r="O81" s="7">
        <f t="shared" si="45"/>
        <v>0</v>
      </c>
      <c r="Q81" s="7">
        <f t="shared" ref="Q81:Q133" si="81">V81</f>
        <v>1.3422818791946309</v>
      </c>
      <c r="R81" s="7">
        <f t="shared" ref="R81:R133" si="82">W81</f>
        <v>2.7210884353741496</v>
      </c>
      <c r="S81" s="7">
        <f t="shared" si="79"/>
        <v>1.25</v>
      </c>
      <c r="T81" s="7" t="str">
        <f t="shared" si="80"/>
        <v>자동</v>
      </c>
      <c r="U81" s="7">
        <f t="shared" ref="U81:U133" si="83">IF(AH81=2,LARGE(S81:T81,1)*DA81,LARGE(S81:T81,1))</f>
        <v>2.5</v>
      </c>
      <c r="V81" s="7">
        <f t="shared" si="73"/>
        <v>1.3422818791946309</v>
      </c>
      <c r="W81" s="7">
        <f t="shared" si="74"/>
        <v>2.7210884353741496</v>
      </c>
      <c r="X81" s="7">
        <f t="shared" si="75"/>
        <v>1.25</v>
      </c>
      <c r="Y81" s="7">
        <f t="shared" si="76"/>
        <v>1.25</v>
      </c>
      <c r="Z81" s="7">
        <f>IF(AJ81=12,$D81*I81/$AJ$9,IF(AJ81=42,$D81*I81/$AJ$10,IF(OR(AJ81=1,AJ81=4,AJ81=2),$D81*I81/100,IF(AJ81=9,$D81*I81/50,"자동"))))</f>
        <v>1.25</v>
      </c>
      <c r="AA81" s="7" t="str">
        <f t="shared" si="77"/>
        <v>자동</v>
      </c>
      <c r="AB81" s="7" t="str">
        <f t="shared" si="78"/>
        <v>자동</v>
      </c>
      <c r="AC81" s="7" t="e">
        <f>INDEX('변표 테이블'!$C$86:$C$165,MATCH(O81,'변표 테이블'!$B$86:$B$165,0))</f>
        <v>#N/A</v>
      </c>
      <c r="AD81" s="7" t="e">
        <f>INDEX('변표 테이블'!$D$86:$D$165,MATCH(O81,'변표 테이블'!$B$86:$B$165,0))</f>
        <v>#N/A</v>
      </c>
      <c r="AF81" s="7">
        <v>12</v>
      </c>
      <c r="AG81" s="7">
        <v>12</v>
      </c>
      <c r="AH81" s="7">
        <v>2</v>
      </c>
      <c r="AI81" s="7">
        <v>2</v>
      </c>
      <c r="AJ81" s="7">
        <v>2</v>
      </c>
      <c r="AM81" s="7">
        <v>3</v>
      </c>
      <c r="AN81" s="7">
        <v>3</v>
      </c>
      <c r="AP81" s="7">
        <f t="shared" si="25"/>
        <v>2</v>
      </c>
      <c r="AV81" s="7">
        <f>0.05*Z81</f>
        <v>6.25E-2</v>
      </c>
      <c r="BE81" s="7">
        <f>AJ6*AV81</f>
        <v>0</v>
      </c>
      <c r="BH81" s="121">
        <v>150</v>
      </c>
      <c r="BI81" s="7">
        <v>120</v>
      </c>
      <c r="BJ81" s="7">
        <v>100</v>
      </c>
      <c r="BK81" s="7">
        <v>60</v>
      </c>
      <c r="BL81" s="7">
        <v>45</v>
      </c>
      <c r="BM81" s="7">
        <v>30</v>
      </c>
      <c r="BN81" s="7">
        <v>22.5</v>
      </c>
      <c r="BO81" s="7">
        <v>7.5</v>
      </c>
      <c r="BP81" s="7">
        <v>0</v>
      </c>
      <c r="BQ81" s="121">
        <v>5</v>
      </c>
      <c r="BR81" s="7">
        <v>5</v>
      </c>
      <c r="BS81" s="7">
        <v>5</v>
      </c>
      <c r="BT81" s="7">
        <v>4</v>
      </c>
      <c r="BU81" s="7">
        <v>4</v>
      </c>
      <c r="BV81" s="7">
        <v>3</v>
      </c>
      <c r="BW81" s="7">
        <v>2</v>
      </c>
      <c r="BX81" s="7">
        <v>1</v>
      </c>
      <c r="BY81" s="7">
        <v>0</v>
      </c>
      <c r="CI81" s="7">
        <f t="shared" ref="CI81:CI129" si="84">ROUND((BH81-DY81),1)</f>
        <v>150</v>
      </c>
      <c r="CJ81" s="163">
        <f t="shared" ref="CJ81:CJ129" si="85">((BH81-DY81)/(EF81+CI81-EB81))*100</f>
        <v>100</v>
      </c>
      <c r="CK81" s="7">
        <f t="shared" ref="CK81:CK129" si="86">ROUND((BQ81-DZ81)+(BZ81-EA81),1)</f>
        <v>5</v>
      </c>
      <c r="CL81" s="7">
        <v>2</v>
      </c>
      <c r="CP81" s="7">
        <v>1</v>
      </c>
      <c r="CR81" s="7">
        <v>1</v>
      </c>
      <c r="CZ81" s="7">
        <f t="shared" ref="CZ81:CZ133" si="87">IF(CY81&gt;0,CY81,IF(CL81&gt;0,1,2))</f>
        <v>1</v>
      </c>
      <c r="DA81" s="7">
        <f t="shared" si="30"/>
        <v>2</v>
      </c>
      <c r="DB81" s="7">
        <f t="shared" ref="DB81:DB112" si="88">IF(OR(AND(CL81&gt;0,CL81&lt;=$CL$8),AND(CM81&gt;0,CM81&lt;=$CM$8),AND(CN81&gt;0,CN81&lt;=$CN$8)),1,0)</f>
        <v>0</v>
      </c>
      <c r="DC81" s="7">
        <f t="shared" si="31"/>
        <v>0</v>
      </c>
      <c r="DE81" s="7">
        <f t="shared" ref="DE81:DE112" si="89">IFERROR(INDEX(DE$4:DE$10,MATCH(AF81,$DC$4:$DC$10,0)),0)</f>
        <v>0</v>
      </c>
      <c r="DF81" s="7">
        <f t="shared" ref="DF81:DF112" si="90">IFERROR(INDEX(DF$4:DF$10,MATCH(AG81,$DC$4:$DC$10,0)),0)</f>
        <v>0</v>
      </c>
      <c r="DG81" s="7">
        <f>IFERROR(IF(LEFT($AP81,1)="4",INDEX('변표 테이블'!$H$86:$H$165,MATCH($O81,'변표 테이블'!$B$86:$B$165,0)),INDEX(DG$4:DG$8,MATCH(AH81,$DC$4:$DC$8,0))),0)</f>
        <v>0</v>
      </c>
      <c r="DH81" s="7">
        <f>IFERROR(IF(LEFT($AP81,1)="4",INDEX('변표 테이블'!$I$86:$I$165,MATCH($O81,'변표 테이블'!$B$86:$B$165,0)),INDEX(DH$4:DH$8,MATCH(AI81,$DC$4:$DC$8,0))),0)</f>
        <v>0</v>
      </c>
      <c r="DJ81" s="7">
        <f>IFERROR(IF(LEFT($AP81,1)="4",INDEX('변표 테이블'!$J$86:$J$165,MATCH($O81,'변표 테이블'!$B$86:$B$165,0)),INDEX(DI$4:DI$8,MATCH(AK81,$DC$4:$DC$8,0))),0)</f>
        <v>0</v>
      </c>
      <c r="DK81" s="7">
        <f>IFERROR(IF(LEFT($AP81,1)="4",INDEX('변표 테이블'!$K$86:$K$165,MATCH($O81,'변표 테이블'!$B$86:$B$165,0)),INDEX(DJ$4:DJ$8,MATCH(AL81,$DC$4:$DC$8,0))),0)</f>
        <v>0</v>
      </c>
      <c r="DL81" s="7" t="str">
        <f t="shared" ref="DL81:DL133" si="91">IFERROR(INDEX(DK$4:DK$8,MATCH(AM81,$DC$4:$DC$8,0)),0)</f>
        <v/>
      </c>
      <c r="DM81" s="7" t="str">
        <f t="shared" ref="DM81:DM133" si="92">IFERROR(INDEX(DL$4:DL$8,MATCH(AN81,$DC$4:$DC$8,0)),0)</f>
        <v/>
      </c>
      <c r="DN81" s="7">
        <f t="shared" ref="DN81:DN133" si="93">IFERROR(INDEX(DM$4:DM$8,MATCH(AO81,$DC$4:$DC$8,0)),0)</f>
        <v>0</v>
      </c>
      <c r="DP81" s="7">
        <f t="shared" ref="DP81:DP112" si="94">IFERROR((DE81*V81+AZ81)*$DO$9,0)</f>
        <v>0</v>
      </c>
      <c r="DQ81" s="7">
        <f t="shared" ref="DQ81:DQ112" si="95">IFERROR((DF81*W81+BA81+BB81)*$DO$9,0)</f>
        <v>0</v>
      </c>
      <c r="DR81" s="7">
        <f t="shared" ref="DR81:DR112" si="96">IFERROR((DG81*X81+BC81)*$DO$9,0)</f>
        <v>0</v>
      </c>
      <c r="DS81" s="7">
        <f t="shared" ref="DS81:DS133" si="97">IFERROR(IF(DA81&lt;2,0,(DH81*Y81+BD81)*$DO$9),0)</f>
        <v>0</v>
      </c>
      <c r="DT81" s="7">
        <f t="shared" ref="DT81:DT112" si="98">IFERROR(BE81*$DO$9,0)</f>
        <v>0</v>
      </c>
      <c r="DU81" s="7">
        <f t="shared" ref="DU81:DU112" si="99">IFERROR((DJ81*AA81+BF81)*$DO$9,0)</f>
        <v>0</v>
      </c>
      <c r="DV81" s="7">
        <f t="shared" ref="DV81:DV133" si="100">IFERROR(IF(DA81&lt;2,0,(DK81*AB81+BG81)*$DO$9),0)</f>
        <v>0</v>
      </c>
      <c r="DW81" s="7">
        <f>LARGE((DR81:DS81,DU81:DV81),1)</f>
        <v>0</v>
      </c>
      <c r="DX81" s="7">
        <f>IF(DA81&lt;2,0,LARGE((DR81:DS81,DU81:DV81),2))</f>
        <v>0</v>
      </c>
      <c r="DY81" s="7">
        <f t="shared" ref="DY81:DY112" si="101">IFERROR(INDEX(BH81:BP81,MATCH(DL81,$BH$15:$BP$15,0)),0)</f>
        <v>0</v>
      </c>
      <c r="DZ81" s="7">
        <f t="shared" ref="DZ81:DZ112" si="102">IFERROR(INDEX(BQ81:BY81,MATCH(DM81,$BQ$15:$BY$15,0)),0)</f>
        <v>0</v>
      </c>
      <c r="EA81" s="7">
        <f t="shared" ref="EA81:EA112" si="103">IFERROR(INDEX(BZ81:CH81,MATCH(DN81,$BZ$15:$CH$15,0)),0)</f>
        <v>0</v>
      </c>
      <c r="EF81" s="7">
        <f t="shared" ref="EF81:EF133" si="104">IF(EE81&gt;0,EE81,DP81+DQ81+DT81+DW81+DX81+DY81+DZ81+EA81)</f>
        <v>0</v>
      </c>
      <c r="EH81" s="7">
        <f t="shared" si="38"/>
        <v>1</v>
      </c>
      <c r="EI81" s="7">
        <f>IF(EH81=0,0,COUNTIF($EH$16:EH81,"&gt;"&amp;0))</f>
        <v>9</v>
      </c>
    </row>
    <row r="82" spans="1:141" x14ac:dyDescent="0.3">
      <c r="A82" s="165">
        <v>81</v>
      </c>
      <c r="C82" s="7" t="s">
        <v>186</v>
      </c>
      <c r="D82" s="7">
        <v>1000</v>
      </c>
      <c r="E82" s="7">
        <v>0.27</v>
      </c>
      <c r="F82" s="7">
        <v>0.28000000000000003</v>
      </c>
      <c r="G82" s="7">
        <v>0.125</v>
      </c>
      <c r="H82" s="7">
        <v>0.125</v>
      </c>
      <c r="J82" s="7">
        <v>0.125</v>
      </c>
      <c r="K82" s="7">
        <v>0.125</v>
      </c>
      <c r="O82" s="7">
        <f t="shared" si="45"/>
        <v>0</v>
      </c>
      <c r="Q82" s="7">
        <f t="shared" si="81"/>
        <v>2.7</v>
      </c>
      <c r="R82" s="7">
        <f t="shared" si="82"/>
        <v>2.8</v>
      </c>
      <c r="S82" s="7">
        <f t="shared" si="79"/>
        <v>1.25</v>
      </c>
      <c r="T82" s="7">
        <f t="shared" si="80"/>
        <v>1.25</v>
      </c>
      <c r="U82" s="7">
        <f t="shared" si="83"/>
        <v>2.5</v>
      </c>
      <c r="V82" s="7">
        <f t="shared" si="73"/>
        <v>2.7</v>
      </c>
      <c r="W82" s="7">
        <f t="shared" si="74"/>
        <v>2.8</v>
      </c>
      <c r="X82" s="7">
        <f t="shared" si="75"/>
        <v>1.25</v>
      </c>
      <c r="Y82" s="7">
        <f t="shared" si="76"/>
        <v>1.25</v>
      </c>
      <c r="AA82" s="7">
        <f t="shared" si="77"/>
        <v>1.25</v>
      </c>
      <c r="AB82" s="7">
        <f t="shared" si="78"/>
        <v>1.25</v>
      </c>
      <c r="AC82" s="7" t="e">
        <f>INDEX('변표 테이블'!$C$86:$C$165,MATCH(O82,'변표 테이블'!$B$86:$B$165,0))</f>
        <v>#N/A</v>
      </c>
      <c r="AD82" s="7" t="e">
        <f>INDEX('변표 테이블'!$D$86:$D$165,MATCH(O82,'변표 테이블'!$B$86:$B$165,0))</f>
        <v>#N/A</v>
      </c>
      <c r="AF82" s="7">
        <v>2</v>
      </c>
      <c r="AG82" s="7">
        <v>2</v>
      </c>
      <c r="AH82" s="7">
        <v>2</v>
      </c>
      <c r="AI82" s="7">
        <v>2</v>
      </c>
      <c r="AK82" s="7">
        <v>2</v>
      </c>
      <c r="AL82" s="7">
        <v>2</v>
      </c>
      <c r="AM82" s="7">
        <v>3</v>
      </c>
      <c r="AN82" s="7">
        <v>3</v>
      </c>
      <c r="AP82" s="7">
        <f t="shared" ref="AP82:AP133" si="105">IF(AH82&gt;0,AH82,AK82)</f>
        <v>2</v>
      </c>
      <c r="BH82" s="121">
        <v>200</v>
      </c>
      <c r="BI82" s="7">
        <v>190</v>
      </c>
      <c r="BJ82" s="7">
        <v>180</v>
      </c>
      <c r="BK82" s="7">
        <v>170</v>
      </c>
      <c r="BL82" s="7">
        <v>160</v>
      </c>
      <c r="BM82" s="7">
        <v>150</v>
      </c>
      <c r="BN82" s="7">
        <v>140</v>
      </c>
      <c r="BO82" s="7">
        <v>130</v>
      </c>
      <c r="BP82" s="7">
        <v>120</v>
      </c>
      <c r="BQ82" s="121">
        <v>5</v>
      </c>
      <c r="BR82" s="7">
        <v>5</v>
      </c>
      <c r="BS82" s="7">
        <v>5</v>
      </c>
      <c r="BT82" s="7">
        <v>5</v>
      </c>
      <c r="BU82" s="7">
        <v>4</v>
      </c>
      <c r="BV82" s="7">
        <v>3</v>
      </c>
      <c r="BW82" s="7">
        <v>2</v>
      </c>
      <c r="BX82" s="7">
        <v>1</v>
      </c>
      <c r="BY82" s="7">
        <v>0</v>
      </c>
      <c r="CI82" s="7">
        <f t="shared" si="84"/>
        <v>200</v>
      </c>
      <c r="CJ82" s="163">
        <f t="shared" si="85"/>
        <v>100</v>
      </c>
      <c r="CK82" s="7">
        <f t="shared" si="86"/>
        <v>5</v>
      </c>
      <c r="CN82" s="7">
        <v>2</v>
      </c>
      <c r="CZ82" s="7">
        <f t="shared" si="87"/>
        <v>2</v>
      </c>
      <c r="DA82" s="7">
        <f t="shared" ref="DA82:DA133" si="106">CL82+CM82+CN82</f>
        <v>2</v>
      </c>
      <c r="DB82" s="7">
        <f t="shared" si="88"/>
        <v>0</v>
      </c>
      <c r="DC82" s="7">
        <f t="shared" ref="DC82:DC133" si="107">IF(AND($CO$8&gt;=CO82,$CP$8&gt;=CP82,$CQ$8&gt;=CQ82,$CR$8&gt;=CR82,$CS$8&gt;=CS82,$CT$8&gt;=CT82,$CU$8&gt;=CU82,$CV$8&gt;=CV82,$CW$8&gt;=CW82,OR(CX82=0,$CX$8&lt;CX82),DB82=1),1,0)</f>
        <v>0</v>
      </c>
      <c r="DE82" s="7">
        <f t="shared" si="89"/>
        <v>0</v>
      </c>
      <c r="DF82" s="7">
        <f t="shared" si="90"/>
        <v>0</v>
      </c>
      <c r="DG82" s="7">
        <f>IFERROR(IF(LEFT($AP82,1)="4",INDEX('변표 테이블'!$H$86:$H$165,MATCH($O82,'변표 테이블'!$B$86:$B$165,0)),INDEX(DG$4:DG$8,MATCH(AH82,$DC$4:$DC$8,0))),0)</f>
        <v>0</v>
      </c>
      <c r="DH82" s="7">
        <f>IFERROR(IF(LEFT($AP82,1)="4",INDEX('변표 테이블'!$I$86:$I$165,MATCH($O82,'변표 테이블'!$B$86:$B$165,0)),INDEX(DH$4:DH$8,MATCH(AI82,$DC$4:$DC$8,0))),0)</f>
        <v>0</v>
      </c>
      <c r="DJ82" s="7">
        <f>IFERROR(IF(LEFT($AP82,1)="4",INDEX('변표 테이블'!$J$86:$J$165,MATCH($O82,'변표 테이블'!$B$86:$B$165,0)),INDEX(DI$4:DI$8,MATCH(AK82,$DC$4:$DC$8,0))),0)</f>
        <v>0</v>
      </c>
      <c r="DK82" s="7">
        <f>IFERROR(IF(LEFT($AP82,1)="4",INDEX('변표 테이블'!$K$86:$K$165,MATCH($O82,'변표 테이블'!$B$86:$B$165,0)),INDEX(DJ$4:DJ$8,MATCH(AL82,$DC$4:$DC$8,0))),0)</f>
        <v>0</v>
      </c>
      <c r="DL82" s="7" t="str">
        <f t="shared" si="91"/>
        <v/>
      </c>
      <c r="DM82" s="7" t="str">
        <f t="shared" si="92"/>
        <v/>
      </c>
      <c r="DN82" s="7">
        <f t="shared" si="93"/>
        <v>0</v>
      </c>
      <c r="DP82" s="7">
        <f t="shared" si="94"/>
        <v>0</v>
      </c>
      <c r="DQ82" s="7">
        <f t="shared" si="95"/>
        <v>0</v>
      </c>
      <c r="DR82" s="7">
        <f t="shared" si="96"/>
        <v>0</v>
      </c>
      <c r="DS82" s="7">
        <f t="shared" si="97"/>
        <v>0</v>
      </c>
      <c r="DT82" s="7">
        <f t="shared" si="98"/>
        <v>0</v>
      </c>
      <c r="DU82" s="7">
        <f t="shared" si="99"/>
        <v>0</v>
      </c>
      <c r="DV82" s="7">
        <f t="shared" si="100"/>
        <v>0</v>
      </c>
      <c r="DW82" s="7">
        <f>LARGE((DR82:DS82,DU82:DV82),1)</f>
        <v>0</v>
      </c>
      <c r="DX82" s="7">
        <f>IF(DA82&lt;2,0,LARGE((DR82:DS82,DU82:DV82),2))</f>
        <v>0</v>
      </c>
      <c r="DY82" s="7">
        <f t="shared" si="101"/>
        <v>0</v>
      </c>
      <c r="DZ82" s="7">
        <f t="shared" si="102"/>
        <v>0</v>
      </c>
      <c r="EA82" s="7">
        <f t="shared" si="103"/>
        <v>0</v>
      </c>
      <c r="EF82" s="7">
        <f t="shared" si="104"/>
        <v>0</v>
      </c>
      <c r="EH82" s="7">
        <f t="shared" ref="EH82:EH133" si="108">IF(COUNTA(AZ82:BG82)&gt;0,1,0)</f>
        <v>0</v>
      </c>
      <c r="EI82" s="7">
        <f>IF(EH82=0,0,COUNTIF($EH$16:EH82,"&gt;"&amp;0))</f>
        <v>0</v>
      </c>
    </row>
    <row r="83" spans="1:141" x14ac:dyDescent="0.3">
      <c r="A83" s="165">
        <v>82</v>
      </c>
      <c r="C83" s="7" t="s">
        <v>182</v>
      </c>
      <c r="O83" s="7">
        <f t="shared" si="45"/>
        <v>0</v>
      </c>
      <c r="Q83" s="122">
        <f t="shared" si="81"/>
        <v>1</v>
      </c>
      <c r="R83" s="122">
        <f t="shared" si="82"/>
        <v>1.6</v>
      </c>
      <c r="S83" s="122">
        <f>0.8*(100/AH11)</f>
        <v>1.1267605633802817</v>
      </c>
      <c r="T83" s="7" t="str">
        <f t="shared" si="80"/>
        <v>자동</v>
      </c>
      <c r="U83" s="7">
        <f t="shared" si="83"/>
        <v>1.1267605633802817</v>
      </c>
      <c r="V83" s="122">
        <v>1</v>
      </c>
      <c r="W83" s="122">
        <v>1.6</v>
      </c>
      <c r="X83" s="122" t="e">
        <f>0.8*(100/AH9)</f>
        <v>#DIV/0!</v>
      </c>
      <c r="Y83" s="7" t="str">
        <f t="shared" ref="Y83:Y114" si="109">IF(AI83=12,$D83*H83/$AI$9,IF(AI83=42,$D83*H83/AC83,IF(OR(AI83=1,AI83=4,AI83=2),$D83*H83/100,IF(AI83=9,$D83*H83/50,"자동"))))</f>
        <v>자동</v>
      </c>
      <c r="AA83" s="7" t="str">
        <f t="shared" ref="AA83:AA114" si="110">IF(AK83=12,$D83*J83/$AK$9,IF(AK83=42,$D83*J83/AD83,IF(OR(AK83=1,AK83=4,AK83=2),$D83*J83/100,IF(AK83=9,$D83*J83/50,"자동"))))</f>
        <v>자동</v>
      </c>
      <c r="AB83" s="7" t="str">
        <f t="shared" ref="AB83:AB114" si="111">IF(AL83=12,$D83*K83/$AL$9,IF(AL83=42,$D83*K83/AD83,IF(OR(AL83=1,AL83=4,AL83=2),$D83*K83/100,IF(AL83=9,$D83*K83/50,"자동"))))</f>
        <v>자동</v>
      </c>
      <c r="AC83" s="7" t="e">
        <f>INDEX('변표 테이블'!$C$86:$C$165,MATCH(O83,'변표 테이블'!$B$86:$B$165,0))</f>
        <v>#N/A</v>
      </c>
      <c r="AD83" s="7" t="e">
        <f>INDEX('변표 테이블'!$D$86:$D$165,MATCH(O83,'변표 테이블'!$B$86:$B$165,0))</f>
        <v>#N/A</v>
      </c>
      <c r="AF83" s="7">
        <v>1</v>
      </c>
      <c r="AG83" s="7">
        <v>1</v>
      </c>
      <c r="AH83" s="7">
        <v>12</v>
      </c>
      <c r="AM83" s="7">
        <v>3</v>
      </c>
      <c r="AN83" s="7">
        <v>3</v>
      </c>
      <c r="AP83" s="7">
        <f t="shared" si="105"/>
        <v>12</v>
      </c>
      <c r="BH83" s="121">
        <v>120</v>
      </c>
      <c r="BI83" s="7">
        <v>108</v>
      </c>
      <c r="BJ83" s="7">
        <v>96</v>
      </c>
      <c r="BK83" s="7">
        <v>84</v>
      </c>
      <c r="BL83" s="7">
        <v>72</v>
      </c>
      <c r="BM83" s="7">
        <v>60</v>
      </c>
      <c r="BN83" s="7">
        <v>48</v>
      </c>
      <c r="BO83" s="7">
        <v>36</v>
      </c>
      <c r="BP83" s="7">
        <v>24</v>
      </c>
      <c r="BQ83" s="121">
        <v>5</v>
      </c>
      <c r="BR83" s="7">
        <v>5</v>
      </c>
      <c r="BS83" s="7">
        <v>4</v>
      </c>
      <c r="BT83" s="7">
        <v>4</v>
      </c>
      <c r="BU83" s="7">
        <v>3</v>
      </c>
      <c r="BV83" s="7">
        <v>3</v>
      </c>
      <c r="BW83" s="7">
        <v>2</v>
      </c>
      <c r="BX83" s="7">
        <v>1</v>
      </c>
      <c r="BY83" s="7">
        <v>0</v>
      </c>
      <c r="CI83" s="7">
        <f t="shared" si="84"/>
        <v>120</v>
      </c>
      <c r="CJ83" s="163">
        <f t="shared" si="85"/>
        <v>100</v>
      </c>
      <c r="CK83" s="7">
        <f t="shared" si="86"/>
        <v>5</v>
      </c>
      <c r="CL83" s="7">
        <v>1</v>
      </c>
      <c r="CP83" s="7">
        <v>1</v>
      </c>
      <c r="CR83" s="7">
        <v>1</v>
      </c>
      <c r="CZ83" s="7">
        <f t="shared" si="87"/>
        <v>1</v>
      </c>
      <c r="DA83" s="7">
        <f t="shared" si="106"/>
        <v>1</v>
      </c>
      <c r="DB83" s="7">
        <f t="shared" si="88"/>
        <v>0</v>
      </c>
      <c r="DC83" s="7">
        <f t="shared" si="107"/>
        <v>0</v>
      </c>
      <c r="DE83" s="7">
        <f t="shared" si="89"/>
        <v>0</v>
      </c>
      <c r="DF83" s="7">
        <f t="shared" si="90"/>
        <v>0</v>
      </c>
      <c r="DG83" s="7">
        <f>IFERROR(IF(LEFT($AP83,1)="4",INDEX('변표 테이블'!$H$86:$H$165,MATCH($O83,'변표 테이블'!$B$86:$B$165,0)),INDEX(DG$4:DG$8,MATCH(AH83,$DC$4:$DC$8,0))),0)</f>
        <v>0</v>
      </c>
      <c r="DH83" s="7">
        <f>IFERROR(IF(LEFT($AP83,1)="4",INDEX('변표 테이블'!$I$86:$I$165,MATCH($O83,'변표 테이블'!$B$86:$B$165,0)),INDEX(DH$4:DH$8,MATCH(AI83,$DC$4:$DC$8,0))),0)</f>
        <v>0</v>
      </c>
      <c r="DJ83" s="7">
        <f>IFERROR(IF(LEFT($AP83,1)="4",INDEX('변표 테이블'!$J$86:$J$165,MATCH($O83,'변표 테이블'!$B$86:$B$165,0)),INDEX(DI$4:DI$8,MATCH(AK83,$DC$4:$DC$8,0))),0)</f>
        <v>0</v>
      </c>
      <c r="DK83" s="7">
        <f>IFERROR(IF(LEFT($AP83,1)="4",INDEX('변표 테이블'!$K$86:$K$165,MATCH($O83,'변표 테이블'!$B$86:$B$165,0)),INDEX(DJ$4:DJ$8,MATCH(AL83,$DC$4:$DC$8,0))),0)</f>
        <v>0</v>
      </c>
      <c r="DL83" s="7" t="str">
        <f t="shared" si="91"/>
        <v/>
      </c>
      <c r="DM83" s="7" t="str">
        <f t="shared" si="92"/>
        <v/>
      </c>
      <c r="DN83" s="7">
        <f t="shared" si="93"/>
        <v>0</v>
      </c>
      <c r="DP83" s="7">
        <f t="shared" si="94"/>
        <v>0</v>
      </c>
      <c r="DQ83" s="7">
        <f t="shared" si="95"/>
        <v>0</v>
      </c>
      <c r="DR83" s="7">
        <f t="shared" si="96"/>
        <v>0</v>
      </c>
      <c r="DS83" s="7">
        <f t="shared" si="97"/>
        <v>0</v>
      </c>
      <c r="DT83" s="7">
        <f t="shared" si="98"/>
        <v>0</v>
      </c>
      <c r="DU83" s="7">
        <f t="shared" si="99"/>
        <v>0</v>
      </c>
      <c r="DV83" s="7">
        <f t="shared" si="100"/>
        <v>0</v>
      </c>
      <c r="DW83" s="7">
        <f>LARGE((DR83:DS83,DU83:DV83),1)</f>
        <v>0</v>
      </c>
      <c r="DX83" s="7">
        <f>IF(DA83&lt;2,0,LARGE((DR83:DS83,DU83:DV83),2))</f>
        <v>0</v>
      </c>
      <c r="DY83" s="7">
        <f t="shared" si="101"/>
        <v>0</v>
      </c>
      <c r="DZ83" s="7">
        <f t="shared" si="102"/>
        <v>0</v>
      </c>
      <c r="EA83" s="7">
        <f t="shared" si="103"/>
        <v>0</v>
      </c>
      <c r="EF83" s="7">
        <f t="shared" si="104"/>
        <v>0</v>
      </c>
      <c r="EH83" s="7">
        <f t="shared" si="108"/>
        <v>0</v>
      </c>
      <c r="EI83" s="7">
        <f>IF(EH83=0,0,COUNTIF($EH$16:EH83,"&gt;"&amp;0))</f>
        <v>0</v>
      </c>
    </row>
    <row r="84" spans="1:141" x14ac:dyDescent="0.3">
      <c r="A84" s="165">
        <v>83</v>
      </c>
      <c r="C84" s="7" t="s">
        <v>183</v>
      </c>
      <c r="O84" s="7">
        <f t="shared" si="45"/>
        <v>0</v>
      </c>
      <c r="Q84" s="122">
        <f t="shared" si="81"/>
        <v>1</v>
      </c>
      <c r="R84" s="122">
        <f t="shared" si="82"/>
        <v>1</v>
      </c>
      <c r="S84" s="122">
        <f>1*(100/AH11)</f>
        <v>1.408450704225352</v>
      </c>
      <c r="T84" s="7" t="str">
        <f t="shared" si="80"/>
        <v>자동</v>
      </c>
      <c r="U84" s="7">
        <f t="shared" si="83"/>
        <v>1.408450704225352</v>
      </c>
      <c r="V84" s="122">
        <v>1</v>
      </c>
      <c r="W84" s="122">
        <v>1</v>
      </c>
      <c r="X84" s="122" t="e">
        <f>1*(100/AH9)</f>
        <v>#DIV/0!</v>
      </c>
      <c r="Y84" s="7" t="str">
        <f t="shared" si="109"/>
        <v>자동</v>
      </c>
      <c r="AA84" s="7" t="str">
        <f t="shared" si="110"/>
        <v>자동</v>
      </c>
      <c r="AB84" s="7" t="str">
        <f t="shared" si="111"/>
        <v>자동</v>
      </c>
      <c r="AC84" s="7" t="e">
        <f>INDEX('변표 테이블'!$C$86:$C$165,MATCH(O84,'변표 테이블'!$B$86:$B$165,0))</f>
        <v>#N/A</v>
      </c>
      <c r="AD84" s="7" t="e">
        <f>INDEX('변표 테이블'!$D$86:$D$165,MATCH(O84,'변표 테이블'!$B$86:$B$165,0))</f>
        <v>#N/A</v>
      </c>
      <c r="AF84" s="7">
        <v>1</v>
      </c>
      <c r="AG84" s="7">
        <v>1</v>
      </c>
      <c r="AH84" s="7">
        <v>12</v>
      </c>
      <c r="AM84" s="7">
        <v>3</v>
      </c>
      <c r="AN84" s="7">
        <v>3</v>
      </c>
      <c r="AP84" s="7">
        <f t="shared" si="105"/>
        <v>12</v>
      </c>
      <c r="BH84" s="121">
        <v>200</v>
      </c>
      <c r="BI84" s="7">
        <v>180</v>
      </c>
      <c r="BJ84" s="7">
        <v>160</v>
      </c>
      <c r="BK84" s="7">
        <v>140</v>
      </c>
      <c r="BL84" s="7">
        <v>120</v>
      </c>
      <c r="BM84" s="7">
        <v>100</v>
      </c>
      <c r="BN84" s="7">
        <v>80</v>
      </c>
      <c r="BO84" s="7">
        <v>60</v>
      </c>
      <c r="BP84" s="7">
        <v>40</v>
      </c>
      <c r="BQ84" s="121">
        <v>5</v>
      </c>
      <c r="BR84" s="7">
        <v>5</v>
      </c>
      <c r="BS84" s="7">
        <v>4</v>
      </c>
      <c r="BT84" s="7">
        <v>4</v>
      </c>
      <c r="BU84" s="7">
        <v>3</v>
      </c>
      <c r="BV84" s="7">
        <v>3</v>
      </c>
      <c r="BW84" s="7">
        <v>2</v>
      </c>
      <c r="BX84" s="7">
        <v>1</v>
      </c>
      <c r="BY84" s="7">
        <v>0</v>
      </c>
      <c r="CI84" s="7">
        <f t="shared" si="84"/>
        <v>200</v>
      </c>
      <c r="CJ84" s="163">
        <f t="shared" si="85"/>
        <v>100</v>
      </c>
      <c r="CK84" s="7">
        <f t="shared" si="86"/>
        <v>5</v>
      </c>
      <c r="CL84" s="7">
        <v>1</v>
      </c>
      <c r="CP84" s="7">
        <v>1</v>
      </c>
      <c r="CR84" s="7">
        <v>1</v>
      </c>
      <c r="CZ84" s="7">
        <f t="shared" si="87"/>
        <v>1</v>
      </c>
      <c r="DA84" s="7">
        <f t="shared" si="106"/>
        <v>1</v>
      </c>
      <c r="DB84" s="7">
        <f t="shared" si="88"/>
        <v>0</v>
      </c>
      <c r="DC84" s="7">
        <f t="shared" si="107"/>
        <v>0</v>
      </c>
      <c r="DE84" s="7">
        <f t="shared" si="89"/>
        <v>0</v>
      </c>
      <c r="DF84" s="7">
        <f t="shared" si="90"/>
        <v>0</v>
      </c>
      <c r="DG84" s="7">
        <f>IFERROR(IF(LEFT($AP84,1)="4",INDEX('변표 테이블'!$H$86:$H$165,MATCH($O84,'변표 테이블'!$B$86:$B$165,0)),INDEX(DG$4:DG$8,MATCH(AH84,$DC$4:$DC$8,0))),0)</f>
        <v>0</v>
      </c>
      <c r="DH84" s="7">
        <f>IFERROR(IF(LEFT($AP84,1)="4",INDEX('변표 테이블'!$I$86:$I$165,MATCH($O84,'변표 테이블'!$B$86:$B$165,0)),INDEX(DH$4:DH$8,MATCH(AI84,$DC$4:$DC$8,0))),0)</f>
        <v>0</v>
      </c>
      <c r="DJ84" s="7">
        <f>IFERROR(IF(LEFT($AP84,1)="4",INDEX('변표 테이블'!$J$86:$J$165,MATCH($O84,'변표 테이블'!$B$86:$B$165,0)),INDEX(DI$4:DI$8,MATCH(AK84,$DC$4:$DC$8,0))),0)</f>
        <v>0</v>
      </c>
      <c r="DK84" s="7">
        <f>IFERROR(IF(LEFT($AP84,1)="4",INDEX('변표 테이블'!$K$86:$K$165,MATCH($O84,'변표 테이블'!$B$86:$B$165,0)),INDEX(DJ$4:DJ$8,MATCH(AL84,$DC$4:$DC$8,0))),0)</f>
        <v>0</v>
      </c>
      <c r="DL84" s="7" t="str">
        <f t="shared" si="91"/>
        <v/>
      </c>
      <c r="DM84" s="7" t="str">
        <f t="shared" si="92"/>
        <v/>
      </c>
      <c r="DN84" s="7">
        <f t="shared" si="93"/>
        <v>0</v>
      </c>
      <c r="DP84" s="7">
        <f t="shared" si="94"/>
        <v>0</v>
      </c>
      <c r="DQ84" s="7">
        <f t="shared" si="95"/>
        <v>0</v>
      </c>
      <c r="DR84" s="7">
        <f t="shared" si="96"/>
        <v>0</v>
      </c>
      <c r="DS84" s="7">
        <f t="shared" si="97"/>
        <v>0</v>
      </c>
      <c r="DT84" s="7">
        <f t="shared" si="98"/>
        <v>0</v>
      </c>
      <c r="DU84" s="7">
        <f t="shared" si="99"/>
        <v>0</v>
      </c>
      <c r="DV84" s="7">
        <f t="shared" si="100"/>
        <v>0</v>
      </c>
      <c r="DW84" s="7">
        <f>LARGE((DR84:DS84,DU84:DV84),1)</f>
        <v>0</v>
      </c>
      <c r="DX84" s="7">
        <f>IF(DA84&lt;2,0,LARGE((DR84:DS84,DU84:DV84),2))</f>
        <v>0</v>
      </c>
      <c r="DY84" s="7">
        <f t="shared" si="101"/>
        <v>0</v>
      </c>
      <c r="DZ84" s="7">
        <f t="shared" si="102"/>
        <v>0</v>
      </c>
      <c r="EA84" s="7">
        <f t="shared" si="103"/>
        <v>0</v>
      </c>
      <c r="EF84" s="7">
        <f t="shared" si="104"/>
        <v>0</v>
      </c>
      <c r="EH84" s="7">
        <f t="shared" si="108"/>
        <v>0</v>
      </c>
      <c r="EI84" s="7">
        <f>IF(EH84=0,0,COUNTIF($EH$16:EH84,"&gt;"&amp;0))</f>
        <v>0</v>
      </c>
    </row>
    <row r="85" spans="1:141" x14ac:dyDescent="0.3">
      <c r="A85" s="165">
        <v>84</v>
      </c>
      <c r="C85" s="7" t="s">
        <v>184</v>
      </c>
      <c r="D85" s="7">
        <v>1000</v>
      </c>
      <c r="E85" s="7">
        <v>0.3</v>
      </c>
      <c r="F85" s="7">
        <v>0.3</v>
      </c>
      <c r="G85" s="7">
        <v>0.1</v>
      </c>
      <c r="H85" s="7">
        <v>0.1</v>
      </c>
      <c r="O85" s="7">
        <f t="shared" ref="O85:O129" si="112">IF(N85&gt;0,N85,M85)</f>
        <v>0</v>
      </c>
      <c r="Q85" s="7">
        <f t="shared" si="81"/>
        <v>3</v>
      </c>
      <c r="R85" s="7">
        <f t="shared" si="82"/>
        <v>3</v>
      </c>
      <c r="S85" s="7">
        <f t="shared" ref="S85:S133" si="113">IF(AH85=12,$D85*G85/$AH$11,X85)</f>
        <v>1</v>
      </c>
      <c r="T85" s="7" t="str">
        <f t="shared" si="80"/>
        <v>자동</v>
      </c>
      <c r="U85" s="7">
        <f t="shared" si="83"/>
        <v>2</v>
      </c>
      <c r="V85" s="7">
        <f t="shared" ref="V85:V116" si="114">IF(AF85=12,$D85*E85/$AF$9,IF(OR(AF85=1,AF85=4),$D85*E85/200,IF(OR(AF85=2,AF85=9),$D85*E85/100,"자동")))</f>
        <v>3</v>
      </c>
      <c r="W85" s="7">
        <f t="shared" ref="W85:W116" si="115">IF(AG85=12,$D85*F85/$AG$9,IF(OR(AG85=1,AG85=4),$D85*F85/200,IF(OR(AG85=2,AG85=9),$D85*F85/100,"자동")))</f>
        <v>3</v>
      </c>
      <c r="X85" s="7">
        <f t="shared" ref="X85:X116" si="116">IF(AH85=12,$D85*G85/$AH$9,IF(AH85=42,$D85*G85/AC85,IF(OR(AH85=1,AH85=4,AH85=2),$D85*G85/100,IF(AH85=9,$D85*G85/50,"자동"))))</f>
        <v>1</v>
      </c>
      <c r="Y85" s="7">
        <f t="shared" si="109"/>
        <v>1</v>
      </c>
      <c r="AA85" s="7" t="str">
        <f t="shared" si="110"/>
        <v>자동</v>
      </c>
      <c r="AB85" s="7" t="str">
        <f t="shared" si="111"/>
        <v>자동</v>
      </c>
      <c r="AC85" s="7" t="e">
        <f>INDEX('변표 테이블'!$C$86:$C$165,MATCH(O85,'변표 테이블'!$B$86:$B$165,0))</f>
        <v>#N/A</v>
      </c>
      <c r="AD85" s="7" t="e">
        <f>INDEX('변표 테이블'!$D$86:$D$165,MATCH(O85,'변표 테이블'!$B$86:$B$165,0))</f>
        <v>#N/A</v>
      </c>
      <c r="AF85" s="7">
        <v>2</v>
      </c>
      <c r="AG85" s="7">
        <v>2</v>
      </c>
      <c r="AH85" s="7">
        <v>2</v>
      </c>
      <c r="AI85" s="7">
        <v>2</v>
      </c>
      <c r="AM85" s="7">
        <v>3</v>
      </c>
      <c r="AN85" s="7">
        <v>3</v>
      </c>
      <c r="AP85" s="7">
        <f t="shared" si="105"/>
        <v>2</v>
      </c>
      <c r="BH85" s="121">
        <v>200</v>
      </c>
      <c r="BI85" s="7">
        <v>196</v>
      </c>
      <c r="BJ85" s="7">
        <v>192</v>
      </c>
      <c r="BK85" s="7">
        <v>188</v>
      </c>
      <c r="BL85" s="7">
        <v>184</v>
      </c>
      <c r="BM85" s="7">
        <v>180</v>
      </c>
      <c r="BN85" s="7">
        <v>176</v>
      </c>
      <c r="BO85" s="7">
        <v>172</v>
      </c>
      <c r="BP85" s="7">
        <v>168</v>
      </c>
      <c r="BQ85" s="121">
        <v>10</v>
      </c>
      <c r="BR85" s="7">
        <v>10</v>
      </c>
      <c r="BS85" s="7">
        <v>9</v>
      </c>
      <c r="BT85" s="7">
        <v>9</v>
      </c>
      <c r="BU85" s="7">
        <v>8</v>
      </c>
      <c r="BV85" s="7">
        <v>8</v>
      </c>
      <c r="BW85" s="7">
        <v>7</v>
      </c>
      <c r="BX85" s="7">
        <v>6</v>
      </c>
      <c r="BY85" s="7">
        <v>5</v>
      </c>
      <c r="CI85" s="7">
        <f t="shared" si="84"/>
        <v>200</v>
      </c>
      <c r="CJ85" s="163">
        <f t="shared" si="85"/>
        <v>100</v>
      </c>
      <c r="CK85" s="7">
        <f t="shared" si="86"/>
        <v>10</v>
      </c>
      <c r="CL85" s="7">
        <v>2</v>
      </c>
      <c r="CP85" s="7">
        <v>1</v>
      </c>
      <c r="CR85" s="7">
        <v>1</v>
      </c>
      <c r="CZ85" s="7">
        <f t="shared" si="87"/>
        <v>1</v>
      </c>
      <c r="DA85" s="7">
        <f t="shared" si="106"/>
        <v>2</v>
      </c>
      <c r="DB85" s="7">
        <f t="shared" si="88"/>
        <v>0</v>
      </c>
      <c r="DC85" s="7">
        <f t="shared" si="107"/>
        <v>0</v>
      </c>
      <c r="DE85" s="7">
        <f t="shared" si="89"/>
        <v>0</v>
      </c>
      <c r="DF85" s="7">
        <f t="shared" si="90"/>
        <v>0</v>
      </c>
      <c r="DG85" s="7">
        <f>IFERROR(IF(LEFT($AP85,1)="4",INDEX('변표 테이블'!$H$86:$H$165,MATCH($O85,'변표 테이블'!$B$86:$B$165,0)),INDEX(DG$4:DG$8,MATCH(AH85,$DC$4:$DC$8,0))),0)</f>
        <v>0</v>
      </c>
      <c r="DH85" s="7">
        <f>IFERROR(IF(LEFT($AP85,1)="4",INDEX('변표 테이블'!$I$86:$I$165,MATCH($O85,'변표 테이블'!$B$86:$B$165,0)),INDEX(DH$4:DH$8,MATCH(AI85,$DC$4:$DC$8,0))),0)</f>
        <v>0</v>
      </c>
      <c r="DJ85" s="7">
        <f>IFERROR(IF(LEFT($AP85,1)="4",INDEX('변표 테이블'!$J$86:$J$165,MATCH($O85,'변표 테이블'!$B$86:$B$165,0)),INDEX(DI$4:DI$8,MATCH(AK85,$DC$4:$DC$8,0))),0)</f>
        <v>0</v>
      </c>
      <c r="DK85" s="7">
        <f>IFERROR(IF(LEFT($AP85,1)="4",INDEX('변표 테이블'!$K$86:$K$165,MATCH($O85,'변표 테이블'!$B$86:$B$165,0)),INDEX(DJ$4:DJ$8,MATCH(AL85,$DC$4:$DC$8,0))),0)</f>
        <v>0</v>
      </c>
      <c r="DL85" s="7" t="str">
        <f t="shared" si="91"/>
        <v/>
      </c>
      <c r="DM85" s="7" t="str">
        <f t="shared" si="92"/>
        <v/>
      </c>
      <c r="DN85" s="7">
        <f t="shared" si="93"/>
        <v>0</v>
      </c>
      <c r="DP85" s="7">
        <f t="shared" si="94"/>
        <v>0</v>
      </c>
      <c r="DQ85" s="7">
        <f t="shared" si="95"/>
        <v>0</v>
      </c>
      <c r="DR85" s="7">
        <f t="shared" si="96"/>
        <v>0</v>
      </c>
      <c r="DS85" s="7">
        <f t="shared" si="97"/>
        <v>0</v>
      </c>
      <c r="DT85" s="7">
        <f t="shared" si="98"/>
        <v>0</v>
      </c>
      <c r="DU85" s="7">
        <f t="shared" si="99"/>
        <v>0</v>
      </c>
      <c r="DV85" s="7">
        <f t="shared" si="100"/>
        <v>0</v>
      </c>
      <c r="DW85" s="7">
        <f>LARGE((DR85:DS85,DU85:DV85),1)</f>
        <v>0</v>
      </c>
      <c r="DX85" s="7">
        <f>IF(DA85&lt;2,0,LARGE((DR85:DS85,DU85:DV85),2))</f>
        <v>0</v>
      </c>
      <c r="DY85" s="7">
        <f t="shared" si="101"/>
        <v>0</v>
      </c>
      <c r="DZ85" s="7">
        <f t="shared" si="102"/>
        <v>0</v>
      </c>
      <c r="EA85" s="7">
        <f t="shared" si="103"/>
        <v>0</v>
      </c>
      <c r="EF85" s="7">
        <f t="shared" si="104"/>
        <v>0</v>
      </c>
      <c r="EH85" s="7">
        <f t="shared" si="108"/>
        <v>0</v>
      </c>
      <c r="EI85" s="7">
        <f>IF(EH85=0,0,COUNTIF($EH$16:EH85,"&gt;"&amp;0))</f>
        <v>0</v>
      </c>
    </row>
    <row r="86" spans="1:141" x14ac:dyDescent="0.3">
      <c r="A86" s="165">
        <v>85</v>
      </c>
      <c r="C86" s="7" t="s">
        <v>185</v>
      </c>
      <c r="D86" s="7">
        <v>1000</v>
      </c>
      <c r="E86" s="7">
        <v>0.3</v>
      </c>
      <c r="F86" s="7">
        <v>0.3</v>
      </c>
      <c r="J86" s="7">
        <v>0.1</v>
      </c>
      <c r="K86" s="7">
        <v>0.1</v>
      </c>
      <c r="O86" s="7">
        <f t="shared" si="112"/>
        <v>0</v>
      </c>
      <c r="Q86" s="7">
        <f t="shared" si="81"/>
        <v>3</v>
      </c>
      <c r="R86" s="7">
        <f t="shared" si="82"/>
        <v>3</v>
      </c>
      <c r="S86" s="7" t="str">
        <f t="shared" si="113"/>
        <v>자동</v>
      </c>
      <c r="T86" s="7">
        <f t="shared" si="80"/>
        <v>1</v>
      </c>
      <c r="U86" s="7">
        <f t="shared" si="83"/>
        <v>1</v>
      </c>
      <c r="V86" s="7">
        <f t="shared" si="114"/>
        <v>3</v>
      </c>
      <c r="W86" s="7">
        <f t="shared" si="115"/>
        <v>3</v>
      </c>
      <c r="X86" s="7" t="str">
        <f t="shared" si="116"/>
        <v>자동</v>
      </c>
      <c r="Y86" s="7" t="str">
        <f t="shared" si="109"/>
        <v>자동</v>
      </c>
      <c r="AA86" s="7">
        <f t="shared" si="110"/>
        <v>1</v>
      </c>
      <c r="AB86" s="7">
        <f t="shared" si="111"/>
        <v>1</v>
      </c>
      <c r="AC86" s="7" t="e">
        <f>INDEX('변표 테이블'!$C$86:$C$165,MATCH(O86,'변표 테이블'!$B$86:$B$165,0))</f>
        <v>#N/A</v>
      </c>
      <c r="AD86" s="7" t="e">
        <f>INDEX('변표 테이블'!$D$86:$D$165,MATCH(O86,'변표 테이블'!$B$86:$B$165,0))</f>
        <v>#N/A</v>
      </c>
      <c r="AF86" s="7">
        <v>2</v>
      </c>
      <c r="AG86" s="7">
        <v>2</v>
      </c>
      <c r="AK86" s="7">
        <v>2</v>
      </c>
      <c r="AL86" s="7">
        <v>2</v>
      </c>
      <c r="AM86" s="7">
        <v>3</v>
      </c>
      <c r="AN86" s="7">
        <v>3</v>
      </c>
      <c r="AP86" s="7">
        <f t="shared" si="105"/>
        <v>2</v>
      </c>
      <c r="BH86" s="121">
        <v>200</v>
      </c>
      <c r="BI86" s="7">
        <v>196</v>
      </c>
      <c r="BJ86" s="7">
        <v>192</v>
      </c>
      <c r="BK86" s="7">
        <v>188</v>
      </c>
      <c r="BL86" s="7">
        <v>184</v>
      </c>
      <c r="BM86" s="7">
        <v>180</v>
      </c>
      <c r="BN86" s="7">
        <v>176</v>
      </c>
      <c r="BO86" s="7">
        <v>172</v>
      </c>
      <c r="BP86" s="7">
        <v>168</v>
      </c>
      <c r="BQ86" s="121">
        <v>10</v>
      </c>
      <c r="BR86" s="7">
        <v>10</v>
      </c>
      <c r="BS86" s="7">
        <v>9</v>
      </c>
      <c r="BT86" s="7">
        <v>9</v>
      </c>
      <c r="BU86" s="7">
        <v>8</v>
      </c>
      <c r="BV86" s="7">
        <v>8</v>
      </c>
      <c r="BW86" s="7">
        <v>7</v>
      </c>
      <c r="BX86" s="7">
        <v>6</v>
      </c>
      <c r="BY86" s="7">
        <v>5</v>
      </c>
      <c r="CI86" s="7">
        <f t="shared" si="84"/>
        <v>200</v>
      </c>
      <c r="CJ86" s="163">
        <f t="shared" si="85"/>
        <v>100</v>
      </c>
      <c r="CK86" s="7">
        <f t="shared" si="86"/>
        <v>10</v>
      </c>
      <c r="CM86" s="7">
        <v>2</v>
      </c>
      <c r="CQ86" s="7">
        <v>1</v>
      </c>
      <c r="CT86" s="7">
        <v>1</v>
      </c>
      <c r="CZ86" s="7">
        <f t="shared" si="87"/>
        <v>2</v>
      </c>
      <c r="DA86" s="7">
        <f t="shared" si="106"/>
        <v>2</v>
      </c>
      <c r="DB86" s="7">
        <f t="shared" si="88"/>
        <v>0</v>
      </c>
      <c r="DC86" s="7">
        <f t="shared" si="107"/>
        <v>0</v>
      </c>
      <c r="DE86" s="7">
        <f t="shared" si="89"/>
        <v>0</v>
      </c>
      <c r="DF86" s="7">
        <f t="shared" si="90"/>
        <v>0</v>
      </c>
      <c r="DG86" s="7">
        <f>IFERROR(IF(LEFT($AP86,1)="4",INDEX('변표 테이블'!$H$86:$H$165,MATCH($O86,'변표 테이블'!$B$86:$B$165,0)),INDEX(DG$4:DG$8,MATCH(AH86,$DC$4:$DC$8,0))),0)</f>
        <v>0</v>
      </c>
      <c r="DH86" s="7">
        <f>IFERROR(IF(LEFT($AP86,1)="4",INDEX('변표 테이블'!$I$86:$I$165,MATCH($O86,'변표 테이블'!$B$86:$B$165,0)),INDEX(DH$4:DH$8,MATCH(AI86,$DC$4:$DC$8,0))),0)</f>
        <v>0</v>
      </c>
      <c r="DJ86" s="7">
        <f>IFERROR(IF(LEFT($AP86,1)="4",INDEX('변표 테이블'!$J$86:$J$165,MATCH($O86,'변표 테이블'!$B$86:$B$165,0)),INDEX(DI$4:DI$8,MATCH(AK86,$DC$4:$DC$8,0))),0)</f>
        <v>0</v>
      </c>
      <c r="DK86" s="7">
        <f>IFERROR(IF(LEFT($AP86,1)="4",INDEX('변표 테이블'!$K$86:$K$165,MATCH($O86,'변표 테이블'!$B$86:$B$165,0)),INDEX(DJ$4:DJ$8,MATCH(AL86,$DC$4:$DC$8,0))),0)</f>
        <v>0</v>
      </c>
      <c r="DL86" s="7" t="str">
        <f t="shared" si="91"/>
        <v/>
      </c>
      <c r="DM86" s="7" t="str">
        <f t="shared" si="92"/>
        <v/>
      </c>
      <c r="DN86" s="7">
        <f t="shared" si="93"/>
        <v>0</v>
      </c>
      <c r="DP86" s="7">
        <f t="shared" si="94"/>
        <v>0</v>
      </c>
      <c r="DQ86" s="7">
        <f t="shared" si="95"/>
        <v>0</v>
      </c>
      <c r="DR86" s="7">
        <f t="shared" si="96"/>
        <v>0</v>
      </c>
      <c r="DS86" s="7">
        <f t="shared" si="97"/>
        <v>0</v>
      </c>
      <c r="DT86" s="7">
        <f t="shared" si="98"/>
        <v>0</v>
      </c>
      <c r="DU86" s="7">
        <f t="shared" si="99"/>
        <v>0</v>
      </c>
      <c r="DV86" s="7">
        <f t="shared" si="100"/>
        <v>0</v>
      </c>
      <c r="DW86" s="7">
        <f>LARGE((DR86:DS86,DU86:DV86),1)</f>
        <v>0</v>
      </c>
      <c r="DX86" s="7">
        <f>IF(DA86&lt;2,0,LARGE((DR86:DS86,DU86:DV86),2))</f>
        <v>0</v>
      </c>
      <c r="DY86" s="7">
        <f t="shared" si="101"/>
        <v>0</v>
      </c>
      <c r="DZ86" s="7">
        <f t="shared" si="102"/>
        <v>0</v>
      </c>
      <c r="EA86" s="7">
        <f t="shared" si="103"/>
        <v>0</v>
      </c>
      <c r="EF86" s="7">
        <f t="shared" si="104"/>
        <v>0</v>
      </c>
      <c r="EH86" s="7">
        <f t="shared" si="108"/>
        <v>0</v>
      </c>
      <c r="EI86" s="7">
        <f>IF(EH86=0,0,COUNTIF($EH$16:EH86,"&gt;"&amp;0))</f>
        <v>0</v>
      </c>
    </row>
    <row r="87" spans="1:141" x14ac:dyDescent="0.3">
      <c r="A87" s="165">
        <v>86</v>
      </c>
      <c r="C87" s="7" t="s">
        <v>189</v>
      </c>
      <c r="D87" s="7">
        <v>1000</v>
      </c>
      <c r="E87" s="7">
        <v>0.2</v>
      </c>
      <c r="F87" s="7">
        <v>0.3</v>
      </c>
      <c r="G87" s="7">
        <v>0.125</v>
      </c>
      <c r="H87" s="7">
        <v>0.125</v>
      </c>
      <c r="O87" s="7">
        <f t="shared" si="112"/>
        <v>0</v>
      </c>
      <c r="Q87" s="7">
        <f t="shared" si="81"/>
        <v>2</v>
      </c>
      <c r="R87" s="7">
        <f t="shared" si="82"/>
        <v>3</v>
      </c>
      <c r="S87" s="7">
        <f t="shared" si="113"/>
        <v>1.25</v>
      </c>
      <c r="T87" s="7" t="str">
        <f t="shared" si="80"/>
        <v>자동</v>
      </c>
      <c r="U87" s="7">
        <f t="shared" si="83"/>
        <v>2.5</v>
      </c>
      <c r="V87" s="7">
        <f t="shared" si="114"/>
        <v>2</v>
      </c>
      <c r="W87" s="7">
        <f t="shared" si="115"/>
        <v>3</v>
      </c>
      <c r="X87" s="7">
        <f t="shared" si="116"/>
        <v>1.25</v>
      </c>
      <c r="Y87" s="7">
        <f t="shared" si="109"/>
        <v>1.25</v>
      </c>
      <c r="AA87" s="7" t="str">
        <f t="shared" si="110"/>
        <v>자동</v>
      </c>
      <c r="AB87" s="7" t="str">
        <f t="shared" si="111"/>
        <v>자동</v>
      </c>
      <c r="AC87" s="7" t="e">
        <f>INDEX('변표 테이블'!$C$86:$C$165,MATCH(O87,'변표 테이블'!$B$86:$B$165,0))</f>
        <v>#N/A</v>
      </c>
      <c r="AD87" s="7" t="e">
        <f>INDEX('변표 테이블'!$D$86:$D$165,MATCH(O87,'변표 테이블'!$B$86:$B$165,0))</f>
        <v>#N/A</v>
      </c>
      <c r="AF87" s="7">
        <v>2</v>
      </c>
      <c r="AG87" s="7">
        <v>2</v>
      </c>
      <c r="AH87" s="7">
        <v>2</v>
      </c>
      <c r="AI87" s="7">
        <v>2</v>
      </c>
      <c r="AM87" s="7">
        <v>3</v>
      </c>
      <c r="AN87" s="7">
        <v>3</v>
      </c>
      <c r="AP87" s="7">
        <f t="shared" si="105"/>
        <v>2</v>
      </c>
      <c r="BH87" s="121">
        <v>250</v>
      </c>
      <c r="BI87" s="7">
        <v>245</v>
      </c>
      <c r="BJ87" s="7">
        <v>235</v>
      </c>
      <c r="BK87" s="7">
        <v>200</v>
      </c>
      <c r="BL87" s="7">
        <v>175</v>
      </c>
      <c r="BM87" s="7">
        <v>150</v>
      </c>
      <c r="BN87" s="7">
        <v>125</v>
      </c>
      <c r="BO87" s="7">
        <v>100</v>
      </c>
      <c r="BP87" s="7">
        <v>0</v>
      </c>
      <c r="BQ87" s="121">
        <v>10</v>
      </c>
      <c r="BR87" s="7">
        <v>10</v>
      </c>
      <c r="BS87" s="7">
        <v>10</v>
      </c>
      <c r="BT87" s="7">
        <v>10</v>
      </c>
      <c r="BU87" s="7">
        <v>9</v>
      </c>
      <c r="BV87" s="7">
        <v>8</v>
      </c>
      <c r="BW87" s="7">
        <v>7</v>
      </c>
      <c r="BX87" s="7">
        <v>6</v>
      </c>
      <c r="BY87" s="7">
        <v>0</v>
      </c>
      <c r="CI87" s="7">
        <f t="shared" si="84"/>
        <v>250</v>
      </c>
      <c r="CJ87" s="163">
        <f t="shared" si="85"/>
        <v>100</v>
      </c>
      <c r="CK87" s="7">
        <f t="shared" si="86"/>
        <v>10</v>
      </c>
      <c r="CL87" s="7">
        <v>2</v>
      </c>
      <c r="CP87" s="7">
        <v>1</v>
      </c>
      <c r="CR87" s="7">
        <v>1</v>
      </c>
      <c r="CZ87" s="7">
        <f t="shared" si="87"/>
        <v>1</v>
      </c>
      <c r="DA87" s="7">
        <f t="shared" si="106"/>
        <v>2</v>
      </c>
      <c r="DB87" s="7">
        <f t="shared" si="88"/>
        <v>0</v>
      </c>
      <c r="DC87" s="7">
        <f t="shared" si="107"/>
        <v>0</v>
      </c>
      <c r="DE87" s="7">
        <f t="shared" si="89"/>
        <v>0</v>
      </c>
      <c r="DF87" s="7">
        <f t="shared" si="90"/>
        <v>0</v>
      </c>
      <c r="DG87" s="7">
        <f>IFERROR(IF(LEFT($AP87,1)="4",INDEX('변표 테이블'!$H$86:$H$165,MATCH($O87,'변표 테이블'!$B$86:$B$165,0)),INDEX(DG$4:DG$8,MATCH(AH87,$DC$4:$DC$8,0))),0)</f>
        <v>0</v>
      </c>
      <c r="DH87" s="7">
        <f>IFERROR(IF(LEFT($AP87,1)="4",INDEX('변표 테이블'!$I$86:$I$165,MATCH($O87,'변표 테이블'!$B$86:$B$165,0)),INDEX(DH$4:DH$8,MATCH(AI87,$DC$4:$DC$8,0))),0)</f>
        <v>0</v>
      </c>
      <c r="DJ87" s="7">
        <f>IFERROR(IF(LEFT($AP87,1)="4",INDEX('변표 테이블'!$J$86:$J$165,MATCH($O87,'변표 테이블'!$B$86:$B$165,0)),INDEX(DI$4:DI$8,MATCH(AK87,$DC$4:$DC$8,0))),0)</f>
        <v>0</v>
      </c>
      <c r="DK87" s="7">
        <f>IFERROR(IF(LEFT($AP87,1)="4",INDEX('변표 테이블'!$K$86:$K$165,MATCH($O87,'변표 테이블'!$B$86:$B$165,0)),INDEX(DJ$4:DJ$8,MATCH(AL87,$DC$4:$DC$8,0))),0)</f>
        <v>0</v>
      </c>
      <c r="DL87" s="7" t="str">
        <f t="shared" si="91"/>
        <v/>
      </c>
      <c r="DM87" s="7" t="str">
        <f t="shared" si="92"/>
        <v/>
      </c>
      <c r="DN87" s="7">
        <f t="shared" si="93"/>
        <v>0</v>
      </c>
      <c r="DP87" s="7">
        <f t="shared" si="94"/>
        <v>0</v>
      </c>
      <c r="DQ87" s="7">
        <f t="shared" si="95"/>
        <v>0</v>
      </c>
      <c r="DR87" s="7">
        <f t="shared" si="96"/>
        <v>0</v>
      </c>
      <c r="DS87" s="7">
        <f t="shared" si="97"/>
        <v>0</v>
      </c>
      <c r="DT87" s="7">
        <f t="shared" si="98"/>
        <v>0</v>
      </c>
      <c r="DU87" s="7">
        <f t="shared" si="99"/>
        <v>0</v>
      </c>
      <c r="DV87" s="7">
        <f t="shared" si="100"/>
        <v>0</v>
      </c>
      <c r="DW87" s="7">
        <f>LARGE((DR87:DS87,DU87:DV87),1)</f>
        <v>0</v>
      </c>
      <c r="DX87" s="7">
        <f>IF(DA87&lt;2,0,LARGE((DR87:DS87,DU87:DV87),2))</f>
        <v>0</v>
      </c>
      <c r="DY87" s="7">
        <f t="shared" si="101"/>
        <v>0</v>
      </c>
      <c r="DZ87" s="7">
        <f t="shared" si="102"/>
        <v>0</v>
      </c>
      <c r="EA87" s="7">
        <f t="shared" si="103"/>
        <v>0</v>
      </c>
      <c r="EF87" s="7">
        <f t="shared" si="104"/>
        <v>0</v>
      </c>
      <c r="EH87" s="7">
        <f t="shared" si="108"/>
        <v>0</v>
      </c>
      <c r="EI87" s="7">
        <f>IF(EH87=0,0,COUNTIF($EH$16:EH87,"&gt;"&amp;0))</f>
        <v>0</v>
      </c>
    </row>
    <row r="88" spans="1:141" x14ac:dyDescent="0.3">
      <c r="A88" s="165">
        <v>87</v>
      </c>
      <c r="C88" s="7" t="s">
        <v>190</v>
      </c>
      <c r="D88" s="7">
        <v>1000</v>
      </c>
      <c r="E88" s="7">
        <v>0.25</v>
      </c>
      <c r="F88" s="7">
        <v>0.3</v>
      </c>
      <c r="G88" s="7">
        <v>0.125</v>
      </c>
      <c r="H88" s="7">
        <v>0.125</v>
      </c>
      <c r="O88" s="7">
        <f t="shared" si="112"/>
        <v>0</v>
      </c>
      <c r="Q88" s="7">
        <f t="shared" si="81"/>
        <v>1.25</v>
      </c>
      <c r="R88" s="7">
        <f t="shared" si="82"/>
        <v>1.5</v>
      </c>
      <c r="S88" s="7">
        <f t="shared" si="113"/>
        <v>1.25</v>
      </c>
      <c r="T88" s="7" t="str">
        <f t="shared" si="80"/>
        <v>자동</v>
      </c>
      <c r="U88" s="7">
        <f t="shared" si="83"/>
        <v>1.25</v>
      </c>
      <c r="V88" s="7">
        <f t="shared" si="114"/>
        <v>1.25</v>
      </c>
      <c r="W88" s="7">
        <f t="shared" si="115"/>
        <v>1.5</v>
      </c>
      <c r="X88" s="7">
        <f t="shared" si="116"/>
        <v>1.25</v>
      </c>
      <c r="Y88" s="7">
        <f t="shared" si="109"/>
        <v>1.25</v>
      </c>
      <c r="AA88" s="7" t="str">
        <f t="shared" si="110"/>
        <v>자동</v>
      </c>
      <c r="AB88" s="7" t="str">
        <f t="shared" si="111"/>
        <v>자동</v>
      </c>
      <c r="AC88" s="7" t="e">
        <f>INDEX('변표 테이블'!$C$86:$C$165,MATCH(O88,'변표 테이블'!$B$86:$B$165,0))</f>
        <v>#N/A</v>
      </c>
      <c r="AD88" s="7" t="e">
        <f>INDEX('변표 테이블'!$D$86:$D$165,MATCH(O88,'변표 테이블'!$B$86:$B$165,0))</f>
        <v>#N/A</v>
      </c>
      <c r="AF88" s="7">
        <v>1</v>
      </c>
      <c r="AG88" s="7">
        <v>1</v>
      </c>
      <c r="AH88" s="7">
        <v>1</v>
      </c>
      <c r="AI88" s="7">
        <v>1</v>
      </c>
      <c r="AM88" s="7">
        <v>3</v>
      </c>
      <c r="AN88" s="7">
        <v>3</v>
      </c>
      <c r="AP88" s="7">
        <f t="shared" si="105"/>
        <v>1</v>
      </c>
      <c r="AV88" s="7">
        <f>0.05*X88</f>
        <v>6.25E-2</v>
      </c>
      <c r="BE88" s="7">
        <f>LARGE(BH5:BK5,1)*AV88+LARGE(BH5:BK5,2)*AV88</f>
        <v>0</v>
      </c>
      <c r="BH88" s="121">
        <v>200</v>
      </c>
      <c r="BI88" s="7">
        <v>190</v>
      </c>
      <c r="BJ88" s="7">
        <v>180</v>
      </c>
      <c r="BK88" s="7">
        <v>170</v>
      </c>
      <c r="BL88" s="7">
        <v>160</v>
      </c>
      <c r="BM88" s="7">
        <v>150</v>
      </c>
      <c r="BN88" s="7">
        <v>140</v>
      </c>
      <c r="BO88" s="7">
        <v>130</v>
      </c>
      <c r="BP88" s="7">
        <v>120</v>
      </c>
      <c r="BQ88" s="121">
        <v>10</v>
      </c>
      <c r="BR88" s="7">
        <v>10</v>
      </c>
      <c r="BS88" s="7">
        <v>10</v>
      </c>
      <c r="BT88" s="7">
        <v>9</v>
      </c>
      <c r="BU88" s="7">
        <v>9</v>
      </c>
      <c r="BV88" s="7">
        <v>9</v>
      </c>
      <c r="BW88" s="7">
        <v>9</v>
      </c>
      <c r="BX88" s="7">
        <v>9</v>
      </c>
      <c r="BY88" s="7">
        <v>9</v>
      </c>
      <c r="CI88" s="7">
        <f t="shared" si="84"/>
        <v>200</v>
      </c>
      <c r="CJ88" s="163">
        <f t="shared" si="85"/>
        <v>100</v>
      </c>
      <c r="CK88" s="7">
        <f t="shared" si="86"/>
        <v>10</v>
      </c>
      <c r="CL88" s="7">
        <v>2</v>
      </c>
      <c r="CP88" s="7">
        <v>1</v>
      </c>
      <c r="CR88" s="7">
        <v>1</v>
      </c>
      <c r="CZ88" s="7">
        <f t="shared" si="87"/>
        <v>1</v>
      </c>
      <c r="DA88" s="7">
        <f t="shared" si="106"/>
        <v>2</v>
      </c>
      <c r="DB88" s="7">
        <f t="shared" si="88"/>
        <v>0</v>
      </c>
      <c r="DC88" s="7">
        <f t="shared" si="107"/>
        <v>0</v>
      </c>
      <c r="DE88" s="7">
        <f t="shared" si="89"/>
        <v>0</v>
      </c>
      <c r="DF88" s="7">
        <f t="shared" si="90"/>
        <v>0</v>
      </c>
      <c r="DG88" s="7">
        <f>IFERROR(IF(LEFT($AP88,1)="4",INDEX('변표 테이블'!$H$86:$H$165,MATCH($O88,'변표 테이블'!$B$86:$B$165,0)),INDEX(DG$4:DG$8,MATCH(AH88,$DC$4:$DC$8,0))),0)</f>
        <v>0</v>
      </c>
      <c r="DH88" s="7">
        <f>IFERROR(IF(LEFT($AP88,1)="4",INDEX('변표 테이블'!$I$86:$I$165,MATCH($O88,'변표 테이블'!$B$86:$B$165,0)),INDEX(DH$4:DH$8,MATCH(AI88,$DC$4:$DC$8,0))),0)</f>
        <v>0</v>
      </c>
      <c r="DJ88" s="7">
        <f>IFERROR(IF(LEFT($AP88,1)="4",INDEX('변표 테이블'!$J$86:$J$165,MATCH($O88,'변표 테이블'!$B$86:$B$165,0)),INDEX(DI$4:DI$8,MATCH(AK88,$DC$4:$DC$8,0))),0)</f>
        <v>0</v>
      </c>
      <c r="DK88" s="7">
        <f>IFERROR(IF(LEFT($AP88,1)="4",INDEX('변표 테이블'!$K$86:$K$165,MATCH($O88,'변표 테이블'!$B$86:$B$165,0)),INDEX(DJ$4:DJ$8,MATCH(AL88,$DC$4:$DC$8,0))),0)</f>
        <v>0</v>
      </c>
      <c r="DL88" s="7" t="str">
        <f t="shared" si="91"/>
        <v/>
      </c>
      <c r="DM88" s="7" t="str">
        <f t="shared" si="92"/>
        <v/>
      </c>
      <c r="DN88" s="7">
        <f t="shared" si="93"/>
        <v>0</v>
      </c>
      <c r="DP88" s="7">
        <f t="shared" si="94"/>
        <v>0</v>
      </c>
      <c r="DQ88" s="7">
        <f t="shared" si="95"/>
        <v>0</v>
      </c>
      <c r="DR88" s="7">
        <f t="shared" si="96"/>
        <v>0</v>
      </c>
      <c r="DS88" s="7">
        <f t="shared" si="97"/>
        <v>0</v>
      </c>
      <c r="DT88" s="7">
        <f t="shared" si="98"/>
        <v>0</v>
      </c>
      <c r="DU88" s="7">
        <f t="shared" si="99"/>
        <v>0</v>
      </c>
      <c r="DV88" s="7">
        <f t="shared" si="100"/>
        <v>0</v>
      </c>
      <c r="DW88" s="7">
        <f>LARGE((DR88:DS88,DU88:DV88),1)</f>
        <v>0</v>
      </c>
      <c r="DX88" s="7">
        <f>IF(DA88&lt;2,0,LARGE((DR88:DS88,DU88:DV88),2))</f>
        <v>0</v>
      </c>
      <c r="DY88" s="7">
        <f t="shared" si="101"/>
        <v>0</v>
      </c>
      <c r="DZ88" s="7">
        <f t="shared" si="102"/>
        <v>0</v>
      </c>
      <c r="EA88" s="7">
        <f t="shared" si="103"/>
        <v>0</v>
      </c>
      <c r="EF88" s="7">
        <f t="shared" si="104"/>
        <v>0</v>
      </c>
      <c r="EH88" s="7">
        <f t="shared" si="108"/>
        <v>1</v>
      </c>
      <c r="EI88" s="7">
        <f>IF(EH88=0,0,COUNTIF($EH$16:EH88,"&gt;"&amp;0))</f>
        <v>10</v>
      </c>
    </row>
    <row r="89" spans="1:141" x14ac:dyDescent="0.3">
      <c r="A89" s="165">
        <v>88</v>
      </c>
      <c r="C89" s="7" t="s">
        <v>191</v>
      </c>
      <c r="D89" s="7">
        <v>1000</v>
      </c>
      <c r="E89" s="7">
        <v>0.25</v>
      </c>
      <c r="F89" s="7">
        <v>0.3</v>
      </c>
      <c r="G89" s="7">
        <v>0.125</v>
      </c>
      <c r="H89" s="7">
        <v>0.125</v>
      </c>
      <c r="O89" s="7">
        <f t="shared" si="112"/>
        <v>0</v>
      </c>
      <c r="Q89" s="7">
        <f t="shared" si="81"/>
        <v>1.25</v>
      </c>
      <c r="R89" s="7">
        <f t="shared" si="82"/>
        <v>1.5</v>
      </c>
      <c r="S89" s="7">
        <f t="shared" si="113"/>
        <v>1.25</v>
      </c>
      <c r="T89" s="7" t="str">
        <f t="shared" si="80"/>
        <v>자동</v>
      </c>
      <c r="U89" s="7">
        <f t="shared" si="83"/>
        <v>1.25</v>
      </c>
      <c r="V89" s="7">
        <f t="shared" si="114"/>
        <v>1.25</v>
      </c>
      <c r="W89" s="7">
        <f t="shared" si="115"/>
        <v>1.5</v>
      </c>
      <c r="X89" s="7">
        <f t="shared" si="116"/>
        <v>1.25</v>
      </c>
      <c r="Y89" s="7">
        <f t="shared" si="109"/>
        <v>1.25</v>
      </c>
      <c r="AA89" s="7" t="str">
        <f t="shared" si="110"/>
        <v>자동</v>
      </c>
      <c r="AB89" s="7" t="str">
        <f t="shared" si="111"/>
        <v>자동</v>
      </c>
      <c r="AC89" s="7" t="e">
        <f>INDEX('변표 테이블'!$C$86:$C$165,MATCH(O89,'변표 테이블'!$B$86:$B$165,0))</f>
        <v>#N/A</v>
      </c>
      <c r="AD89" s="7" t="e">
        <f>INDEX('변표 테이블'!$D$86:$D$165,MATCH(O89,'변표 테이블'!$B$86:$B$165,0))</f>
        <v>#N/A</v>
      </c>
      <c r="AF89" s="7">
        <v>1</v>
      </c>
      <c r="AG89" s="7">
        <v>1</v>
      </c>
      <c r="AH89" s="7">
        <v>1</v>
      </c>
      <c r="AI89" s="7">
        <v>1</v>
      </c>
      <c r="AM89" s="7">
        <v>3</v>
      </c>
      <c r="AN89" s="7">
        <v>3</v>
      </c>
      <c r="AP89" s="7">
        <f t="shared" si="105"/>
        <v>1</v>
      </c>
      <c r="BH89" s="121">
        <v>200</v>
      </c>
      <c r="BI89" s="7">
        <v>190</v>
      </c>
      <c r="BJ89" s="7">
        <v>180</v>
      </c>
      <c r="BK89" s="7">
        <v>170</v>
      </c>
      <c r="BL89" s="7">
        <v>160</v>
      </c>
      <c r="BM89" s="7">
        <v>150</v>
      </c>
      <c r="BN89" s="7">
        <v>140</v>
      </c>
      <c r="BO89" s="7">
        <v>130</v>
      </c>
      <c r="BP89" s="7">
        <v>120</v>
      </c>
      <c r="BQ89" s="121">
        <v>10</v>
      </c>
      <c r="BR89" s="7">
        <v>10</v>
      </c>
      <c r="BS89" s="7">
        <v>10</v>
      </c>
      <c r="BT89" s="7">
        <v>9</v>
      </c>
      <c r="BU89" s="7">
        <v>9</v>
      </c>
      <c r="BV89" s="7">
        <v>9</v>
      </c>
      <c r="BW89" s="7">
        <v>9</v>
      </c>
      <c r="BX89" s="7">
        <v>9</v>
      </c>
      <c r="BY89" s="7">
        <v>9</v>
      </c>
      <c r="CI89" s="7">
        <f t="shared" si="84"/>
        <v>200</v>
      </c>
      <c r="CJ89" s="163">
        <f t="shared" si="85"/>
        <v>100</v>
      </c>
      <c r="CK89" s="7">
        <f t="shared" si="86"/>
        <v>10</v>
      </c>
      <c r="CL89" s="7">
        <v>2</v>
      </c>
      <c r="CP89" s="7">
        <v>1</v>
      </c>
      <c r="CR89" s="7">
        <v>1</v>
      </c>
      <c r="CZ89" s="7">
        <f t="shared" si="87"/>
        <v>1</v>
      </c>
      <c r="DA89" s="7">
        <f t="shared" si="106"/>
        <v>2</v>
      </c>
      <c r="DB89" s="7">
        <f t="shared" si="88"/>
        <v>0</v>
      </c>
      <c r="DC89" s="7">
        <f t="shared" si="107"/>
        <v>0</v>
      </c>
      <c r="DE89" s="7">
        <f t="shared" si="89"/>
        <v>0</v>
      </c>
      <c r="DF89" s="7">
        <f t="shared" si="90"/>
        <v>0</v>
      </c>
      <c r="DG89" s="7">
        <f>IFERROR(IF(LEFT($AP89,1)="4",INDEX('변표 테이블'!$H$86:$H$165,MATCH($O89,'변표 테이블'!$B$86:$B$165,0)),INDEX(DG$4:DG$8,MATCH(AH89,$DC$4:$DC$8,0))),0)</f>
        <v>0</v>
      </c>
      <c r="DH89" s="7">
        <f>IFERROR(IF(LEFT($AP89,1)="4",INDEX('변표 테이블'!$I$86:$I$165,MATCH($O89,'변표 테이블'!$B$86:$B$165,0)),INDEX(DH$4:DH$8,MATCH(AI89,$DC$4:$DC$8,0))),0)</f>
        <v>0</v>
      </c>
      <c r="DJ89" s="7">
        <f>IFERROR(IF(LEFT($AP89,1)="4",INDEX('변표 테이블'!$J$86:$J$165,MATCH($O89,'변표 테이블'!$B$86:$B$165,0)),INDEX(DI$4:DI$8,MATCH(AK89,$DC$4:$DC$8,0))),0)</f>
        <v>0</v>
      </c>
      <c r="DK89" s="7">
        <f>IFERROR(IF(LEFT($AP89,1)="4",INDEX('변표 테이블'!$K$86:$K$165,MATCH($O89,'변표 테이블'!$B$86:$B$165,0)),INDEX(DJ$4:DJ$8,MATCH(AL89,$DC$4:$DC$8,0))),0)</f>
        <v>0</v>
      </c>
      <c r="DL89" s="7" t="str">
        <f t="shared" si="91"/>
        <v/>
      </c>
      <c r="DM89" s="7" t="str">
        <f t="shared" si="92"/>
        <v/>
      </c>
      <c r="DN89" s="7">
        <f t="shared" si="93"/>
        <v>0</v>
      </c>
      <c r="DP89" s="7">
        <f t="shared" si="94"/>
        <v>0</v>
      </c>
      <c r="DQ89" s="7">
        <f t="shared" si="95"/>
        <v>0</v>
      </c>
      <c r="DR89" s="7">
        <f t="shared" si="96"/>
        <v>0</v>
      </c>
      <c r="DS89" s="7">
        <f t="shared" si="97"/>
        <v>0</v>
      </c>
      <c r="DT89" s="7">
        <f t="shared" si="98"/>
        <v>0</v>
      </c>
      <c r="DU89" s="7">
        <f t="shared" si="99"/>
        <v>0</v>
      </c>
      <c r="DV89" s="7">
        <f t="shared" si="100"/>
        <v>0</v>
      </c>
      <c r="DW89" s="7">
        <f>LARGE((DR89:DS89,DU89:DV89),1)</f>
        <v>0</v>
      </c>
      <c r="DX89" s="7">
        <f>IF(DA89&lt;2,0,LARGE((DR89:DS89,DU89:DV89),2))</f>
        <v>0</v>
      </c>
      <c r="DY89" s="7">
        <f t="shared" si="101"/>
        <v>0</v>
      </c>
      <c r="DZ89" s="7">
        <f t="shared" si="102"/>
        <v>0</v>
      </c>
      <c r="EA89" s="7">
        <f t="shared" si="103"/>
        <v>0</v>
      </c>
      <c r="EF89" s="7">
        <f t="shared" si="104"/>
        <v>0</v>
      </c>
      <c r="EH89" s="7">
        <f t="shared" si="108"/>
        <v>0</v>
      </c>
      <c r="EI89" s="7">
        <f>IF(EH89=0,0,COUNTIF($EH$16:EH89,"&gt;"&amp;0))</f>
        <v>0</v>
      </c>
    </row>
    <row r="90" spans="1:141" x14ac:dyDescent="0.3">
      <c r="A90" s="165">
        <v>89</v>
      </c>
      <c r="C90" s="7" t="s">
        <v>192</v>
      </c>
      <c r="D90" s="7">
        <v>1000</v>
      </c>
      <c r="E90" s="7">
        <v>0.25</v>
      </c>
      <c r="F90" s="7">
        <v>0.3</v>
      </c>
      <c r="G90" s="7">
        <v>0.125</v>
      </c>
      <c r="H90" s="7">
        <v>0.125</v>
      </c>
      <c r="J90" s="7">
        <v>0.125</v>
      </c>
      <c r="K90" s="7">
        <v>0.125</v>
      </c>
      <c r="O90" s="7">
        <f t="shared" si="112"/>
        <v>0</v>
      </c>
      <c r="Q90" s="7">
        <f t="shared" si="81"/>
        <v>1.25</v>
      </c>
      <c r="R90" s="7">
        <f t="shared" si="82"/>
        <v>1.5</v>
      </c>
      <c r="S90" s="7">
        <f t="shared" si="113"/>
        <v>1.25</v>
      </c>
      <c r="T90" s="7">
        <f t="shared" si="80"/>
        <v>1.25</v>
      </c>
      <c r="U90" s="7">
        <f t="shared" si="83"/>
        <v>1.25</v>
      </c>
      <c r="V90" s="7">
        <f t="shared" si="114"/>
        <v>1.25</v>
      </c>
      <c r="W90" s="7">
        <f t="shared" si="115"/>
        <v>1.5</v>
      </c>
      <c r="X90" s="7">
        <f t="shared" si="116"/>
        <v>1.25</v>
      </c>
      <c r="Y90" s="7">
        <f t="shared" si="109"/>
        <v>1.25</v>
      </c>
      <c r="AA90" s="7">
        <f t="shared" si="110"/>
        <v>1.25</v>
      </c>
      <c r="AB90" s="7">
        <f t="shared" si="111"/>
        <v>1.25</v>
      </c>
      <c r="AC90" s="7" t="e">
        <f>INDEX('변표 테이블'!$C$86:$C$165,MATCH(O90,'변표 테이블'!$B$86:$B$165,0))</f>
        <v>#N/A</v>
      </c>
      <c r="AD90" s="7" t="e">
        <f>INDEX('변표 테이블'!$D$86:$D$165,MATCH(O90,'변표 테이블'!$B$86:$B$165,0))</f>
        <v>#N/A</v>
      </c>
      <c r="AF90" s="7">
        <v>1</v>
      </c>
      <c r="AG90" s="7">
        <v>1</v>
      </c>
      <c r="AH90" s="7">
        <v>1</v>
      </c>
      <c r="AI90" s="7">
        <v>1</v>
      </c>
      <c r="AK90" s="7">
        <v>1</v>
      </c>
      <c r="AL90" s="7">
        <v>1</v>
      </c>
      <c r="AM90" s="7">
        <v>3</v>
      </c>
      <c r="AN90" s="7">
        <v>3</v>
      </c>
      <c r="AP90" s="7">
        <f t="shared" si="105"/>
        <v>1</v>
      </c>
      <c r="BH90" s="121">
        <v>200</v>
      </c>
      <c r="BI90" s="7">
        <v>190</v>
      </c>
      <c r="BJ90" s="7">
        <v>180</v>
      </c>
      <c r="BK90" s="7">
        <v>170</v>
      </c>
      <c r="BL90" s="7">
        <v>160</v>
      </c>
      <c r="BM90" s="7">
        <v>150</v>
      </c>
      <c r="BN90" s="7">
        <v>140</v>
      </c>
      <c r="BO90" s="7">
        <v>130</v>
      </c>
      <c r="BP90" s="7">
        <v>120</v>
      </c>
      <c r="BQ90" s="121">
        <v>10</v>
      </c>
      <c r="BR90" s="7">
        <v>10</v>
      </c>
      <c r="BS90" s="7">
        <v>10</v>
      </c>
      <c r="BT90" s="7">
        <v>9</v>
      </c>
      <c r="BU90" s="7">
        <v>9</v>
      </c>
      <c r="BV90" s="7">
        <v>9</v>
      </c>
      <c r="BW90" s="7">
        <v>9</v>
      </c>
      <c r="BX90" s="7">
        <v>9</v>
      </c>
      <c r="BY90" s="7">
        <v>9</v>
      </c>
      <c r="CI90" s="7">
        <f t="shared" si="84"/>
        <v>200</v>
      </c>
      <c r="CJ90" s="163">
        <f t="shared" si="85"/>
        <v>100</v>
      </c>
      <c r="CK90" s="7">
        <f t="shared" si="86"/>
        <v>10</v>
      </c>
      <c r="CN90" s="7">
        <v>2</v>
      </c>
      <c r="CZ90" s="7">
        <f t="shared" si="87"/>
        <v>2</v>
      </c>
      <c r="DA90" s="7">
        <f t="shared" si="106"/>
        <v>2</v>
      </c>
      <c r="DB90" s="7">
        <f t="shared" si="88"/>
        <v>0</v>
      </c>
      <c r="DC90" s="7">
        <f t="shared" si="107"/>
        <v>0</v>
      </c>
      <c r="DE90" s="7">
        <f t="shared" si="89"/>
        <v>0</v>
      </c>
      <c r="DF90" s="7">
        <f t="shared" si="90"/>
        <v>0</v>
      </c>
      <c r="DG90" s="7">
        <f>IFERROR(IF(LEFT($AP90,1)="4",INDEX('변표 테이블'!$H$86:$H$165,MATCH($O90,'변표 테이블'!$B$86:$B$165,0)),INDEX(DG$4:DG$8,MATCH(AH90,$DC$4:$DC$8,0))),0)</f>
        <v>0</v>
      </c>
      <c r="DH90" s="7">
        <f>IFERROR(IF(LEFT($AP90,1)="4",INDEX('변표 테이블'!$I$86:$I$165,MATCH($O90,'변표 테이블'!$B$86:$B$165,0)),INDEX(DH$4:DH$8,MATCH(AI90,$DC$4:$DC$8,0))),0)</f>
        <v>0</v>
      </c>
      <c r="DJ90" s="7">
        <f>IFERROR(IF(LEFT($AP90,1)="4",INDEX('변표 테이블'!$J$86:$J$165,MATCH($O90,'변표 테이블'!$B$86:$B$165,0)),INDEX(DI$4:DI$8,MATCH(AK90,$DC$4:$DC$8,0))),0)</f>
        <v>0</v>
      </c>
      <c r="DK90" s="7">
        <f>IFERROR(IF(LEFT($AP90,1)="4",INDEX('변표 테이블'!$K$86:$K$165,MATCH($O90,'변표 테이블'!$B$86:$B$165,0)),INDEX(DJ$4:DJ$8,MATCH(AL90,$DC$4:$DC$8,0))),0)</f>
        <v>0</v>
      </c>
      <c r="DL90" s="7" t="str">
        <f t="shared" si="91"/>
        <v/>
      </c>
      <c r="DM90" s="7" t="str">
        <f t="shared" si="92"/>
        <v/>
      </c>
      <c r="DN90" s="7">
        <f t="shared" si="93"/>
        <v>0</v>
      </c>
      <c r="DP90" s="7">
        <f t="shared" si="94"/>
        <v>0</v>
      </c>
      <c r="DQ90" s="7">
        <f t="shared" si="95"/>
        <v>0</v>
      </c>
      <c r="DR90" s="7">
        <f t="shared" si="96"/>
        <v>0</v>
      </c>
      <c r="DS90" s="7">
        <f t="shared" si="97"/>
        <v>0</v>
      </c>
      <c r="DT90" s="7">
        <f t="shared" si="98"/>
        <v>0</v>
      </c>
      <c r="DU90" s="7">
        <f t="shared" si="99"/>
        <v>0</v>
      </c>
      <c r="DV90" s="7">
        <f t="shared" si="100"/>
        <v>0</v>
      </c>
      <c r="DW90" s="7">
        <f>LARGE((DR90:DS90,DU90:DV90),1)</f>
        <v>0</v>
      </c>
      <c r="DX90" s="7">
        <f>IF(DA90&lt;2,0,LARGE((DR90:DS90,DU90:DV90),2))</f>
        <v>0</v>
      </c>
      <c r="DY90" s="7">
        <f t="shared" si="101"/>
        <v>0</v>
      </c>
      <c r="DZ90" s="7">
        <f t="shared" si="102"/>
        <v>0</v>
      </c>
      <c r="EA90" s="7">
        <f t="shared" si="103"/>
        <v>0</v>
      </c>
      <c r="EF90" s="7">
        <f t="shared" si="104"/>
        <v>0</v>
      </c>
      <c r="EH90" s="7">
        <f t="shared" si="108"/>
        <v>0</v>
      </c>
      <c r="EI90" s="7">
        <f>IF(EH90=0,0,COUNTIF($EH$16:EH90,"&gt;"&amp;0))</f>
        <v>0</v>
      </c>
    </row>
    <row r="91" spans="1:141" x14ac:dyDescent="0.3">
      <c r="A91" s="165">
        <v>90</v>
      </c>
      <c r="C91" s="7" t="s">
        <v>193</v>
      </c>
      <c r="D91" s="7">
        <v>1000</v>
      </c>
      <c r="E91" s="7">
        <v>0.25</v>
      </c>
      <c r="F91" s="7">
        <v>0.3</v>
      </c>
      <c r="G91" s="7">
        <v>0.1</v>
      </c>
      <c r="H91" s="7">
        <v>0.1</v>
      </c>
      <c r="O91" s="7">
        <f t="shared" si="112"/>
        <v>0</v>
      </c>
      <c r="Q91" s="7">
        <f t="shared" si="81"/>
        <v>2.5</v>
      </c>
      <c r="R91" s="7">
        <f t="shared" si="82"/>
        <v>3</v>
      </c>
      <c r="S91" s="7">
        <f t="shared" si="113"/>
        <v>1</v>
      </c>
      <c r="T91" s="7" t="str">
        <f t="shared" si="80"/>
        <v>자동</v>
      </c>
      <c r="U91" s="7">
        <f t="shared" si="83"/>
        <v>2</v>
      </c>
      <c r="V91" s="7">
        <f t="shared" si="114"/>
        <v>2.5</v>
      </c>
      <c r="W91" s="7">
        <f t="shared" si="115"/>
        <v>3</v>
      </c>
      <c r="X91" s="7">
        <f t="shared" si="116"/>
        <v>1</v>
      </c>
      <c r="Y91" s="7">
        <f t="shared" si="109"/>
        <v>1</v>
      </c>
      <c r="AA91" s="7" t="str">
        <f t="shared" si="110"/>
        <v>자동</v>
      </c>
      <c r="AB91" s="7" t="str">
        <f t="shared" si="111"/>
        <v>자동</v>
      </c>
      <c r="AC91" s="7" t="e">
        <f>INDEX('변표 테이블'!$C$86:$C$165,MATCH(O91,'변표 테이블'!$B$86:$B$165,0))</f>
        <v>#N/A</v>
      </c>
      <c r="AD91" s="7" t="e">
        <f>INDEX('변표 테이블'!$D$86:$D$165,MATCH(O91,'변표 테이블'!$B$86:$B$165,0))</f>
        <v>#N/A</v>
      </c>
      <c r="AF91" s="7">
        <v>2</v>
      </c>
      <c r="AG91" s="7">
        <v>2</v>
      </c>
      <c r="AH91" s="7">
        <v>2</v>
      </c>
      <c r="AI91" s="7">
        <v>2</v>
      </c>
      <c r="AM91" s="7">
        <v>3</v>
      </c>
      <c r="AN91" s="7">
        <v>3</v>
      </c>
      <c r="AP91" s="7">
        <f t="shared" si="105"/>
        <v>2</v>
      </c>
      <c r="BH91" s="121">
        <v>250</v>
      </c>
      <c r="BI91" s="7">
        <v>242.5</v>
      </c>
      <c r="BJ91" s="7">
        <v>227.5</v>
      </c>
      <c r="BK91" s="7">
        <v>205</v>
      </c>
      <c r="BL91" s="7">
        <v>175</v>
      </c>
      <c r="BM91" s="7">
        <v>137.5</v>
      </c>
      <c r="BN91" s="7">
        <v>100</v>
      </c>
      <c r="BO91" s="7">
        <v>50</v>
      </c>
      <c r="BP91" s="7">
        <v>0</v>
      </c>
      <c r="BQ91" s="121">
        <v>3</v>
      </c>
      <c r="BR91" s="7">
        <v>3</v>
      </c>
      <c r="BS91" s="7">
        <v>3</v>
      </c>
      <c r="BT91" s="7">
        <v>3</v>
      </c>
      <c r="BU91" s="7">
        <v>2.5</v>
      </c>
      <c r="BV91" s="7">
        <v>2</v>
      </c>
      <c r="BW91" s="7">
        <v>1.5</v>
      </c>
      <c r="BX91" s="7">
        <v>1</v>
      </c>
      <c r="BY91" s="7">
        <v>0.5</v>
      </c>
      <c r="CI91" s="7">
        <f t="shared" si="84"/>
        <v>250</v>
      </c>
      <c r="CJ91" s="163">
        <f t="shared" si="85"/>
        <v>100</v>
      </c>
      <c r="CK91" s="7">
        <f t="shared" si="86"/>
        <v>3</v>
      </c>
      <c r="CL91" s="7">
        <v>2</v>
      </c>
      <c r="CP91" s="7">
        <v>1</v>
      </c>
      <c r="CR91" s="7">
        <v>1</v>
      </c>
      <c r="CZ91" s="7">
        <f t="shared" si="87"/>
        <v>1</v>
      </c>
      <c r="DA91" s="7">
        <f t="shared" si="106"/>
        <v>2</v>
      </c>
      <c r="DB91" s="7">
        <f t="shared" si="88"/>
        <v>0</v>
      </c>
      <c r="DC91" s="7">
        <f t="shared" si="107"/>
        <v>0</v>
      </c>
      <c r="DE91" s="7">
        <f t="shared" si="89"/>
        <v>0</v>
      </c>
      <c r="DF91" s="7">
        <f t="shared" si="90"/>
        <v>0</v>
      </c>
      <c r="DG91" s="7">
        <f>IFERROR(IF(LEFT($AP91,1)="4",INDEX('변표 테이블'!$H$86:$H$165,MATCH($O91,'변표 테이블'!$B$86:$B$165,0)),INDEX(DG$4:DG$8,MATCH(AH91,$DC$4:$DC$8,0))),0)</f>
        <v>0</v>
      </c>
      <c r="DH91" s="7">
        <f>IFERROR(IF(LEFT($AP91,1)="4",INDEX('변표 테이블'!$I$86:$I$165,MATCH($O91,'변표 테이블'!$B$86:$B$165,0)),INDEX(DH$4:DH$8,MATCH(AI91,$DC$4:$DC$8,0))),0)</f>
        <v>0</v>
      </c>
      <c r="DJ91" s="7">
        <f>IFERROR(IF(LEFT($AP91,1)="4",INDEX('변표 테이블'!$J$86:$J$165,MATCH($O91,'변표 테이블'!$B$86:$B$165,0)),INDEX(DI$4:DI$8,MATCH(AK91,$DC$4:$DC$8,0))),0)</f>
        <v>0</v>
      </c>
      <c r="DK91" s="7">
        <f>IFERROR(IF(LEFT($AP91,1)="4",INDEX('변표 테이블'!$K$86:$K$165,MATCH($O91,'변표 테이블'!$B$86:$B$165,0)),INDEX(DJ$4:DJ$8,MATCH(AL91,$DC$4:$DC$8,0))),0)</f>
        <v>0</v>
      </c>
      <c r="DL91" s="7" t="str">
        <f t="shared" si="91"/>
        <v/>
      </c>
      <c r="DM91" s="7" t="str">
        <f t="shared" si="92"/>
        <v/>
      </c>
      <c r="DN91" s="7">
        <f t="shared" si="93"/>
        <v>0</v>
      </c>
      <c r="DP91" s="7">
        <f t="shared" si="94"/>
        <v>0</v>
      </c>
      <c r="DQ91" s="7">
        <f t="shared" si="95"/>
        <v>0</v>
      </c>
      <c r="DR91" s="7">
        <f t="shared" si="96"/>
        <v>0</v>
      </c>
      <c r="DS91" s="7">
        <f t="shared" si="97"/>
        <v>0</v>
      </c>
      <c r="DT91" s="7">
        <f t="shared" si="98"/>
        <v>0</v>
      </c>
      <c r="DU91" s="7">
        <f t="shared" si="99"/>
        <v>0</v>
      </c>
      <c r="DV91" s="7">
        <f t="shared" si="100"/>
        <v>0</v>
      </c>
      <c r="DW91" s="7">
        <f>LARGE((DR91:DS91,DU91:DV91),1)</f>
        <v>0</v>
      </c>
      <c r="DX91" s="7">
        <f>IF(DA91&lt;2,0,LARGE((DR91:DS91,DU91:DV91),2))</f>
        <v>0</v>
      </c>
      <c r="DY91" s="7">
        <f t="shared" si="101"/>
        <v>0</v>
      </c>
      <c r="DZ91" s="7">
        <f t="shared" si="102"/>
        <v>0</v>
      </c>
      <c r="EA91" s="7">
        <f t="shared" si="103"/>
        <v>0</v>
      </c>
      <c r="EF91" s="7">
        <f t="shared" si="104"/>
        <v>0</v>
      </c>
      <c r="EH91" s="7">
        <f t="shared" si="108"/>
        <v>0</v>
      </c>
      <c r="EI91" s="7">
        <f>IF(EH91=0,0,COUNTIF($EH$16:EH91,"&gt;"&amp;0))</f>
        <v>0</v>
      </c>
    </row>
    <row r="92" spans="1:141" x14ac:dyDescent="0.3">
      <c r="A92" s="165">
        <v>91</v>
      </c>
      <c r="C92" s="7" t="s">
        <v>194</v>
      </c>
      <c r="D92" s="7">
        <v>1000</v>
      </c>
      <c r="E92" s="7">
        <v>0.25</v>
      </c>
      <c r="F92" s="7">
        <v>0.25</v>
      </c>
      <c r="G92" s="7">
        <v>0.1</v>
      </c>
      <c r="J92" s="7">
        <v>0.1</v>
      </c>
      <c r="O92" s="7">
        <f t="shared" si="112"/>
        <v>0</v>
      </c>
      <c r="Q92" s="7">
        <f t="shared" si="81"/>
        <v>2.5</v>
      </c>
      <c r="R92" s="7">
        <f t="shared" si="82"/>
        <v>2.5</v>
      </c>
      <c r="S92" s="7">
        <f t="shared" si="113"/>
        <v>1</v>
      </c>
      <c r="T92" s="7">
        <f t="shared" si="80"/>
        <v>1</v>
      </c>
      <c r="U92" s="7">
        <f t="shared" si="83"/>
        <v>1</v>
      </c>
      <c r="V92" s="7">
        <f t="shared" si="114"/>
        <v>2.5</v>
      </c>
      <c r="W92" s="7">
        <f t="shared" si="115"/>
        <v>2.5</v>
      </c>
      <c r="X92" s="7">
        <f t="shared" si="116"/>
        <v>1</v>
      </c>
      <c r="Y92" s="7">
        <f t="shared" si="109"/>
        <v>0</v>
      </c>
      <c r="AA92" s="7">
        <f t="shared" si="110"/>
        <v>1</v>
      </c>
      <c r="AB92" s="7">
        <f t="shared" si="111"/>
        <v>0</v>
      </c>
      <c r="AC92" s="7" t="e">
        <f>INDEX('변표 테이블'!$C$86:$C$165,MATCH(O92,'변표 테이블'!$B$86:$B$165,0))</f>
        <v>#N/A</v>
      </c>
      <c r="AD92" s="7" t="e">
        <f>INDEX('변표 테이블'!$D$86:$D$165,MATCH(O92,'변표 테이블'!$B$86:$B$165,0))</f>
        <v>#N/A</v>
      </c>
      <c r="AF92" s="7">
        <v>2</v>
      </c>
      <c r="AG92" s="7">
        <v>2</v>
      </c>
      <c r="AH92" s="7">
        <v>2</v>
      </c>
      <c r="AI92" s="7">
        <v>2</v>
      </c>
      <c r="AK92" s="7">
        <v>2</v>
      </c>
      <c r="AL92" s="7">
        <v>2</v>
      </c>
      <c r="AM92" s="7">
        <v>3</v>
      </c>
      <c r="AN92" s="7">
        <v>3</v>
      </c>
      <c r="AP92" s="7">
        <f t="shared" si="105"/>
        <v>2</v>
      </c>
      <c r="AR92" s="7">
        <f>0.05*$W$92</f>
        <v>0.125</v>
      </c>
      <c r="AS92" s="7">
        <f>0.05*$W$92</f>
        <v>0.125</v>
      </c>
      <c r="BA92" s="7">
        <f>BA6*AR92</f>
        <v>0</v>
      </c>
      <c r="BB92" s="7">
        <f>BB6*AS92</f>
        <v>0</v>
      </c>
      <c r="BH92" s="121">
        <v>200</v>
      </c>
      <c r="BI92" s="7">
        <v>180</v>
      </c>
      <c r="BJ92" s="7">
        <v>160</v>
      </c>
      <c r="BK92" s="7">
        <v>140</v>
      </c>
      <c r="BL92" s="7">
        <v>120</v>
      </c>
      <c r="BM92" s="7">
        <v>100</v>
      </c>
      <c r="BN92" s="7">
        <v>80</v>
      </c>
      <c r="BO92" s="7">
        <v>60</v>
      </c>
      <c r="BP92" s="7">
        <v>40</v>
      </c>
      <c r="BQ92" s="121">
        <v>100</v>
      </c>
      <c r="BR92" s="7">
        <v>90</v>
      </c>
      <c r="BS92" s="7">
        <v>80</v>
      </c>
      <c r="BT92" s="7">
        <v>70</v>
      </c>
      <c r="BU92" s="7">
        <v>60</v>
      </c>
      <c r="BV92" s="7">
        <v>50</v>
      </c>
      <c r="BW92" s="7">
        <v>40</v>
      </c>
      <c r="BX92" s="7">
        <v>30</v>
      </c>
      <c r="BY92" s="7">
        <v>20</v>
      </c>
      <c r="CI92" s="7">
        <f t="shared" si="84"/>
        <v>200</v>
      </c>
      <c r="CJ92" s="163">
        <f t="shared" si="85"/>
        <v>100</v>
      </c>
      <c r="CK92" s="7">
        <f t="shared" si="86"/>
        <v>100</v>
      </c>
      <c r="CN92" s="7">
        <v>1</v>
      </c>
      <c r="CY92" s="7">
        <v>1</v>
      </c>
      <c r="CZ92" s="7">
        <f t="shared" si="87"/>
        <v>1</v>
      </c>
      <c r="DA92" s="7">
        <f t="shared" si="106"/>
        <v>1</v>
      </c>
      <c r="DB92" s="7">
        <f t="shared" si="88"/>
        <v>0</v>
      </c>
      <c r="DC92" s="7">
        <f t="shared" si="107"/>
        <v>0</v>
      </c>
      <c r="DE92" s="7">
        <f t="shared" si="89"/>
        <v>0</v>
      </c>
      <c r="DF92" s="7">
        <f t="shared" si="90"/>
        <v>0</v>
      </c>
      <c r="DG92" s="7">
        <f>IFERROR(IF(LEFT($AP92,1)="4",INDEX('변표 테이블'!$H$86:$H$165,MATCH($O92,'변표 테이블'!$B$86:$B$165,0)),INDEX(DG$4:DG$8,MATCH(AH92,$DC$4:$DC$8,0))),0)</f>
        <v>0</v>
      </c>
      <c r="DH92" s="7">
        <f>IFERROR(IF(LEFT($AP92,1)="4",INDEX('변표 테이블'!$I$86:$I$165,MATCH($O92,'변표 테이블'!$B$86:$B$165,0)),INDEX(DH$4:DH$8,MATCH(AI92,$DC$4:$DC$8,0))),0)</f>
        <v>0</v>
      </c>
      <c r="DJ92" s="7">
        <f>IFERROR(IF(LEFT($AP92,1)="4",INDEX('변표 테이블'!$J$86:$J$165,MATCH($O92,'변표 테이블'!$B$86:$B$165,0)),INDEX(DI$4:DI$8,MATCH(AK92,$DC$4:$DC$8,0))),0)</f>
        <v>0</v>
      </c>
      <c r="DK92" s="7">
        <f>IFERROR(IF(LEFT($AP92,1)="4",INDEX('변표 테이블'!$K$86:$K$165,MATCH($O92,'변표 테이블'!$B$86:$B$165,0)),INDEX(DJ$4:DJ$8,MATCH(AL92,$DC$4:$DC$8,0))),0)</f>
        <v>0</v>
      </c>
      <c r="DL92" s="7" t="str">
        <f t="shared" si="91"/>
        <v/>
      </c>
      <c r="DM92" s="7" t="str">
        <f t="shared" si="92"/>
        <v/>
      </c>
      <c r="DN92" s="7">
        <f t="shared" si="93"/>
        <v>0</v>
      </c>
      <c r="DP92" s="7">
        <f t="shared" si="94"/>
        <v>0</v>
      </c>
      <c r="DQ92" s="7">
        <f t="shared" si="95"/>
        <v>0</v>
      </c>
      <c r="DR92" s="7">
        <f t="shared" si="96"/>
        <v>0</v>
      </c>
      <c r="DS92" s="7">
        <f t="shared" si="97"/>
        <v>0</v>
      </c>
      <c r="DT92" s="7">
        <f t="shared" si="98"/>
        <v>0</v>
      </c>
      <c r="DU92" s="7">
        <f t="shared" si="99"/>
        <v>0</v>
      </c>
      <c r="DV92" s="7">
        <f t="shared" si="100"/>
        <v>0</v>
      </c>
      <c r="DW92" s="7">
        <f>LARGE((DR92:DS92,DU92:DV92),1)</f>
        <v>0</v>
      </c>
      <c r="DX92" s="7">
        <f>IF(DA92&lt;2,0,LARGE((DR92:DS92,DU92:DV92),2))</f>
        <v>0</v>
      </c>
      <c r="DY92" s="7">
        <f t="shared" si="101"/>
        <v>0</v>
      </c>
      <c r="DZ92" s="7">
        <f t="shared" si="102"/>
        <v>0</v>
      </c>
      <c r="EA92" s="7">
        <f t="shared" si="103"/>
        <v>0</v>
      </c>
      <c r="EF92" s="7">
        <f t="shared" si="104"/>
        <v>0</v>
      </c>
      <c r="EH92" s="7">
        <f t="shared" si="108"/>
        <v>1</v>
      </c>
      <c r="EI92" s="7">
        <f>IF(EH92=0,0,COUNTIF($EH$16:EH92,"&gt;"&amp;0))</f>
        <v>11</v>
      </c>
    </row>
    <row r="93" spans="1:141" x14ac:dyDescent="0.3">
      <c r="A93" s="165">
        <v>92</v>
      </c>
      <c r="C93" s="7" t="s">
        <v>195</v>
      </c>
      <c r="D93" s="7">
        <v>800</v>
      </c>
      <c r="E93" s="7">
        <v>0.25</v>
      </c>
      <c r="F93" s="7">
        <v>0.25</v>
      </c>
      <c r="G93" s="7">
        <v>0.125</v>
      </c>
      <c r="H93" s="7">
        <v>0.125</v>
      </c>
      <c r="O93" s="7">
        <f t="shared" si="112"/>
        <v>0</v>
      </c>
      <c r="Q93" s="7">
        <f t="shared" si="81"/>
        <v>1</v>
      </c>
      <c r="R93" s="7">
        <f t="shared" si="82"/>
        <v>1</v>
      </c>
      <c r="S93" s="7">
        <f t="shared" si="113"/>
        <v>1</v>
      </c>
      <c r="T93" s="7" t="str">
        <f t="shared" si="80"/>
        <v>자동</v>
      </c>
      <c r="U93" s="7">
        <f t="shared" si="83"/>
        <v>1</v>
      </c>
      <c r="V93" s="7">
        <f t="shared" si="114"/>
        <v>1</v>
      </c>
      <c r="W93" s="7">
        <f t="shared" si="115"/>
        <v>1</v>
      </c>
      <c r="X93" s="7">
        <f t="shared" si="116"/>
        <v>1</v>
      </c>
      <c r="Y93" s="7">
        <f t="shared" si="109"/>
        <v>1</v>
      </c>
      <c r="AA93" s="7" t="str">
        <f t="shared" si="110"/>
        <v>자동</v>
      </c>
      <c r="AB93" s="7" t="str">
        <f t="shared" si="111"/>
        <v>자동</v>
      </c>
      <c r="AC93" s="7" t="e">
        <f>INDEX('변표 테이블'!$C$86:$C$165,MATCH(O93,'변표 테이블'!$B$86:$B$165,0))</f>
        <v>#N/A</v>
      </c>
      <c r="AD93" s="7" t="e">
        <f>INDEX('변표 테이블'!$D$86:$D$165,MATCH(O93,'변표 테이블'!$B$86:$B$165,0))</f>
        <v>#N/A</v>
      </c>
      <c r="AF93" s="7">
        <v>1</v>
      </c>
      <c r="AG93" s="7">
        <v>1</v>
      </c>
      <c r="AH93" s="7">
        <v>1</v>
      </c>
      <c r="AI93" s="7">
        <v>1</v>
      </c>
      <c r="AM93" s="7">
        <v>3</v>
      </c>
      <c r="AN93" s="7">
        <v>3</v>
      </c>
      <c r="AP93" s="7">
        <f t="shared" si="105"/>
        <v>1</v>
      </c>
      <c r="BH93" s="121">
        <v>200</v>
      </c>
      <c r="BI93" s="7">
        <v>198</v>
      </c>
      <c r="BJ93" s="7">
        <v>195</v>
      </c>
      <c r="BK93" s="7">
        <v>192</v>
      </c>
      <c r="BL93" s="7">
        <v>187</v>
      </c>
      <c r="BM93" s="7">
        <v>182</v>
      </c>
      <c r="BN93" s="7">
        <v>172</v>
      </c>
      <c r="BO93" s="7">
        <v>162</v>
      </c>
      <c r="BP93" s="7">
        <v>152</v>
      </c>
      <c r="BQ93" s="121">
        <v>1</v>
      </c>
      <c r="BR93" s="7">
        <v>1</v>
      </c>
      <c r="BS93" s="7">
        <v>1</v>
      </c>
      <c r="BT93" s="7">
        <v>1</v>
      </c>
      <c r="BU93" s="7">
        <v>1</v>
      </c>
      <c r="BV93" s="7">
        <v>0.9</v>
      </c>
      <c r="BW93" s="7">
        <v>0.8</v>
      </c>
      <c r="BX93" s="7">
        <v>0.7</v>
      </c>
      <c r="BY93" s="7">
        <v>0.6</v>
      </c>
      <c r="CI93" s="7">
        <f t="shared" si="84"/>
        <v>200</v>
      </c>
      <c r="CJ93" s="163">
        <f t="shared" si="85"/>
        <v>100</v>
      </c>
      <c r="CK93" s="7">
        <f t="shared" si="86"/>
        <v>1</v>
      </c>
      <c r="CL93" s="7">
        <v>2</v>
      </c>
      <c r="CP93" s="7">
        <v>1</v>
      </c>
      <c r="CR93" s="7">
        <v>1</v>
      </c>
      <c r="CZ93" s="7">
        <f t="shared" si="87"/>
        <v>1</v>
      </c>
      <c r="DA93" s="7">
        <f t="shared" si="106"/>
        <v>2</v>
      </c>
      <c r="DB93" s="7">
        <f t="shared" si="88"/>
        <v>0</v>
      </c>
      <c r="DC93" s="7">
        <f t="shared" si="107"/>
        <v>0</v>
      </c>
      <c r="DE93" s="7">
        <f t="shared" si="89"/>
        <v>0</v>
      </c>
      <c r="DF93" s="7">
        <f t="shared" si="90"/>
        <v>0</v>
      </c>
      <c r="DG93" s="7">
        <f>IFERROR(IF(LEFT($AP93,1)="4",INDEX('변표 테이블'!$H$86:$H$165,MATCH($O93,'변표 테이블'!$B$86:$B$165,0)),INDEX(DG$4:DG$8,MATCH(AH93,$DC$4:$DC$8,0))),0)</f>
        <v>0</v>
      </c>
      <c r="DH93" s="7">
        <f>IFERROR(IF(LEFT($AP93,1)="4",INDEX('변표 테이블'!$I$86:$I$165,MATCH($O93,'변표 테이블'!$B$86:$B$165,0)),INDEX(DH$4:DH$8,MATCH(AI93,$DC$4:$DC$8,0))),0)</f>
        <v>0</v>
      </c>
      <c r="DJ93" s="7">
        <f>IFERROR(IF(LEFT($AP93,1)="4",INDEX('변표 테이블'!$J$86:$J$165,MATCH($O93,'변표 테이블'!$B$86:$B$165,0)),INDEX(DI$4:DI$8,MATCH(AK93,$DC$4:$DC$8,0))),0)</f>
        <v>0</v>
      </c>
      <c r="DK93" s="7">
        <f>IFERROR(IF(LEFT($AP93,1)="4",INDEX('변표 테이블'!$K$86:$K$165,MATCH($O93,'변표 테이블'!$B$86:$B$165,0)),INDEX(DJ$4:DJ$8,MATCH(AL93,$DC$4:$DC$8,0))),0)</f>
        <v>0</v>
      </c>
      <c r="DL93" s="7" t="str">
        <f t="shared" si="91"/>
        <v/>
      </c>
      <c r="DM93" s="7" t="str">
        <f t="shared" si="92"/>
        <v/>
      </c>
      <c r="DN93" s="7">
        <f t="shared" si="93"/>
        <v>0</v>
      </c>
      <c r="DP93" s="7">
        <f t="shared" si="94"/>
        <v>0</v>
      </c>
      <c r="DQ93" s="7">
        <f t="shared" si="95"/>
        <v>0</v>
      </c>
      <c r="DR93" s="7">
        <f t="shared" si="96"/>
        <v>0</v>
      </c>
      <c r="DS93" s="7">
        <f t="shared" si="97"/>
        <v>0</v>
      </c>
      <c r="DT93" s="7">
        <f t="shared" si="98"/>
        <v>0</v>
      </c>
      <c r="DU93" s="7">
        <f t="shared" si="99"/>
        <v>0</v>
      </c>
      <c r="DV93" s="7">
        <f t="shared" si="100"/>
        <v>0</v>
      </c>
      <c r="DW93" s="7">
        <f>LARGE((DR93:DS93,DU93:DV93),1)</f>
        <v>0</v>
      </c>
      <c r="DX93" s="7">
        <f>IF(DA93&lt;2,0,LARGE((DR93:DS93,DU93:DV93),2))</f>
        <v>0</v>
      </c>
      <c r="DY93" s="7">
        <f t="shared" si="101"/>
        <v>0</v>
      </c>
      <c r="DZ93" s="7">
        <f t="shared" si="102"/>
        <v>0</v>
      </c>
      <c r="EA93" s="7">
        <f t="shared" si="103"/>
        <v>0</v>
      </c>
      <c r="EF93" s="7">
        <f t="shared" si="104"/>
        <v>0</v>
      </c>
      <c r="EH93" s="7">
        <f t="shared" si="108"/>
        <v>0</v>
      </c>
      <c r="EI93" s="7">
        <f>IF(EH93=0,0,COUNTIF($EH$16:EH93,"&gt;"&amp;0))</f>
        <v>0</v>
      </c>
    </row>
    <row r="94" spans="1:141" x14ac:dyDescent="0.3">
      <c r="A94" s="165">
        <v>93</v>
      </c>
      <c r="C94" s="7" t="s">
        <v>196</v>
      </c>
      <c r="D94" s="7">
        <v>800</v>
      </c>
      <c r="E94" s="7">
        <v>0.25</v>
      </c>
      <c r="F94" s="7">
        <v>0.25</v>
      </c>
      <c r="G94" s="7">
        <v>0.125</v>
      </c>
      <c r="H94" s="7">
        <v>0.125</v>
      </c>
      <c r="J94" s="7">
        <v>0.125</v>
      </c>
      <c r="K94" s="7">
        <v>0.125</v>
      </c>
      <c r="M94" s="7">
        <v>1</v>
      </c>
      <c r="O94" s="7">
        <f t="shared" si="112"/>
        <v>1</v>
      </c>
      <c r="Q94" s="7">
        <f t="shared" si="81"/>
        <v>1</v>
      </c>
      <c r="R94" s="7">
        <f t="shared" si="82"/>
        <v>1</v>
      </c>
      <c r="S94" s="7">
        <f t="shared" si="113"/>
        <v>1</v>
      </c>
      <c r="T94" s="7">
        <f t="shared" si="80"/>
        <v>1</v>
      </c>
      <c r="U94" s="7">
        <f t="shared" si="83"/>
        <v>1</v>
      </c>
      <c r="V94" s="7">
        <f t="shared" si="114"/>
        <v>1</v>
      </c>
      <c r="W94" s="7">
        <f t="shared" si="115"/>
        <v>1</v>
      </c>
      <c r="X94" s="7">
        <f t="shared" si="116"/>
        <v>1</v>
      </c>
      <c r="Y94" s="7">
        <f t="shared" si="109"/>
        <v>1</v>
      </c>
      <c r="AA94" s="7">
        <f t="shared" si="110"/>
        <v>1</v>
      </c>
      <c r="AB94" s="7">
        <f t="shared" si="111"/>
        <v>1</v>
      </c>
      <c r="AC94" s="7">
        <f>INDEX('변표 테이블'!$C$86:$C$165,MATCH(O94,'변표 테이블'!$B$86:$B$165,0))</f>
        <v>71.13</v>
      </c>
      <c r="AD94" s="7">
        <f>INDEX('변표 테이블'!$D$86:$D$165,MATCH(O94,'변표 테이블'!$B$86:$B$165,0))</f>
        <v>66</v>
      </c>
      <c r="AF94" s="7">
        <v>1</v>
      </c>
      <c r="AG94" s="7">
        <v>1</v>
      </c>
      <c r="AH94" s="7">
        <v>4</v>
      </c>
      <c r="AI94" s="7">
        <v>4</v>
      </c>
      <c r="AK94" s="7">
        <v>4</v>
      </c>
      <c r="AL94" s="7">
        <v>4</v>
      </c>
      <c r="AM94" s="7">
        <v>3</v>
      </c>
      <c r="AN94" s="7">
        <v>3</v>
      </c>
      <c r="AP94" s="7">
        <f t="shared" si="105"/>
        <v>4</v>
      </c>
      <c r="BH94" s="121">
        <v>139</v>
      </c>
      <c r="BI94" s="7">
        <v>131</v>
      </c>
      <c r="BJ94" s="7">
        <v>123</v>
      </c>
      <c r="BK94" s="7">
        <v>115</v>
      </c>
      <c r="BL94" s="7">
        <v>107</v>
      </c>
      <c r="BM94" s="7">
        <v>99</v>
      </c>
      <c r="BN94" s="7">
        <v>91</v>
      </c>
      <c r="BO94" s="7">
        <v>83</v>
      </c>
      <c r="BP94" s="7">
        <v>75</v>
      </c>
      <c r="CI94" s="7">
        <f t="shared" si="84"/>
        <v>139</v>
      </c>
      <c r="CJ94" s="163">
        <f t="shared" si="85"/>
        <v>100</v>
      </c>
      <c r="CK94" s="7">
        <f t="shared" si="86"/>
        <v>0</v>
      </c>
      <c r="CN94" s="7">
        <v>2</v>
      </c>
      <c r="CP94" s="7">
        <v>1</v>
      </c>
      <c r="CY94" s="7">
        <v>1</v>
      </c>
      <c r="CZ94" s="7">
        <f t="shared" si="87"/>
        <v>1</v>
      </c>
      <c r="DA94" s="7">
        <f t="shared" si="106"/>
        <v>2</v>
      </c>
      <c r="DB94" s="7">
        <f t="shared" si="88"/>
        <v>0</v>
      </c>
      <c r="DC94" s="7">
        <f t="shared" si="107"/>
        <v>0</v>
      </c>
      <c r="DE94" s="7">
        <f t="shared" si="89"/>
        <v>0</v>
      </c>
      <c r="DF94" s="7">
        <f t="shared" si="90"/>
        <v>0</v>
      </c>
      <c r="DG94" s="7">
        <f>IFERROR(IF(LEFT($AP94,1)="4",INDEX('변표 테이블'!$H$86:$H$165,MATCH($O94,'변표 테이블'!$B$86:$B$165,0)),INDEX(DG$4:DG$8,MATCH(AH94,$DC$4:$DC$8,0))),0)</f>
        <v>0</v>
      </c>
      <c r="DH94" s="7">
        <f>IFERROR(IF(LEFT($AP94,1)="4",INDEX('변표 테이블'!$I$86:$I$165,MATCH($O94,'변표 테이블'!$B$86:$B$165,0)),INDEX(DH$4:DH$8,MATCH(AI94,$DC$4:$DC$8,0))),0)</f>
        <v>0</v>
      </c>
      <c r="DJ94" s="7">
        <f>IFERROR(IF(LEFT($AP94,1)="4",INDEX('변표 테이블'!$J$86:$J$165,MATCH($O94,'변표 테이블'!$B$86:$B$165,0)),INDEX(DI$4:DI$8,MATCH(AK94,$DC$4:$DC$8,0))),0)</f>
        <v>0</v>
      </c>
      <c r="DK94" s="7">
        <f>IFERROR(IF(LEFT($AP94,1)="4",INDEX('변표 테이블'!$K$86:$K$165,MATCH($O94,'변표 테이블'!$B$86:$B$165,0)),INDEX(DJ$4:DJ$8,MATCH(AL94,$DC$4:$DC$8,0))),0)</f>
        <v>0</v>
      </c>
      <c r="DL94" s="7" t="str">
        <f t="shared" si="91"/>
        <v/>
      </c>
      <c r="DM94" s="7" t="str">
        <f t="shared" si="92"/>
        <v/>
      </c>
      <c r="DN94" s="7">
        <f t="shared" si="93"/>
        <v>0</v>
      </c>
      <c r="DP94" s="7">
        <f t="shared" si="94"/>
        <v>0</v>
      </c>
      <c r="DQ94" s="7">
        <f t="shared" si="95"/>
        <v>0</v>
      </c>
      <c r="DR94" s="7">
        <f t="shared" si="96"/>
        <v>0</v>
      </c>
      <c r="DS94" s="7">
        <f t="shared" si="97"/>
        <v>0</v>
      </c>
      <c r="DT94" s="7">
        <f t="shared" si="98"/>
        <v>0</v>
      </c>
      <c r="DU94" s="7">
        <f t="shared" si="99"/>
        <v>0</v>
      </c>
      <c r="DV94" s="7">
        <f t="shared" si="100"/>
        <v>0</v>
      </c>
      <c r="DW94" s="7">
        <f>LARGE((DR94:DS94,DU94:DV94),1)</f>
        <v>0</v>
      </c>
      <c r="DX94" s="7">
        <f>IF(DA94&lt;2,0,LARGE((DR94:DS94,DU94:DV94),2))</f>
        <v>0</v>
      </c>
      <c r="DY94" s="7">
        <f t="shared" si="101"/>
        <v>0</v>
      </c>
      <c r="DZ94" s="7">
        <f t="shared" si="102"/>
        <v>0</v>
      </c>
      <c r="EA94" s="7">
        <f t="shared" si="103"/>
        <v>0</v>
      </c>
      <c r="EF94" s="7">
        <f t="shared" si="104"/>
        <v>0</v>
      </c>
      <c r="EH94" s="7">
        <f t="shared" si="108"/>
        <v>0</v>
      </c>
      <c r="EI94" s="7">
        <f>IF(EH94=0,0,COUNTIF($EH$16:EH94,"&gt;"&amp;0))</f>
        <v>0</v>
      </c>
    </row>
    <row r="95" spans="1:141" x14ac:dyDescent="0.3">
      <c r="A95" s="165">
        <v>94</v>
      </c>
      <c r="C95" s="7" t="s">
        <v>197</v>
      </c>
      <c r="D95" s="7">
        <v>800</v>
      </c>
      <c r="E95" s="7">
        <v>0.25</v>
      </c>
      <c r="F95" s="7">
        <v>0.25</v>
      </c>
      <c r="G95" s="7">
        <v>0.125</v>
      </c>
      <c r="H95" s="7">
        <v>0.125</v>
      </c>
      <c r="J95" s="7">
        <v>0.125</v>
      </c>
      <c r="K95" s="7">
        <v>0.125</v>
      </c>
      <c r="M95" s="7">
        <v>1</v>
      </c>
      <c r="O95" s="7">
        <f t="shared" si="112"/>
        <v>1</v>
      </c>
      <c r="Q95" s="7">
        <f t="shared" si="81"/>
        <v>1</v>
      </c>
      <c r="R95" s="7">
        <f t="shared" si="82"/>
        <v>1</v>
      </c>
      <c r="S95" s="7">
        <f t="shared" si="113"/>
        <v>1</v>
      </c>
      <c r="T95" s="7">
        <f t="shared" si="80"/>
        <v>1</v>
      </c>
      <c r="U95" s="7">
        <f t="shared" si="83"/>
        <v>1</v>
      </c>
      <c r="V95" s="7">
        <f t="shared" si="114"/>
        <v>1</v>
      </c>
      <c r="W95" s="7">
        <f t="shared" si="115"/>
        <v>1</v>
      </c>
      <c r="X95" s="7">
        <f t="shared" si="116"/>
        <v>1</v>
      </c>
      <c r="Y95" s="7">
        <f t="shared" si="109"/>
        <v>1</v>
      </c>
      <c r="AA95" s="7">
        <f t="shared" si="110"/>
        <v>1</v>
      </c>
      <c r="AB95" s="7">
        <f t="shared" si="111"/>
        <v>1</v>
      </c>
      <c r="AC95" s="7">
        <f>INDEX('변표 테이블'!$C$86:$C$165,MATCH(O95,'변표 테이블'!$B$86:$B$165,0))</f>
        <v>71.13</v>
      </c>
      <c r="AD95" s="7">
        <f>INDEX('변표 테이블'!$D$86:$D$165,MATCH(O95,'변표 테이블'!$B$86:$B$165,0))</f>
        <v>66</v>
      </c>
      <c r="AF95" s="7">
        <v>1</v>
      </c>
      <c r="AG95" s="7">
        <v>1</v>
      </c>
      <c r="AH95" s="7">
        <v>4</v>
      </c>
      <c r="AI95" s="7">
        <v>4</v>
      </c>
      <c r="AK95" s="7">
        <v>4</v>
      </c>
      <c r="AL95" s="7">
        <v>4</v>
      </c>
      <c r="AM95" s="7">
        <v>3</v>
      </c>
      <c r="AN95" s="7">
        <v>3</v>
      </c>
      <c r="AP95" s="7">
        <f t="shared" si="105"/>
        <v>4</v>
      </c>
      <c r="BH95" s="121">
        <v>139</v>
      </c>
      <c r="BI95" s="7">
        <v>131</v>
      </c>
      <c r="BJ95" s="7">
        <v>123</v>
      </c>
      <c r="BK95" s="7">
        <v>115</v>
      </c>
      <c r="BL95" s="7">
        <v>107</v>
      </c>
      <c r="BM95" s="7">
        <v>99</v>
      </c>
      <c r="BN95" s="7">
        <v>91</v>
      </c>
      <c r="BO95" s="7">
        <v>83</v>
      </c>
      <c r="BP95" s="7">
        <v>75</v>
      </c>
      <c r="CI95" s="7">
        <f t="shared" si="84"/>
        <v>139</v>
      </c>
      <c r="CJ95" s="163">
        <f t="shared" si="85"/>
        <v>100</v>
      </c>
      <c r="CK95" s="7">
        <f t="shared" si="86"/>
        <v>0</v>
      </c>
      <c r="CN95" s="7">
        <v>2</v>
      </c>
      <c r="CQ95" s="7">
        <v>1</v>
      </c>
      <c r="CZ95" s="7">
        <f t="shared" si="87"/>
        <v>2</v>
      </c>
      <c r="DA95" s="7">
        <f t="shared" si="106"/>
        <v>2</v>
      </c>
      <c r="DB95" s="7">
        <f t="shared" si="88"/>
        <v>0</v>
      </c>
      <c r="DC95" s="7">
        <f t="shared" si="107"/>
        <v>0</v>
      </c>
      <c r="DE95" s="7">
        <f t="shared" si="89"/>
        <v>0</v>
      </c>
      <c r="DF95" s="7">
        <f t="shared" si="90"/>
        <v>0</v>
      </c>
      <c r="DG95" s="7">
        <f>IFERROR(IF(LEFT($AP95,1)="4",INDEX('변표 테이블'!$H$86:$H$165,MATCH($O95,'변표 테이블'!$B$86:$B$165,0)),INDEX(DG$4:DG$8,MATCH(AH95,$DC$4:$DC$8,0))),0)</f>
        <v>0</v>
      </c>
      <c r="DH95" s="7">
        <f>IFERROR(IF(LEFT($AP95,1)="4",INDEX('변표 테이블'!$I$86:$I$165,MATCH($O95,'변표 테이블'!$B$86:$B$165,0)),INDEX(DH$4:DH$8,MATCH(AI95,$DC$4:$DC$8,0))),0)</f>
        <v>0</v>
      </c>
      <c r="DJ95" s="7">
        <f>IFERROR(IF(LEFT($AP95,1)="4",INDEX('변표 테이블'!$J$86:$J$165,MATCH($O95,'변표 테이블'!$B$86:$B$165,0)),INDEX(DI$4:DI$8,MATCH(AK95,$DC$4:$DC$8,0))),0)</f>
        <v>0</v>
      </c>
      <c r="DK95" s="7">
        <f>IFERROR(IF(LEFT($AP95,1)="4",INDEX('변표 테이블'!$K$86:$K$165,MATCH($O95,'변표 테이블'!$B$86:$B$165,0)),INDEX(DJ$4:DJ$8,MATCH(AL95,$DC$4:$DC$8,0))),0)</f>
        <v>0</v>
      </c>
      <c r="DL95" s="7" t="str">
        <f t="shared" si="91"/>
        <v/>
      </c>
      <c r="DM95" s="7" t="str">
        <f t="shared" si="92"/>
        <v/>
      </c>
      <c r="DN95" s="7">
        <f t="shared" si="93"/>
        <v>0</v>
      </c>
      <c r="DP95" s="7">
        <f t="shared" si="94"/>
        <v>0</v>
      </c>
      <c r="DQ95" s="7">
        <f t="shared" si="95"/>
        <v>0</v>
      </c>
      <c r="DR95" s="7">
        <f t="shared" si="96"/>
        <v>0</v>
      </c>
      <c r="DS95" s="7">
        <f t="shared" si="97"/>
        <v>0</v>
      </c>
      <c r="DT95" s="7">
        <f t="shared" si="98"/>
        <v>0</v>
      </c>
      <c r="DU95" s="7">
        <f t="shared" si="99"/>
        <v>0</v>
      </c>
      <c r="DV95" s="7">
        <f t="shared" si="100"/>
        <v>0</v>
      </c>
      <c r="DW95" s="7">
        <f>LARGE((DR95:DS95,DU95:DV95),1)</f>
        <v>0</v>
      </c>
      <c r="DX95" s="7">
        <f>IF(DA95&lt;2,0,LARGE((DR95:DS95,DU95:DV95),2))</f>
        <v>0</v>
      </c>
      <c r="DY95" s="7">
        <f t="shared" si="101"/>
        <v>0</v>
      </c>
      <c r="DZ95" s="7">
        <f t="shared" si="102"/>
        <v>0</v>
      </c>
      <c r="EA95" s="7">
        <f t="shared" si="103"/>
        <v>0</v>
      </c>
      <c r="EF95" s="7">
        <f t="shared" si="104"/>
        <v>0</v>
      </c>
      <c r="EH95" s="7">
        <f t="shared" si="108"/>
        <v>0</v>
      </c>
      <c r="EI95" s="7">
        <f>IF(EH95=0,0,COUNTIF($EH$16:EH95,"&gt;"&amp;0))</f>
        <v>0</v>
      </c>
    </row>
    <row r="96" spans="1:141" x14ac:dyDescent="0.3">
      <c r="A96" s="165">
        <v>95</v>
      </c>
      <c r="C96" s="7" t="s">
        <v>198</v>
      </c>
      <c r="D96" s="7">
        <v>1000</v>
      </c>
      <c r="E96" s="7">
        <v>0.3</v>
      </c>
      <c r="F96" s="7">
        <v>0.4</v>
      </c>
      <c r="G96" s="7">
        <v>0.3</v>
      </c>
      <c r="J96" s="7">
        <v>0.3</v>
      </c>
      <c r="O96" s="7">
        <f t="shared" si="112"/>
        <v>0</v>
      </c>
      <c r="Q96" s="7">
        <f t="shared" si="81"/>
        <v>3</v>
      </c>
      <c r="R96" s="7">
        <f t="shared" si="82"/>
        <v>4</v>
      </c>
      <c r="S96" s="7">
        <f t="shared" si="113"/>
        <v>3</v>
      </c>
      <c r="T96" s="7">
        <f t="shared" si="80"/>
        <v>3</v>
      </c>
      <c r="U96" s="7">
        <f t="shared" si="83"/>
        <v>3</v>
      </c>
      <c r="V96" s="7">
        <f t="shared" si="114"/>
        <v>3</v>
      </c>
      <c r="W96" s="7">
        <f t="shared" si="115"/>
        <v>4</v>
      </c>
      <c r="X96" s="7">
        <f t="shared" si="116"/>
        <v>3</v>
      </c>
      <c r="Y96" s="7" t="str">
        <f t="shared" si="109"/>
        <v>자동</v>
      </c>
      <c r="AA96" s="7">
        <f t="shared" si="110"/>
        <v>3</v>
      </c>
      <c r="AB96" s="7" t="str">
        <f t="shared" si="111"/>
        <v>자동</v>
      </c>
      <c r="AC96" s="7" t="e">
        <f>INDEX('변표 테이블'!$C$86:$C$165,MATCH(O96,'변표 테이블'!$B$86:$B$165,0))</f>
        <v>#N/A</v>
      </c>
      <c r="AD96" s="7" t="e">
        <f>INDEX('변표 테이블'!$D$86:$D$165,MATCH(O96,'변표 테이블'!$B$86:$B$165,0))</f>
        <v>#N/A</v>
      </c>
      <c r="AF96" s="7">
        <v>2</v>
      </c>
      <c r="AG96" s="7">
        <v>2</v>
      </c>
      <c r="AH96" s="7">
        <v>2</v>
      </c>
      <c r="AK96" s="7">
        <v>2</v>
      </c>
      <c r="AM96" s="7">
        <v>3</v>
      </c>
      <c r="AN96" s="7">
        <v>3</v>
      </c>
      <c r="AP96" s="7">
        <f t="shared" si="105"/>
        <v>2</v>
      </c>
      <c r="AR96" s="7">
        <f>0.1*$W$96</f>
        <v>0.4</v>
      </c>
      <c r="AS96" s="7">
        <f>0.1*$W$96</f>
        <v>0.4</v>
      </c>
      <c r="AT96" s="7">
        <f>0.05*$X$96</f>
        <v>0.15000000000000002</v>
      </c>
      <c r="BA96" s="7">
        <f>BA6*AR96</f>
        <v>0</v>
      </c>
      <c r="BB96" s="7">
        <f>BB6*AS96</f>
        <v>0</v>
      </c>
      <c r="BC96" s="7">
        <f>AH6*AT96</f>
        <v>0</v>
      </c>
      <c r="BH96" s="121">
        <v>300</v>
      </c>
      <c r="BI96" s="7">
        <v>285</v>
      </c>
      <c r="BJ96" s="7">
        <v>270</v>
      </c>
      <c r="BK96" s="7">
        <v>255</v>
      </c>
      <c r="BL96" s="7">
        <v>240</v>
      </c>
      <c r="BM96" s="7">
        <v>225</v>
      </c>
      <c r="BN96" s="7">
        <v>210</v>
      </c>
      <c r="BO96" s="7">
        <v>195</v>
      </c>
      <c r="BP96" s="7">
        <v>0</v>
      </c>
      <c r="CI96" s="7">
        <f t="shared" si="84"/>
        <v>300</v>
      </c>
      <c r="CJ96" s="163">
        <f t="shared" si="85"/>
        <v>100</v>
      </c>
      <c r="CK96" s="7">
        <f t="shared" si="86"/>
        <v>0</v>
      </c>
      <c r="CN96" s="7">
        <v>1</v>
      </c>
      <c r="CP96" s="7">
        <v>1</v>
      </c>
      <c r="CY96" s="7">
        <v>1</v>
      </c>
      <c r="CZ96" s="7">
        <f t="shared" si="87"/>
        <v>1</v>
      </c>
      <c r="DA96" s="7">
        <f t="shared" si="106"/>
        <v>1</v>
      </c>
      <c r="DB96" s="7">
        <f t="shared" si="88"/>
        <v>0</v>
      </c>
      <c r="DC96" s="7">
        <f t="shared" si="107"/>
        <v>0</v>
      </c>
      <c r="DE96" s="7">
        <f t="shared" si="89"/>
        <v>0</v>
      </c>
      <c r="DF96" s="7">
        <f t="shared" si="90"/>
        <v>0</v>
      </c>
      <c r="DG96" s="7">
        <f>IFERROR(IF(LEFT($AP96,1)="4",INDEX('변표 테이블'!$H$86:$H$165,MATCH($O96,'변표 테이블'!$B$86:$B$165,0)),INDEX(DG$4:DG$8,MATCH(AH96,$DC$4:$DC$8,0))),0)</f>
        <v>0</v>
      </c>
      <c r="DH96" s="7">
        <f>IFERROR(IF(LEFT($AP96,1)="4",INDEX('변표 테이블'!$I$86:$I$165,MATCH($O96,'변표 테이블'!$B$86:$B$165,0)),INDEX(DH$4:DH$8,MATCH(AI96,$DC$4:$DC$8,0))),0)</f>
        <v>0</v>
      </c>
      <c r="DJ96" s="7">
        <f>IFERROR(IF(LEFT($AP96,1)="4",INDEX('변표 테이블'!$J$86:$J$165,MATCH($O96,'변표 테이블'!$B$86:$B$165,0)),INDEX(DI$4:DI$8,MATCH(AK96,$DC$4:$DC$8,0))),0)</f>
        <v>0</v>
      </c>
      <c r="DK96" s="7">
        <f>IFERROR(IF(LEFT($AP96,1)="4",INDEX('변표 테이블'!$K$86:$K$165,MATCH($O96,'변표 테이블'!$B$86:$B$165,0)),INDEX(DJ$4:DJ$8,MATCH(AL96,$DC$4:$DC$8,0))),0)</f>
        <v>0</v>
      </c>
      <c r="DL96" s="7" t="str">
        <f t="shared" si="91"/>
        <v/>
      </c>
      <c r="DM96" s="7" t="str">
        <f t="shared" si="92"/>
        <v/>
      </c>
      <c r="DN96" s="7">
        <f t="shared" si="93"/>
        <v>0</v>
      </c>
      <c r="DP96" s="7">
        <f t="shared" si="94"/>
        <v>0</v>
      </c>
      <c r="DQ96" s="7">
        <f t="shared" si="95"/>
        <v>0</v>
      </c>
      <c r="DR96" s="7">
        <f t="shared" si="96"/>
        <v>0</v>
      </c>
      <c r="DS96" s="7">
        <f t="shared" si="97"/>
        <v>0</v>
      </c>
      <c r="DT96" s="7">
        <f t="shared" si="98"/>
        <v>0</v>
      </c>
      <c r="DU96" s="7">
        <f t="shared" si="99"/>
        <v>0</v>
      </c>
      <c r="DV96" s="7">
        <f t="shared" si="100"/>
        <v>0</v>
      </c>
      <c r="DW96" s="7">
        <f>LARGE((DR96:DS96,DU96:DV96),1)</f>
        <v>0</v>
      </c>
      <c r="DX96" s="7">
        <f>IF(DA96&lt;2,0,LARGE((DR96:DS96,DU96:DV96),2))</f>
        <v>0</v>
      </c>
      <c r="DY96" s="7">
        <f t="shared" si="101"/>
        <v>0</v>
      </c>
      <c r="DZ96" s="7">
        <f t="shared" si="102"/>
        <v>0</v>
      </c>
      <c r="EA96" s="7">
        <f t="shared" si="103"/>
        <v>0</v>
      </c>
      <c r="EE96" s="7">
        <f>DQ96+DY96+LARGE((DP96,DW96),1)</f>
        <v>0</v>
      </c>
      <c r="EF96" s="7">
        <f t="shared" si="104"/>
        <v>0</v>
      </c>
      <c r="EH96" s="7">
        <f t="shared" si="108"/>
        <v>1</v>
      </c>
      <c r="EI96" s="7">
        <f>IF(EH96=0,0,COUNTIF($EH$16:EH96,"&gt;"&amp;0))</f>
        <v>12</v>
      </c>
      <c r="EJ96" s="7">
        <v>1</v>
      </c>
      <c r="EK96" s="7" t="s">
        <v>670</v>
      </c>
    </row>
    <row r="97" spans="1:141" x14ac:dyDescent="0.3">
      <c r="A97" s="165">
        <v>96</v>
      </c>
      <c r="C97" s="7" t="s">
        <v>199</v>
      </c>
      <c r="D97" s="7">
        <v>1000</v>
      </c>
      <c r="E97" s="7">
        <v>0.2</v>
      </c>
      <c r="F97" s="7">
        <v>0.3</v>
      </c>
      <c r="G97" s="7">
        <v>0.15</v>
      </c>
      <c r="H97" s="7">
        <v>0.15</v>
      </c>
      <c r="M97" s="7">
        <v>1</v>
      </c>
      <c r="O97" s="7">
        <f t="shared" si="112"/>
        <v>1</v>
      </c>
      <c r="Q97" s="7">
        <f t="shared" si="81"/>
        <v>1</v>
      </c>
      <c r="R97" s="7">
        <f t="shared" si="82"/>
        <v>1.5</v>
      </c>
      <c r="S97" s="7">
        <f t="shared" si="113"/>
        <v>1.5</v>
      </c>
      <c r="T97" s="7" t="str">
        <f t="shared" si="80"/>
        <v>자동</v>
      </c>
      <c r="U97" s="7">
        <f t="shared" si="83"/>
        <v>1.5</v>
      </c>
      <c r="V97" s="7">
        <f t="shared" si="114"/>
        <v>1</v>
      </c>
      <c r="W97" s="7">
        <f t="shared" si="115"/>
        <v>1.5</v>
      </c>
      <c r="X97" s="7">
        <f t="shared" si="116"/>
        <v>1.5</v>
      </c>
      <c r="Y97" s="7">
        <f t="shared" si="109"/>
        <v>1.5</v>
      </c>
      <c r="AA97" s="7" t="str">
        <f t="shared" si="110"/>
        <v>자동</v>
      </c>
      <c r="AB97" s="7" t="str">
        <f t="shared" si="111"/>
        <v>자동</v>
      </c>
      <c r="AC97" s="7">
        <f>INDEX('변표 테이블'!$C$86:$C$165,MATCH(O97,'변표 테이블'!$B$86:$B$165,0))</f>
        <v>71.13</v>
      </c>
      <c r="AD97" s="7">
        <f>INDEX('변표 테이블'!$D$86:$D$165,MATCH(O97,'변표 테이블'!$B$86:$B$165,0))</f>
        <v>66</v>
      </c>
      <c r="AF97" s="7">
        <v>1</v>
      </c>
      <c r="AG97" s="7">
        <v>1</v>
      </c>
      <c r="AH97" s="7">
        <v>4</v>
      </c>
      <c r="AI97" s="7">
        <v>4</v>
      </c>
      <c r="AM97" s="7">
        <v>3</v>
      </c>
      <c r="AN97" s="7">
        <v>3</v>
      </c>
      <c r="AP97" s="7">
        <f t="shared" si="105"/>
        <v>4</v>
      </c>
      <c r="BH97" s="121">
        <v>200</v>
      </c>
      <c r="BI97" s="7">
        <v>198</v>
      </c>
      <c r="BJ97" s="7">
        <v>195</v>
      </c>
      <c r="BK97" s="7">
        <v>190</v>
      </c>
      <c r="BL97" s="7">
        <v>185</v>
      </c>
      <c r="BM97" s="7">
        <v>180</v>
      </c>
      <c r="BN97" s="7">
        <v>175</v>
      </c>
      <c r="BO97" s="7">
        <v>170</v>
      </c>
      <c r="BP97" s="7">
        <v>165</v>
      </c>
      <c r="BQ97" s="121">
        <v>10</v>
      </c>
      <c r="BR97" s="7">
        <v>10</v>
      </c>
      <c r="BS97" s="7">
        <v>10</v>
      </c>
      <c r="BT97" s="7">
        <v>10</v>
      </c>
      <c r="BU97" s="7">
        <v>9.8000000000000007</v>
      </c>
      <c r="BV97" s="7">
        <v>9.6</v>
      </c>
      <c r="BW97" s="7">
        <v>9.4</v>
      </c>
      <c r="BX97" s="7">
        <v>9.1999999999999993</v>
      </c>
      <c r="BY97" s="7">
        <v>9</v>
      </c>
      <c r="CI97" s="7">
        <f t="shared" si="84"/>
        <v>200</v>
      </c>
      <c r="CJ97" s="163">
        <f t="shared" si="85"/>
        <v>100</v>
      </c>
      <c r="CK97" s="7">
        <f t="shared" si="86"/>
        <v>10</v>
      </c>
      <c r="CL97" s="7">
        <v>2</v>
      </c>
      <c r="CP97" s="7">
        <v>1</v>
      </c>
      <c r="CR97" s="7">
        <v>1</v>
      </c>
      <c r="CZ97" s="7">
        <f t="shared" si="87"/>
        <v>1</v>
      </c>
      <c r="DA97" s="7">
        <f t="shared" si="106"/>
        <v>2</v>
      </c>
      <c r="DB97" s="7">
        <f t="shared" si="88"/>
        <v>0</v>
      </c>
      <c r="DC97" s="7">
        <f t="shared" si="107"/>
        <v>0</v>
      </c>
      <c r="DE97" s="7">
        <f t="shared" si="89"/>
        <v>0</v>
      </c>
      <c r="DF97" s="7">
        <f t="shared" si="90"/>
        <v>0</v>
      </c>
      <c r="DG97" s="7">
        <f>IFERROR(IF(LEFT($AP97,1)="4",INDEX('변표 테이블'!$H$86:$H$165,MATCH($O97,'변표 테이블'!$B$86:$B$165,0)),INDEX(DG$4:DG$8,MATCH(AH97,$DC$4:$DC$8,0))),0)</f>
        <v>0</v>
      </c>
      <c r="DH97" s="7">
        <f>IFERROR(IF(LEFT($AP97,1)="4",INDEX('변표 테이블'!$I$86:$I$165,MATCH($O97,'변표 테이블'!$B$86:$B$165,0)),INDEX(DH$4:DH$8,MATCH(AI97,$DC$4:$DC$8,0))),0)</f>
        <v>0</v>
      </c>
      <c r="DJ97" s="7">
        <f>IFERROR(IF(LEFT($AP97,1)="4",INDEX('변표 테이블'!$J$86:$J$165,MATCH($O97,'변표 테이블'!$B$86:$B$165,0)),INDEX(DI$4:DI$8,MATCH(AK97,$DC$4:$DC$8,0))),0)</f>
        <v>0</v>
      </c>
      <c r="DK97" s="7">
        <f>IFERROR(IF(LEFT($AP97,1)="4",INDEX('변표 테이블'!$K$86:$K$165,MATCH($O97,'변표 테이블'!$B$86:$B$165,0)),INDEX(DJ$4:DJ$8,MATCH(AL97,$DC$4:$DC$8,0))),0)</f>
        <v>0</v>
      </c>
      <c r="DL97" s="7" t="str">
        <f t="shared" si="91"/>
        <v/>
      </c>
      <c r="DM97" s="7" t="str">
        <f t="shared" si="92"/>
        <v/>
      </c>
      <c r="DN97" s="7">
        <f t="shared" si="93"/>
        <v>0</v>
      </c>
      <c r="DP97" s="7">
        <f t="shared" si="94"/>
        <v>0</v>
      </c>
      <c r="DQ97" s="7">
        <f t="shared" si="95"/>
        <v>0</v>
      </c>
      <c r="DR97" s="7">
        <f t="shared" si="96"/>
        <v>0</v>
      </c>
      <c r="DS97" s="7">
        <f t="shared" si="97"/>
        <v>0</v>
      </c>
      <c r="DT97" s="7">
        <f t="shared" si="98"/>
        <v>0</v>
      </c>
      <c r="DU97" s="7">
        <f t="shared" si="99"/>
        <v>0</v>
      </c>
      <c r="DV97" s="7">
        <f t="shared" si="100"/>
        <v>0</v>
      </c>
      <c r="DW97" s="7">
        <f>LARGE((DR97:DS97,DU97:DV97),1)</f>
        <v>0</v>
      </c>
      <c r="DX97" s="7">
        <f>IF(DA97&lt;2,0,LARGE((DR97:DS97,DU97:DV97),2))</f>
        <v>0</v>
      </c>
      <c r="DY97" s="7">
        <f t="shared" si="101"/>
        <v>0</v>
      </c>
      <c r="DZ97" s="7">
        <f t="shared" si="102"/>
        <v>0</v>
      </c>
      <c r="EA97" s="7">
        <f t="shared" si="103"/>
        <v>0</v>
      </c>
      <c r="EF97" s="7">
        <f t="shared" si="104"/>
        <v>0</v>
      </c>
      <c r="EH97" s="7">
        <f t="shared" si="108"/>
        <v>0</v>
      </c>
      <c r="EI97" s="7">
        <f>IF(EH97=0,0,COUNTIF($EH$16:EH97,"&gt;"&amp;0))</f>
        <v>0</v>
      </c>
    </row>
    <row r="98" spans="1:141" x14ac:dyDescent="0.3">
      <c r="A98" s="165">
        <v>97</v>
      </c>
      <c r="C98" s="7" t="s">
        <v>200</v>
      </c>
      <c r="D98" s="7">
        <v>1000</v>
      </c>
      <c r="E98" s="7">
        <v>0.25</v>
      </c>
      <c r="F98" s="7">
        <v>0.3</v>
      </c>
      <c r="G98" s="7">
        <v>0.2</v>
      </c>
      <c r="J98" s="7">
        <v>0.2</v>
      </c>
      <c r="O98" s="7">
        <f t="shared" si="112"/>
        <v>0</v>
      </c>
      <c r="Q98" s="7">
        <f t="shared" si="81"/>
        <v>2.5</v>
      </c>
      <c r="R98" s="7">
        <f t="shared" si="82"/>
        <v>3</v>
      </c>
      <c r="S98" s="7">
        <f t="shared" si="113"/>
        <v>2</v>
      </c>
      <c r="T98" s="7">
        <f t="shared" si="80"/>
        <v>2</v>
      </c>
      <c r="U98" s="7">
        <f t="shared" si="83"/>
        <v>2</v>
      </c>
      <c r="V98" s="7">
        <f t="shared" si="114"/>
        <v>2.5</v>
      </c>
      <c r="W98" s="7">
        <f t="shared" si="115"/>
        <v>3</v>
      </c>
      <c r="X98" s="7">
        <f t="shared" si="116"/>
        <v>2</v>
      </c>
      <c r="Y98" s="7" t="str">
        <f t="shared" si="109"/>
        <v>자동</v>
      </c>
      <c r="AA98" s="7">
        <f t="shared" si="110"/>
        <v>2</v>
      </c>
      <c r="AB98" s="7" t="str">
        <f t="shared" si="111"/>
        <v>자동</v>
      </c>
      <c r="AC98" s="7" t="e">
        <f>INDEX('변표 테이블'!$C$86:$C$165,MATCH(O98,'변표 테이블'!$B$86:$B$165,0))</f>
        <v>#N/A</v>
      </c>
      <c r="AD98" s="7" t="e">
        <f>INDEX('변표 테이블'!$D$86:$D$165,MATCH(O98,'변표 테이블'!$B$86:$B$165,0))</f>
        <v>#N/A</v>
      </c>
      <c r="AF98" s="7">
        <v>2</v>
      </c>
      <c r="AG98" s="7">
        <v>2</v>
      </c>
      <c r="AH98" s="7">
        <v>2</v>
      </c>
      <c r="AK98" s="7">
        <v>2</v>
      </c>
      <c r="AM98" s="7">
        <v>3</v>
      </c>
      <c r="AN98" s="7">
        <v>3</v>
      </c>
      <c r="AP98" s="7">
        <f t="shared" si="105"/>
        <v>2</v>
      </c>
      <c r="AR98" s="7">
        <f>0.05*$W$98</f>
        <v>0.15000000000000002</v>
      </c>
      <c r="AS98" s="7">
        <f>0.05*$W$98</f>
        <v>0.15000000000000002</v>
      </c>
      <c r="AT98" s="7">
        <f>0.03*$X$98</f>
        <v>0.06</v>
      </c>
      <c r="BA98" s="7">
        <f>BA6*AR98</f>
        <v>0</v>
      </c>
      <c r="BB98" s="7">
        <f>BB6*AS98</f>
        <v>0</v>
      </c>
      <c r="BC98" s="7">
        <f>AH6*AT98</f>
        <v>0</v>
      </c>
      <c r="BH98" s="121">
        <v>250</v>
      </c>
      <c r="BI98" s="7">
        <v>245</v>
      </c>
      <c r="BJ98" s="7">
        <v>237.5</v>
      </c>
      <c r="BK98" s="7">
        <v>230</v>
      </c>
      <c r="BL98" s="7">
        <v>217.5</v>
      </c>
      <c r="BM98" s="7">
        <v>200</v>
      </c>
      <c r="BN98" s="7">
        <v>175</v>
      </c>
      <c r="BO98" s="7">
        <v>150</v>
      </c>
      <c r="BP98" s="7">
        <v>0</v>
      </c>
      <c r="BQ98" s="121">
        <v>5</v>
      </c>
      <c r="BR98" s="7">
        <v>5</v>
      </c>
      <c r="BS98" s="7">
        <v>5</v>
      </c>
      <c r="BT98" s="7">
        <v>4</v>
      </c>
      <c r="BU98" s="7">
        <v>4</v>
      </c>
      <c r="BV98" s="7">
        <v>3</v>
      </c>
      <c r="BW98" s="7">
        <v>2</v>
      </c>
      <c r="BX98" s="7">
        <v>1</v>
      </c>
      <c r="BY98" s="7">
        <v>0</v>
      </c>
      <c r="CI98" s="7">
        <f t="shared" si="84"/>
        <v>250</v>
      </c>
      <c r="CJ98" s="163">
        <f t="shared" si="85"/>
        <v>100</v>
      </c>
      <c r="CK98" s="7">
        <f t="shared" si="86"/>
        <v>5</v>
      </c>
      <c r="CN98" s="7">
        <v>1</v>
      </c>
      <c r="CY98" s="7">
        <v>1</v>
      </c>
      <c r="CZ98" s="7">
        <f t="shared" si="87"/>
        <v>1</v>
      </c>
      <c r="DA98" s="7">
        <f t="shared" si="106"/>
        <v>1</v>
      </c>
      <c r="DB98" s="7">
        <f t="shared" si="88"/>
        <v>0</v>
      </c>
      <c r="DC98" s="7">
        <f t="shared" si="107"/>
        <v>0</v>
      </c>
      <c r="DE98" s="7">
        <f t="shared" si="89"/>
        <v>0</v>
      </c>
      <c r="DF98" s="7">
        <f t="shared" si="90"/>
        <v>0</v>
      </c>
      <c r="DG98" s="7">
        <f>IFERROR(IF(LEFT($AP98,1)="4",INDEX('변표 테이블'!$H$86:$H$165,MATCH($O98,'변표 테이블'!$B$86:$B$165,0)),INDEX(DG$4:DG$8,MATCH(AH98,$DC$4:$DC$8,0))),0)</f>
        <v>0</v>
      </c>
      <c r="DH98" s="7">
        <f>IFERROR(IF(LEFT($AP98,1)="4",INDEX('변표 테이블'!$I$86:$I$165,MATCH($O98,'변표 테이블'!$B$86:$B$165,0)),INDEX(DH$4:DH$8,MATCH(AI98,$DC$4:$DC$8,0))),0)</f>
        <v>0</v>
      </c>
      <c r="DJ98" s="7">
        <f>IFERROR(IF(LEFT($AP98,1)="4",INDEX('변표 테이블'!$J$86:$J$165,MATCH($O98,'변표 테이블'!$B$86:$B$165,0)),INDEX(DI$4:DI$8,MATCH(AK98,$DC$4:$DC$8,0))),0)</f>
        <v>0</v>
      </c>
      <c r="DK98" s="7">
        <f>IFERROR(IF(LEFT($AP98,1)="4",INDEX('변표 테이블'!$K$86:$K$165,MATCH($O98,'변표 테이블'!$B$86:$B$165,0)),INDEX(DJ$4:DJ$8,MATCH(AL98,$DC$4:$DC$8,0))),0)</f>
        <v>0</v>
      </c>
      <c r="DL98" s="7" t="str">
        <f t="shared" si="91"/>
        <v/>
      </c>
      <c r="DM98" s="7" t="str">
        <f t="shared" si="92"/>
        <v/>
      </c>
      <c r="DN98" s="7">
        <f t="shared" si="93"/>
        <v>0</v>
      </c>
      <c r="DP98" s="7">
        <f t="shared" si="94"/>
        <v>0</v>
      </c>
      <c r="DQ98" s="7">
        <f t="shared" si="95"/>
        <v>0</v>
      </c>
      <c r="DR98" s="7">
        <f t="shared" si="96"/>
        <v>0</v>
      </c>
      <c r="DS98" s="7">
        <f t="shared" si="97"/>
        <v>0</v>
      </c>
      <c r="DT98" s="7">
        <f t="shared" si="98"/>
        <v>0</v>
      </c>
      <c r="DU98" s="7">
        <f t="shared" si="99"/>
        <v>0</v>
      </c>
      <c r="DV98" s="7">
        <f t="shared" si="100"/>
        <v>0</v>
      </c>
      <c r="DW98" s="7">
        <f>LARGE((DR98:DS98,DU98:DV98),1)</f>
        <v>0</v>
      </c>
      <c r="DX98" s="7">
        <f>IF(DA98&lt;2,0,LARGE((DR98:DS98,DU98:DV98),2))</f>
        <v>0</v>
      </c>
      <c r="DY98" s="7">
        <f t="shared" si="101"/>
        <v>0</v>
      </c>
      <c r="DZ98" s="7">
        <f t="shared" si="102"/>
        <v>0</v>
      </c>
      <c r="EA98" s="7">
        <f t="shared" si="103"/>
        <v>0</v>
      </c>
      <c r="EF98" s="7">
        <f t="shared" si="104"/>
        <v>0</v>
      </c>
      <c r="EH98" s="7">
        <f t="shared" si="108"/>
        <v>1</v>
      </c>
      <c r="EI98" s="7">
        <f>IF(EH98=0,0,COUNTIF($EH$16:EH98,"&gt;"&amp;0))</f>
        <v>13</v>
      </c>
    </row>
    <row r="99" spans="1:141" x14ac:dyDescent="0.3">
      <c r="A99" s="165">
        <v>98</v>
      </c>
      <c r="C99" s="7" t="s">
        <v>201</v>
      </c>
      <c r="D99" s="7">
        <v>1000</v>
      </c>
      <c r="E99" s="7">
        <v>0.2</v>
      </c>
      <c r="F99" s="7">
        <v>0.4</v>
      </c>
      <c r="G99" s="7">
        <v>0.1</v>
      </c>
      <c r="H99" s="7">
        <v>0.1</v>
      </c>
      <c r="O99" s="7">
        <f t="shared" si="112"/>
        <v>0</v>
      </c>
      <c r="Q99" s="7">
        <f t="shared" si="81"/>
        <v>2</v>
      </c>
      <c r="R99" s="7">
        <f t="shared" si="82"/>
        <v>4</v>
      </c>
      <c r="S99" s="7">
        <f t="shared" si="113"/>
        <v>1</v>
      </c>
      <c r="T99" s="7" t="str">
        <f t="shared" si="80"/>
        <v>자동</v>
      </c>
      <c r="U99" s="7">
        <f t="shared" si="83"/>
        <v>2</v>
      </c>
      <c r="V99" s="7">
        <f t="shared" si="114"/>
        <v>2</v>
      </c>
      <c r="W99" s="7">
        <f t="shared" si="115"/>
        <v>4</v>
      </c>
      <c r="X99" s="7">
        <f t="shared" si="116"/>
        <v>1</v>
      </c>
      <c r="Y99" s="7">
        <f t="shared" si="109"/>
        <v>1</v>
      </c>
      <c r="AA99" s="7" t="str">
        <f t="shared" si="110"/>
        <v>자동</v>
      </c>
      <c r="AB99" s="7" t="str">
        <f t="shared" si="111"/>
        <v>자동</v>
      </c>
      <c r="AC99" s="7" t="e">
        <f>INDEX('변표 테이블'!$C$86:$C$165,MATCH(O99,'변표 테이블'!$B$86:$B$165,0))</f>
        <v>#N/A</v>
      </c>
      <c r="AD99" s="7" t="e">
        <f>INDEX('변표 테이블'!$D$86:$D$165,MATCH(O99,'변표 테이블'!$B$86:$B$165,0))</f>
        <v>#N/A</v>
      </c>
      <c r="AF99" s="7">
        <v>2</v>
      </c>
      <c r="AG99" s="7">
        <v>2</v>
      </c>
      <c r="AH99" s="7">
        <v>2</v>
      </c>
      <c r="AI99" s="7">
        <v>2</v>
      </c>
      <c r="AM99" s="7">
        <v>3</v>
      </c>
      <c r="AN99" s="7">
        <v>3</v>
      </c>
      <c r="AP99" s="7">
        <f t="shared" si="105"/>
        <v>2</v>
      </c>
      <c r="BH99" s="121">
        <v>200</v>
      </c>
      <c r="BI99" s="7">
        <v>180</v>
      </c>
      <c r="BJ99" s="7">
        <v>150</v>
      </c>
      <c r="BK99" s="7">
        <v>120</v>
      </c>
      <c r="BL99" s="7">
        <v>110</v>
      </c>
      <c r="BM99" s="7">
        <v>100</v>
      </c>
      <c r="BN99" s="7">
        <v>70</v>
      </c>
      <c r="BO99" s="7">
        <v>40</v>
      </c>
      <c r="BP99" s="7">
        <v>20</v>
      </c>
      <c r="BQ99" s="121">
        <v>3</v>
      </c>
      <c r="BR99" s="7">
        <v>2</v>
      </c>
      <c r="BS99" s="7">
        <v>1</v>
      </c>
      <c r="CI99" s="7">
        <f t="shared" si="84"/>
        <v>200</v>
      </c>
      <c r="CJ99" s="163">
        <f t="shared" si="85"/>
        <v>100</v>
      </c>
      <c r="CK99" s="7">
        <f t="shared" si="86"/>
        <v>3</v>
      </c>
      <c r="CL99" s="7">
        <v>2</v>
      </c>
      <c r="CP99" s="7">
        <v>1</v>
      </c>
      <c r="CR99" s="7">
        <v>1</v>
      </c>
      <c r="CZ99" s="7">
        <f t="shared" si="87"/>
        <v>1</v>
      </c>
      <c r="DA99" s="7">
        <f t="shared" si="106"/>
        <v>2</v>
      </c>
      <c r="DB99" s="7">
        <f t="shared" si="88"/>
        <v>0</v>
      </c>
      <c r="DC99" s="7">
        <f t="shared" si="107"/>
        <v>0</v>
      </c>
      <c r="DE99" s="7">
        <f t="shared" si="89"/>
        <v>0</v>
      </c>
      <c r="DF99" s="7">
        <f t="shared" si="90"/>
        <v>0</v>
      </c>
      <c r="DG99" s="7">
        <f>IFERROR(IF(LEFT($AP99,1)="4",INDEX('변표 테이블'!$H$86:$H$165,MATCH($O99,'변표 테이블'!$B$86:$B$165,0)),INDEX(DG$4:DG$8,MATCH(AH99,$DC$4:$DC$8,0))),0)</f>
        <v>0</v>
      </c>
      <c r="DH99" s="7">
        <f>IFERROR(IF(LEFT($AP99,1)="4",INDEX('변표 테이블'!$I$86:$I$165,MATCH($O99,'변표 테이블'!$B$86:$B$165,0)),INDEX(DH$4:DH$8,MATCH(AI99,$DC$4:$DC$8,0))),0)</f>
        <v>0</v>
      </c>
      <c r="DJ99" s="7">
        <f>IFERROR(IF(LEFT($AP99,1)="4",INDEX('변표 테이블'!$J$86:$J$165,MATCH($O99,'변표 테이블'!$B$86:$B$165,0)),INDEX(DI$4:DI$8,MATCH(AK99,$DC$4:$DC$8,0))),0)</f>
        <v>0</v>
      </c>
      <c r="DK99" s="7">
        <f>IFERROR(IF(LEFT($AP99,1)="4",INDEX('변표 테이블'!$K$86:$K$165,MATCH($O99,'변표 테이블'!$B$86:$B$165,0)),INDEX(DJ$4:DJ$8,MATCH(AL99,$DC$4:$DC$8,0))),0)</f>
        <v>0</v>
      </c>
      <c r="DL99" s="7" t="str">
        <f t="shared" si="91"/>
        <v/>
      </c>
      <c r="DM99" s="7" t="str">
        <f t="shared" si="92"/>
        <v/>
      </c>
      <c r="DN99" s="7">
        <f t="shared" si="93"/>
        <v>0</v>
      </c>
      <c r="DP99" s="7">
        <f t="shared" si="94"/>
        <v>0</v>
      </c>
      <c r="DQ99" s="7">
        <f t="shared" si="95"/>
        <v>0</v>
      </c>
      <c r="DR99" s="7">
        <f t="shared" si="96"/>
        <v>0</v>
      </c>
      <c r="DS99" s="7">
        <f t="shared" si="97"/>
        <v>0</v>
      </c>
      <c r="DT99" s="7">
        <f t="shared" si="98"/>
        <v>0</v>
      </c>
      <c r="DU99" s="7">
        <f t="shared" si="99"/>
        <v>0</v>
      </c>
      <c r="DV99" s="7">
        <f t="shared" si="100"/>
        <v>0</v>
      </c>
      <c r="DW99" s="7">
        <f>LARGE((DR99:DS99,DU99:DV99),1)</f>
        <v>0</v>
      </c>
      <c r="DX99" s="7">
        <f>IF(DA99&lt;2,0,LARGE((DR99:DS99,DU99:DV99),2))</f>
        <v>0</v>
      </c>
      <c r="DY99" s="7">
        <f t="shared" si="101"/>
        <v>0</v>
      </c>
      <c r="DZ99" s="7">
        <f t="shared" si="102"/>
        <v>0</v>
      </c>
      <c r="EA99" s="7">
        <f t="shared" si="103"/>
        <v>0</v>
      </c>
      <c r="EF99" s="7">
        <f t="shared" si="104"/>
        <v>0</v>
      </c>
      <c r="EH99" s="7">
        <f t="shared" si="108"/>
        <v>0</v>
      </c>
      <c r="EI99" s="7">
        <f>IF(EH99=0,0,COUNTIF($EH$16:EH99,"&gt;"&amp;0))</f>
        <v>0</v>
      </c>
    </row>
    <row r="100" spans="1:141" x14ac:dyDescent="0.3">
      <c r="A100" s="165">
        <v>99</v>
      </c>
      <c r="C100" s="7" t="s">
        <v>202</v>
      </c>
      <c r="D100" s="7">
        <v>1000</v>
      </c>
      <c r="E100" s="7">
        <v>0.2</v>
      </c>
      <c r="F100" s="7">
        <v>0.4</v>
      </c>
      <c r="G100" s="7">
        <v>0.1</v>
      </c>
      <c r="H100" s="7">
        <v>0.1</v>
      </c>
      <c r="J100" s="7">
        <v>0.1</v>
      </c>
      <c r="K100" s="7">
        <v>0.1</v>
      </c>
      <c r="O100" s="7">
        <f t="shared" si="112"/>
        <v>0</v>
      </c>
      <c r="Q100" s="7">
        <f t="shared" si="81"/>
        <v>2</v>
      </c>
      <c r="R100" s="7">
        <f t="shared" si="82"/>
        <v>4</v>
      </c>
      <c r="S100" s="7">
        <f t="shared" si="113"/>
        <v>1</v>
      </c>
      <c r="T100" s="7">
        <f t="shared" si="80"/>
        <v>1</v>
      </c>
      <c r="U100" s="7">
        <f t="shared" si="83"/>
        <v>2</v>
      </c>
      <c r="V100" s="7">
        <f t="shared" si="114"/>
        <v>2</v>
      </c>
      <c r="W100" s="7">
        <f t="shared" si="115"/>
        <v>4</v>
      </c>
      <c r="X100" s="7">
        <f t="shared" si="116"/>
        <v>1</v>
      </c>
      <c r="Y100" s="7">
        <f t="shared" si="109"/>
        <v>1</v>
      </c>
      <c r="AA100" s="7">
        <f t="shared" si="110"/>
        <v>1</v>
      </c>
      <c r="AB100" s="7">
        <f t="shared" si="111"/>
        <v>1</v>
      </c>
      <c r="AC100" s="7" t="e">
        <f>INDEX('변표 테이블'!$C$86:$C$165,MATCH(O100,'변표 테이블'!$B$86:$B$165,0))</f>
        <v>#N/A</v>
      </c>
      <c r="AD100" s="7" t="e">
        <f>INDEX('변표 테이블'!$D$86:$D$165,MATCH(O100,'변표 테이블'!$B$86:$B$165,0))</f>
        <v>#N/A</v>
      </c>
      <c r="AF100" s="7">
        <v>2</v>
      </c>
      <c r="AG100" s="7">
        <v>2</v>
      </c>
      <c r="AH100" s="7">
        <v>2</v>
      </c>
      <c r="AI100" s="7">
        <v>2</v>
      </c>
      <c r="AK100" s="7">
        <v>2</v>
      </c>
      <c r="AL100" s="7">
        <v>2</v>
      </c>
      <c r="AM100" s="7">
        <v>3</v>
      </c>
      <c r="AN100" s="7">
        <v>3</v>
      </c>
      <c r="AP100" s="7">
        <f t="shared" si="105"/>
        <v>2</v>
      </c>
      <c r="BH100" s="121">
        <v>200</v>
      </c>
      <c r="BI100" s="7">
        <v>180</v>
      </c>
      <c r="BJ100" s="7">
        <v>150</v>
      </c>
      <c r="BK100" s="7">
        <v>120</v>
      </c>
      <c r="BL100" s="7">
        <v>110</v>
      </c>
      <c r="BM100" s="7">
        <v>100</v>
      </c>
      <c r="BN100" s="7">
        <v>70</v>
      </c>
      <c r="BO100" s="7">
        <v>40</v>
      </c>
      <c r="BP100" s="7">
        <v>20</v>
      </c>
      <c r="BQ100" s="121">
        <v>3</v>
      </c>
      <c r="BR100" s="7">
        <v>2</v>
      </c>
      <c r="BS100" s="7">
        <v>1</v>
      </c>
      <c r="CI100" s="7">
        <f t="shared" si="84"/>
        <v>200</v>
      </c>
      <c r="CJ100" s="163">
        <f t="shared" si="85"/>
        <v>100</v>
      </c>
      <c r="CK100" s="7">
        <f t="shared" si="86"/>
        <v>3</v>
      </c>
      <c r="CN100" s="7">
        <v>2</v>
      </c>
      <c r="CZ100" s="7">
        <f t="shared" si="87"/>
        <v>2</v>
      </c>
      <c r="DA100" s="7">
        <f t="shared" si="106"/>
        <v>2</v>
      </c>
      <c r="DB100" s="7">
        <f t="shared" si="88"/>
        <v>0</v>
      </c>
      <c r="DC100" s="7">
        <f t="shared" si="107"/>
        <v>0</v>
      </c>
      <c r="DE100" s="7">
        <f t="shared" si="89"/>
        <v>0</v>
      </c>
      <c r="DF100" s="7">
        <f t="shared" si="90"/>
        <v>0</v>
      </c>
      <c r="DG100" s="7">
        <f>IFERROR(IF(LEFT($AP100,1)="4",INDEX('변표 테이블'!$H$86:$H$165,MATCH($O100,'변표 테이블'!$B$86:$B$165,0)),INDEX(DG$4:DG$8,MATCH(AH100,$DC$4:$DC$8,0))),0)</f>
        <v>0</v>
      </c>
      <c r="DH100" s="7">
        <f>IFERROR(IF(LEFT($AP100,1)="4",INDEX('변표 테이블'!$I$86:$I$165,MATCH($O100,'변표 테이블'!$B$86:$B$165,0)),INDEX(DH$4:DH$8,MATCH(AI100,$DC$4:$DC$8,0))),0)</f>
        <v>0</v>
      </c>
      <c r="DJ100" s="7">
        <f>IFERROR(IF(LEFT($AP100,1)="4",INDEX('변표 테이블'!$J$86:$J$165,MATCH($O100,'변표 테이블'!$B$86:$B$165,0)),INDEX(DI$4:DI$8,MATCH(AK100,$DC$4:$DC$8,0))),0)</f>
        <v>0</v>
      </c>
      <c r="DK100" s="7">
        <f>IFERROR(IF(LEFT($AP100,1)="4",INDEX('변표 테이블'!$K$86:$K$165,MATCH($O100,'변표 테이블'!$B$86:$B$165,0)),INDEX(DJ$4:DJ$8,MATCH(AL100,$DC$4:$DC$8,0))),0)</f>
        <v>0</v>
      </c>
      <c r="DL100" s="7" t="str">
        <f t="shared" si="91"/>
        <v/>
      </c>
      <c r="DM100" s="7" t="str">
        <f t="shared" si="92"/>
        <v/>
      </c>
      <c r="DN100" s="7">
        <f t="shared" si="93"/>
        <v>0</v>
      </c>
      <c r="DP100" s="7">
        <f t="shared" si="94"/>
        <v>0</v>
      </c>
      <c r="DQ100" s="7">
        <f t="shared" si="95"/>
        <v>0</v>
      </c>
      <c r="DR100" s="7">
        <f t="shared" si="96"/>
        <v>0</v>
      </c>
      <c r="DS100" s="7">
        <f t="shared" si="97"/>
        <v>0</v>
      </c>
      <c r="DT100" s="7">
        <f t="shared" si="98"/>
        <v>0</v>
      </c>
      <c r="DU100" s="7">
        <f t="shared" si="99"/>
        <v>0</v>
      </c>
      <c r="DV100" s="7">
        <f t="shared" si="100"/>
        <v>0</v>
      </c>
      <c r="DW100" s="7">
        <f>LARGE((DR100:DS100,DU100:DV100),1)</f>
        <v>0</v>
      </c>
      <c r="DX100" s="7">
        <f>IF(DA100&lt;2,0,LARGE((DR100:DS100,DU100:DV100),2))</f>
        <v>0</v>
      </c>
      <c r="DY100" s="7">
        <f t="shared" si="101"/>
        <v>0</v>
      </c>
      <c r="DZ100" s="7">
        <f t="shared" si="102"/>
        <v>0</v>
      </c>
      <c r="EA100" s="7">
        <f t="shared" si="103"/>
        <v>0</v>
      </c>
      <c r="EF100" s="7">
        <f t="shared" si="104"/>
        <v>0</v>
      </c>
      <c r="EH100" s="7">
        <f t="shared" si="108"/>
        <v>0</v>
      </c>
      <c r="EI100" s="7">
        <f>IF(EH100=0,0,COUNTIF($EH$16:EH100,"&gt;"&amp;0))</f>
        <v>0</v>
      </c>
    </row>
    <row r="101" spans="1:141" x14ac:dyDescent="0.3">
      <c r="A101" s="165">
        <v>100</v>
      </c>
      <c r="C101" s="7" t="s">
        <v>203</v>
      </c>
      <c r="D101" s="7">
        <v>1000</v>
      </c>
      <c r="E101" s="7">
        <v>0.3</v>
      </c>
      <c r="F101" s="7">
        <v>0.3</v>
      </c>
      <c r="G101" s="7">
        <v>0.15</v>
      </c>
      <c r="H101" s="7">
        <v>0.15</v>
      </c>
      <c r="J101" s="7">
        <v>0.15</v>
      </c>
      <c r="K101" s="7">
        <v>0.15</v>
      </c>
      <c r="O101" s="7">
        <f t="shared" si="112"/>
        <v>0</v>
      </c>
      <c r="Q101" s="7">
        <f t="shared" si="81"/>
        <v>3</v>
      </c>
      <c r="R101" s="7">
        <f t="shared" si="82"/>
        <v>3</v>
      </c>
      <c r="S101" s="7">
        <f t="shared" si="113"/>
        <v>1.5</v>
      </c>
      <c r="T101" s="7">
        <f t="shared" si="80"/>
        <v>1.5</v>
      </c>
      <c r="U101" s="7">
        <f t="shared" si="83"/>
        <v>3</v>
      </c>
      <c r="V101" s="7">
        <f t="shared" si="114"/>
        <v>3</v>
      </c>
      <c r="W101" s="7">
        <f t="shared" si="115"/>
        <v>3</v>
      </c>
      <c r="X101" s="7">
        <f t="shared" si="116"/>
        <v>1.5</v>
      </c>
      <c r="Y101" s="7">
        <f t="shared" si="109"/>
        <v>1.5</v>
      </c>
      <c r="AA101" s="7">
        <f t="shared" si="110"/>
        <v>1.5</v>
      </c>
      <c r="AB101" s="7">
        <f t="shared" si="111"/>
        <v>1.5</v>
      </c>
      <c r="AC101" s="7" t="e">
        <f>INDEX('변표 테이블'!$C$86:$C$165,MATCH(O101,'변표 테이블'!$B$86:$B$165,0))</f>
        <v>#N/A</v>
      </c>
      <c r="AD101" s="7" t="e">
        <f>INDEX('변표 테이블'!$D$86:$D$165,MATCH(O101,'변표 테이블'!$B$86:$B$165,0))</f>
        <v>#N/A</v>
      </c>
      <c r="AF101" s="7">
        <v>2</v>
      </c>
      <c r="AG101" s="7">
        <v>2</v>
      </c>
      <c r="AH101" s="7">
        <v>2</v>
      </c>
      <c r="AI101" s="7">
        <v>2</v>
      </c>
      <c r="AK101" s="7">
        <v>2</v>
      </c>
      <c r="AL101" s="7">
        <v>2</v>
      </c>
      <c r="AM101" s="7">
        <v>3</v>
      </c>
      <c r="AN101" s="7">
        <v>3</v>
      </c>
      <c r="AP101" s="7">
        <f t="shared" si="105"/>
        <v>2</v>
      </c>
      <c r="AR101" s="7">
        <f>0.05*$W$101</f>
        <v>0.15000000000000002</v>
      </c>
      <c r="AS101" s="7">
        <f>0.05*$W$101</f>
        <v>0.15000000000000002</v>
      </c>
      <c r="AT101" s="7">
        <f>0.05*$X$101</f>
        <v>7.5000000000000011E-2</v>
      </c>
      <c r="AU101" s="7">
        <f>0.05*$X$101</f>
        <v>7.5000000000000011E-2</v>
      </c>
      <c r="BA101" s="7">
        <f>BA6*AR101</f>
        <v>0</v>
      </c>
      <c r="BB101" s="7">
        <f>BB6*AS101</f>
        <v>0</v>
      </c>
      <c r="BC101" s="7">
        <f>AH6*AT101</f>
        <v>0</v>
      </c>
      <c r="BD101" s="7">
        <f>AI6*AU101</f>
        <v>0</v>
      </c>
      <c r="BH101" s="121">
        <v>100</v>
      </c>
      <c r="BI101" s="7">
        <v>90</v>
      </c>
      <c r="BJ101" s="7">
        <v>80</v>
      </c>
      <c r="BK101" s="7">
        <v>70</v>
      </c>
      <c r="BL101" s="7">
        <v>60</v>
      </c>
      <c r="BM101" s="7">
        <v>50</v>
      </c>
      <c r="BN101" s="7">
        <v>40</v>
      </c>
      <c r="BO101" s="7">
        <v>30</v>
      </c>
      <c r="BP101" s="7">
        <v>20</v>
      </c>
      <c r="CI101" s="7">
        <f t="shared" si="84"/>
        <v>100</v>
      </c>
      <c r="CJ101" s="163">
        <f t="shared" si="85"/>
        <v>100</v>
      </c>
      <c r="CK101" s="7">
        <f t="shared" si="86"/>
        <v>0</v>
      </c>
      <c r="CN101" s="7">
        <v>2</v>
      </c>
      <c r="CY101" s="7">
        <v>1</v>
      </c>
      <c r="CZ101" s="7">
        <f t="shared" si="87"/>
        <v>1</v>
      </c>
      <c r="DA101" s="7">
        <f t="shared" si="106"/>
        <v>2</v>
      </c>
      <c r="DB101" s="7">
        <f t="shared" si="88"/>
        <v>0</v>
      </c>
      <c r="DC101" s="7">
        <f t="shared" si="107"/>
        <v>0</v>
      </c>
      <c r="DE101" s="7">
        <f t="shared" si="89"/>
        <v>0</v>
      </c>
      <c r="DF101" s="7">
        <f t="shared" si="90"/>
        <v>0</v>
      </c>
      <c r="DG101" s="7">
        <f>IFERROR(IF(LEFT($AP101,1)="4",INDEX('변표 테이블'!$H$86:$H$165,MATCH($O101,'변표 테이블'!$B$86:$B$165,0)),INDEX(DG$4:DG$8,MATCH(AH101,$DC$4:$DC$8,0))),0)</f>
        <v>0</v>
      </c>
      <c r="DH101" s="7">
        <f>IFERROR(IF(LEFT($AP101,1)="4",INDEX('변표 테이블'!$I$86:$I$165,MATCH($O101,'변표 테이블'!$B$86:$B$165,0)),INDEX(DH$4:DH$8,MATCH(AI101,$DC$4:$DC$8,0))),0)</f>
        <v>0</v>
      </c>
      <c r="DJ101" s="7">
        <f>IFERROR(IF(LEFT($AP101,1)="4",INDEX('변표 테이블'!$J$86:$J$165,MATCH($O101,'변표 테이블'!$B$86:$B$165,0)),INDEX(DI$4:DI$8,MATCH(AK101,$DC$4:$DC$8,0))),0)</f>
        <v>0</v>
      </c>
      <c r="DK101" s="7">
        <f>IFERROR(IF(LEFT($AP101,1)="4",INDEX('변표 테이블'!$K$86:$K$165,MATCH($O101,'변표 테이블'!$B$86:$B$165,0)),INDEX(DJ$4:DJ$8,MATCH(AL101,$DC$4:$DC$8,0))),0)</f>
        <v>0</v>
      </c>
      <c r="DL101" s="7" t="str">
        <f t="shared" si="91"/>
        <v/>
      </c>
      <c r="DM101" s="7" t="str">
        <f t="shared" si="92"/>
        <v/>
      </c>
      <c r="DN101" s="7">
        <f t="shared" si="93"/>
        <v>0</v>
      </c>
      <c r="DP101" s="7">
        <f t="shared" si="94"/>
        <v>0</v>
      </c>
      <c r="DQ101" s="7">
        <f t="shared" si="95"/>
        <v>0</v>
      </c>
      <c r="DR101" s="7">
        <f t="shared" si="96"/>
        <v>0</v>
      </c>
      <c r="DS101" s="7">
        <f t="shared" si="97"/>
        <v>0</v>
      </c>
      <c r="DT101" s="7">
        <f t="shared" si="98"/>
        <v>0</v>
      </c>
      <c r="DU101" s="7">
        <f t="shared" si="99"/>
        <v>0</v>
      </c>
      <c r="DV101" s="7">
        <f t="shared" si="100"/>
        <v>0</v>
      </c>
      <c r="DW101" s="7">
        <f>LARGE((DR101:DS101,DU101:DV101),1)</f>
        <v>0</v>
      </c>
      <c r="DX101" s="7">
        <f>IF(DA101&lt;2,0,LARGE((DR101:DS101,DU101:DV101),2))</f>
        <v>0</v>
      </c>
      <c r="DY101" s="7">
        <f t="shared" si="101"/>
        <v>0</v>
      </c>
      <c r="DZ101" s="7">
        <f t="shared" si="102"/>
        <v>0</v>
      </c>
      <c r="EA101" s="7">
        <f t="shared" si="103"/>
        <v>0</v>
      </c>
      <c r="EF101" s="7">
        <f t="shared" si="104"/>
        <v>0</v>
      </c>
      <c r="EH101" s="7">
        <f t="shared" si="108"/>
        <v>1</v>
      </c>
      <c r="EI101" s="7">
        <f>IF(EH101=0,0,COUNTIF($EH$16:EH101,"&gt;"&amp;0))</f>
        <v>14</v>
      </c>
    </row>
    <row r="102" spans="1:141" x14ac:dyDescent="0.3">
      <c r="A102" s="165">
        <v>101</v>
      </c>
      <c r="C102" s="7" t="s">
        <v>204</v>
      </c>
      <c r="D102" s="7">
        <v>1000</v>
      </c>
      <c r="E102" s="7">
        <v>0.25</v>
      </c>
      <c r="F102" s="7">
        <v>0.35</v>
      </c>
      <c r="G102" s="7">
        <v>0.1</v>
      </c>
      <c r="H102" s="7">
        <v>0.1</v>
      </c>
      <c r="M102" s="7">
        <v>1</v>
      </c>
      <c r="O102" s="7">
        <f t="shared" si="112"/>
        <v>1</v>
      </c>
      <c r="Q102" s="7">
        <f t="shared" si="81"/>
        <v>1.6778523489932886</v>
      </c>
      <c r="R102" s="7">
        <f t="shared" si="82"/>
        <v>2.3809523809523809</v>
      </c>
      <c r="S102" s="7">
        <f t="shared" si="113"/>
        <v>1.4058765640376776</v>
      </c>
      <c r="T102" s="7" t="str">
        <f t="shared" si="80"/>
        <v>자동</v>
      </c>
      <c r="U102" s="7">
        <f t="shared" si="83"/>
        <v>1.4058765640376776</v>
      </c>
      <c r="V102" s="7">
        <f t="shared" si="114"/>
        <v>1.6778523489932886</v>
      </c>
      <c r="W102" s="7">
        <f t="shared" si="115"/>
        <v>2.3809523809523809</v>
      </c>
      <c r="X102" s="7">
        <f t="shared" si="116"/>
        <v>1.4058765640376776</v>
      </c>
      <c r="Y102" s="7">
        <f t="shared" si="109"/>
        <v>1.4058765640376776</v>
      </c>
      <c r="AA102" s="7" t="str">
        <f t="shared" si="110"/>
        <v>자동</v>
      </c>
      <c r="AB102" s="7" t="str">
        <f t="shared" si="111"/>
        <v>자동</v>
      </c>
      <c r="AC102" s="7">
        <f>INDEX('변표 테이블'!$C$86:$C$165,MATCH(O102,'변표 테이블'!$B$86:$B$165,0))</f>
        <v>71.13</v>
      </c>
      <c r="AD102" s="7">
        <f>INDEX('변표 테이블'!$D$86:$D$165,MATCH(O102,'변표 테이블'!$B$86:$B$165,0))</f>
        <v>66</v>
      </c>
      <c r="AF102" s="7">
        <v>12</v>
      </c>
      <c r="AG102" s="7">
        <v>12</v>
      </c>
      <c r="AH102" s="7">
        <v>42</v>
      </c>
      <c r="AI102" s="7">
        <v>42</v>
      </c>
      <c r="AM102" s="7">
        <v>3</v>
      </c>
      <c r="AN102" s="7">
        <v>3</v>
      </c>
      <c r="AP102" s="7">
        <f t="shared" si="105"/>
        <v>42</v>
      </c>
      <c r="BH102" s="121">
        <v>200</v>
      </c>
      <c r="BI102" s="7">
        <v>190</v>
      </c>
      <c r="BJ102" s="7">
        <v>170</v>
      </c>
      <c r="BK102" s="7">
        <v>150</v>
      </c>
      <c r="BL102" s="7">
        <v>130</v>
      </c>
      <c r="BM102" s="7">
        <v>110</v>
      </c>
      <c r="BN102" s="7">
        <v>90</v>
      </c>
      <c r="BO102" s="7">
        <v>70</v>
      </c>
      <c r="BP102" s="7">
        <v>50</v>
      </c>
      <c r="BQ102" s="121">
        <v>3</v>
      </c>
      <c r="BR102" s="7">
        <v>3</v>
      </c>
      <c r="BS102" s="7">
        <v>3</v>
      </c>
      <c r="BT102" s="7">
        <v>2</v>
      </c>
      <c r="BU102" s="7">
        <v>2</v>
      </c>
      <c r="BV102" s="7">
        <v>2</v>
      </c>
      <c r="BW102" s="7">
        <v>1</v>
      </c>
      <c r="BX102" s="7">
        <v>1</v>
      </c>
      <c r="BY102" s="7">
        <v>1</v>
      </c>
      <c r="CI102" s="7">
        <f t="shared" si="84"/>
        <v>200</v>
      </c>
      <c r="CJ102" s="163">
        <f t="shared" si="85"/>
        <v>100</v>
      </c>
      <c r="CK102" s="7">
        <f t="shared" si="86"/>
        <v>3</v>
      </c>
      <c r="CL102" s="7">
        <v>2</v>
      </c>
      <c r="CP102" s="7">
        <v>1</v>
      </c>
      <c r="CR102" s="7">
        <v>1</v>
      </c>
      <c r="CZ102" s="7">
        <f t="shared" si="87"/>
        <v>1</v>
      </c>
      <c r="DA102" s="7">
        <f t="shared" si="106"/>
        <v>2</v>
      </c>
      <c r="DB102" s="7">
        <f t="shared" si="88"/>
        <v>0</v>
      </c>
      <c r="DC102" s="7">
        <f t="shared" si="107"/>
        <v>0</v>
      </c>
      <c r="DE102" s="7">
        <f t="shared" si="89"/>
        <v>0</v>
      </c>
      <c r="DF102" s="7">
        <f t="shared" si="90"/>
        <v>0</v>
      </c>
      <c r="DG102" s="7">
        <f>IFERROR(IF(LEFT($AP102,1)="4",INDEX('변표 테이블'!$H$86:$H$165,MATCH($O102,'변표 테이블'!$B$86:$B$165,0)),INDEX(DG$4:DG$8,MATCH(AH102,$DC$4:$DC$8,0))),0)</f>
        <v>0</v>
      </c>
      <c r="DH102" s="7">
        <f>IFERROR(IF(LEFT($AP102,1)="4",INDEX('변표 테이블'!$I$86:$I$165,MATCH($O102,'변표 테이블'!$B$86:$B$165,0)),INDEX(DH$4:DH$8,MATCH(AI102,$DC$4:$DC$8,0))),0)</f>
        <v>0</v>
      </c>
      <c r="DJ102" s="7">
        <f>IFERROR(IF(LEFT($AP102,1)="4",INDEX('변표 테이블'!$J$86:$J$165,MATCH($O102,'변표 테이블'!$B$86:$B$165,0)),INDEX(DI$4:DI$8,MATCH(AK102,$DC$4:$DC$8,0))),0)</f>
        <v>0</v>
      </c>
      <c r="DK102" s="7">
        <f>IFERROR(IF(LEFT($AP102,1)="4",INDEX('변표 테이블'!$K$86:$K$165,MATCH($O102,'변표 테이블'!$B$86:$B$165,0)),INDEX(DJ$4:DJ$8,MATCH(AL102,$DC$4:$DC$8,0))),0)</f>
        <v>0</v>
      </c>
      <c r="DL102" s="7" t="str">
        <f t="shared" si="91"/>
        <v/>
      </c>
      <c r="DM102" s="7" t="str">
        <f t="shared" si="92"/>
        <v/>
      </c>
      <c r="DN102" s="7">
        <f t="shared" si="93"/>
        <v>0</v>
      </c>
      <c r="DP102" s="7">
        <f t="shared" si="94"/>
        <v>0</v>
      </c>
      <c r="DQ102" s="7">
        <f t="shared" si="95"/>
        <v>0</v>
      </c>
      <c r="DR102" s="7">
        <f t="shared" si="96"/>
        <v>0</v>
      </c>
      <c r="DS102" s="7">
        <f t="shared" si="97"/>
        <v>0</v>
      </c>
      <c r="DT102" s="7">
        <f t="shared" si="98"/>
        <v>0</v>
      </c>
      <c r="DU102" s="7">
        <f t="shared" si="99"/>
        <v>0</v>
      </c>
      <c r="DV102" s="7">
        <f t="shared" si="100"/>
        <v>0</v>
      </c>
      <c r="DW102" s="7">
        <f>LARGE((DR102:DS102,DU102:DV102),1)</f>
        <v>0</v>
      </c>
      <c r="DX102" s="7">
        <f>IF(DA102&lt;2,0,LARGE((DR102:DS102,DU102:DV102),2))</f>
        <v>0</v>
      </c>
      <c r="DY102" s="7">
        <f t="shared" si="101"/>
        <v>0</v>
      </c>
      <c r="DZ102" s="7">
        <f t="shared" si="102"/>
        <v>0</v>
      </c>
      <c r="EA102" s="7">
        <f t="shared" si="103"/>
        <v>0</v>
      </c>
      <c r="EF102" s="7">
        <f t="shared" si="104"/>
        <v>0</v>
      </c>
      <c r="EH102" s="7">
        <f t="shared" si="108"/>
        <v>0</v>
      </c>
      <c r="EI102" s="7">
        <f>IF(EH102=0,0,COUNTIF($EH$16:EH102,"&gt;"&amp;0))</f>
        <v>0</v>
      </c>
    </row>
    <row r="103" spans="1:141" x14ac:dyDescent="0.3">
      <c r="A103" s="165">
        <v>102</v>
      </c>
      <c r="C103" s="7" t="s">
        <v>205</v>
      </c>
      <c r="D103" s="7">
        <v>300</v>
      </c>
      <c r="E103" s="7">
        <f>1/3</f>
        <v>0.33333333333333331</v>
      </c>
      <c r="F103" s="7">
        <f t="shared" ref="F103" si="117">1/3</f>
        <v>0.33333333333333331</v>
      </c>
      <c r="G103" s="7">
        <f>1/3/2</f>
        <v>0.16666666666666666</v>
      </c>
      <c r="H103" s="7">
        <f>1/3/2</f>
        <v>0.16666666666666666</v>
      </c>
      <c r="O103" s="7">
        <f t="shared" si="112"/>
        <v>0</v>
      </c>
      <c r="Q103" s="7">
        <f t="shared" si="81"/>
        <v>1</v>
      </c>
      <c r="R103" s="7">
        <f t="shared" si="82"/>
        <v>1</v>
      </c>
      <c r="S103" s="7">
        <f t="shared" si="113"/>
        <v>0.5</v>
      </c>
      <c r="T103" s="7" t="str">
        <f t="shared" si="80"/>
        <v>자동</v>
      </c>
      <c r="U103" s="7">
        <f t="shared" si="83"/>
        <v>1</v>
      </c>
      <c r="V103" s="7">
        <f t="shared" si="114"/>
        <v>1</v>
      </c>
      <c r="W103" s="7">
        <f t="shared" si="115"/>
        <v>1</v>
      </c>
      <c r="X103" s="7">
        <f t="shared" si="116"/>
        <v>0.5</v>
      </c>
      <c r="Y103" s="7">
        <f t="shared" si="109"/>
        <v>0.5</v>
      </c>
      <c r="AA103" s="7" t="str">
        <f t="shared" si="110"/>
        <v>자동</v>
      </c>
      <c r="AB103" s="7" t="str">
        <f t="shared" si="111"/>
        <v>자동</v>
      </c>
      <c r="AC103" s="7" t="e">
        <f>INDEX('변표 테이블'!$C$86:$C$165,MATCH(O103,'변표 테이블'!$B$86:$B$165,0))</f>
        <v>#N/A</v>
      </c>
      <c r="AD103" s="7" t="e">
        <f>INDEX('변표 테이블'!$D$86:$D$165,MATCH(O103,'변표 테이블'!$B$86:$B$165,0))</f>
        <v>#N/A</v>
      </c>
      <c r="AF103" s="7">
        <v>2</v>
      </c>
      <c r="AG103" s="7">
        <v>2</v>
      </c>
      <c r="AH103" s="7">
        <v>2</v>
      </c>
      <c r="AI103" s="7">
        <v>2</v>
      </c>
      <c r="AM103" s="7">
        <v>3</v>
      </c>
      <c r="AN103" s="7">
        <v>3</v>
      </c>
      <c r="AP103" s="7">
        <f t="shared" si="105"/>
        <v>2</v>
      </c>
      <c r="BA103" s="7">
        <v>5</v>
      </c>
      <c r="BC103" s="7">
        <v>5</v>
      </c>
      <c r="BH103" s="121">
        <v>100</v>
      </c>
      <c r="BI103" s="7">
        <v>95</v>
      </c>
      <c r="BJ103" s="7">
        <v>90</v>
      </c>
      <c r="BK103" s="7">
        <v>85</v>
      </c>
      <c r="BL103" s="7">
        <v>80</v>
      </c>
      <c r="BM103" s="7">
        <v>75</v>
      </c>
      <c r="BN103" s="7">
        <v>70</v>
      </c>
      <c r="BO103" s="7">
        <v>65</v>
      </c>
      <c r="BP103" s="7">
        <v>60</v>
      </c>
      <c r="CI103" s="7">
        <f t="shared" si="84"/>
        <v>100</v>
      </c>
      <c r="CJ103" s="163">
        <f t="shared" si="85"/>
        <v>90.909090909090907</v>
      </c>
      <c r="CK103" s="7">
        <f t="shared" si="86"/>
        <v>0</v>
      </c>
      <c r="CL103" s="7">
        <v>2</v>
      </c>
      <c r="CP103" s="7">
        <v>1</v>
      </c>
      <c r="CR103" s="7">
        <v>1</v>
      </c>
      <c r="CZ103" s="7">
        <f t="shared" si="87"/>
        <v>1</v>
      </c>
      <c r="DA103" s="7">
        <f t="shared" si="106"/>
        <v>2</v>
      </c>
      <c r="DB103" s="7">
        <f t="shared" si="88"/>
        <v>0</v>
      </c>
      <c r="DC103" s="7">
        <f t="shared" si="107"/>
        <v>0</v>
      </c>
      <c r="DE103" s="7">
        <f t="shared" si="89"/>
        <v>0</v>
      </c>
      <c r="DF103" s="7">
        <f t="shared" si="90"/>
        <v>0</v>
      </c>
      <c r="DG103" s="7">
        <f>IFERROR(IF(LEFT($AP103,1)="4",INDEX('변표 테이블'!$H$86:$H$165,MATCH($O103,'변표 테이블'!$B$86:$B$165,0)),INDEX(DG$4:DG$8,MATCH(AH103,$DC$4:$DC$8,0))),0)</f>
        <v>0</v>
      </c>
      <c r="DH103" s="7">
        <f>IFERROR(IF(LEFT($AP103,1)="4",INDEX('변표 테이블'!$I$86:$I$165,MATCH($O103,'변표 테이블'!$B$86:$B$165,0)),INDEX(DH$4:DH$8,MATCH(AI103,$DC$4:$DC$8,0))),0)</f>
        <v>0</v>
      </c>
      <c r="DJ103" s="7">
        <f>IFERROR(IF(LEFT($AP103,1)="4",INDEX('변표 테이블'!$J$86:$J$165,MATCH($O103,'변표 테이블'!$B$86:$B$165,0)),INDEX(DI$4:DI$8,MATCH(AK103,$DC$4:$DC$8,0))),0)</f>
        <v>0</v>
      </c>
      <c r="DK103" s="7">
        <f>IFERROR(IF(LEFT($AP103,1)="4",INDEX('변표 테이블'!$K$86:$K$165,MATCH($O103,'변표 테이블'!$B$86:$B$165,0)),INDEX(DJ$4:DJ$8,MATCH(AL103,$DC$4:$DC$8,0))),0)</f>
        <v>0</v>
      </c>
      <c r="DL103" s="7" t="str">
        <f t="shared" si="91"/>
        <v/>
      </c>
      <c r="DM103" s="7" t="str">
        <f t="shared" si="92"/>
        <v/>
      </c>
      <c r="DN103" s="7">
        <f t="shared" si="93"/>
        <v>0</v>
      </c>
      <c r="DP103" s="7">
        <f t="shared" si="94"/>
        <v>0</v>
      </c>
      <c r="DQ103" s="7">
        <f t="shared" si="95"/>
        <v>5</v>
      </c>
      <c r="DR103" s="7">
        <f t="shared" si="96"/>
        <v>5</v>
      </c>
      <c r="DS103" s="7">
        <f t="shared" si="97"/>
        <v>0</v>
      </c>
      <c r="DT103" s="7">
        <f t="shared" si="98"/>
        <v>0</v>
      </c>
      <c r="DU103" s="7">
        <f t="shared" si="99"/>
        <v>0</v>
      </c>
      <c r="DV103" s="7">
        <f t="shared" si="100"/>
        <v>0</v>
      </c>
      <c r="DW103" s="7">
        <f>LARGE((DR103:DS103,DU103:DV103),1)</f>
        <v>5</v>
      </c>
      <c r="DX103" s="7">
        <f>IF(DA103&lt;2,0,LARGE((DR103:DS103,DU103:DV103),2))</f>
        <v>0</v>
      </c>
      <c r="DY103" s="7">
        <f t="shared" si="101"/>
        <v>0</v>
      </c>
      <c r="DZ103" s="7">
        <f t="shared" si="102"/>
        <v>0</v>
      </c>
      <c r="EA103" s="7">
        <f t="shared" si="103"/>
        <v>0</v>
      </c>
      <c r="EE103" s="7">
        <f>DQ103+DW103+DX103+LARGE((DP103,DY103),1)</f>
        <v>10</v>
      </c>
      <c r="EF103" s="7">
        <f t="shared" si="104"/>
        <v>10</v>
      </c>
      <c r="EH103" s="7">
        <f t="shared" si="108"/>
        <v>1</v>
      </c>
      <c r="EI103" s="7">
        <f>IF(EH103=0,0,COUNTIF($EH$16:EH103,"&gt;"&amp;0))</f>
        <v>15</v>
      </c>
      <c r="EJ103" s="7">
        <v>2</v>
      </c>
      <c r="EK103" s="7" t="s">
        <v>669</v>
      </c>
    </row>
    <row r="104" spans="1:141" x14ac:dyDescent="0.3">
      <c r="A104" s="165">
        <v>103</v>
      </c>
      <c r="C104" s="7" t="s">
        <v>206</v>
      </c>
      <c r="D104" s="7">
        <v>200</v>
      </c>
      <c r="E104" s="7">
        <v>0.2</v>
      </c>
      <c r="F104" s="7">
        <v>0.3</v>
      </c>
      <c r="G104" s="7">
        <v>0.1</v>
      </c>
      <c r="H104" s="7">
        <v>0.1</v>
      </c>
      <c r="J104" s="7">
        <v>0.1</v>
      </c>
      <c r="K104" s="7">
        <v>0.1</v>
      </c>
      <c r="O104" s="7">
        <f t="shared" si="112"/>
        <v>0</v>
      </c>
      <c r="Q104" s="7">
        <f t="shared" si="81"/>
        <v>0.4</v>
      </c>
      <c r="R104" s="7">
        <f t="shared" si="82"/>
        <v>0.6</v>
      </c>
      <c r="S104" s="7">
        <f t="shared" si="113"/>
        <v>0.2</v>
      </c>
      <c r="T104" s="7">
        <f t="shared" si="80"/>
        <v>0.2</v>
      </c>
      <c r="U104" s="7">
        <f t="shared" si="83"/>
        <v>0.4</v>
      </c>
      <c r="V104" s="7">
        <f t="shared" si="114"/>
        <v>0.4</v>
      </c>
      <c r="W104" s="7">
        <f t="shared" si="115"/>
        <v>0.6</v>
      </c>
      <c r="X104" s="7">
        <f t="shared" si="116"/>
        <v>0.2</v>
      </c>
      <c r="Y104" s="7">
        <f t="shared" si="109"/>
        <v>0.2</v>
      </c>
      <c r="AA104" s="7">
        <f t="shared" si="110"/>
        <v>0.2</v>
      </c>
      <c r="AB104" s="7">
        <f t="shared" si="111"/>
        <v>0.2</v>
      </c>
      <c r="AC104" s="7" t="e">
        <f>INDEX('변표 테이블'!$C$86:$C$165,MATCH(O104,'변표 테이블'!$B$86:$B$165,0))</f>
        <v>#N/A</v>
      </c>
      <c r="AD104" s="7" t="e">
        <f>INDEX('변표 테이블'!$D$86:$D$165,MATCH(O104,'변표 테이블'!$B$86:$B$165,0))</f>
        <v>#N/A</v>
      </c>
      <c r="AF104" s="7">
        <v>2</v>
      </c>
      <c r="AG104" s="7">
        <v>2</v>
      </c>
      <c r="AH104" s="7">
        <v>2</v>
      </c>
      <c r="AI104" s="7">
        <v>2</v>
      </c>
      <c r="AK104" s="7">
        <v>2</v>
      </c>
      <c r="AL104" s="7">
        <v>2</v>
      </c>
      <c r="AM104" s="7">
        <v>3</v>
      </c>
      <c r="AN104" s="7">
        <v>3</v>
      </c>
      <c r="AP104" s="7">
        <f t="shared" si="105"/>
        <v>2</v>
      </c>
      <c r="AR104" s="7">
        <f>0.1*$W$104</f>
        <v>0.06</v>
      </c>
      <c r="AS104" s="7">
        <f>0.1*$W$104</f>
        <v>0.06</v>
      </c>
      <c r="AT104" s="7">
        <f>0.1*X104</f>
        <v>2.0000000000000004E-2</v>
      </c>
      <c r="AU104" s="7">
        <f>0.1*Y104</f>
        <v>2.0000000000000004E-2</v>
      </c>
      <c r="BA104" s="7">
        <f>BA6*AR104</f>
        <v>0</v>
      </c>
      <c r="BB104" s="7">
        <f>BB6*AS104</f>
        <v>0</v>
      </c>
      <c r="BC104" s="7">
        <f>AH6*AT104</f>
        <v>0</v>
      </c>
      <c r="BD104" s="7">
        <f>AI6*AU104</f>
        <v>0</v>
      </c>
      <c r="BH104" s="121">
        <v>57.599999999999994</v>
      </c>
      <c r="BI104" s="7">
        <v>55.199999999999996</v>
      </c>
      <c r="BJ104" s="7">
        <v>51</v>
      </c>
      <c r="BK104" s="7">
        <v>43.8</v>
      </c>
      <c r="BL104" s="7">
        <v>33.6</v>
      </c>
      <c r="BM104" s="7">
        <v>21.599999999999998</v>
      </c>
      <c r="BN104" s="7">
        <v>11.4</v>
      </c>
      <c r="BO104" s="7">
        <v>4.2</v>
      </c>
      <c r="BP104" s="7">
        <v>0</v>
      </c>
      <c r="CI104" s="7">
        <f t="shared" si="84"/>
        <v>57.6</v>
      </c>
      <c r="CJ104" s="163">
        <f t="shared" si="85"/>
        <v>99.999999999999957</v>
      </c>
      <c r="CK104" s="7">
        <f t="shared" si="86"/>
        <v>0</v>
      </c>
      <c r="CN104" s="7">
        <v>2</v>
      </c>
      <c r="CY104" s="7">
        <v>1</v>
      </c>
      <c r="CZ104" s="7">
        <f t="shared" si="87"/>
        <v>1</v>
      </c>
      <c r="DA104" s="7">
        <f t="shared" si="106"/>
        <v>2</v>
      </c>
      <c r="DB104" s="7">
        <f t="shared" si="88"/>
        <v>0</v>
      </c>
      <c r="DC104" s="7">
        <f t="shared" si="107"/>
        <v>0</v>
      </c>
      <c r="DE104" s="7">
        <f t="shared" si="89"/>
        <v>0</v>
      </c>
      <c r="DF104" s="7">
        <f t="shared" si="90"/>
        <v>0</v>
      </c>
      <c r="DG104" s="7">
        <f>IFERROR(IF(LEFT($AP104,1)="4",INDEX('변표 테이블'!$H$86:$H$165,MATCH($O104,'변표 테이블'!$B$86:$B$165,0)),INDEX(DG$4:DG$8,MATCH(AH104,$DC$4:$DC$8,0))),0)</f>
        <v>0</v>
      </c>
      <c r="DH104" s="7">
        <f>IFERROR(IF(LEFT($AP104,1)="4",INDEX('변표 테이블'!$I$86:$I$165,MATCH($O104,'변표 테이블'!$B$86:$B$165,0)),INDEX(DH$4:DH$8,MATCH(AI104,$DC$4:$DC$8,0))),0)</f>
        <v>0</v>
      </c>
      <c r="DJ104" s="7">
        <f>IFERROR(IF(LEFT($AP104,1)="4",INDEX('변표 테이블'!$J$86:$J$165,MATCH($O104,'변표 테이블'!$B$86:$B$165,0)),INDEX(DI$4:DI$8,MATCH(AK104,$DC$4:$DC$8,0))),0)</f>
        <v>0</v>
      </c>
      <c r="DK104" s="7">
        <f>IFERROR(IF(LEFT($AP104,1)="4",INDEX('변표 테이블'!$K$86:$K$165,MATCH($O104,'변표 테이블'!$B$86:$B$165,0)),INDEX(DJ$4:DJ$8,MATCH(AL104,$DC$4:$DC$8,0))),0)</f>
        <v>0</v>
      </c>
      <c r="DL104" s="7" t="str">
        <f t="shared" si="91"/>
        <v/>
      </c>
      <c r="DM104" s="7" t="str">
        <f t="shared" si="92"/>
        <v/>
      </c>
      <c r="DN104" s="7">
        <f t="shared" si="93"/>
        <v>0</v>
      </c>
      <c r="DP104" s="7">
        <f t="shared" si="94"/>
        <v>0</v>
      </c>
      <c r="DQ104" s="7">
        <f t="shared" si="95"/>
        <v>0</v>
      </c>
      <c r="DR104" s="7">
        <f t="shared" si="96"/>
        <v>0</v>
      </c>
      <c r="DS104" s="7">
        <f t="shared" si="97"/>
        <v>0</v>
      </c>
      <c r="DT104" s="7">
        <f t="shared" si="98"/>
        <v>0</v>
      </c>
      <c r="DU104" s="7">
        <f t="shared" si="99"/>
        <v>0</v>
      </c>
      <c r="DV104" s="7">
        <f t="shared" si="100"/>
        <v>0</v>
      </c>
      <c r="DW104" s="7">
        <f>LARGE((DR104:DS104,DU104:DV104),1)</f>
        <v>0</v>
      </c>
      <c r="DX104" s="7">
        <f>IF(DA104&lt;2,0,LARGE((DR104:DS104,DU104:DV104),2))</f>
        <v>0</v>
      </c>
      <c r="DY104" s="7">
        <f t="shared" si="101"/>
        <v>0</v>
      </c>
      <c r="DZ104" s="7">
        <f t="shared" si="102"/>
        <v>0</v>
      </c>
      <c r="EA104" s="7">
        <f t="shared" si="103"/>
        <v>0</v>
      </c>
      <c r="EB104" s="7">
        <v>800</v>
      </c>
      <c r="EE104" s="7">
        <f>DP104+DQ104+DW104+DX104+DY104+800</f>
        <v>800</v>
      </c>
      <c r="EF104" s="7">
        <f t="shared" si="104"/>
        <v>800</v>
      </c>
      <c r="EH104" s="7">
        <f t="shared" si="108"/>
        <v>1</v>
      </c>
      <c r="EI104" s="7">
        <f>IF(EH104=0,0,COUNTIF($EH$16:EH104,"&gt;"&amp;0))</f>
        <v>16</v>
      </c>
    </row>
    <row r="105" spans="1:141" x14ac:dyDescent="0.3">
      <c r="A105" s="165">
        <v>104</v>
      </c>
      <c r="C105" s="7" t="s">
        <v>210</v>
      </c>
      <c r="D105" s="7">
        <v>1000</v>
      </c>
      <c r="E105" s="7">
        <v>0.2</v>
      </c>
      <c r="F105" s="7">
        <v>0.4</v>
      </c>
      <c r="G105" s="7">
        <v>0.15</v>
      </c>
      <c r="H105" s="7">
        <v>0.15</v>
      </c>
      <c r="M105" s="7">
        <v>1</v>
      </c>
      <c r="O105" s="7">
        <f t="shared" si="112"/>
        <v>1</v>
      </c>
      <c r="Q105" s="7">
        <f t="shared" si="81"/>
        <v>1.3422818791946309</v>
      </c>
      <c r="R105" s="7">
        <f t="shared" si="82"/>
        <v>2.7210884353741496</v>
      </c>
      <c r="S105" s="7">
        <f t="shared" si="113"/>
        <v>2.1088148460565166</v>
      </c>
      <c r="T105" s="7" t="str">
        <f t="shared" si="80"/>
        <v>자동</v>
      </c>
      <c r="U105" s="7">
        <f t="shared" si="83"/>
        <v>2.1088148460565166</v>
      </c>
      <c r="V105" s="7">
        <f t="shared" si="114"/>
        <v>1.3422818791946309</v>
      </c>
      <c r="W105" s="7">
        <f t="shared" si="115"/>
        <v>2.7210884353741496</v>
      </c>
      <c r="X105" s="7">
        <f t="shared" si="116"/>
        <v>2.1088148460565166</v>
      </c>
      <c r="Y105" s="7">
        <f t="shared" si="109"/>
        <v>2.1088148460565166</v>
      </c>
      <c r="AA105" s="7" t="str">
        <f t="shared" si="110"/>
        <v>자동</v>
      </c>
      <c r="AB105" s="7" t="str">
        <f t="shared" si="111"/>
        <v>자동</v>
      </c>
      <c r="AC105" s="7">
        <f>INDEX('변표 테이블'!$C$86:$C$165,MATCH(O105,'변표 테이블'!$B$86:$B$165,0))</f>
        <v>71.13</v>
      </c>
      <c r="AD105" s="7">
        <f>INDEX('변표 테이블'!$D$86:$D$165,MATCH(O105,'변표 테이블'!$B$86:$B$165,0))</f>
        <v>66</v>
      </c>
      <c r="AF105" s="7">
        <v>12</v>
      </c>
      <c r="AG105" s="7">
        <v>12</v>
      </c>
      <c r="AH105" s="7">
        <v>42</v>
      </c>
      <c r="AI105" s="7">
        <v>42</v>
      </c>
      <c r="AM105" s="7">
        <v>3</v>
      </c>
      <c r="AN105" s="7">
        <v>3</v>
      </c>
      <c r="AP105" s="7">
        <f t="shared" si="105"/>
        <v>42</v>
      </c>
      <c r="BH105" s="121">
        <v>100</v>
      </c>
      <c r="BI105" s="7">
        <v>96</v>
      </c>
      <c r="BJ105" s="7">
        <v>92</v>
      </c>
      <c r="BK105" s="7">
        <v>84</v>
      </c>
      <c r="BL105" s="7">
        <v>60</v>
      </c>
      <c r="BM105" s="7">
        <v>40</v>
      </c>
      <c r="BN105" s="7">
        <v>20</v>
      </c>
      <c r="BO105" s="7">
        <v>10</v>
      </c>
      <c r="BP105" s="7">
        <v>0</v>
      </c>
      <c r="BU105" s="7">
        <v>-5</v>
      </c>
      <c r="BV105" s="7">
        <v>-10</v>
      </c>
      <c r="BW105" s="7">
        <v>-20</v>
      </c>
      <c r="BX105" s="7">
        <v>-30</v>
      </c>
      <c r="BY105" s="7">
        <v>-40</v>
      </c>
      <c r="CI105" s="7">
        <f t="shared" si="84"/>
        <v>100</v>
      </c>
      <c r="CJ105" s="163">
        <f t="shared" si="85"/>
        <v>100</v>
      </c>
      <c r="CK105" s="7">
        <f t="shared" si="86"/>
        <v>0</v>
      </c>
      <c r="CL105" s="7">
        <v>2</v>
      </c>
      <c r="CP105" s="7">
        <v>1</v>
      </c>
      <c r="CR105" s="7">
        <v>1</v>
      </c>
      <c r="CZ105" s="7">
        <f t="shared" si="87"/>
        <v>1</v>
      </c>
      <c r="DA105" s="7">
        <f t="shared" si="106"/>
        <v>2</v>
      </c>
      <c r="DB105" s="7">
        <f t="shared" si="88"/>
        <v>0</v>
      </c>
      <c r="DC105" s="7">
        <f t="shared" si="107"/>
        <v>0</v>
      </c>
      <c r="DE105" s="7">
        <f t="shared" si="89"/>
        <v>0</v>
      </c>
      <c r="DF105" s="7">
        <f t="shared" si="90"/>
        <v>0</v>
      </c>
      <c r="DG105" s="7">
        <f>IFERROR(IF(LEFT($AP105,1)="4",INDEX('변표 테이블'!$H$86:$H$165,MATCH($O105,'변표 테이블'!$B$86:$B$165,0)),INDEX(DG$4:DG$8,MATCH(AH105,$DC$4:$DC$8,0))),0)</f>
        <v>0</v>
      </c>
      <c r="DH105" s="7">
        <f>IFERROR(IF(LEFT($AP105,1)="4",INDEX('변표 테이블'!$I$86:$I$165,MATCH($O105,'변표 테이블'!$B$86:$B$165,0)),INDEX(DH$4:DH$8,MATCH(AI105,$DC$4:$DC$8,0))),0)</f>
        <v>0</v>
      </c>
      <c r="DJ105" s="7">
        <f>IFERROR(IF(LEFT($AP105,1)="4",INDEX('변표 테이블'!$J$86:$J$165,MATCH($O105,'변표 테이블'!$B$86:$B$165,0)),INDEX(DI$4:DI$8,MATCH(AK105,$DC$4:$DC$8,0))),0)</f>
        <v>0</v>
      </c>
      <c r="DK105" s="7">
        <f>IFERROR(IF(LEFT($AP105,1)="4",INDEX('변표 테이블'!$K$86:$K$165,MATCH($O105,'변표 테이블'!$B$86:$B$165,0)),INDEX(DJ$4:DJ$8,MATCH(AL105,$DC$4:$DC$8,0))),0)</f>
        <v>0</v>
      </c>
      <c r="DL105" s="7" t="str">
        <f t="shared" si="91"/>
        <v/>
      </c>
      <c r="DM105" s="7" t="str">
        <f t="shared" si="92"/>
        <v/>
      </c>
      <c r="DN105" s="7">
        <f t="shared" si="93"/>
        <v>0</v>
      </c>
      <c r="DP105" s="7">
        <f t="shared" si="94"/>
        <v>0</v>
      </c>
      <c r="DQ105" s="7">
        <f t="shared" si="95"/>
        <v>0</v>
      </c>
      <c r="DR105" s="7">
        <f t="shared" si="96"/>
        <v>0</v>
      </c>
      <c r="DS105" s="7">
        <f t="shared" si="97"/>
        <v>0</v>
      </c>
      <c r="DT105" s="7">
        <f t="shared" si="98"/>
        <v>0</v>
      </c>
      <c r="DU105" s="7">
        <f t="shared" si="99"/>
        <v>0</v>
      </c>
      <c r="DV105" s="7">
        <f t="shared" si="100"/>
        <v>0</v>
      </c>
      <c r="DW105" s="7">
        <f>LARGE((DR105:DS105,DU105:DV105),1)</f>
        <v>0</v>
      </c>
      <c r="DX105" s="7">
        <f>IF(DA105&lt;2,0,LARGE((DR105:DS105,DU105:DV105),2))</f>
        <v>0</v>
      </c>
      <c r="DY105" s="7">
        <f t="shared" si="101"/>
        <v>0</v>
      </c>
      <c r="DZ105" s="7">
        <f t="shared" si="102"/>
        <v>0</v>
      </c>
      <c r="EA105" s="7">
        <f t="shared" si="103"/>
        <v>0</v>
      </c>
      <c r="EF105" s="7">
        <f t="shared" si="104"/>
        <v>0</v>
      </c>
      <c r="EH105" s="7">
        <f t="shared" si="108"/>
        <v>0</v>
      </c>
      <c r="EI105" s="7">
        <f>IF(EH105=0,0,COUNTIF($EH$16:EH105,"&gt;"&amp;0))</f>
        <v>0</v>
      </c>
    </row>
    <row r="106" spans="1:141" x14ac:dyDescent="0.3">
      <c r="A106" s="165">
        <v>105</v>
      </c>
      <c r="C106" s="7" t="s">
        <v>211</v>
      </c>
      <c r="D106" s="7">
        <v>1000</v>
      </c>
      <c r="E106" s="7">
        <v>0.2</v>
      </c>
      <c r="F106" s="7">
        <v>0.35</v>
      </c>
      <c r="G106" s="7">
        <v>0.125</v>
      </c>
      <c r="H106" s="7">
        <v>0.125</v>
      </c>
      <c r="M106" s="7">
        <v>1</v>
      </c>
      <c r="O106" s="7">
        <f t="shared" si="112"/>
        <v>1</v>
      </c>
      <c r="Q106" s="7">
        <f t="shared" si="81"/>
        <v>1.3422818791946309</v>
      </c>
      <c r="R106" s="7">
        <f t="shared" si="82"/>
        <v>2.3809523809523809</v>
      </c>
      <c r="S106" s="7">
        <f t="shared" si="113"/>
        <v>1.7573457050470971</v>
      </c>
      <c r="T106" s="7" t="str">
        <f t="shared" si="80"/>
        <v>자동</v>
      </c>
      <c r="U106" s="7">
        <f t="shared" si="83"/>
        <v>1.7573457050470971</v>
      </c>
      <c r="V106" s="7">
        <f t="shared" si="114"/>
        <v>1.3422818791946309</v>
      </c>
      <c r="W106" s="7">
        <f t="shared" si="115"/>
        <v>2.3809523809523809</v>
      </c>
      <c r="X106" s="7">
        <f t="shared" si="116"/>
        <v>1.7573457050470971</v>
      </c>
      <c r="Y106" s="7">
        <f t="shared" si="109"/>
        <v>1.7573457050470971</v>
      </c>
      <c r="AA106" s="7" t="str">
        <f t="shared" si="110"/>
        <v>자동</v>
      </c>
      <c r="AB106" s="7" t="str">
        <f t="shared" si="111"/>
        <v>자동</v>
      </c>
      <c r="AC106" s="7">
        <f>INDEX('변표 테이블'!$C$86:$C$165,MATCH(O106,'변표 테이블'!$B$86:$B$165,0))</f>
        <v>71.13</v>
      </c>
      <c r="AD106" s="7">
        <f>INDEX('변표 테이블'!$D$86:$D$165,MATCH(O106,'변표 테이블'!$B$86:$B$165,0))</f>
        <v>66</v>
      </c>
      <c r="AF106" s="7">
        <v>12</v>
      </c>
      <c r="AG106" s="7">
        <v>12</v>
      </c>
      <c r="AH106" s="7">
        <v>42</v>
      </c>
      <c r="AI106" s="7">
        <v>42</v>
      </c>
      <c r="AM106" s="7">
        <v>3</v>
      </c>
      <c r="AN106" s="7">
        <v>3</v>
      </c>
      <c r="AP106" s="7">
        <f t="shared" si="105"/>
        <v>42</v>
      </c>
      <c r="BH106" s="121">
        <v>200</v>
      </c>
      <c r="BI106" s="7">
        <v>192</v>
      </c>
      <c r="BJ106" s="7">
        <v>184</v>
      </c>
      <c r="BK106" s="7">
        <v>168</v>
      </c>
      <c r="BL106" s="7">
        <v>120</v>
      </c>
      <c r="BM106" s="7">
        <v>80</v>
      </c>
      <c r="BN106" s="7">
        <v>40</v>
      </c>
      <c r="BO106" s="7">
        <v>20</v>
      </c>
      <c r="BP106" s="7">
        <v>0</v>
      </c>
      <c r="BU106" s="7">
        <v>-5</v>
      </c>
      <c r="BV106" s="7">
        <v>-10</v>
      </c>
      <c r="BW106" s="7">
        <v>-20</v>
      </c>
      <c r="BX106" s="7">
        <v>-30</v>
      </c>
      <c r="BY106" s="7">
        <v>-40</v>
      </c>
      <c r="CI106" s="7">
        <f t="shared" si="84"/>
        <v>200</v>
      </c>
      <c r="CJ106" s="163">
        <f t="shared" si="85"/>
        <v>100</v>
      </c>
      <c r="CK106" s="7">
        <f t="shared" si="86"/>
        <v>0</v>
      </c>
      <c r="CL106" s="7">
        <v>2</v>
      </c>
      <c r="CP106" s="7">
        <v>1</v>
      </c>
      <c r="CR106" s="7">
        <v>1</v>
      </c>
      <c r="CZ106" s="7">
        <f t="shared" si="87"/>
        <v>1</v>
      </c>
      <c r="DA106" s="7">
        <f t="shared" si="106"/>
        <v>2</v>
      </c>
      <c r="DB106" s="7">
        <f t="shared" si="88"/>
        <v>0</v>
      </c>
      <c r="DC106" s="7">
        <f t="shared" si="107"/>
        <v>0</v>
      </c>
      <c r="DE106" s="7">
        <f t="shared" si="89"/>
        <v>0</v>
      </c>
      <c r="DF106" s="7">
        <f t="shared" si="90"/>
        <v>0</v>
      </c>
      <c r="DG106" s="7">
        <f>IFERROR(IF(LEFT($AP106,1)="4",INDEX('변표 테이블'!$H$86:$H$165,MATCH($O106,'변표 테이블'!$B$86:$B$165,0)),INDEX(DG$4:DG$8,MATCH(AH106,$DC$4:$DC$8,0))),0)</f>
        <v>0</v>
      </c>
      <c r="DH106" s="7">
        <f>IFERROR(IF(LEFT($AP106,1)="4",INDEX('변표 테이블'!$I$86:$I$165,MATCH($O106,'변표 테이블'!$B$86:$B$165,0)),INDEX(DH$4:DH$8,MATCH(AI106,$DC$4:$DC$8,0))),0)</f>
        <v>0</v>
      </c>
      <c r="DJ106" s="7">
        <f>IFERROR(IF(LEFT($AP106,1)="4",INDEX('변표 테이블'!$J$86:$J$165,MATCH($O106,'변표 테이블'!$B$86:$B$165,0)),INDEX(DI$4:DI$8,MATCH(AK106,$DC$4:$DC$8,0))),0)</f>
        <v>0</v>
      </c>
      <c r="DK106" s="7">
        <f>IFERROR(IF(LEFT($AP106,1)="4",INDEX('변표 테이블'!$K$86:$K$165,MATCH($O106,'변표 테이블'!$B$86:$B$165,0)),INDEX(DJ$4:DJ$8,MATCH(AL106,$DC$4:$DC$8,0))),0)</f>
        <v>0</v>
      </c>
      <c r="DL106" s="7" t="str">
        <f t="shared" si="91"/>
        <v/>
      </c>
      <c r="DM106" s="7" t="str">
        <f t="shared" si="92"/>
        <v/>
      </c>
      <c r="DN106" s="7">
        <f t="shared" si="93"/>
        <v>0</v>
      </c>
      <c r="DP106" s="7">
        <f t="shared" si="94"/>
        <v>0</v>
      </c>
      <c r="DQ106" s="7">
        <f t="shared" si="95"/>
        <v>0</v>
      </c>
      <c r="DR106" s="7">
        <f t="shared" si="96"/>
        <v>0</v>
      </c>
      <c r="DS106" s="7">
        <f t="shared" si="97"/>
        <v>0</v>
      </c>
      <c r="DT106" s="7">
        <f t="shared" si="98"/>
        <v>0</v>
      </c>
      <c r="DU106" s="7">
        <f t="shared" si="99"/>
        <v>0</v>
      </c>
      <c r="DV106" s="7">
        <f t="shared" si="100"/>
        <v>0</v>
      </c>
      <c r="DW106" s="7">
        <f>LARGE((DR106:DS106,DU106:DV106),1)</f>
        <v>0</v>
      </c>
      <c r="DX106" s="7">
        <f>IF(DA106&lt;2,0,LARGE((DR106:DS106,DU106:DV106),2))</f>
        <v>0</v>
      </c>
      <c r="DY106" s="7">
        <f t="shared" si="101"/>
        <v>0</v>
      </c>
      <c r="DZ106" s="7">
        <f t="shared" si="102"/>
        <v>0</v>
      </c>
      <c r="EA106" s="7">
        <f t="shared" si="103"/>
        <v>0</v>
      </c>
      <c r="EF106" s="7">
        <f t="shared" si="104"/>
        <v>0</v>
      </c>
      <c r="EH106" s="7">
        <f t="shared" si="108"/>
        <v>0</v>
      </c>
      <c r="EI106" s="7">
        <f>IF(EH106=0,0,COUNTIF($EH$16:EH106,"&gt;"&amp;0))</f>
        <v>0</v>
      </c>
    </row>
    <row r="107" spans="1:141" x14ac:dyDescent="0.3">
      <c r="A107" s="165">
        <v>106</v>
      </c>
      <c r="C107" s="7" t="s">
        <v>212</v>
      </c>
      <c r="D107" s="7">
        <v>1000</v>
      </c>
      <c r="E107" s="7">
        <f>200/900</f>
        <v>0.22222222222222221</v>
      </c>
      <c r="F107" s="7">
        <f>300/900</f>
        <v>0.33333333333333331</v>
      </c>
      <c r="G107" s="7">
        <f>(300/900)/2</f>
        <v>0.16666666666666666</v>
      </c>
      <c r="H107" s="7">
        <f>(300/900)/2</f>
        <v>0.16666666666666666</v>
      </c>
      <c r="M107" s="7">
        <v>1</v>
      </c>
      <c r="O107" s="7">
        <f t="shared" si="112"/>
        <v>1</v>
      </c>
      <c r="Q107" s="7">
        <f t="shared" si="81"/>
        <v>1.1111111111111109</v>
      </c>
      <c r="R107" s="7">
        <f t="shared" si="82"/>
        <v>1.6666666666666665</v>
      </c>
      <c r="S107" s="7">
        <f t="shared" si="113"/>
        <v>1.6666666666666665</v>
      </c>
      <c r="T107" s="7" t="str">
        <f t="shared" si="80"/>
        <v>자동</v>
      </c>
      <c r="U107" s="7">
        <f t="shared" si="83"/>
        <v>1.6666666666666665</v>
      </c>
      <c r="V107" s="7">
        <f t="shared" si="114"/>
        <v>1.1111111111111109</v>
      </c>
      <c r="W107" s="7">
        <f t="shared" si="115"/>
        <v>1.6666666666666665</v>
      </c>
      <c r="X107" s="7">
        <f t="shared" si="116"/>
        <v>1.6666666666666665</v>
      </c>
      <c r="Y107" s="7">
        <f t="shared" si="109"/>
        <v>1.6666666666666665</v>
      </c>
      <c r="AA107" s="7" t="str">
        <f t="shared" si="110"/>
        <v>자동</v>
      </c>
      <c r="AB107" s="7" t="str">
        <f t="shared" si="111"/>
        <v>자동</v>
      </c>
      <c r="AC107" s="7">
        <f>INDEX('변표 테이블'!$C$86:$C$165,MATCH(O107,'변표 테이블'!$B$86:$B$165,0))</f>
        <v>71.13</v>
      </c>
      <c r="AD107" s="7">
        <f>INDEX('변표 테이블'!$D$86:$D$165,MATCH(O107,'변표 테이블'!$B$86:$B$165,0))</f>
        <v>66</v>
      </c>
      <c r="AF107" s="7">
        <v>1</v>
      </c>
      <c r="AG107" s="7">
        <v>1</v>
      </c>
      <c r="AH107" s="7">
        <v>4</v>
      </c>
      <c r="AI107" s="7">
        <v>4</v>
      </c>
      <c r="AM107" s="7">
        <v>3</v>
      </c>
      <c r="AN107" s="7">
        <v>3</v>
      </c>
      <c r="AP107" s="7">
        <f t="shared" si="105"/>
        <v>4</v>
      </c>
      <c r="BH107" s="121">
        <v>111.11111111111111</v>
      </c>
      <c r="BI107" s="7">
        <v>105.55555555555556</v>
      </c>
      <c r="BJ107" s="7">
        <v>97.222222222222229</v>
      </c>
      <c r="BK107" s="7">
        <v>83.333333333333329</v>
      </c>
      <c r="BL107" s="7">
        <v>66.666666666666671</v>
      </c>
      <c r="BM107" s="7">
        <v>44.444444444444443</v>
      </c>
      <c r="BN107" s="7">
        <v>27.777777777777779</v>
      </c>
      <c r="BO107" s="7">
        <v>17.222222222222221</v>
      </c>
      <c r="BP107" s="7">
        <v>5.5555555555555554</v>
      </c>
      <c r="BQ107" s="121">
        <v>10</v>
      </c>
      <c r="BR107" s="7">
        <v>10</v>
      </c>
      <c r="BS107" s="7">
        <v>10</v>
      </c>
      <c r="BT107" s="7">
        <v>9.5</v>
      </c>
      <c r="BU107" s="7">
        <v>9</v>
      </c>
      <c r="BV107" s="7">
        <v>8.5</v>
      </c>
      <c r="BW107" s="7">
        <v>8</v>
      </c>
      <c r="BX107" s="7">
        <v>7.5</v>
      </c>
      <c r="BY107" s="7">
        <v>7</v>
      </c>
      <c r="CI107" s="7">
        <f t="shared" si="84"/>
        <v>111.1</v>
      </c>
      <c r="CJ107" s="163">
        <f t="shared" si="85"/>
        <v>100.01000100010002</v>
      </c>
      <c r="CK107" s="7">
        <f t="shared" si="86"/>
        <v>10</v>
      </c>
      <c r="CL107" s="7">
        <v>2</v>
      </c>
      <c r="CP107" s="7">
        <v>1</v>
      </c>
      <c r="CR107" s="7">
        <v>1</v>
      </c>
      <c r="CX107" s="121">
        <v>1</v>
      </c>
      <c r="CZ107" s="7">
        <f t="shared" si="87"/>
        <v>1</v>
      </c>
      <c r="DA107" s="7">
        <f t="shared" si="106"/>
        <v>2</v>
      </c>
      <c r="DB107" s="7">
        <f t="shared" si="88"/>
        <v>0</v>
      </c>
      <c r="DC107" s="7">
        <f t="shared" si="107"/>
        <v>0</v>
      </c>
      <c r="DE107" s="7">
        <f t="shared" si="89"/>
        <v>0</v>
      </c>
      <c r="DF107" s="7">
        <f t="shared" si="90"/>
        <v>0</v>
      </c>
      <c r="DG107" s="7">
        <f>IFERROR(IF(LEFT($AP107,1)="4",INDEX('변표 테이블'!$H$86:$H$165,MATCH($O107,'변표 테이블'!$B$86:$B$165,0)),INDEX(DG$4:DG$8,MATCH(AH107,$DC$4:$DC$8,0))),0)</f>
        <v>0</v>
      </c>
      <c r="DH107" s="7">
        <f>IFERROR(IF(LEFT($AP107,1)="4",INDEX('변표 테이블'!$I$86:$I$165,MATCH($O107,'변표 테이블'!$B$86:$B$165,0)),INDEX(DH$4:DH$8,MATCH(AI107,$DC$4:$DC$8,0))),0)</f>
        <v>0</v>
      </c>
      <c r="DJ107" s="7">
        <f>IFERROR(IF(LEFT($AP107,1)="4",INDEX('변표 테이블'!$J$86:$J$165,MATCH($O107,'변표 테이블'!$B$86:$B$165,0)),INDEX(DI$4:DI$8,MATCH(AK107,$DC$4:$DC$8,0))),0)</f>
        <v>0</v>
      </c>
      <c r="DK107" s="7">
        <f>IFERROR(IF(LEFT($AP107,1)="4",INDEX('변표 테이블'!$K$86:$K$165,MATCH($O107,'변표 테이블'!$B$86:$B$165,0)),INDEX(DJ$4:DJ$8,MATCH(AL107,$DC$4:$DC$8,0))),0)</f>
        <v>0</v>
      </c>
      <c r="DL107" s="7" t="str">
        <f t="shared" si="91"/>
        <v/>
      </c>
      <c r="DM107" s="7" t="str">
        <f t="shared" si="92"/>
        <v/>
      </c>
      <c r="DN107" s="7">
        <f t="shared" si="93"/>
        <v>0</v>
      </c>
      <c r="DP107" s="7">
        <f t="shared" si="94"/>
        <v>0</v>
      </c>
      <c r="DQ107" s="7">
        <f t="shared" si="95"/>
        <v>0</v>
      </c>
      <c r="DR107" s="7">
        <f t="shared" si="96"/>
        <v>0</v>
      </c>
      <c r="DS107" s="7">
        <f t="shared" si="97"/>
        <v>0</v>
      </c>
      <c r="DT107" s="7">
        <f t="shared" si="98"/>
        <v>0</v>
      </c>
      <c r="DU107" s="7">
        <f t="shared" si="99"/>
        <v>0</v>
      </c>
      <c r="DV107" s="7">
        <f t="shared" si="100"/>
        <v>0</v>
      </c>
      <c r="DW107" s="7">
        <f>LARGE((DR107:DS107,DU107:DV107),1)</f>
        <v>0</v>
      </c>
      <c r="DX107" s="7">
        <f>IF(DA107&lt;2,0,LARGE((DR107:DS107,DU107:DV107),2))</f>
        <v>0</v>
      </c>
      <c r="DY107" s="7">
        <f t="shared" si="101"/>
        <v>0</v>
      </c>
      <c r="DZ107" s="7">
        <f t="shared" si="102"/>
        <v>0</v>
      </c>
      <c r="EA107" s="7">
        <f t="shared" si="103"/>
        <v>0</v>
      </c>
      <c r="EF107" s="7">
        <f t="shared" si="104"/>
        <v>0</v>
      </c>
      <c r="EH107" s="7">
        <f t="shared" si="108"/>
        <v>0</v>
      </c>
      <c r="EI107" s="7">
        <f>IF(EH107=0,0,COUNTIF($EH$16:EH107,"&gt;"&amp;0))</f>
        <v>0</v>
      </c>
    </row>
    <row r="108" spans="1:141" x14ac:dyDescent="0.3">
      <c r="A108" s="165">
        <v>107</v>
      </c>
      <c r="C108" s="7" t="s">
        <v>214</v>
      </c>
      <c r="D108" s="7">
        <v>800</v>
      </c>
      <c r="E108" s="7">
        <f>0.2*(10/8)</f>
        <v>0.25</v>
      </c>
      <c r="F108" s="7">
        <f>0.28*(10/8)</f>
        <v>0.35000000000000003</v>
      </c>
      <c r="G108" s="7">
        <f>0.12*(10/8)</f>
        <v>0.15</v>
      </c>
      <c r="H108" s="7">
        <f>0.12*(10/8)</f>
        <v>0.15</v>
      </c>
      <c r="O108" s="7">
        <f t="shared" si="112"/>
        <v>0</v>
      </c>
      <c r="Q108" s="7">
        <f t="shared" si="81"/>
        <v>2</v>
      </c>
      <c r="R108" s="7">
        <f t="shared" si="82"/>
        <v>2.8</v>
      </c>
      <c r="S108" s="7">
        <f t="shared" si="113"/>
        <v>1.2</v>
      </c>
      <c r="T108" s="7" t="str">
        <f t="shared" si="80"/>
        <v>자동</v>
      </c>
      <c r="U108" s="7">
        <f t="shared" si="83"/>
        <v>2.4</v>
      </c>
      <c r="V108" s="7">
        <f t="shared" si="114"/>
        <v>2</v>
      </c>
      <c r="W108" s="7">
        <f t="shared" si="115"/>
        <v>2.8</v>
      </c>
      <c r="X108" s="7">
        <f t="shared" si="116"/>
        <v>1.2</v>
      </c>
      <c r="Y108" s="7">
        <f t="shared" si="109"/>
        <v>1.2</v>
      </c>
      <c r="AA108" s="7" t="str">
        <f t="shared" si="110"/>
        <v>자동</v>
      </c>
      <c r="AB108" s="7" t="str">
        <f t="shared" si="111"/>
        <v>자동</v>
      </c>
      <c r="AC108" s="7" t="e">
        <f>INDEX('변표 테이블'!$C$86:$C$165,MATCH(O108,'변표 테이블'!$B$86:$B$165,0))</f>
        <v>#N/A</v>
      </c>
      <c r="AD108" s="7" t="e">
        <f>INDEX('변표 테이블'!$D$86:$D$165,MATCH(O108,'변표 테이블'!$B$86:$B$165,0))</f>
        <v>#N/A</v>
      </c>
      <c r="AF108" s="7">
        <v>2</v>
      </c>
      <c r="AG108" s="7">
        <v>2</v>
      </c>
      <c r="AH108" s="7">
        <v>2</v>
      </c>
      <c r="AI108" s="7">
        <v>2</v>
      </c>
      <c r="AM108" s="7">
        <v>3</v>
      </c>
      <c r="AN108" s="7">
        <v>3</v>
      </c>
      <c r="AP108" s="7">
        <f t="shared" si="105"/>
        <v>2</v>
      </c>
      <c r="BH108" s="121">
        <v>80</v>
      </c>
      <c r="BI108" s="7">
        <v>76</v>
      </c>
      <c r="BJ108" s="7">
        <v>72</v>
      </c>
      <c r="BK108" s="7">
        <v>68</v>
      </c>
      <c r="BL108" s="7">
        <v>64</v>
      </c>
      <c r="BM108" s="7">
        <v>60</v>
      </c>
      <c r="BN108" s="7">
        <v>56</v>
      </c>
      <c r="BO108" s="7">
        <v>52</v>
      </c>
      <c r="BP108" s="7">
        <v>48</v>
      </c>
      <c r="BQ108" s="121">
        <v>10</v>
      </c>
      <c r="BR108" s="7">
        <v>9.8000000000000007</v>
      </c>
      <c r="BS108" s="7">
        <v>9.6</v>
      </c>
      <c r="BT108" s="7">
        <v>9.4</v>
      </c>
      <c r="BU108" s="7">
        <v>9.1999999999999993</v>
      </c>
      <c r="BV108" s="7">
        <v>9</v>
      </c>
      <c r="BW108" s="7">
        <v>8.8000000000000007</v>
      </c>
      <c r="BX108" s="7">
        <v>8.6</v>
      </c>
      <c r="BY108" s="7">
        <v>8.4000000000000092</v>
      </c>
      <c r="CI108" s="7">
        <f t="shared" si="84"/>
        <v>80</v>
      </c>
      <c r="CJ108" s="163">
        <f t="shared" si="85"/>
        <v>100</v>
      </c>
      <c r="CK108" s="7">
        <f t="shared" si="86"/>
        <v>10</v>
      </c>
      <c r="CL108" s="7">
        <v>2</v>
      </c>
      <c r="CP108" s="7">
        <v>1</v>
      </c>
      <c r="CR108" s="7">
        <v>1</v>
      </c>
      <c r="CZ108" s="7">
        <f t="shared" si="87"/>
        <v>1</v>
      </c>
      <c r="DA108" s="7">
        <f t="shared" si="106"/>
        <v>2</v>
      </c>
      <c r="DB108" s="7">
        <f t="shared" si="88"/>
        <v>0</v>
      </c>
      <c r="DC108" s="7">
        <f t="shared" si="107"/>
        <v>0</v>
      </c>
      <c r="DE108" s="7">
        <f t="shared" si="89"/>
        <v>0</v>
      </c>
      <c r="DF108" s="7">
        <f t="shared" si="90"/>
        <v>0</v>
      </c>
      <c r="DG108" s="7">
        <f>IFERROR(IF(LEFT($AP108,1)="4",INDEX('변표 테이블'!$H$86:$H$165,MATCH($O108,'변표 테이블'!$B$86:$B$165,0)),INDEX(DG$4:DG$8,MATCH(AH108,$DC$4:$DC$8,0))),0)</f>
        <v>0</v>
      </c>
      <c r="DH108" s="7">
        <f>IFERROR(IF(LEFT($AP108,1)="4",INDEX('변표 테이블'!$I$86:$I$165,MATCH($O108,'변표 테이블'!$B$86:$B$165,0)),INDEX(DH$4:DH$8,MATCH(AI108,$DC$4:$DC$8,0))),0)</f>
        <v>0</v>
      </c>
      <c r="DJ108" s="7">
        <f>IFERROR(IF(LEFT($AP108,1)="4",INDEX('변표 테이블'!$J$86:$J$165,MATCH($O108,'변표 테이블'!$B$86:$B$165,0)),INDEX(DI$4:DI$8,MATCH(AK108,$DC$4:$DC$8,0))),0)</f>
        <v>0</v>
      </c>
      <c r="DK108" s="7">
        <f>IFERROR(IF(LEFT($AP108,1)="4",INDEX('변표 테이블'!$K$86:$K$165,MATCH($O108,'변표 테이블'!$B$86:$B$165,0)),INDEX(DJ$4:DJ$8,MATCH(AL108,$DC$4:$DC$8,0))),0)</f>
        <v>0</v>
      </c>
      <c r="DL108" s="7" t="str">
        <f t="shared" si="91"/>
        <v/>
      </c>
      <c r="DM108" s="7" t="str">
        <f t="shared" si="92"/>
        <v/>
      </c>
      <c r="DN108" s="7">
        <f t="shared" si="93"/>
        <v>0</v>
      </c>
      <c r="DP108" s="7">
        <f t="shared" si="94"/>
        <v>0</v>
      </c>
      <c r="DQ108" s="7">
        <f t="shared" si="95"/>
        <v>0</v>
      </c>
      <c r="DR108" s="7">
        <f t="shared" si="96"/>
        <v>0</v>
      </c>
      <c r="DS108" s="7">
        <f t="shared" si="97"/>
        <v>0</v>
      </c>
      <c r="DT108" s="7">
        <f t="shared" si="98"/>
        <v>0</v>
      </c>
      <c r="DU108" s="7">
        <f t="shared" si="99"/>
        <v>0</v>
      </c>
      <c r="DV108" s="7">
        <f t="shared" si="100"/>
        <v>0</v>
      </c>
      <c r="DW108" s="7">
        <f>LARGE((DR108:DS108,DU108:DV108),1)</f>
        <v>0</v>
      </c>
      <c r="DX108" s="7">
        <f>IF(DA108&lt;2,0,LARGE((DR108:DS108,DU108:DV108),2))</f>
        <v>0</v>
      </c>
      <c r="DY108" s="7">
        <f t="shared" si="101"/>
        <v>0</v>
      </c>
      <c r="DZ108" s="7">
        <f t="shared" si="102"/>
        <v>0</v>
      </c>
      <c r="EA108" s="7">
        <f t="shared" si="103"/>
        <v>0</v>
      </c>
      <c r="EF108" s="7">
        <f t="shared" si="104"/>
        <v>0</v>
      </c>
      <c r="EH108" s="7">
        <f t="shared" si="108"/>
        <v>0</v>
      </c>
      <c r="EI108" s="7">
        <f>IF(EH108=0,0,COUNTIF($EH$16:EH108,"&gt;"&amp;0))</f>
        <v>0</v>
      </c>
    </row>
    <row r="109" spans="1:141" x14ac:dyDescent="0.3">
      <c r="A109" s="165">
        <v>108</v>
      </c>
      <c r="C109" s="7" t="s">
        <v>216</v>
      </c>
      <c r="D109" s="7">
        <v>400</v>
      </c>
      <c r="E109" s="7">
        <v>0.2</v>
      </c>
      <c r="F109" s="7">
        <v>0.3</v>
      </c>
      <c r="G109" s="7">
        <v>0.15</v>
      </c>
      <c r="H109" s="7">
        <v>0.15</v>
      </c>
      <c r="O109" s="7">
        <f t="shared" si="112"/>
        <v>0</v>
      </c>
      <c r="Q109" s="7">
        <f t="shared" si="81"/>
        <v>0.8</v>
      </c>
      <c r="R109" s="7">
        <f t="shared" si="82"/>
        <v>1.2</v>
      </c>
      <c r="S109" s="7">
        <f t="shared" si="113"/>
        <v>0.6</v>
      </c>
      <c r="T109" s="7" t="str">
        <f t="shared" si="80"/>
        <v>자동</v>
      </c>
      <c r="U109" s="7">
        <f t="shared" si="83"/>
        <v>1.2</v>
      </c>
      <c r="V109" s="7">
        <f t="shared" si="114"/>
        <v>0.8</v>
      </c>
      <c r="W109" s="7">
        <f t="shared" si="115"/>
        <v>1.2</v>
      </c>
      <c r="X109" s="7">
        <f t="shared" si="116"/>
        <v>0.6</v>
      </c>
      <c r="Y109" s="7">
        <f t="shared" si="109"/>
        <v>0.6</v>
      </c>
      <c r="AA109" s="7" t="str">
        <f t="shared" si="110"/>
        <v>자동</v>
      </c>
      <c r="AB109" s="7" t="str">
        <f t="shared" si="111"/>
        <v>자동</v>
      </c>
      <c r="AC109" s="7" t="e">
        <f>INDEX('변표 테이블'!$C$86:$C$165,MATCH(O109,'변표 테이블'!$B$86:$B$165,0))</f>
        <v>#N/A</v>
      </c>
      <c r="AD109" s="7" t="e">
        <f>INDEX('변표 테이블'!$D$86:$D$165,MATCH(O109,'변표 테이블'!$B$86:$B$165,0))</f>
        <v>#N/A</v>
      </c>
      <c r="AF109" s="7">
        <v>2</v>
      </c>
      <c r="AG109" s="7">
        <v>2</v>
      </c>
      <c r="AH109" s="7">
        <v>2</v>
      </c>
      <c r="AI109" s="7">
        <v>2</v>
      </c>
      <c r="AM109" s="7">
        <v>3</v>
      </c>
      <c r="AN109" s="7">
        <v>3</v>
      </c>
      <c r="AP109" s="7">
        <f t="shared" si="105"/>
        <v>2</v>
      </c>
      <c r="AR109" s="7">
        <f>0.1*$W$109</f>
        <v>0.12</v>
      </c>
      <c r="AS109" s="7">
        <f>0.1*$W$109</f>
        <v>0.12</v>
      </c>
      <c r="BA109" s="7">
        <f>BA6*AR109</f>
        <v>0</v>
      </c>
      <c r="BB109" s="7">
        <f>BB6*AS109</f>
        <v>0</v>
      </c>
      <c r="BH109" s="121">
        <v>80</v>
      </c>
      <c r="BI109" s="7">
        <v>76</v>
      </c>
      <c r="BJ109" s="7">
        <v>72</v>
      </c>
      <c r="BK109" s="7">
        <v>68</v>
      </c>
      <c r="BL109" s="7">
        <v>64</v>
      </c>
      <c r="BM109" s="7">
        <v>60</v>
      </c>
      <c r="BN109" s="7">
        <v>56</v>
      </c>
      <c r="BO109" s="7">
        <v>52</v>
      </c>
      <c r="BP109" s="7">
        <v>48</v>
      </c>
      <c r="BQ109" s="121">
        <v>5</v>
      </c>
      <c r="BR109" s="7">
        <v>5</v>
      </c>
      <c r="BS109" s="7">
        <v>4</v>
      </c>
      <c r="BT109" s="7">
        <v>4</v>
      </c>
      <c r="BU109" s="7">
        <v>3</v>
      </c>
      <c r="BV109" s="7">
        <v>3</v>
      </c>
      <c r="BW109" s="7">
        <v>3</v>
      </c>
      <c r="BX109" s="7">
        <v>2</v>
      </c>
      <c r="BY109" s="7">
        <v>1</v>
      </c>
      <c r="CI109" s="7">
        <f t="shared" si="84"/>
        <v>80</v>
      </c>
      <c r="CJ109" s="163">
        <f t="shared" si="85"/>
        <v>100</v>
      </c>
      <c r="CK109" s="7">
        <f t="shared" si="86"/>
        <v>5</v>
      </c>
      <c r="CL109" s="7">
        <v>2</v>
      </c>
      <c r="CR109" s="7">
        <v>1</v>
      </c>
      <c r="CZ109" s="7">
        <f t="shared" si="87"/>
        <v>1</v>
      </c>
      <c r="DA109" s="7">
        <f t="shared" si="106"/>
        <v>2</v>
      </c>
      <c r="DB109" s="7">
        <f t="shared" si="88"/>
        <v>0</v>
      </c>
      <c r="DC109" s="7">
        <f t="shared" si="107"/>
        <v>0</v>
      </c>
      <c r="DE109" s="7">
        <f t="shared" si="89"/>
        <v>0</v>
      </c>
      <c r="DF109" s="7">
        <f t="shared" si="90"/>
        <v>0</v>
      </c>
      <c r="DG109" s="7">
        <f>IFERROR(IF(LEFT($AP109,1)="4",INDEX('변표 테이블'!$H$86:$H$165,MATCH($O109,'변표 테이블'!$B$86:$B$165,0)),INDEX(DG$4:DG$8,MATCH(AH109,$DC$4:$DC$8,0))),0)</f>
        <v>0</v>
      </c>
      <c r="DH109" s="7">
        <f>IFERROR(IF(LEFT($AP109,1)="4",INDEX('변표 테이블'!$I$86:$I$165,MATCH($O109,'변표 테이블'!$B$86:$B$165,0)),INDEX(DH$4:DH$8,MATCH(AI109,$DC$4:$DC$8,0))),0)</f>
        <v>0</v>
      </c>
      <c r="DJ109" s="7">
        <f>IFERROR(IF(LEFT($AP109,1)="4",INDEX('변표 테이블'!$J$86:$J$165,MATCH($O109,'변표 테이블'!$B$86:$B$165,0)),INDEX(DI$4:DI$8,MATCH(AK109,$DC$4:$DC$8,0))),0)</f>
        <v>0</v>
      </c>
      <c r="DK109" s="7">
        <f>IFERROR(IF(LEFT($AP109,1)="4",INDEX('변표 테이블'!$K$86:$K$165,MATCH($O109,'변표 테이블'!$B$86:$B$165,0)),INDEX(DJ$4:DJ$8,MATCH(AL109,$DC$4:$DC$8,0))),0)</f>
        <v>0</v>
      </c>
      <c r="DL109" s="7" t="str">
        <f t="shared" si="91"/>
        <v/>
      </c>
      <c r="DM109" s="7" t="str">
        <f t="shared" si="92"/>
        <v/>
      </c>
      <c r="DN109" s="7">
        <f t="shared" si="93"/>
        <v>0</v>
      </c>
      <c r="DP109" s="7">
        <f t="shared" si="94"/>
        <v>0</v>
      </c>
      <c r="DQ109" s="7">
        <f t="shared" si="95"/>
        <v>0</v>
      </c>
      <c r="DR109" s="7">
        <f t="shared" si="96"/>
        <v>0</v>
      </c>
      <c r="DS109" s="7">
        <f t="shared" si="97"/>
        <v>0</v>
      </c>
      <c r="DT109" s="7">
        <f t="shared" si="98"/>
        <v>0</v>
      </c>
      <c r="DU109" s="7">
        <f t="shared" si="99"/>
        <v>0</v>
      </c>
      <c r="DV109" s="7">
        <f t="shared" si="100"/>
        <v>0</v>
      </c>
      <c r="DW109" s="7">
        <f>LARGE((DR109:DS109,DU109:DV109),1)</f>
        <v>0</v>
      </c>
      <c r="DX109" s="7">
        <f>IF(DA109&lt;2,0,LARGE((DR109:DS109,DU109:DV109),2))</f>
        <v>0</v>
      </c>
      <c r="DY109" s="7">
        <f t="shared" si="101"/>
        <v>0</v>
      </c>
      <c r="DZ109" s="7">
        <f t="shared" si="102"/>
        <v>0</v>
      </c>
      <c r="EA109" s="7">
        <f t="shared" si="103"/>
        <v>0</v>
      </c>
      <c r="EF109" s="7">
        <f t="shared" si="104"/>
        <v>0</v>
      </c>
      <c r="EH109" s="7">
        <f t="shared" si="108"/>
        <v>1</v>
      </c>
      <c r="EI109" s="7">
        <f>IF(EH109=0,0,COUNTIF($EH$16:EH109,"&gt;"&amp;0))</f>
        <v>17</v>
      </c>
    </row>
    <row r="110" spans="1:141" x14ac:dyDescent="0.3">
      <c r="A110" s="165">
        <v>109</v>
      </c>
      <c r="C110" s="7" t="s">
        <v>215</v>
      </c>
      <c r="D110" s="7">
        <v>400</v>
      </c>
      <c r="E110" s="7">
        <v>0.2</v>
      </c>
      <c r="F110" s="7">
        <v>0.3</v>
      </c>
      <c r="G110" s="7">
        <v>0.15</v>
      </c>
      <c r="H110" s="7">
        <v>0.15</v>
      </c>
      <c r="J110" s="7">
        <v>0.15</v>
      </c>
      <c r="K110" s="7">
        <v>0.15</v>
      </c>
      <c r="O110" s="7">
        <f t="shared" si="112"/>
        <v>0</v>
      </c>
      <c r="Q110" s="7">
        <f t="shared" si="81"/>
        <v>0.8</v>
      </c>
      <c r="R110" s="7">
        <f t="shared" si="82"/>
        <v>1.2</v>
      </c>
      <c r="S110" s="7">
        <f t="shared" si="113"/>
        <v>0.6</v>
      </c>
      <c r="T110" s="7">
        <f t="shared" si="80"/>
        <v>0.6</v>
      </c>
      <c r="U110" s="7">
        <f t="shared" si="83"/>
        <v>1.2</v>
      </c>
      <c r="V110" s="7">
        <f t="shared" si="114"/>
        <v>0.8</v>
      </c>
      <c r="W110" s="7">
        <f t="shared" si="115"/>
        <v>1.2</v>
      </c>
      <c r="X110" s="7">
        <f t="shared" si="116"/>
        <v>0.6</v>
      </c>
      <c r="Y110" s="7">
        <f t="shared" si="109"/>
        <v>0.6</v>
      </c>
      <c r="AA110" s="7">
        <f t="shared" si="110"/>
        <v>0.6</v>
      </c>
      <c r="AB110" s="7">
        <f t="shared" si="111"/>
        <v>0.6</v>
      </c>
      <c r="AC110" s="7" t="e">
        <f>INDEX('변표 테이블'!$C$86:$C$165,MATCH(O110,'변표 테이블'!$B$86:$B$165,0))</f>
        <v>#N/A</v>
      </c>
      <c r="AD110" s="7" t="e">
        <f>INDEX('변표 테이블'!$D$86:$D$165,MATCH(O110,'변표 테이블'!$B$86:$B$165,0))</f>
        <v>#N/A</v>
      </c>
      <c r="AF110" s="7">
        <v>2</v>
      </c>
      <c r="AG110" s="7">
        <v>2</v>
      </c>
      <c r="AH110" s="7">
        <v>2</v>
      </c>
      <c r="AI110" s="7">
        <v>2</v>
      </c>
      <c r="AK110" s="7">
        <v>2</v>
      </c>
      <c r="AL110" s="7">
        <v>2</v>
      </c>
      <c r="AM110" s="7">
        <v>3</v>
      </c>
      <c r="AN110" s="7">
        <v>3</v>
      </c>
      <c r="AP110" s="7">
        <f t="shared" si="105"/>
        <v>2</v>
      </c>
      <c r="AR110" s="7">
        <f>0.1*$W$109</f>
        <v>0.12</v>
      </c>
      <c r="AS110" s="7">
        <f>0.1*$W$109</f>
        <v>0.12</v>
      </c>
      <c r="BA110" s="7">
        <f>BA6*AR110</f>
        <v>0</v>
      </c>
      <c r="BB110" s="7">
        <f>BB6*AS110</f>
        <v>0</v>
      </c>
      <c r="BH110" s="121">
        <v>80</v>
      </c>
      <c r="BI110" s="7">
        <v>76</v>
      </c>
      <c r="BJ110" s="7">
        <v>72</v>
      </c>
      <c r="BK110" s="7">
        <v>68</v>
      </c>
      <c r="BL110" s="7">
        <v>64</v>
      </c>
      <c r="BM110" s="7">
        <v>60</v>
      </c>
      <c r="BN110" s="7">
        <v>56</v>
      </c>
      <c r="BO110" s="7">
        <v>52</v>
      </c>
      <c r="BP110" s="7">
        <v>48</v>
      </c>
      <c r="BQ110" s="121">
        <v>5</v>
      </c>
      <c r="BR110" s="7">
        <v>5</v>
      </c>
      <c r="BS110" s="7">
        <v>4</v>
      </c>
      <c r="BT110" s="7">
        <v>4</v>
      </c>
      <c r="BU110" s="7">
        <v>3</v>
      </c>
      <c r="BV110" s="7">
        <v>3</v>
      </c>
      <c r="BW110" s="7">
        <v>3</v>
      </c>
      <c r="BX110" s="7">
        <v>2</v>
      </c>
      <c r="BY110" s="7">
        <v>1</v>
      </c>
      <c r="CI110" s="7">
        <f t="shared" si="84"/>
        <v>80</v>
      </c>
      <c r="CJ110" s="163">
        <f t="shared" si="85"/>
        <v>100</v>
      </c>
      <c r="CK110" s="7">
        <f t="shared" si="86"/>
        <v>5</v>
      </c>
      <c r="CN110" s="7">
        <v>2</v>
      </c>
      <c r="CY110" s="7">
        <v>1</v>
      </c>
      <c r="CZ110" s="7">
        <f t="shared" si="87"/>
        <v>1</v>
      </c>
      <c r="DA110" s="7">
        <f t="shared" si="106"/>
        <v>2</v>
      </c>
      <c r="DB110" s="7">
        <f t="shared" si="88"/>
        <v>0</v>
      </c>
      <c r="DC110" s="7">
        <f t="shared" si="107"/>
        <v>0</v>
      </c>
      <c r="DE110" s="7">
        <f t="shared" si="89"/>
        <v>0</v>
      </c>
      <c r="DF110" s="7">
        <f t="shared" si="90"/>
        <v>0</v>
      </c>
      <c r="DG110" s="7">
        <f>IFERROR(IF(LEFT($AP110,1)="4",INDEX('변표 테이블'!$H$86:$H$165,MATCH($O110,'변표 테이블'!$B$86:$B$165,0)),INDEX(DG$4:DG$8,MATCH(AH110,$DC$4:$DC$8,0))),0)</f>
        <v>0</v>
      </c>
      <c r="DH110" s="7">
        <f>IFERROR(IF(LEFT($AP110,1)="4",INDEX('변표 테이블'!$I$86:$I$165,MATCH($O110,'변표 테이블'!$B$86:$B$165,0)),INDEX(DH$4:DH$8,MATCH(AI110,$DC$4:$DC$8,0))),0)</f>
        <v>0</v>
      </c>
      <c r="DJ110" s="7">
        <f>IFERROR(IF(LEFT($AP110,1)="4",INDEX('변표 테이블'!$J$86:$J$165,MATCH($O110,'변표 테이블'!$B$86:$B$165,0)),INDEX(DI$4:DI$8,MATCH(AK110,$DC$4:$DC$8,0))),0)</f>
        <v>0</v>
      </c>
      <c r="DK110" s="7">
        <f>IFERROR(IF(LEFT($AP110,1)="4",INDEX('변표 테이블'!$K$86:$K$165,MATCH($O110,'변표 테이블'!$B$86:$B$165,0)),INDEX(DJ$4:DJ$8,MATCH(AL110,$DC$4:$DC$8,0))),0)</f>
        <v>0</v>
      </c>
      <c r="DL110" s="7" t="str">
        <f t="shared" si="91"/>
        <v/>
      </c>
      <c r="DM110" s="7" t="str">
        <f t="shared" si="92"/>
        <v/>
      </c>
      <c r="DN110" s="7">
        <f t="shared" si="93"/>
        <v>0</v>
      </c>
      <c r="DP110" s="7">
        <f t="shared" si="94"/>
        <v>0</v>
      </c>
      <c r="DQ110" s="7">
        <f t="shared" si="95"/>
        <v>0</v>
      </c>
      <c r="DR110" s="7">
        <f t="shared" si="96"/>
        <v>0</v>
      </c>
      <c r="DS110" s="7">
        <f t="shared" si="97"/>
        <v>0</v>
      </c>
      <c r="DT110" s="7">
        <f t="shared" si="98"/>
        <v>0</v>
      </c>
      <c r="DU110" s="7">
        <f t="shared" si="99"/>
        <v>0</v>
      </c>
      <c r="DV110" s="7">
        <f t="shared" si="100"/>
        <v>0</v>
      </c>
      <c r="DW110" s="7">
        <f>LARGE((DR110:DS110,DU110:DV110),1)</f>
        <v>0</v>
      </c>
      <c r="DX110" s="7">
        <f>IF(DA110&lt;2,0,LARGE((DR110:DS110,DU110:DV110),2))</f>
        <v>0</v>
      </c>
      <c r="DY110" s="7">
        <f t="shared" si="101"/>
        <v>0</v>
      </c>
      <c r="DZ110" s="7">
        <f t="shared" si="102"/>
        <v>0</v>
      </c>
      <c r="EA110" s="7">
        <f t="shared" si="103"/>
        <v>0</v>
      </c>
      <c r="EF110" s="7">
        <f t="shared" si="104"/>
        <v>0</v>
      </c>
      <c r="EH110" s="7">
        <f t="shared" si="108"/>
        <v>1</v>
      </c>
      <c r="EI110" s="7">
        <f>IF(EH110=0,0,COUNTIF($EH$16:EH110,"&gt;"&amp;0))</f>
        <v>18</v>
      </c>
    </row>
    <row r="111" spans="1:141" x14ac:dyDescent="0.3">
      <c r="A111" s="165">
        <v>110</v>
      </c>
      <c r="C111" s="7" t="s">
        <v>217</v>
      </c>
      <c r="D111" s="7">
        <v>1000</v>
      </c>
      <c r="E111" s="7">
        <v>0.2</v>
      </c>
      <c r="F111" s="7">
        <v>0.3</v>
      </c>
      <c r="G111" s="7">
        <v>0.15</v>
      </c>
      <c r="H111" s="7">
        <v>0.15</v>
      </c>
      <c r="M111" s="7">
        <v>1</v>
      </c>
      <c r="O111" s="7">
        <f t="shared" si="112"/>
        <v>1</v>
      </c>
      <c r="Q111" s="7">
        <f t="shared" si="81"/>
        <v>1.3422818791946309</v>
      </c>
      <c r="R111" s="7">
        <f t="shared" si="82"/>
        <v>2.0408163265306123</v>
      </c>
      <c r="S111" s="7">
        <f t="shared" si="113"/>
        <v>2.1088148460565166</v>
      </c>
      <c r="T111" s="7" t="str">
        <f t="shared" si="80"/>
        <v>자동</v>
      </c>
      <c r="U111" s="7">
        <f t="shared" si="83"/>
        <v>2.1088148460565166</v>
      </c>
      <c r="V111" s="7">
        <f t="shared" si="114"/>
        <v>1.3422818791946309</v>
      </c>
      <c r="W111" s="7">
        <f t="shared" si="115"/>
        <v>2.0408163265306123</v>
      </c>
      <c r="X111" s="7">
        <f t="shared" si="116"/>
        <v>2.1088148460565166</v>
      </c>
      <c r="Y111" s="7">
        <f t="shared" si="109"/>
        <v>2.1088148460565166</v>
      </c>
      <c r="AA111" s="7" t="str">
        <f t="shared" si="110"/>
        <v>자동</v>
      </c>
      <c r="AB111" s="7" t="str">
        <f t="shared" si="111"/>
        <v>자동</v>
      </c>
      <c r="AC111" s="7">
        <f>INDEX('변표 테이블'!$C$86:$C$165,MATCH(O111,'변표 테이블'!$B$86:$B$165,0))</f>
        <v>71.13</v>
      </c>
      <c r="AD111" s="7">
        <f>INDEX('변표 테이블'!$D$86:$D$165,MATCH(O111,'변표 테이블'!$B$86:$B$165,0))</f>
        <v>66</v>
      </c>
      <c r="AF111" s="7">
        <v>12</v>
      </c>
      <c r="AG111" s="7">
        <v>12</v>
      </c>
      <c r="AH111" s="7">
        <v>42</v>
      </c>
      <c r="AI111" s="7">
        <v>42</v>
      </c>
      <c r="AM111" s="7">
        <v>3</v>
      </c>
      <c r="AN111" s="7">
        <v>3</v>
      </c>
      <c r="AP111" s="7">
        <f t="shared" si="105"/>
        <v>42</v>
      </c>
      <c r="BH111" s="121">
        <v>190</v>
      </c>
      <c r="BI111" s="7">
        <v>186.2</v>
      </c>
      <c r="BJ111" s="7">
        <v>182.39999999999998</v>
      </c>
      <c r="BK111" s="7">
        <v>176.7</v>
      </c>
      <c r="BL111" s="7">
        <v>171</v>
      </c>
      <c r="BM111" s="7">
        <v>161.5</v>
      </c>
      <c r="BN111" s="7">
        <v>152</v>
      </c>
      <c r="BO111" s="7">
        <v>133</v>
      </c>
      <c r="BP111" s="7">
        <v>114</v>
      </c>
      <c r="BQ111" s="121">
        <v>10</v>
      </c>
      <c r="BR111" s="7">
        <v>10</v>
      </c>
      <c r="BS111" s="7">
        <v>10</v>
      </c>
      <c r="BT111" s="7">
        <v>10</v>
      </c>
      <c r="BU111" s="7">
        <v>9</v>
      </c>
      <c r="BV111" s="7">
        <v>8</v>
      </c>
      <c r="BW111" s="7">
        <v>7</v>
      </c>
      <c r="BX111" s="7">
        <v>6</v>
      </c>
      <c r="BY111" s="7">
        <v>5</v>
      </c>
      <c r="CI111" s="7">
        <f t="shared" si="84"/>
        <v>190</v>
      </c>
      <c r="CJ111" s="163">
        <f t="shared" si="85"/>
        <v>100</v>
      </c>
      <c r="CK111" s="7">
        <f t="shared" si="86"/>
        <v>10</v>
      </c>
      <c r="CL111" s="7">
        <v>2</v>
      </c>
      <c r="CP111" s="7">
        <v>1</v>
      </c>
      <c r="CR111" s="7">
        <v>1</v>
      </c>
      <c r="CX111" s="121">
        <v>1</v>
      </c>
      <c r="CZ111" s="7">
        <f t="shared" si="87"/>
        <v>1</v>
      </c>
      <c r="DA111" s="7">
        <f t="shared" si="106"/>
        <v>2</v>
      </c>
      <c r="DB111" s="7">
        <f t="shared" si="88"/>
        <v>0</v>
      </c>
      <c r="DC111" s="7">
        <f t="shared" si="107"/>
        <v>0</v>
      </c>
      <c r="DE111" s="7">
        <f t="shared" si="89"/>
        <v>0</v>
      </c>
      <c r="DF111" s="7">
        <f t="shared" si="90"/>
        <v>0</v>
      </c>
      <c r="DG111" s="7">
        <f>IFERROR(IF(LEFT($AP111,1)="4",INDEX('변표 테이블'!$H$86:$H$165,MATCH($O111,'변표 테이블'!$B$86:$B$165,0)),INDEX(DG$4:DG$8,MATCH(AH111,$DC$4:$DC$8,0))),0)</f>
        <v>0</v>
      </c>
      <c r="DH111" s="7">
        <f>IFERROR(IF(LEFT($AP111,1)="4",INDEX('변표 테이블'!$I$86:$I$165,MATCH($O111,'변표 테이블'!$B$86:$B$165,0)),INDEX(DH$4:DH$8,MATCH(AI111,$DC$4:$DC$8,0))),0)</f>
        <v>0</v>
      </c>
      <c r="DJ111" s="7">
        <f>IFERROR(IF(LEFT($AP111,1)="4",INDEX('변표 테이블'!$J$86:$J$165,MATCH($O111,'변표 테이블'!$B$86:$B$165,0)),INDEX(DI$4:DI$8,MATCH(AK111,$DC$4:$DC$8,0))),0)</f>
        <v>0</v>
      </c>
      <c r="DK111" s="7">
        <f>IFERROR(IF(LEFT($AP111,1)="4",INDEX('변표 테이블'!$K$86:$K$165,MATCH($O111,'변표 테이블'!$B$86:$B$165,0)),INDEX(DJ$4:DJ$8,MATCH(AL111,$DC$4:$DC$8,0))),0)</f>
        <v>0</v>
      </c>
      <c r="DL111" s="7" t="str">
        <f t="shared" si="91"/>
        <v/>
      </c>
      <c r="DM111" s="7" t="str">
        <f t="shared" si="92"/>
        <v/>
      </c>
      <c r="DN111" s="7">
        <f t="shared" si="93"/>
        <v>0</v>
      </c>
      <c r="DP111" s="7">
        <f t="shared" si="94"/>
        <v>0</v>
      </c>
      <c r="DQ111" s="7">
        <f t="shared" si="95"/>
        <v>0</v>
      </c>
      <c r="DR111" s="7">
        <f t="shared" si="96"/>
        <v>0</v>
      </c>
      <c r="DS111" s="7">
        <f t="shared" si="97"/>
        <v>0</v>
      </c>
      <c r="DT111" s="7">
        <f t="shared" si="98"/>
        <v>0</v>
      </c>
      <c r="DU111" s="7">
        <f t="shared" si="99"/>
        <v>0</v>
      </c>
      <c r="DV111" s="7">
        <f t="shared" si="100"/>
        <v>0</v>
      </c>
      <c r="DW111" s="7">
        <f>LARGE((DR111:DS111,DU111:DV111),1)</f>
        <v>0</v>
      </c>
      <c r="DX111" s="7">
        <f>IF(DA111&lt;2,0,LARGE((DR111:DS111,DU111:DV111),2))</f>
        <v>0</v>
      </c>
      <c r="DY111" s="7">
        <f t="shared" si="101"/>
        <v>0</v>
      </c>
      <c r="DZ111" s="7">
        <f t="shared" si="102"/>
        <v>0</v>
      </c>
      <c r="EA111" s="7">
        <f t="shared" si="103"/>
        <v>0</v>
      </c>
      <c r="EF111" s="7">
        <f t="shared" si="104"/>
        <v>0</v>
      </c>
      <c r="EH111" s="7">
        <f t="shared" si="108"/>
        <v>0</v>
      </c>
      <c r="EI111" s="7">
        <f>IF(EH111=0,0,COUNTIF($EH$16:EH111,"&gt;"&amp;0))</f>
        <v>0</v>
      </c>
    </row>
    <row r="112" spans="1:141" x14ac:dyDescent="0.3">
      <c r="A112" s="165">
        <v>111</v>
      </c>
      <c r="C112" s="7" t="s">
        <v>218</v>
      </c>
      <c r="D112" s="7">
        <v>700</v>
      </c>
      <c r="E112" s="7">
        <f>200/700</f>
        <v>0.2857142857142857</v>
      </c>
      <c r="F112" s="7">
        <f>200/700</f>
        <v>0.2857142857142857</v>
      </c>
      <c r="G112" s="7">
        <f>100/700</f>
        <v>0.14285714285714285</v>
      </c>
      <c r="H112" s="7">
        <f>100/700</f>
        <v>0.14285714285714285</v>
      </c>
      <c r="O112" s="7">
        <f t="shared" si="112"/>
        <v>0</v>
      </c>
      <c r="Q112" s="7">
        <f t="shared" si="81"/>
        <v>1</v>
      </c>
      <c r="R112" s="7">
        <f t="shared" si="82"/>
        <v>1</v>
      </c>
      <c r="S112" s="7">
        <f t="shared" si="113"/>
        <v>1</v>
      </c>
      <c r="T112" s="7" t="str">
        <f t="shared" si="80"/>
        <v>자동</v>
      </c>
      <c r="U112" s="7">
        <f t="shared" si="83"/>
        <v>1</v>
      </c>
      <c r="V112" s="7">
        <f t="shared" si="114"/>
        <v>1</v>
      </c>
      <c r="W112" s="7">
        <f t="shared" si="115"/>
        <v>1</v>
      </c>
      <c r="X112" s="7">
        <f t="shared" si="116"/>
        <v>1</v>
      </c>
      <c r="Y112" s="7">
        <f t="shared" si="109"/>
        <v>1</v>
      </c>
      <c r="AA112" s="7" t="str">
        <f t="shared" si="110"/>
        <v>자동</v>
      </c>
      <c r="AB112" s="7" t="str">
        <f t="shared" si="111"/>
        <v>자동</v>
      </c>
      <c r="AC112" s="7" t="e">
        <f>INDEX('변표 테이블'!$C$86:$C$165,MATCH(O112,'변표 테이블'!$B$86:$B$165,0))</f>
        <v>#N/A</v>
      </c>
      <c r="AD112" s="7" t="e">
        <f>INDEX('변표 테이블'!$D$86:$D$165,MATCH(O112,'변표 테이블'!$B$86:$B$165,0))</f>
        <v>#N/A</v>
      </c>
      <c r="AF112" s="7">
        <v>1</v>
      </c>
      <c r="AG112" s="7">
        <v>1</v>
      </c>
      <c r="AH112" s="7">
        <v>1</v>
      </c>
      <c r="AI112" s="7">
        <v>1</v>
      </c>
      <c r="AM112" s="7">
        <v>3</v>
      </c>
      <c r="AN112" s="7">
        <v>3</v>
      </c>
      <c r="AP112" s="7">
        <f t="shared" si="105"/>
        <v>1</v>
      </c>
      <c r="BH112" s="121">
        <v>100</v>
      </c>
      <c r="BI112" s="7">
        <v>95</v>
      </c>
      <c r="BJ112" s="7">
        <v>90</v>
      </c>
      <c r="BK112" s="7">
        <v>80</v>
      </c>
      <c r="BL112" s="7">
        <v>70</v>
      </c>
      <c r="BM112" s="7">
        <v>60</v>
      </c>
      <c r="BN112" s="7">
        <v>55</v>
      </c>
      <c r="BO112" s="7">
        <v>50</v>
      </c>
      <c r="BP112" s="7">
        <v>45</v>
      </c>
      <c r="BQ112" s="121">
        <v>5</v>
      </c>
      <c r="BR112" s="7">
        <v>5</v>
      </c>
      <c r="BS112" s="7">
        <v>5</v>
      </c>
      <c r="BT112" s="7">
        <v>5</v>
      </c>
      <c r="BU112" s="7">
        <v>5</v>
      </c>
      <c r="BV112" s="7">
        <v>4</v>
      </c>
      <c r="BW112" s="7">
        <v>3</v>
      </c>
      <c r="BX112" s="7">
        <v>2</v>
      </c>
      <c r="BY112" s="7">
        <v>1</v>
      </c>
      <c r="CI112" s="7">
        <f t="shared" si="84"/>
        <v>100</v>
      </c>
      <c r="CJ112" s="163">
        <f t="shared" si="85"/>
        <v>100</v>
      </c>
      <c r="CK112" s="7">
        <f t="shared" si="86"/>
        <v>5</v>
      </c>
      <c r="CL112" s="7">
        <v>2</v>
      </c>
      <c r="CP112" s="7">
        <v>1</v>
      </c>
      <c r="CR112" s="7">
        <v>1</v>
      </c>
      <c r="CZ112" s="7">
        <f t="shared" si="87"/>
        <v>1</v>
      </c>
      <c r="DA112" s="7">
        <f t="shared" si="106"/>
        <v>2</v>
      </c>
      <c r="DB112" s="7">
        <f t="shared" si="88"/>
        <v>0</v>
      </c>
      <c r="DC112" s="7">
        <f t="shared" si="107"/>
        <v>0</v>
      </c>
      <c r="DE112" s="7">
        <f t="shared" si="89"/>
        <v>0</v>
      </c>
      <c r="DF112" s="7">
        <f t="shared" si="90"/>
        <v>0</v>
      </c>
      <c r="DG112" s="7">
        <f>IFERROR(IF(LEFT($AP112,1)="4",INDEX('변표 테이블'!$H$86:$H$165,MATCH($O112,'변표 테이블'!$B$86:$B$165,0)),INDEX(DG$4:DG$8,MATCH(AH112,$DC$4:$DC$8,0))),0)</f>
        <v>0</v>
      </c>
      <c r="DH112" s="7">
        <f>IFERROR(IF(LEFT($AP112,1)="4",INDEX('변표 테이블'!$I$86:$I$165,MATCH($O112,'변표 테이블'!$B$86:$B$165,0)),INDEX(DH$4:DH$8,MATCH(AI112,$DC$4:$DC$8,0))),0)</f>
        <v>0</v>
      </c>
      <c r="DJ112" s="7">
        <f>IFERROR(IF(LEFT($AP112,1)="4",INDEX('변표 테이블'!$J$86:$J$165,MATCH($O112,'변표 테이블'!$B$86:$B$165,0)),INDEX(DI$4:DI$8,MATCH(AK112,$DC$4:$DC$8,0))),0)</f>
        <v>0</v>
      </c>
      <c r="DK112" s="7">
        <f>IFERROR(IF(LEFT($AP112,1)="4",INDEX('변표 테이블'!$K$86:$K$165,MATCH($O112,'변표 테이블'!$B$86:$B$165,0)),INDEX(DJ$4:DJ$8,MATCH(AL112,$DC$4:$DC$8,0))),0)</f>
        <v>0</v>
      </c>
      <c r="DL112" s="7" t="str">
        <f t="shared" si="91"/>
        <v/>
      </c>
      <c r="DM112" s="7" t="str">
        <f t="shared" si="92"/>
        <v/>
      </c>
      <c r="DN112" s="7">
        <f t="shared" si="93"/>
        <v>0</v>
      </c>
      <c r="DP112" s="7">
        <f t="shared" si="94"/>
        <v>0</v>
      </c>
      <c r="DQ112" s="7">
        <f t="shared" si="95"/>
        <v>0</v>
      </c>
      <c r="DR112" s="7">
        <f t="shared" si="96"/>
        <v>0</v>
      </c>
      <c r="DS112" s="7">
        <f t="shared" si="97"/>
        <v>0</v>
      </c>
      <c r="DT112" s="7">
        <f t="shared" si="98"/>
        <v>0</v>
      </c>
      <c r="DU112" s="7">
        <f t="shared" si="99"/>
        <v>0</v>
      </c>
      <c r="DV112" s="7">
        <f t="shared" si="100"/>
        <v>0</v>
      </c>
      <c r="DW112" s="7">
        <f>LARGE((DR112:DS112,DU112:DV112),1)</f>
        <v>0</v>
      </c>
      <c r="DX112" s="7">
        <f>IF(DA112&lt;2,0,LARGE((DR112:DS112,DU112:DV112),2))</f>
        <v>0</v>
      </c>
      <c r="DY112" s="7">
        <f t="shared" si="101"/>
        <v>0</v>
      </c>
      <c r="DZ112" s="7">
        <f t="shared" si="102"/>
        <v>0</v>
      </c>
      <c r="EA112" s="7">
        <f t="shared" si="103"/>
        <v>0</v>
      </c>
      <c r="EF112" s="7">
        <f t="shared" si="104"/>
        <v>0</v>
      </c>
      <c r="EH112" s="7">
        <f t="shared" si="108"/>
        <v>0</v>
      </c>
      <c r="EI112" s="7">
        <f>IF(EH112=0,0,COUNTIF($EH$16:EH112,"&gt;"&amp;0))</f>
        <v>0</v>
      </c>
    </row>
    <row r="113" spans="1:142" x14ac:dyDescent="0.3">
      <c r="A113" s="165">
        <v>112</v>
      </c>
      <c r="C113" s="7" t="s">
        <v>219</v>
      </c>
      <c r="D113" s="7">
        <v>700</v>
      </c>
      <c r="E113" s="7">
        <f>200/700</f>
        <v>0.2857142857142857</v>
      </c>
      <c r="F113" s="7">
        <f>200/700</f>
        <v>0.2857142857142857</v>
      </c>
      <c r="G113" s="7">
        <f>100/700</f>
        <v>0.14285714285714285</v>
      </c>
      <c r="H113" s="7">
        <f>100/700</f>
        <v>0.14285714285714285</v>
      </c>
      <c r="J113" s="7">
        <f>100/700</f>
        <v>0.14285714285714285</v>
      </c>
      <c r="K113" s="7">
        <f>100/700</f>
        <v>0.14285714285714285</v>
      </c>
      <c r="O113" s="7">
        <f t="shared" si="112"/>
        <v>0</v>
      </c>
      <c r="Q113" s="7">
        <f t="shared" si="81"/>
        <v>1</v>
      </c>
      <c r="R113" s="7">
        <f t="shared" si="82"/>
        <v>1</v>
      </c>
      <c r="S113" s="7">
        <f t="shared" si="113"/>
        <v>1</v>
      </c>
      <c r="T113" s="7">
        <f t="shared" si="80"/>
        <v>1</v>
      </c>
      <c r="U113" s="7">
        <f t="shared" si="83"/>
        <v>1</v>
      </c>
      <c r="V113" s="7">
        <f t="shared" si="114"/>
        <v>1</v>
      </c>
      <c r="W113" s="7">
        <f t="shared" si="115"/>
        <v>1</v>
      </c>
      <c r="X113" s="7">
        <f t="shared" si="116"/>
        <v>1</v>
      </c>
      <c r="Y113" s="7">
        <f t="shared" si="109"/>
        <v>1</v>
      </c>
      <c r="AA113" s="7">
        <f t="shared" si="110"/>
        <v>1</v>
      </c>
      <c r="AB113" s="7">
        <f t="shared" si="111"/>
        <v>1</v>
      </c>
      <c r="AC113" s="7" t="e">
        <f>INDEX('변표 테이블'!$C$86:$C$165,MATCH(O113,'변표 테이블'!$B$86:$B$165,0))</f>
        <v>#N/A</v>
      </c>
      <c r="AD113" s="7" t="e">
        <f>INDEX('변표 테이블'!$D$86:$D$165,MATCH(O113,'변표 테이블'!$B$86:$B$165,0))</f>
        <v>#N/A</v>
      </c>
      <c r="AF113" s="7">
        <v>1</v>
      </c>
      <c r="AG113" s="7">
        <v>1</v>
      </c>
      <c r="AH113" s="7">
        <v>1</v>
      </c>
      <c r="AI113" s="7">
        <v>1</v>
      </c>
      <c r="AK113" s="7">
        <v>1</v>
      </c>
      <c r="AL113" s="7">
        <v>1</v>
      </c>
      <c r="AM113" s="7">
        <v>3</v>
      </c>
      <c r="AN113" s="7">
        <v>3</v>
      </c>
      <c r="AP113" s="7">
        <f t="shared" si="105"/>
        <v>1</v>
      </c>
      <c r="BH113" s="121">
        <v>100</v>
      </c>
      <c r="BI113" s="7">
        <v>95</v>
      </c>
      <c r="BJ113" s="7">
        <v>90</v>
      </c>
      <c r="BK113" s="7">
        <v>80</v>
      </c>
      <c r="BL113" s="7">
        <v>70</v>
      </c>
      <c r="BM113" s="7">
        <v>60</v>
      </c>
      <c r="BN113" s="7">
        <v>55</v>
      </c>
      <c r="BO113" s="7">
        <v>50</v>
      </c>
      <c r="BP113" s="7">
        <v>45</v>
      </c>
      <c r="BQ113" s="121">
        <v>5</v>
      </c>
      <c r="BR113" s="7">
        <v>5</v>
      </c>
      <c r="BS113" s="7">
        <v>5</v>
      </c>
      <c r="BT113" s="7">
        <v>5</v>
      </c>
      <c r="BU113" s="7">
        <v>5</v>
      </c>
      <c r="BV113" s="7">
        <v>4</v>
      </c>
      <c r="BW113" s="7">
        <v>3</v>
      </c>
      <c r="BX113" s="7">
        <v>2</v>
      </c>
      <c r="BY113" s="7">
        <v>1</v>
      </c>
      <c r="CI113" s="7">
        <f t="shared" si="84"/>
        <v>100</v>
      </c>
      <c r="CJ113" s="163">
        <f t="shared" si="85"/>
        <v>100</v>
      </c>
      <c r="CK113" s="7">
        <f t="shared" si="86"/>
        <v>5</v>
      </c>
      <c r="CN113" s="7">
        <v>2</v>
      </c>
      <c r="CZ113" s="7">
        <f t="shared" si="87"/>
        <v>2</v>
      </c>
      <c r="DA113" s="7">
        <f t="shared" si="106"/>
        <v>2</v>
      </c>
      <c r="DB113" s="7">
        <f t="shared" ref="DB113:DB133" si="118">IF(OR(AND(CL113&gt;0,CL113&lt;=$CL$8),AND(CM113&gt;0,CM113&lt;=$CM$8),AND(CN113&gt;0,CN113&lt;=$CN$8)),1,0)</f>
        <v>0</v>
      </c>
      <c r="DC113" s="7">
        <f t="shared" si="107"/>
        <v>0</v>
      </c>
      <c r="DE113" s="7">
        <f t="shared" ref="DE113:DE133" si="119">IFERROR(INDEX(DE$4:DE$10,MATCH(AF113,$DC$4:$DC$10,0)),0)</f>
        <v>0</v>
      </c>
      <c r="DF113" s="7">
        <f t="shared" ref="DF113:DF133" si="120">IFERROR(INDEX(DF$4:DF$10,MATCH(AG113,$DC$4:$DC$10,0)),0)</f>
        <v>0</v>
      </c>
      <c r="DG113" s="7">
        <f>IFERROR(IF(LEFT($AP113,1)="4",INDEX('변표 테이블'!$H$86:$H$165,MATCH($O113,'변표 테이블'!$B$86:$B$165,0)),INDEX(DG$4:DG$8,MATCH(AH113,$DC$4:$DC$8,0))),0)</f>
        <v>0</v>
      </c>
      <c r="DH113" s="7">
        <f>IFERROR(IF(LEFT($AP113,1)="4",INDEX('변표 테이블'!$I$86:$I$165,MATCH($O113,'변표 테이블'!$B$86:$B$165,0)),INDEX(DH$4:DH$8,MATCH(AI113,$DC$4:$DC$8,0))),0)</f>
        <v>0</v>
      </c>
      <c r="DJ113" s="7">
        <f>IFERROR(IF(LEFT($AP113,1)="4",INDEX('변표 테이블'!$J$86:$J$165,MATCH($O113,'변표 테이블'!$B$86:$B$165,0)),INDEX(DI$4:DI$8,MATCH(AK113,$DC$4:$DC$8,0))),0)</f>
        <v>0</v>
      </c>
      <c r="DK113" s="7">
        <f>IFERROR(IF(LEFT($AP113,1)="4",INDEX('변표 테이블'!$K$86:$K$165,MATCH($O113,'변표 테이블'!$B$86:$B$165,0)),INDEX(DJ$4:DJ$8,MATCH(AL113,$DC$4:$DC$8,0))),0)</f>
        <v>0</v>
      </c>
      <c r="DL113" s="7" t="str">
        <f t="shared" si="91"/>
        <v/>
      </c>
      <c r="DM113" s="7" t="str">
        <f t="shared" si="92"/>
        <v/>
      </c>
      <c r="DN113" s="7">
        <f t="shared" si="93"/>
        <v>0</v>
      </c>
      <c r="DP113" s="7">
        <f t="shared" ref="DP113:DP133" si="121">IFERROR((DE113*V113+AZ113)*$DO$9,0)</f>
        <v>0</v>
      </c>
      <c r="DQ113" s="7">
        <f t="shared" ref="DQ113:DQ133" si="122">IFERROR((DF113*W113+BA113+BB113)*$DO$9,0)</f>
        <v>0</v>
      </c>
      <c r="DR113" s="7">
        <f t="shared" ref="DR113:DR133" si="123">IFERROR((DG113*X113+BC113)*$DO$9,0)</f>
        <v>0</v>
      </c>
      <c r="DS113" s="7">
        <f t="shared" si="97"/>
        <v>0</v>
      </c>
      <c r="DT113" s="7">
        <f t="shared" ref="DT113:DT133" si="124">IFERROR(BE113*$DO$9,0)</f>
        <v>0</v>
      </c>
      <c r="DU113" s="7">
        <f t="shared" ref="DU113:DU133" si="125">IFERROR((DJ113*AA113+BF113)*$DO$9,0)</f>
        <v>0</v>
      </c>
      <c r="DV113" s="7">
        <f t="shared" si="100"/>
        <v>0</v>
      </c>
      <c r="DW113" s="7">
        <f>LARGE((DR113:DS113,DU113:DV113),1)</f>
        <v>0</v>
      </c>
      <c r="DX113" s="7">
        <f>IF(DA113&lt;2,0,LARGE((DR113:DS113,DU113:DV113),2))</f>
        <v>0</v>
      </c>
      <c r="DY113" s="7">
        <f t="shared" ref="DY113:DY133" si="126">IFERROR(INDEX(BH113:BP113,MATCH(DL113,$BH$15:$BP$15,0)),0)</f>
        <v>0</v>
      </c>
      <c r="DZ113" s="7">
        <f t="shared" ref="DZ113:DZ133" si="127">IFERROR(INDEX(BQ113:BY113,MATCH(DM113,$BQ$15:$BY$15,0)),0)</f>
        <v>0</v>
      </c>
      <c r="EA113" s="7">
        <f t="shared" ref="EA113:EA133" si="128">IFERROR(INDEX(BZ113:CH113,MATCH(DN113,$BZ$15:$CH$15,0)),0)</f>
        <v>0</v>
      </c>
      <c r="EF113" s="7">
        <f t="shared" si="104"/>
        <v>0</v>
      </c>
      <c r="EH113" s="7">
        <f t="shared" si="108"/>
        <v>0</v>
      </c>
      <c r="EI113" s="7">
        <f>IF(EH113=0,0,COUNTIF($EH$16:EH113,"&gt;"&amp;0))</f>
        <v>0</v>
      </c>
    </row>
    <row r="114" spans="1:142" x14ac:dyDescent="0.3">
      <c r="A114" s="165">
        <v>113</v>
      </c>
      <c r="C114" s="7" t="s">
        <v>220</v>
      </c>
      <c r="D114" s="7">
        <v>1000</v>
      </c>
      <c r="E114" s="7">
        <v>0.3</v>
      </c>
      <c r="F114" s="7">
        <v>0.3</v>
      </c>
      <c r="G114" s="7">
        <v>0.15</v>
      </c>
      <c r="H114" s="7">
        <v>0.15</v>
      </c>
      <c r="O114" s="7">
        <f t="shared" si="112"/>
        <v>0</v>
      </c>
      <c r="Q114" s="7">
        <f t="shared" si="81"/>
        <v>3</v>
      </c>
      <c r="R114" s="7">
        <f t="shared" si="82"/>
        <v>3</v>
      </c>
      <c r="S114" s="7">
        <f t="shared" si="113"/>
        <v>1.5</v>
      </c>
      <c r="T114" s="7" t="str">
        <f t="shared" si="80"/>
        <v>자동</v>
      </c>
      <c r="U114" s="7">
        <f t="shared" si="83"/>
        <v>3</v>
      </c>
      <c r="V114" s="7">
        <f t="shared" si="114"/>
        <v>3</v>
      </c>
      <c r="W114" s="7">
        <f t="shared" si="115"/>
        <v>3</v>
      </c>
      <c r="X114" s="7">
        <f t="shared" si="116"/>
        <v>1.5</v>
      </c>
      <c r="Y114" s="7">
        <f t="shared" si="109"/>
        <v>1.5</v>
      </c>
      <c r="AA114" s="7" t="str">
        <f t="shared" si="110"/>
        <v>자동</v>
      </c>
      <c r="AB114" s="7" t="str">
        <f t="shared" si="111"/>
        <v>자동</v>
      </c>
      <c r="AC114" s="7" t="e">
        <f>INDEX('변표 테이블'!$C$86:$C$165,MATCH(O114,'변표 테이블'!$B$86:$B$165,0))</f>
        <v>#N/A</v>
      </c>
      <c r="AD114" s="7" t="e">
        <f>INDEX('변표 테이블'!$D$86:$D$165,MATCH(O114,'변표 테이블'!$B$86:$B$165,0))</f>
        <v>#N/A</v>
      </c>
      <c r="AF114" s="7">
        <v>2</v>
      </c>
      <c r="AG114" s="7">
        <v>2</v>
      </c>
      <c r="AH114" s="7">
        <v>2</v>
      </c>
      <c r="AI114" s="7">
        <v>2</v>
      </c>
      <c r="AM114" s="7">
        <v>3</v>
      </c>
      <c r="AN114" s="7">
        <v>3</v>
      </c>
      <c r="AP114" s="7">
        <f t="shared" si="105"/>
        <v>2</v>
      </c>
      <c r="BH114" s="121">
        <v>100</v>
      </c>
      <c r="BI114" s="7">
        <v>95</v>
      </c>
      <c r="BJ114" s="7">
        <v>90</v>
      </c>
      <c r="BK114" s="7">
        <v>80</v>
      </c>
      <c r="BL114" s="7">
        <v>70</v>
      </c>
      <c r="BM114" s="7">
        <v>60</v>
      </c>
      <c r="BN114" s="7">
        <v>50</v>
      </c>
      <c r="BO114" s="7">
        <v>30</v>
      </c>
      <c r="BP114" s="7">
        <v>10</v>
      </c>
      <c r="BQ114" s="121">
        <v>5</v>
      </c>
      <c r="BR114" s="7">
        <v>5</v>
      </c>
      <c r="BS114" s="7">
        <v>5</v>
      </c>
      <c r="BT114" s="7">
        <v>5</v>
      </c>
      <c r="BU114" s="7">
        <v>4</v>
      </c>
      <c r="BV114" s="7">
        <v>3</v>
      </c>
      <c r="BW114" s="7">
        <v>2</v>
      </c>
      <c r="BX114" s="7">
        <v>1</v>
      </c>
      <c r="BY114" s="7">
        <v>0</v>
      </c>
      <c r="CI114" s="7">
        <f t="shared" si="84"/>
        <v>100</v>
      </c>
      <c r="CJ114" s="163">
        <f t="shared" si="85"/>
        <v>100</v>
      </c>
      <c r="CK114" s="7">
        <f t="shared" si="86"/>
        <v>5</v>
      </c>
      <c r="CL114" s="7">
        <v>2</v>
      </c>
      <c r="CR114" s="7">
        <v>1</v>
      </c>
      <c r="CZ114" s="7">
        <f t="shared" si="87"/>
        <v>1</v>
      </c>
      <c r="DA114" s="7">
        <f t="shared" si="106"/>
        <v>2</v>
      </c>
      <c r="DB114" s="7">
        <f t="shared" si="118"/>
        <v>0</v>
      </c>
      <c r="DC114" s="7">
        <f t="shared" si="107"/>
        <v>0</v>
      </c>
      <c r="DE114" s="7">
        <f t="shared" si="119"/>
        <v>0</v>
      </c>
      <c r="DF114" s="7">
        <f t="shared" si="120"/>
        <v>0</v>
      </c>
      <c r="DG114" s="7">
        <f>IFERROR(IF(LEFT($AP114,1)="4",INDEX('변표 테이블'!$H$86:$H$165,MATCH($O114,'변표 테이블'!$B$86:$B$165,0)),INDEX(DG$4:DG$8,MATCH(AH114,$DC$4:$DC$8,0))),0)</f>
        <v>0</v>
      </c>
      <c r="DH114" s="7">
        <f>IFERROR(IF(LEFT($AP114,1)="4",INDEX('변표 테이블'!$I$86:$I$165,MATCH($O114,'변표 테이블'!$B$86:$B$165,0)),INDEX(DH$4:DH$8,MATCH(AI114,$DC$4:$DC$8,0))),0)</f>
        <v>0</v>
      </c>
      <c r="DJ114" s="7">
        <f>IFERROR(IF(LEFT($AP114,1)="4",INDEX('변표 테이블'!$J$86:$J$165,MATCH($O114,'변표 테이블'!$B$86:$B$165,0)),INDEX(DI$4:DI$8,MATCH(AK114,$DC$4:$DC$8,0))),0)</f>
        <v>0</v>
      </c>
      <c r="DK114" s="7">
        <f>IFERROR(IF(LEFT($AP114,1)="4",INDEX('변표 테이블'!$K$86:$K$165,MATCH($O114,'변표 테이블'!$B$86:$B$165,0)),INDEX(DJ$4:DJ$8,MATCH(AL114,$DC$4:$DC$8,0))),0)</f>
        <v>0</v>
      </c>
      <c r="DL114" s="7" t="str">
        <f t="shared" si="91"/>
        <v/>
      </c>
      <c r="DM114" s="7" t="str">
        <f t="shared" si="92"/>
        <v/>
      </c>
      <c r="DN114" s="7">
        <f t="shared" si="93"/>
        <v>0</v>
      </c>
      <c r="DP114" s="7">
        <f t="shared" si="121"/>
        <v>0</v>
      </c>
      <c r="DQ114" s="7">
        <f t="shared" si="122"/>
        <v>0</v>
      </c>
      <c r="DR114" s="7">
        <f t="shared" si="123"/>
        <v>0</v>
      </c>
      <c r="DS114" s="7">
        <f t="shared" si="97"/>
        <v>0</v>
      </c>
      <c r="DT114" s="7">
        <f t="shared" si="124"/>
        <v>0</v>
      </c>
      <c r="DU114" s="7">
        <f t="shared" si="125"/>
        <v>0</v>
      </c>
      <c r="DV114" s="7">
        <f t="shared" si="100"/>
        <v>0</v>
      </c>
      <c r="DW114" s="7">
        <f>LARGE((DR114:DS114,DU114:DV114),1)</f>
        <v>0</v>
      </c>
      <c r="DX114" s="7">
        <f>IF(DA114&lt;2,0,LARGE((DR114:DS114,DU114:DV114),2))</f>
        <v>0</v>
      </c>
      <c r="DY114" s="7">
        <f t="shared" si="126"/>
        <v>0</v>
      </c>
      <c r="DZ114" s="7">
        <f t="shared" si="127"/>
        <v>0</v>
      </c>
      <c r="EA114" s="7">
        <f t="shared" si="128"/>
        <v>0</v>
      </c>
      <c r="EF114" s="7">
        <f t="shared" si="104"/>
        <v>0</v>
      </c>
      <c r="EH114" s="7">
        <f t="shared" si="108"/>
        <v>0</v>
      </c>
      <c r="EI114" s="7">
        <f>IF(EH114=0,0,COUNTIF($EH$16:EH114,"&gt;"&amp;0))</f>
        <v>0</v>
      </c>
    </row>
    <row r="115" spans="1:142" x14ac:dyDescent="0.3">
      <c r="A115" s="165">
        <v>114</v>
      </c>
      <c r="C115" s="7" t="s">
        <v>221</v>
      </c>
      <c r="D115" s="7">
        <v>800</v>
      </c>
      <c r="E115" s="7">
        <v>0.25</v>
      </c>
      <c r="F115" s="7">
        <v>0.25</v>
      </c>
      <c r="G115" s="7">
        <v>0.125</v>
      </c>
      <c r="H115" s="7">
        <v>0.125</v>
      </c>
      <c r="O115" s="7">
        <f t="shared" si="112"/>
        <v>0</v>
      </c>
      <c r="Q115" s="7">
        <f t="shared" si="81"/>
        <v>1</v>
      </c>
      <c r="R115" s="7">
        <f t="shared" si="82"/>
        <v>1</v>
      </c>
      <c r="S115" s="7">
        <f t="shared" si="113"/>
        <v>1</v>
      </c>
      <c r="T115" s="7" t="str">
        <f t="shared" si="80"/>
        <v>자동</v>
      </c>
      <c r="U115" s="7">
        <f t="shared" si="83"/>
        <v>1</v>
      </c>
      <c r="V115" s="7">
        <f t="shared" si="114"/>
        <v>1</v>
      </c>
      <c r="W115" s="7">
        <f t="shared" si="115"/>
        <v>1</v>
      </c>
      <c r="X115" s="7">
        <f t="shared" si="116"/>
        <v>1</v>
      </c>
      <c r="Y115" s="7">
        <f t="shared" ref="Y115:Y133" si="129">IF(AI115=12,$D115*H115/$AI$9,IF(AI115=42,$D115*H115/AC115,IF(OR(AI115=1,AI115=4,AI115=2),$D115*H115/100,IF(AI115=9,$D115*H115/50,"자동"))))</f>
        <v>1</v>
      </c>
      <c r="AA115" s="7" t="str">
        <f t="shared" ref="AA115:AA133" si="130">IF(AK115=12,$D115*J115/$AK$9,IF(AK115=42,$D115*J115/AD115,IF(OR(AK115=1,AK115=4,AK115=2),$D115*J115/100,IF(AK115=9,$D115*J115/50,"자동"))))</f>
        <v>자동</v>
      </c>
      <c r="AB115" s="7" t="str">
        <f t="shared" ref="AB115:AB133" si="131">IF(AL115=12,$D115*K115/$AL$9,IF(AL115=42,$D115*K115/AD115,IF(OR(AL115=1,AL115=4,AL115=2),$D115*K115/100,IF(AL115=9,$D115*K115/50,"자동"))))</f>
        <v>자동</v>
      </c>
      <c r="AC115" s="7" t="e">
        <f>INDEX('변표 테이블'!$C$86:$C$165,MATCH(O115,'변표 테이블'!$B$86:$B$165,0))</f>
        <v>#N/A</v>
      </c>
      <c r="AD115" s="7" t="e">
        <f>INDEX('변표 테이블'!$D$86:$D$165,MATCH(O115,'변표 테이블'!$B$86:$B$165,0))</f>
        <v>#N/A</v>
      </c>
      <c r="AF115" s="7">
        <v>1</v>
      </c>
      <c r="AG115" s="7">
        <v>1</v>
      </c>
      <c r="AH115" s="7">
        <v>1</v>
      </c>
      <c r="AI115" s="7">
        <v>1</v>
      </c>
      <c r="AM115" s="7">
        <v>3</v>
      </c>
      <c r="AN115" s="7">
        <v>3</v>
      </c>
      <c r="AP115" s="7">
        <f t="shared" si="105"/>
        <v>1</v>
      </c>
      <c r="BH115" s="121">
        <v>135</v>
      </c>
      <c r="BI115" s="7">
        <v>130</v>
      </c>
      <c r="BJ115" s="7">
        <v>123</v>
      </c>
      <c r="BK115" s="7">
        <v>114</v>
      </c>
      <c r="BL115" s="7">
        <v>103</v>
      </c>
      <c r="BM115" s="7">
        <v>94</v>
      </c>
      <c r="BN115" s="7">
        <v>87</v>
      </c>
      <c r="BO115" s="7">
        <v>82</v>
      </c>
      <c r="BP115" s="7">
        <v>79</v>
      </c>
      <c r="CI115" s="7">
        <f t="shared" si="84"/>
        <v>135</v>
      </c>
      <c r="CJ115" s="163">
        <f t="shared" si="85"/>
        <v>100</v>
      </c>
      <c r="CK115" s="7">
        <f t="shared" si="86"/>
        <v>0</v>
      </c>
      <c r="CL115" s="7">
        <v>2</v>
      </c>
      <c r="CP115" s="7">
        <v>1</v>
      </c>
      <c r="CR115" s="7">
        <v>1</v>
      </c>
      <c r="CZ115" s="7">
        <f t="shared" si="87"/>
        <v>1</v>
      </c>
      <c r="DA115" s="7">
        <f t="shared" si="106"/>
        <v>2</v>
      </c>
      <c r="DB115" s="7">
        <f t="shared" si="118"/>
        <v>0</v>
      </c>
      <c r="DC115" s="7">
        <f t="shared" si="107"/>
        <v>0</v>
      </c>
      <c r="DE115" s="7">
        <f t="shared" si="119"/>
        <v>0</v>
      </c>
      <c r="DF115" s="7">
        <f t="shared" si="120"/>
        <v>0</v>
      </c>
      <c r="DG115" s="7">
        <f>IFERROR(IF(LEFT($AP115,1)="4",INDEX('변표 테이블'!$H$86:$H$165,MATCH($O115,'변표 테이블'!$B$86:$B$165,0)),INDEX(DG$4:DG$8,MATCH(AH115,$DC$4:$DC$8,0))),0)</f>
        <v>0</v>
      </c>
      <c r="DH115" s="7">
        <f>IFERROR(IF(LEFT($AP115,1)="4",INDEX('변표 테이블'!$I$86:$I$165,MATCH($O115,'변표 테이블'!$B$86:$B$165,0)),INDEX(DH$4:DH$8,MATCH(AI115,$DC$4:$DC$8,0))),0)</f>
        <v>0</v>
      </c>
      <c r="DJ115" s="7">
        <f>IFERROR(IF(LEFT($AP115,1)="4",INDEX('변표 테이블'!$J$86:$J$165,MATCH($O115,'변표 테이블'!$B$86:$B$165,0)),INDEX(DI$4:DI$8,MATCH(AK115,$DC$4:$DC$8,0))),0)</f>
        <v>0</v>
      </c>
      <c r="DK115" s="7">
        <f>IFERROR(IF(LEFT($AP115,1)="4",INDEX('변표 테이블'!$K$86:$K$165,MATCH($O115,'변표 테이블'!$B$86:$B$165,0)),INDEX(DJ$4:DJ$8,MATCH(AL115,$DC$4:$DC$8,0))),0)</f>
        <v>0</v>
      </c>
      <c r="DL115" s="7" t="str">
        <f t="shared" si="91"/>
        <v/>
      </c>
      <c r="DM115" s="7" t="str">
        <f t="shared" si="92"/>
        <v/>
      </c>
      <c r="DN115" s="7">
        <f t="shared" si="93"/>
        <v>0</v>
      </c>
      <c r="DP115" s="7">
        <f t="shared" si="121"/>
        <v>0</v>
      </c>
      <c r="DQ115" s="7">
        <f t="shared" si="122"/>
        <v>0</v>
      </c>
      <c r="DR115" s="7">
        <f t="shared" si="123"/>
        <v>0</v>
      </c>
      <c r="DS115" s="7">
        <f t="shared" si="97"/>
        <v>0</v>
      </c>
      <c r="DT115" s="7">
        <f t="shared" si="124"/>
        <v>0</v>
      </c>
      <c r="DU115" s="7">
        <f t="shared" si="125"/>
        <v>0</v>
      </c>
      <c r="DV115" s="7">
        <f t="shared" si="100"/>
        <v>0</v>
      </c>
      <c r="DW115" s="7">
        <f>LARGE((DR115:DS115,DU115:DV115),1)</f>
        <v>0</v>
      </c>
      <c r="DX115" s="7">
        <f>IF(DA115&lt;2,0,LARGE((DR115:DS115,DU115:DV115),2))</f>
        <v>0</v>
      </c>
      <c r="DY115" s="7">
        <f t="shared" si="126"/>
        <v>0</v>
      </c>
      <c r="DZ115" s="7">
        <f t="shared" si="127"/>
        <v>0</v>
      </c>
      <c r="EA115" s="7">
        <f t="shared" si="128"/>
        <v>0</v>
      </c>
      <c r="EF115" s="7">
        <f t="shared" si="104"/>
        <v>0</v>
      </c>
      <c r="EH115" s="7">
        <f t="shared" si="108"/>
        <v>0</v>
      </c>
      <c r="EI115" s="7">
        <f>IF(EH115=0,0,COUNTIF($EH$16:EH115,"&gt;"&amp;0))</f>
        <v>0</v>
      </c>
    </row>
    <row r="116" spans="1:142" x14ac:dyDescent="0.3">
      <c r="A116" s="165">
        <v>115</v>
      </c>
      <c r="C116" s="7" t="s">
        <v>222</v>
      </c>
      <c r="D116" s="7">
        <v>800</v>
      </c>
      <c r="E116" s="7">
        <v>0.25</v>
      </c>
      <c r="F116" s="7">
        <v>0.25</v>
      </c>
      <c r="G116" s="7">
        <v>0.125</v>
      </c>
      <c r="H116" s="7">
        <v>0.125</v>
      </c>
      <c r="O116" s="7">
        <f t="shared" si="112"/>
        <v>0</v>
      </c>
      <c r="Q116" s="7">
        <f t="shared" si="81"/>
        <v>1</v>
      </c>
      <c r="R116" s="7">
        <f t="shared" si="82"/>
        <v>1</v>
      </c>
      <c r="S116" s="7">
        <f t="shared" si="113"/>
        <v>1</v>
      </c>
      <c r="T116" s="7" t="str">
        <f t="shared" si="80"/>
        <v>자동</v>
      </c>
      <c r="U116" s="7">
        <f t="shared" si="83"/>
        <v>1</v>
      </c>
      <c r="V116" s="7">
        <f t="shared" si="114"/>
        <v>1</v>
      </c>
      <c r="W116" s="7">
        <f t="shared" si="115"/>
        <v>1</v>
      </c>
      <c r="X116" s="7">
        <f t="shared" si="116"/>
        <v>1</v>
      </c>
      <c r="Y116" s="7">
        <f t="shared" si="129"/>
        <v>1</v>
      </c>
      <c r="AA116" s="7" t="str">
        <f t="shared" si="130"/>
        <v>자동</v>
      </c>
      <c r="AB116" s="7" t="str">
        <f t="shared" si="131"/>
        <v>자동</v>
      </c>
      <c r="AC116" s="7" t="e">
        <f>INDEX('변표 테이블'!$C$86:$C$165,MATCH(O116,'변표 테이블'!$B$86:$B$165,0))</f>
        <v>#N/A</v>
      </c>
      <c r="AD116" s="7" t="e">
        <f>INDEX('변표 테이블'!$D$86:$D$165,MATCH(O116,'변표 테이블'!$B$86:$B$165,0))</f>
        <v>#N/A</v>
      </c>
      <c r="AF116" s="7">
        <v>1</v>
      </c>
      <c r="AG116" s="7">
        <v>1</v>
      </c>
      <c r="AH116" s="7">
        <v>1</v>
      </c>
      <c r="AI116" s="7">
        <v>1</v>
      </c>
      <c r="AM116" s="7">
        <v>3</v>
      </c>
      <c r="AN116" s="7">
        <v>3</v>
      </c>
      <c r="AP116" s="7">
        <f t="shared" si="105"/>
        <v>1</v>
      </c>
      <c r="BH116" s="121">
        <v>135</v>
      </c>
      <c r="BI116" s="7">
        <v>130</v>
      </c>
      <c r="BJ116" s="7">
        <v>123</v>
      </c>
      <c r="BK116" s="7">
        <v>114</v>
      </c>
      <c r="BL116" s="7">
        <v>103</v>
      </c>
      <c r="BM116" s="7">
        <v>94</v>
      </c>
      <c r="BN116" s="7">
        <v>87</v>
      </c>
      <c r="BO116" s="7">
        <v>82</v>
      </c>
      <c r="BP116" s="7">
        <v>79</v>
      </c>
      <c r="CI116" s="7">
        <f t="shared" si="84"/>
        <v>135</v>
      </c>
      <c r="CJ116" s="163">
        <f t="shared" si="85"/>
        <v>100</v>
      </c>
      <c r="CK116" s="7">
        <f t="shared" si="86"/>
        <v>0</v>
      </c>
      <c r="CL116" s="7">
        <v>2</v>
      </c>
      <c r="CP116" s="7">
        <v>1</v>
      </c>
      <c r="CR116" s="7">
        <v>1</v>
      </c>
      <c r="CZ116" s="7">
        <f t="shared" si="87"/>
        <v>1</v>
      </c>
      <c r="DA116" s="7">
        <f t="shared" si="106"/>
        <v>2</v>
      </c>
      <c r="DB116" s="7">
        <f t="shared" si="118"/>
        <v>0</v>
      </c>
      <c r="DC116" s="7">
        <f t="shared" si="107"/>
        <v>0</v>
      </c>
      <c r="DE116" s="7">
        <f t="shared" si="119"/>
        <v>0</v>
      </c>
      <c r="DF116" s="7">
        <f t="shared" si="120"/>
        <v>0</v>
      </c>
      <c r="DG116" s="7">
        <f>IFERROR(IF(LEFT($AP116,1)="4",INDEX('변표 테이블'!$H$86:$H$165,MATCH($O116,'변표 테이블'!$B$86:$B$165,0)),INDEX(DG$4:DG$8,MATCH(AH116,$DC$4:$DC$8,0))),0)</f>
        <v>0</v>
      </c>
      <c r="DH116" s="7">
        <f>IFERROR(IF(LEFT($AP116,1)="4",INDEX('변표 테이블'!$I$86:$I$165,MATCH($O116,'변표 테이블'!$B$86:$B$165,0)),INDEX(DH$4:DH$8,MATCH(AI116,$DC$4:$DC$8,0))),0)</f>
        <v>0</v>
      </c>
      <c r="DJ116" s="7">
        <f>IFERROR(IF(LEFT($AP116,1)="4",INDEX('변표 테이블'!$J$86:$J$165,MATCH($O116,'변표 테이블'!$B$86:$B$165,0)),INDEX(DI$4:DI$8,MATCH(AK116,$DC$4:$DC$8,0))),0)</f>
        <v>0</v>
      </c>
      <c r="DK116" s="7">
        <f>IFERROR(IF(LEFT($AP116,1)="4",INDEX('변표 테이블'!$K$86:$K$165,MATCH($O116,'변표 테이블'!$B$86:$B$165,0)),INDEX(DJ$4:DJ$8,MATCH(AL116,$DC$4:$DC$8,0))),0)</f>
        <v>0</v>
      </c>
      <c r="DL116" s="7" t="str">
        <f t="shared" si="91"/>
        <v/>
      </c>
      <c r="DM116" s="7" t="str">
        <f t="shared" si="92"/>
        <v/>
      </c>
      <c r="DN116" s="7">
        <f t="shared" si="93"/>
        <v>0</v>
      </c>
      <c r="DP116" s="7">
        <f t="shared" si="121"/>
        <v>0</v>
      </c>
      <c r="DQ116" s="7">
        <f t="shared" si="122"/>
        <v>0</v>
      </c>
      <c r="DR116" s="7">
        <f t="shared" si="123"/>
        <v>0</v>
      </c>
      <c r="DS116" s="7">
        <f t="shared" si="97"/>
        <v>0</v>
      </c>
      <c r="DT116" s="7">
        <f t="shared" si="124"/>
        <v>0</v>
      </c>
      <c r="DU116" s="7">
        <f t="shared" si="125"/>
        <v>0</v>
      </c>
      <c r="DV116" s="7">
        <f t="shared" si="100"/>
        <v>0</v>
      </c>
      <c r="DW116" s="7">
        <f>LARGE((DR116:DS116,DU116:DV116),1)</f>
        <v>0</v>
      </c>
      <c r="DX116" s="7">
        <f>IF(DA116&lt;2,0,LARGE((DR116:DS116,DU116:DV116),2))</f>
        <v>0</v>
      </c>
      <c r="DY116" s="7">
        <f t="shared" si="126"/>
        <v>0</v>
      </c>
      <c r="DZ116" s="7">
        <f t="shared" si="127"/>
        <v>0</v>
      </c>
      <c r="EA116" s="7">
        <f t="shared" si="128"/>
        <v>0</v>
      </c>
      <c r="EF116" s="7">
        <f t="shared" si="104"/>
        <v>0</v>
      </c>
      <c r="EH116" s="7">
        <f t="shared" si="108"/>
        <v>0</v>
      </c>
      <c r="EI116" s="7">
        <f>IF(EH116=0,0,COUNTIF($EH$16:EH116,"&gt;"&amp;0))</f>
        <v>0</v>
      </c>
    </row>
    <row r="117" spans="1:142" x14ac:dyDescent="0.3">
      <c r="A117" s="165">
        <v>116</v>
      </c>
      <c r="C117" s="7" t="s">
        <v>223</v>
      </c>
      <c r="D117" s="7">
        <v>800</v>
      </c>
      <c r="E117" s="7">
        <v>0.25</v>
      </c>
      <c r="F117" s="7">
        <v>0.25</v>
      </c>
      <c r="J117" s="7">
        <v>0.125</v>
      </c>
      <c r="K117" s="7">
        <v>0.125</v>
      </c>
      <c r="O117" s="7">
        <f t="shared" si="112"/>
        <v>0</v>
      </c>
      <c r="Q117" s="7">
        <f t="shared" si="81"/>
        <v>1</v>
      </c>
      <c r="R117" s="7">
        <f t="shared" si="82"/>
        <v>1</v>
      </c>
      <c r="S117" s="7" t="str">
        <f t="shared" si="113"/>
        <v>자동</v>
      </c>
      <c r="T117" s="7">
        <f t="shared" si="80"/>
        <v>1</v>
      </c>
      <c r="U117" s="7">
        <f t="shared" si="83"/>
        <v>1</v>
      </c>
      <c r="V117" s="7">
        <f t="shared" ref="V117:V133" si="132">IF(AF117=12,$D117*E117/$AF$9,IF(OR(AF117=1,AF117=4),$D117*E117/200,IF(OR(AF117=2,AF117=9),$D117*E117/100,"자동")))</f>
        <v>1</v>
      </c>
      <c r="W117" s="7">
        <f t="shared" ref="W117:W133" si="133">IF(AG117=12,$D117*F117/$AG$9,IF(OR(AG117=1,AG117=4),$D117*F117/200,IF(OR(AG117=2,AG117=9),$D117*F117/100,"자동")))</f>
        <v>1</v>
      </c>
      <c r="X117" s="7" t="str">
        <f t="shared" ref="X117:X133" si="134">IF(AH117=12,$D117*G117/$AH$9,IF(AH117=42,$D117*G117/AC117,IF(OR(AH117=1,AH117=4,AH117=2),$D117*G117/100,IF(AH117=9,$D117*G117/50,"자동"))))</f>
        <v>자동</v>
      </c>
      <c r="Y117" s="7" t="str">
        <f t="shared" si="129"/>
        <v>자동</v>
      </c>
      <c r="AA117" s="7">
        <f t="shared" si="130"/>
        <v>1</v>
      </c>
      <c r="AB117" s="7">
        <f t="shared" si="131"/>
        <v>1</v>
      </c>
      <c r="AC117" s="7" t="e">
        <f>INDEX('변표 테이블'!$C$86:$C$165,MATCH(O117,'변표 테이블'!$B$86:$B$165,0))</f>
        <v>#N/A</v>
      </c>
      <c r="AD117" s="7" t="e">
        <f>INDEX('변표 테이블'!$D$86:$D$165,MATCH(O117,'변표 테이블'!$B$86:$B$165,0))</f>
        <v>#N/A</v>
      </c>
      <c r="AF117" s="7">
        <v>1</v>
      </c>
      <c r="AG117" s="7">
        <v>1</v>
      </c>
      <c r="AK117" s="7">
        <v>1</v>
      </c>
      <c r="AL117" s="7">
        <v>1</v>
      </c>
      <c r="AM117" s="7">
        <v>3</v>
      </c>
      <c r="AN117" s="7">
        <v>3</v>
      </c>
      <c r="AP117" s="7">
        <f t="shared" si="105"/>
        <v>1</v>
      </c>
      <c r="BH117" s="121">
        <v>135</v>
      </c>
      <c r="BI117" s="7">
        <v>130</v>
      </c>
      <c r="BJ117" s="7">
        <v>123</v>
      </c>
      <c r="BK117" s="7">
        <v>114</v>
      </c>
      <c r="BL117" s="7">
        <v>103</v>
      </c>
      <c r="BM117" s="7">
        <v>94</v>
      </c>
      <c r="BN117" s="7">
        <v>87</v>
      </c>
      <c r="BO117" s="7">
        <v>82</v>
      </c>
      <c r="BP117" s="7">
        <v>79</v>
      </c>
      <c r="CI117" s="7">
        <f t="shared" si="84"/>
        <v>135</v>
      </c>
      <c r="CJ117" s="163">
        <f t="shared" si="85"/>
        <v>100</v>
      </c>
      <c r="CK117" s="7">
        <f t="shared" si="86"/>
        <v>0</v>
      </c>
      <c r="CM117" s="7">
        <v>2</v>
      </c>
      <c r="CQ117" s="7">
        <v>1</v>
      </c>
      <c r="CT117" s="7">
        <v>1</v>
      </c>
      <c r="CZ117" s="7">
        <f t="shared" si="87"/>
        <v>2</v>
      </c>
      <c r="DA117" s="7">
        <f t="shared" si="106"/>
        <v>2</v>
      </c>
      <c r="DB117" s="7">
        <f t="shared" si="118"/>
        <v>0</v>
      </c>
      <c r="DC117" s="7">
        <f t="shared" si="107"/>
        <v>0</v>
      </c>
      <c r="DE117" s="7">
        <f t="shared" si="119"/>
        <v>0</v>
      </c>
      <c r="DF117" s="7">
        <f t="shared" si="120"/>
        <v>0</v>
      </c>
      <c r="DG117" s="7">
        <f>IFERROR(IF(LEFT($AP117,1)="4",INDEX('변표 테이블'!$H$86:$H$165,MATCH($O117,'변표 테이블'!$B$86:$B$165,0)),INDEX(DG$4:DG$8,MATCH(AH117,$DC$4:$DC$8,0))),0)</f>
        <v>0</v>
      </c>
      <c r="DH117" s="7">
        <f>IFERROR(IF(LEFT($AP117,1)="4",INDEX('변표 테이블'!$I$86:$I$165,MATCH($O117,'변표 테이블'!$B$86:$B$165,0)),INDEX(DH$4:DH$8,MATCH(AI117,$DC$4:$DC$8,0))),0)</f>
        <v>0</v>
      </c>
      <c r="DJ117" s="7">
        <f>IFERROR(IF(LEFT($AP117,1)="4",INDEX('변표 테이블'!$J$86:$J$165,MATCH($O117,'변표 테이블'!$B$86:$B$165,0)),INDEX(DI$4:DI$8,MATCH(AK117,$DC$4:$DC$8,0))),0)</f>
        <v>0</v>
      </c>
      <c r="DK117" s="7">
        <f>IFERROR(IF(LEFT($AP117,1)="4",INDEX('변표 테이블'!$K$86:$K$165,MATCH($O117,'변표 테이블'!$B$86:$B$165,0)),INDEX(DJ$4:DJ$8,MATCH(AL117,$DC$4:$DC$8,0))),0)</f>
        <v>0</v>
      </c>
      <c r="DL117" s="7" t="str">
        <f t="shared" si="91"/>
        <v/>
      </c>
      <c r="DM117" s="7" t="str">
        <f t="shared" si="92"/>
        <v/>
      </c>
      <c r="DN117" s="7">
        <f t="shared" si="93"/>
        <v>0</v>
      </c>
      <c r="DP117" s="7">
        <f t="shared" si="121"/>
        <v>0</v>
      </c>
      <c r="DQ117" s="7">
        <f t="shared" si="122"/>
        <v>0</v>
      </c>
      <c r="DR117" s="7">
        <f t="shared" si="123"/>
        <v>0</v>
      </c>
      <c r="DS117" s="7">
        <f t="shared" si="97"/>
        <v>0</v>
      </c>
      <c r="DT117" s="7">
        <f t="shared" si="124"/>
        <v>0</v>
      </c>
      <c r="DU117" s="7">
        <f t="shared" si="125"/>
        <v>0</v>
      </c>
      <c r="DV117" s="7">
        <f t="shared" si="100"/>
        <v>0</v>
      </c>
      <c r="DW117" s="7">
        <f>LARGE((DR117:DS117,DU117:DV117),1)</f>
        <v>0</v>
      </c>
      <c r="DX117" s="7">
        <f>IF(DA117&lt;2,0,LARGE((DR117:DS117,DU117:DV117),2))</f>
        <v>0</v>
      </c>
      <c r="DY117" s="7">
        <f t="shared" si="126"/>
        <v>0</v>
      </c>
      <c r="DZ117" s="7">
        <f t="shared" si="127"/>
        <v>0</v>
      </c>
      <c r="EA117" s="7">
        <f t="shared" si="128"/>
        <v>0</v>
      </c>
      <c r="EF117" s="7">
        <f t="shared" si="104"/>
        <v>0</v>
      </c>
      <c r="EH117" s="7">
        <f t="shared" si="108"/>
        <v>0</v>
      </c>
      <c r="EI117" s="7">
        <f>IF(EH117=0,0,COUNTIF($EH$16:EH117,"&gt;"&amp;0))</f>
        <v>0</v>
      </c>
    </row>
    <row r="118" spans="1:142" x14ac:dyDescent="0.3">
      <c r="A118" s="165">
        <v>117</v>
      </c>
      <c r="C118" s="7" t="s">
        <v>224</v>
      </c>
      <c r="D118" s="7">
        <v>1000</v>
      </c>
      <c r="E118" s="7">
        <v>0.2</v>
      </c>
      <c r="F118" s="7">
        <v>0.3</v>
      </c>
      <c r="G118" s="7">
        <v>0.125</v>
      </c>
      <c r="H118" s="7">
        <v>0.125</v>
      </c>
      <c r="M118" s="7">
        <v>1</v>
      </c>
      <c r="O118" s="7">
        <f t="shared" si="112"/>
        <v>1</v>
      </c>
      <c r="Q118" s="7">
        <f t="shared" si="81"/>
        <v>1.3422818791946309</v>
      </c>
      <c r="R118" s="7">
        <f t="shared" si="82"/>
        <v>2.0408163265306123</v>
      </c>
      <c r="S118" s="7">
        <f t="shared" si="113"/>
        <v>1.7573457050470971</v>
      </c>
      <c r="T118" s="7" t="str">
        <f t="shared" si="80"/>
        <v>자동</v>
      </c>
      <c r="U118" s="7">
        <f t="shared" si="83"/>
        <v>1.7573457050470971</v>
      </c>
      <c r="V118" s="7">
        <f t="shared" si="132"/>
        <v>1.3422818791946309</v>
      </c>
      <c r="W118" s="7">
        <f t="shared" si="133"/>
        <v>2.0408163265306123</v>
      </c>
      <c r="X118" s="7">
        <f t="shared" si="134"/>
        <v>1.7573457050470971</v>
      </c>
      <c r="Y118" s="7">
        <f t="shared" si="129"/>
        <v>1.7573457050470971</v>
      </c>
      <c r="AA118" s="7" t="str">
        <f t="shared" si="130"/>
        <v>자동</v>
      </c>
      <c r="AB118" s="7" t="str">
        <f t="shared" si="131"/>
        <v>자동</v>
      </c>
      <c r="AC118" s="7">
        <f>INDEX('변표 테이블'!$C$86:$C$165,MATCH(O118,'변표 테이블'!$B$86:$B$165,0))</f>
        <v>71.13</v>
      </c>
      <c r="AD118" s="7">
        <f>INDEX('변표 테이블'!$D$86:$D$165,MATCH(O118,'변표 테이블'!$B$86:$B$165,0))</f>
        <v>66</v>
      </c>
      <c r="AF118" s="7">
        <v>12</v>
      </c>
      <c r="AG118" s="7">
        <v>12</v>
      </c>
      <c r="AH118" s="7">
        <v>42</v>
      </c>
      <c r="AI118" s="7">
        <v>42</v>
      </c>
      <c r="AM118" s="7">
        <v>3</v>
      </c>
      <c r="AN118" s="7">
        <v>3</v>
      </c>
      <c r="AP118" s="7">
        <f t="shared" si="105"/>
        <v>42</v>
      </c>
      <c r="BH118" s="121">
        <v>200</v>
      </c>
      <c r="BI118" s="7">
        <v>198</v>
      </c>
      <c r="BJ118" s="7">
        <v>194</v>
      </c>
      <c r="BK118" s="7">
        <v>185</v>
      </c>
      <c r="BL118" s="7">
        <v>170</v>
      </c>
      <c r="BM118" s="7">
        <v>150</v>
      </c>
      <c r="BN118" s="7">
        <v>120</v>
      </c>
      <c r="BO118" s="7">
        <v>80</v>
      </c>
      <c r="BP118" s="7">
        <v>0</v>
      </c>
      <c r="BQ118" s="121">
        <v>50</v>
      </c>
      <c r="BR118" s="7">
        <v>50</v>
      </c>
      <c r="BS118" s="7">
        <v>50</v>
      </c>
      <c r="BT118" s="7">
        <v>50</v>
      </c>
      <c r="BU118" s="7">
        <v>50</v>
      </c>
      <c r="BV118" s="7">
        <v>45</v>
      </c>
      <c r="BW118" s="7">
        <v>45</v>
      </c>
      <c r="BX118" s="7">
        <v>40</v>
      </c>
      <c r="BY118" s="7">
        <v>40</v>
      </c>
      <c r="CI118" s="7">
        <f t="shared" si="84"/>
        <v>200</v>
      </c>
      <c r="CJ118" s="163">
        <f t="shared" si="85"/>
        <v>100</v>
      </c>
      <c r="CK118" s="7">
        <f t="shared" si="86"/>
        <v>50</v>
      </c>
      <c r="CL118" s="7">
        <v>2</v>
      </c>
      <c r="CP118" s="7">
        <v>1</v>
      </c>
      <c r="CR118" s="7">
        <v>1</v>
      </c>
      <c r="CZ118" s="7">
        <f t="shared" si="87"/>
        <v>1</v>
      </c>
      <c r="DA118" s="7">
        <f t="shared" si="106"/>
        <v>2</v>
      </c>
      <c r="DB118" s="7">
        <f t="shared" si="118"/>
        <v>0</v>
      </c>
      <c r="DC118" s="7">
        <f t="shared" si="107"/>
        <v>0</v>
      </c>
      <c r="DE118" s="7">
        <f t="shared" si="119"/>
        <v>0</v>
      </c>
      <c r="DF118" s="7">
        <f t="shared" si="120"/>
        <v>0</v>
      </c>
      <c r="DG118" s="7">
        <f>IFERROR(IF(LEFT($AP118,1)="4",INDEX('변표 테이블'!$H$86:$H$165,MATCH($O118,'변표 테이블'!$B$86:$B$165,0)),INDEX(DG$4:DG$8,MATCH(AH118,$DC$4:$DC$8,0))),0)</f>
        <v>0</v>
      </c>
      <c r="DH118" s="7">
        <f>IFERROR(IF(LEFT($AP118,1)="4",INDEX('변표 테이블'!$I$86:$I$165,MATCH($O118,'변표 테이블'!$B$86:$B$165,0)),INDEX(DH$4:DH$8,MATCH(AI118,$DC$4:$DC$8,0))),0)</f>
        <v>0</v>
      </c>
      <c r="DJ118" s="7">
        <f>IFERROR(IF(LEFT($AP118,1)="4",INDEX('변표 테이블'!$J$86:$J$165,MATCH($O118,'변표 테이블'!$B$86:$B$165,0)),INDEX(DI$4:DI$8,MATCH(AK118,$DC$4:$DC$8,0))),0)</f>
        <v>0</v>
      </c>
      <c r="DK118" s="7">
        <f>IFERROR(IF(LEFT($AP118,1)="4",INDEX('변표 테이블'!$K$86:$K$165,MATCH($O118,'변표 테이블'!$B$86:$B$165,0)),INDEX(DJ$4:DJ$8,MATCH(AL118,$DC$4:$DC$8,0))),0)</f>
        <v>0</v>
      </c>
      <c r="DL118" s="7" t="str">
        <f t="shared" si="91"/>
        <v/>
      </c>
      <c r="DM118" s="7" t="str">
        <f t="shared" si="92"/>
        <v/>
      </c>
      <c r="DN118" s="7">
        <f t="shared" si="93"/>
        <v>0</v>
      </c>
      <c r="DP118" s="7">
        <f t="shared" si="121"/>
        <v>0</v>
      </c>
      <c r="DQ118" s="7">
        <f t="shared" si="122"/>
        <v>0</v>
      </c>
      <c r="DR118" s="7">
        <f t="shared" si="123"/>
        <v>0</v>
      </c>
      <c r="DS118" s="7">
        <f t="shared" si="97"/>
        <v>0</v>
      </c>
      <c r="DT118" s="7">
        <f t="shared" si="124"/>
        <v>0</v>
      </c>
      <c r="DU118" s="7">
        <f t="shared" si="125"/>
        <v>0</v>
      </c>
      <c r="DV118" s="7">
        <f t="shared" si="100"/>
        <v>0</v>
      </c>
      <c r="DW118" s="7">
        <f>LARGE((DR118:DS118,DU118:DV118),1)</f>
        <v>0</v>
      </c>
      <c r="DX118" s="7">
        <f>IF(DA118&lt;2,0,LARGE((DR118:DS118,DU118:DV118),2))</f>
        <v>0</v>
      </c>
      <c r="DY118" s="7">
        <f t="shared" si="126"/>
        <v>0</v>
      </c>
      <c r="DZ118" s="7">
        <f t="shared" si="127"/>
        <v>0</v>
      </c>
      <c r="EA118" s="7">
        <f t="shared" si="128"/>
        <v>0</v>
      </c>
      <c r="EF118" s="7">
        <f t="shared" si="104"/>
        <v>0</v>
      </c>
      <c r="EH118" s="7">
        <f t="shared" si="108"/>
        <v>0</v>
      </c>
      <c r="EI118" s="7">
        <f>IF(EH118=0,0,COUNTIF($EH$16:EH118,"&gt;"&amp;0))</f>
        <v>0</v>
      </c>
    </row>
    <row r="119" spans="1:142" x14ac:dyDescent="0.3">
      <c r="A119" s="165">
        <v>118</v>
      </c>
      <c r="C119" s="7" t="s">
        <v>225</v>
      </c>
      <c r="D119" s="7">
        <v>1000</v>
      </c>
      <c r="E119" s="7">
        <v>0.3</v>
      </c>
      <c r="F119" s="7">
        <v>0.25</v>
      </c>
      <c r="G119" s="7">
        <v>0.1</v>
      </c>
      <c r="H119" s="7">
        <v>0.1</v>
      </c>
      <c r="J119" s="7">
        <v>0.1</v>
      </c>
      <c r="K119" s="7">
        <v>0.1</v>
      </c>
      <c r="M119" s="7">
        <v>1</v>
      </c>
      <c r="O119" s="7">
        <f t="shared" si="112"/>
        <v>1</v>
      </c>
      <c r="Q119" s="7">
        <f t="shared" si="81"/>
        <v>2.0134228187919465</v>
      </c>
      <c r="R119" s="7">
        <f t="shared" si="82"/>
        <v>1.7006802721088434</v>
      </c>
      <c r="S119" s="7">
        <f t="shared" si="113"/>
        <v>1.4058765640376776</v>
      </c>
      <c r="T119" s="7">
        <f t="shared" si="80"/>
        <v>1.5151515151515151</v>
      </c>
      <c r="U119" s="7">
        <f t="shared" si="83"/>
        <v>1.5151515151515151</v>
      </c>
      <c r="V119" s="7">
        <f t="shared" si="132"/>
        <v>2.0134228187919465</v>
      </c>
      <c r="W119" s="7">
        <f t="shared" si="133"/>
        <v>1.7006802721088434</v>
      </c>
      <c r="X119" s="7">
        <f t="shared" si="134"/>
        <v>1.4058765640376776</v>
      </c>
      <c r="Y119" s="7">
        <f t="shared" si="129"/>
        <v>1.4058765640376776</v>
      </c>
      <c r="AA119" s="7">
        <f t="shared" si="130"/>
        <v>1.5151515151515151</v>
      </c>
      <c r="AB119" s="7">
        <f t="shared" si="131"/>
        <v>1.5151515151515151</v>
      </c>
      <c r="AC119" s="7">
        <f>INDEX('변표 테이블'!$C$86:$C$165,MATCH(O119,'변표 테이블'!$B$86:$B$165,0))</f>
        <v>71.13</v>
      </c>
      <c r="AD119" s="7">
        <f>INDEX('변표 테이블'!$D$86:$D$165,MATCH(O119,'변표 테이블'!$B$86:$B$165,0))</f>
        <v>66</v>
      </c>
      <c r="AF119" s="7">
        <v>12</v>
      </c>
      <c r="AG119" s="7">
        <v>12</v>
      </c>
      <c r="AH119" s="7">
        <v>42</v>
      </c>
      <c r="AI119" s="7">
        <v>42</v>
      </c>
      <c r="AK119" s="7">
        <v>42</v>
      </c>
      <c r="AL119" s="7">
        <v>42</v>
      </c>
      <c r="AM119" s="7">
        <v>3</v>
      </c>
      <c r="AN119" s="7">
        <v>3</v>
      </c>
      <c r="AP119" s="7">
        <f t="shared" si="105"/>
        <v>42</v>
      </c>
      <c r="BH119" s="121">
        <v>200</v>
      </c>
      <c r="BI119" s="7">
        <v>198</v>
      </c>
      <c r="BJ119" s="7">
        <v>194</v>
      </c>
      <c r="BK119" s="7">
        <v>185</v>
      </c>
      <c r="BL119" s="7">
        <v>170</v>
      </c>
      <c r="BM119" s="7">
        <v>150</v>
      </c>
      <c r="BN119" s="7">
        <v>120</v>
      </c>
      <c r="BO119" s="7">
        <v>80</v>
      </c>
      <c r="BP119" s="7">
        <v>0</v>
      </c>
      <c r="BQ119" s="121">
        <v>50</v>
      </c>
      <c r="BR119" s="7">
        <v>50</v>
      </c>
      <c r="BS119" s="7">
        <v>50</v>
      </c>
      <c r="BT119" s="7">
        <v>50</v>
      </c>
      <c r="BU119" s="7">
        <v>45</v>
      </c>
      <c r="BV119" s="7">
        <v>45</v>
      </c>
      <c r="BW119" s="7">
        <v>40</v>
      </c>
      <c r="BX119" s="7">
        <v>40</v>
      </c>
      <c r="BY119" s="7">
        <v>40</v>
      </c>
      <c r="CI119" s="7">
        <f t="shared" si="84"/>
        <v>200</v>
      </c>
      <c r="CJ119" s="163">
        <f t="shared" si="85"/>
        <v>100</v>
      </c>
      <c r="CK119" s="7">
        <f t="shared" si="86"/>
        <v>50</v>
      </c>
      <c r="CN119" s="7">
        <v>2</v>
      </c>
      <c r="CZ119" s="7">
        <f t="shared" si="87"/>
        <v>2</v>
      </c>
      <c r="DA119" s="7">
        <f t="shared" si="106"/>
        <v>2</v>
      </c>
      <c r="DB119" s="7">
        <f t="shared" si="118"/>
        <v>0</v>
      </c>
      <c r="DC119" s="7">
        <f t="shared" si="107"/>
        <v>0</v>
      </c>
      <c r="DE119" s="7">
        <f t="shared" si="119"/>
        <v>0</v>
      </c>
      <c r="DF119" s="7">
        <f t="shared" si="120"/>
        <v>0</v>
      </c>
      <c r="DG119" s="7">
        <f>IFERROR(IF(LEFT($AP119,1)="4",INDEX('변표 테이블'!$H$86:$H$165,MATCH($O119,'변표 테이블'!$B$86:$B$165,0)),INDEX(DG$4:DG$8,MATCH(AH119,$DC$4:$DC$8,0))),0)</f>
        <v>0</v>
      </c>
      <c r="DH119" s="7">
        <f>IFERROR(IF(LEFT($AP119,1)="4",INDEX('변표 테이블'!$I$86:$I$165,MATCH($O119,'변표 테이블'!$B$86:$B$165,0)),INDEX(DH$4:DH$8,MATCH(AI119,$DC$4:$DC$8,0))),0)</f>
        <v>0</v>
      </c>
      <c r="DJ119" s="7">
        <f>IFERROR(IF(LEFT($AP119,1)="4",INDEX('변표 테이블'!$J$86:$J$165,MATCH($O119,'변표 테이블'!$B$86:$B$165,0)),INDEX(DI$4:DI$8,MATCH(AK119,$DC$4:$DC$8,0))),0)</f>
        <v>0</v>
      </c>
      <c r="DK119" s="7">
        <f>IFERROR(IF(LEFT($AP119,1)="4",INDEX('변표 테이블'!$K$86:$K$165,MATCH($O119,'변표 테이블'!$B$86:$B$165,0)),INDEX(DJ$4:DJ$8,MATCH(AL119,$DC$4:$DC$8,0))),0)</f>
        <v>0</v>
      </c>
      <c r="DL119" s="7" t="str">
        <f t="shared" si="91"/>
        <v/>
      </c>
      <c r="DM119" s="7" t="str">
        <f t="shared" si="92"/>
        <v/>
      </c>
      <c r="DN119" s="7">
        <f t="shared" si="93"/>
        <v>0</v>
      </c>
      <c r="DP119" s="7">
        <f t="shared" si="121"/>
        <v>0</v>
      </c>
      <c r="DQ119" s="7">
        <f t="shared" si="122"/>
        <v>0</v>
      </c>
      <c r="DR119" s="7">
        <f t="shared" si="123"/>
        <v>0</v>
      </c>
      <c r="DS119" s="7">
        <f t="shared" si="97"/>
        <v>0</v>
      </c>
      <c r="DT119" s="7">
        <f t="shared" si="124"/>
        <v>0</v>
      </c>
      <c r="DU119" s="7">
        <f t="shared" si="125"/>
        <v>0</v>
      </c>
      <c r="DV119" s="7">
        <f t="shared" si="100"/>
        <v>0</v>
      </c>
      <c r="DW119" s="7">
        <f>LARGE((DR119:DS119,DU119:DV119),1)</f>
        <v>0</v>
      </c>
      <c r="DX119" s="7">
        <f>IF(DA119&lt;2,0,LARGE((DR119:DS119,DU119:DV119),2))</f>
        <v>0</v>
      </c>
      <c r="DY119" s="7">
        <f t="shared" si="126"/>
        <v>0</v>
      </c>
      <c r="DZ119" s="7">
        <f t="shared" si="127"/>
        <v>0</v>
      </c>
      <c r="EA119" s="7">
        <f t="shared" si="128"/>
        <v>0</v>
      </c>
      <c r="EF119" s="7">
        <f t="shared" si="104"/>
        <v>0</v>
      </c>
      <c r="EH119" s="7">
        <f t="shared" si="108"/>
        <v>0</v>
      </c>
      <c r="EI119" s="7">
        <f>IF(EH119=0,0,COUNTIF($EH$16:EH119,"&gt;"&amp;0))</f>
        <v>0</v>
      </c>
      <c r="EL119" s="107"/>
    </row>
    <row r="120" spans="1:142" x14ac:dyDescent="0.3">
      <c r="A120" s="165">
        <v>119</v>
      </c>
      <c r="C120" s="7" t="s">
        <v>226</v>
      </c>
      <c r="D120" s="7">
        <v>1000</v>
      </c>
      <c r="E120" s="7">
        <v>0.3</v>
      </c>
      <c r="F120" s="7">
        <v>0.3</v>
      </c>
      <c r="G120" s="7">
        <v>7.4999999999999997E-2</v>
      </c>
      <c r="H120" s="7">
        <v>7.4999999999999997E-2</v>
      </c>
      <c r="J120" s="7">
        <v>7.4999999999999997E-2</v>
      </c>
      <c r="K120" s="7">
        <v>7.4999999999999997E-2</v>
      </c>
      <c r="M120" s="7">
        <v>1</v>
      </c>
      <c r="O120" s="7">
        <f t="shared" si="112"/>
        <v>1</v>
      </c>
      <c r="Q120" s="7">
        <f t="shared" si="81"/>
        <v>2.0134228187919465</v>
      </c>
      <c r="R120" s="7">
        <f t="shared" si="82"/>
        <v>2.0408163265306123</v>
      </c>
      <c r="S120" s="7">
        <f t="shared" si="113"/>
        <v>1.0544074230282583</v>
      </c>
      <c r="T120" s="7">
        <f t="shared" si="80"/>
        <v>1.1363636363636365</v>
      </c>
      <c r="U120" s="7">
        <f t="shared" si="83"/>
        <v>1.1363636363636365</v>
      </c>
      <c r="V120" s="7">
        <f t="shared" si="132"/>
        <v>2.0134228187919465</v>
      </c>
      <c r="W120" s="7">
        <f t="shared" si="133"/>
        <v>2.0408163265306123</v>
      </c>
      <c r="X120" s="7">
        <f t="shared" si="134"/>
        <v>1.0544074230282583</v>
      </c>
      <c r="Y120" s="7">
        <f t="shared" si="129"/>
        <v>1.0544074230282583</v>
      </c>
      <c r="AA120" s="7">
        <f t="shared" si="130"/>
        <v>1.1363636363636365</v>
      </c>
      <c r="AB120" s="7">
        <f t="shared" si="131"/>
        <v>1.1363636363636365</v>
      </c>
      <c r="AC120" s="7">
        <f>INDEX('변표 테이블'!$C$86:$C$165,MATCH(O120,'변표 테이블'!$B$86:$B$165,0))</f>
        <v>71.13</v>
      </c>
      <c r="AD120" s="7">
        <f>INDEX('변표 테이블'!$D$86:$D$165,MATCH(O120,'변표 테이블'!$B$86:$B$165,0))</f>
        <v>66</v>
      </c>
      <c r="AF120" s="7">
        <v>12</v>
      </c>
      <c r="AG120" s="7">
        <v>12</v>
      </c>
      <c r="AH120" s="7">
        <v>42</v>
      </c>
      <c r="AI120" s="7">
        <v>42</v>
      </c>
      <c r="AK120" s="7">
        <v>42</v>
      </c>
      <c r="AL120" s="7">
        <v>42</v>
      </c>
      <c r="AM120" s="7">
        <v>3</v>
      </c>
      <c r="AN120" s="7">
        <v>3</v>
      </c>
      <c r="AP120" s="7">
        <f t="shared" si="105"/>
        <v>42</v>
      </c>
      <c r="BH120" s="121">
        <v>200</v>
      </c>
      <c r="BI120" s="7">
        <v>198</v>
      </c>
      <c r="BJ120" s="7">
        <v>194</v>
      </c>
      <c r="BK120" s="7">
        <v>185</v>
      </c>
      <c r="BL120" s="7">
        <v>170</v>
      </c>
      <c r="BM120" s="7">
        <v>150</v>
      </c>
      <c r="BN120" s="7">
        <v>120</v>
      </c>
      <c r="BO120" s="7">
        <v>80</v>
      </c>
      <c r="BP120" s="7">
        <v>0</v>
      </c>
      <c r="BQ120" s="121">
        <v>50</v>
      </c>
      <c r="BR120" s="7">
        <v>50</v>
      </c>
      <c r="BS120" s="7">
        <v>50</v>
      </c>
      <c r="BT120" s="7">
        <v>50</v>
      </c>
      <c r="BU120" s="7">
        <v>45</v>
      </c>
      <c r="BV120" s="7">
        <v>45</v>
      </c>
      <c r="BW120" s="7">
        <v>40</v>
      </c>
      <c r="BX120" s="7">
        <v>40</v>
      </c>
      <c r="BY120" s="7">
        <v>40</v>
      </c>
      <c r="CI120" s="7">
        <f t="shared" si="84"/>
        <v>200</v>
      </c>
      <c r="CJ120" s="163">
        <f t="shared" si="85"/>
        <v>100</v>
      </c>
      <c r="CK120" s="7">
        <f t="shared" si="86"/>
        <v>50</v>
      </c>
      <c r="CN120" s="7">
        <v>2</v>
      </c>
      <c r="CZ120" s="7">
        <f t="shared" si="87"/>
        <v>2</v>
      </c>
      <c r="DA120" s="7">
        <f t="shared" si="106"/>
        <v>2</v>
      </c>
      <c r="DB120" s="7">
        <f t="shared" si="118"/>
        <v>0</v>
      </c>
      <c r="DC120" s="7">
        <f t="shared" si="107"/>
        <v>0</v>
      </c>
      <c r="DE120" s="7">
        <f t="shared" si="119"/>
        <v>0</v>
      </c>
      <c r="DF120" s="7">
        <f t="shared" si="120"/>
        <v>0</v>
      </c>
      <c r="DG120" s="7">
        <f>IFERROR(IF(LEFT($AP120,1)="4",INDEX('변표 테이블'!$H$86:$H$165,MATCH($O120,'변표 테이블'!$B$86:$B$165,0)),INDEX(DG$4:DG$8,MATCH(AH120,$DC$4:$DC$8,0))),0)</f>
        <v>0</v>
      </c>
      <c r="DH120" s="7">
        <f>IFERROR(IF(LEFT($AP120,1)="4",INDEX('변표 테이블'!$I$86:$I$165,MATCH($O120,'변표 테이블'!$B$86:$B$165,0)),INDEX(DH$4:DH$8,MATCH(AI120,$DC$4:$DC$8,0))),0)</f>
        <v>0</v>
      </c>
      <c r="DJ120" s="7">
        <f>IFERROR(IF(LEFT($AP120,1)="4",INDEX('변표 테이블'!$J$86:$J$165,MATCH($O120,'변표 테이블'!$B$86:$B$165,0)),INDEX(DI$4:DI$8,MATCH(AK120,$DC$4:$DC$8,0))),0)</f>
        <v>0</v>
      </c>
      <c r="DK120" s="7">
        <f>IFERROR(IF(LEFT($AP120,1)="4",INDEX('변표 테이블'!$K$86:$K$165,MATCH($O120,'변표 테이블'!$B$86:$B$165,0)),INDEX(DJ$4:DJ$8,MATCH(AL120,$DC$4:$DC$8,0))),0)</f>
        <v>0</v>
      </c>
      <c r="DL120" s="7" t="str">
        <f t="shared" si="91"/>
        <v/>
      </c>
      <c r="DM120" s="7" t="str">
        <f t="shared" si="92"/>
        <v/>
      </c>
      <c r="DN120" s="7">
        <f t="shared" si="93"/>
        <v>0</v>
      </c>
      <c r="DP120" s="7">
        <f t="shared" si="121"/>
        <v>0</v>
      </c>
      <c r="DQ120" s="7">
        <f t="shared" si="122"/>
        <v>0</v>
      </c>
      <c r="DR120" s="7">
        <f t="shared" si="123"/>
        <v>0</v>
      </c>
      <c r="DS120" s="7">
        <f t="shared" si="97"/>
        <v>0</v>
      </c>
      <c r="DT120" s="7">
        <f t="shared" si="124"/>
        <v>0</v>
      </c>
      <c r="DU120" s="7">
        <f t="shared" si="125"/>
        <v>0</v>
      </c>
      <c r="DV120" s="7">
        <f t="shared" si="100"/>
        <v>0</v>
      </c>
      <c r="DW120" s="7">
        <f>LARGE((DR120:DS120,DU120:DV120),1)</f>
        <v>0</v>
      </c>
      <c r="DX120" s="7">
        <f>IF(DA120&lt;2,0,LARGE((DR120:DS120,DU120:DV120),2))</f>
        <v>0</v>
      </c>
      <c r="DY120" s="7">
        <f t="shared" si="126"/>
        <v>0</v>
      </c>
      <c r="DZ120" s="7">
        <f t="shared" si="127"/>
        <v>0</v>
      </c>
      <c r="EA120" s="7">
        <f t="shared" si="128"/>
        <v>0</v>
      </c>
      <c r="EF120" s="7">
        <f t="shared" si="104"/>
        <v>0</v>
      </c>
      <c r="EH120" s="7">
        <f t="shared" si="108"/>
        <v>0</v>
      </c>
      <c r="EI120" s="7">
        <f>IF(EH120=0,0,COUNTIF($EH$16:EH120,"&gt;"&amp;0))</f>
        <v>0</v>
      </c>
    </row>
    <row r="121" spans="1:142" x14ac:dyDescent="0.3">
      <c r="A121" s="165">
        <v>120</v>
      </c>
      <c r="C121" s="7" t="s">
        <v>227</v>
      </c>
      <c r="D121" s="7">
        <v>800</v>
      </c>
      <c r="E121" s="7">
        <v>0.3</v>
      </c>
      <c r="F121" s="7">
        <v>0.4</v>
      </c>
      <c r="G121" s="7">
        <v>0.15</v>
      </c>
      <c r="H121" s="7">
        <v>0.15</v>
      </c>
      <c r="M121" s="7">
        <v>1</v>
      </c>
      <c r="O121" s="7">
        <f t="shared" si="112"/>
        <v>1</v>
      </c>
      <c r="Q121" s="7">
        <f t="shared" si="81"/>
        <v>1.6107382550335569</v>
      </c>
      <c r="R121" s="7">
        <f t="shared" si="82"/>
        <v>2.1768707482993199</v>
      </c>
      <c r="S121" s="7">
        <f t="shared" si="113"/>
        <v>1.6870518768452132</v>
      </c>
      <c r="T121" s="7" t="str">
        <f t="shared" si="80"/>
        <v>자동</v>
      </c>
      <c r="U121" s="7">
        <f t="shared" si="83"/>
        <v>1.6870518768452132</v>
      </c>
      <c r="V121" s="7">
        <f t="shared" si="132"/>
        <v>1.6107382550335569</v>
      </c>
      <c r="W121" s="7">
        <f t="shared" si="133"/>
        <v>2.1768707482993199</v>
      </c>
      <c r="X121" s="7">
        <f t="shared" si="134"/>
        <v>1.6870518768452132</v>
      </c>
      <c r="Y121" s="7">
        <f t="shared" si="129"/>
        <v>1.6870518768452132</v>
      </c>
      <c r="AA121" s="7" t="str">
        <f t="shared" si="130"/>
        <v>자동</v>
      </c>
      <c r="AB121" s="7" t="str">
        <f t="shared" si="131"/>
        <v>자동</v>
      </c>
      <c r="AC121" s="7">
        <f>INDEX('변표 테이블'!$C$86:$C$165,MATCH(O121,'변표 테이블'!$B$86:$B$165,0))</f>
        <v>71.13</v>
      </c>
      <c r="AD121" s="7">
        <f>INDEX('변표 테이블'!$D$86:$D$165,MATCH(O121,'변표 테이블'!$B$86:$B$165,0))</f>
        <v>66</v>
      </c>
      <c r="AF121" s="7">
        <v>12</v>
      </c>
      <c r="AG121" s="7">
        <v>12</v>
      </c>
      <c r="AH121" s="7">
        <v>42</v>
      </c>
      <c r="AI121" s="7">
        <v>42</v>
      </c>
      <c r="AM121" s="7">
        <v>3</v>
      </c>
      <c r="AN121" s="7">
        <v>3</v>
      </c>
      <c r="AP121" s="7">
        <f t="shared" si="105"/>
        <v>42</v>
      </c>
      <c r="BH121" s="121">
        <v>200</v>
      </c>
      <c r="BI121" s="7">
        <v>190</v>
      </c>
      <c r="BJ121" s="7">
        <v>180</v>
      </c>
      <c r="BK121" s="7">
        <v>170</v>
      </c>
      <c r="BL121" s="7">
        <v>160</v>
      </c>
      <c r="BM121" s="7">
        <v>150</v>
      </c>
      <c r="BN121" s="7">
        <v>140</v>
      </c>
      <c r="BO121" s="7">
        <v>130</v>
      </c>
      <c r="BP121" s="7">
        <v>0</v>
      </c>
      <c r="BQ121" s="121">
        <v>10</v>
      </c>
      <c r="BR121" s="7">
        <v>10</v>
      </c>
      <c r="BS121" s="7">
        <v>10</v>
      </c>
      <c r="BT121" s="7">
        <v>10</v>
      </c>
      <c r="BU121" s="7">
        <v>10</v>
      </c>
      <c r="BV121" s="7">
        <v>9</v>
      </c>
      <c r="BW121" s="7">
        <v>8</v>
      </c>
      <c r="BX121" s="7">
        <v>7</v>
      </c>
      <c r="BY121" s="7">
        <v>0</v>
      </c>
      <c r="CI121" s="7">
        <f t="shared" si="84"/>
        <v>200</v>
      </c>
      <c r="CJ121" s="163">
        <f t="shared" si="85"/>
        <v>100</v>
      </c>
      <c r="CK121" s="7">
        <f t="shared" si="86"/>
        <v>10</v>
      </c>
      <c r="CL121" s="7">
        <v>2</v>
      </c>
      <c r="CP121" s="7">
        <v>1</v>
      </c>
      <c r="CR121" s="7">
        <v>1</v>
      </c>
      <c r="CZ121" s="7">
        <f t="shared" si="87"/>
        <v>1</v>
      </c>
      <c r="DA121" s="7">
        <f t="shared" si="106"/>
        <v>2</v>
      </c>
      <c r="DB121" s="7">
        <f t="shared" si="118"/>
        <v>0</v>
      </c>
      <c r="DC121" s="7">
        <f t="shared" si="107"/>
        <v>0</v>
      </c>
      <c r="DE121" s="7">
        <f t="shared" si="119"/>
        <v>0</v>
      </c>
      <c r="DF121" s="7">
        <f t="shared" si="120"/>
        <v>0</v>
      </c>
      <c r="DG121" s="7">
        <f>IFERROR(IF(LEFT($AP121,1)="4",INDEX('변표 테이블'!$H$86:$H$165,MATCH($O121,'변표 테이블'!$B$86:$B$165,0)),INDEX(DG$4:DG$8,MATCH(AH121,$DC$4:$DC$8,0))),0)</f>
        <v>0</v>
      </c>
      <c r="DH121" s="7">
        <f>IFERROR(IF(LEFT($AP121,1)="4",INDEX('변표 테이블'!$I$86:$I$165,MATCH($O121,'변표 테이블'!$B$86:$B$165,0)),INDEX(DH$4:DH$8,MATCH(AI121,$DC$4:$DC$8,0))),0)</f>
        <v>0</v>
      </c>
      <c r="DJ121" s="7">
        <f>IFERROR(IF(LEFT($AP121,1)="4",INDEX('변표 테이블'!$J$86:$J$165,MATCH($O121,'변표 테이블'!$B$86:$B$165,0)),INDEX(DI$4:DI$8,MATCH(AK121,$DC$4:$DC$8,0))),0)</f>
        <v>0</v>
      </c>
      <c r="DK121" s="7">
        <f>IFERROR(IF(LEFT($AP121,1)="4",INDEX('변표 테이블'!$K$86:$K$165,MATCH($O121,'변표 테이블'!$B$86:$B$165,0)),INDEX(DJ$4:DJ$8,MATCH(AL121,$DC$4:$DC$8,0))),0)</f>
        <v>0</v>
      </c>
      <c r="DL121" s="7" t="str">
        <f t="shared" si="91"/>
        <v/>
      </c>
      <c r="DM121" s="7" t="str">
        <f t="shared" si="92"/>
        <v/>
      </c>
      <c r="DN121" s="7">
        <f t="shared" si="93"/>
        <v>0</v>
      </c>
      <c r="DP121" s="7">
        <f t="shared" si="121"/>
        <v>0</v>
      </c>
      <c r="DQ121" s="7">
        <f t="shared" si="122"/>
        <v>0</v>
      </c>
      <c r="DR121" s="7">
        <f t="shared" si="123"/>
        <v>0</v>
      </c>
      <c r="DS121" s="7">
        <f t="shared" si="97"/>
        <v>0</v>
      </c>
      <c r="DT121" s="7">
        <f t="shared" si="124"/>
        <v>0</v>
      </c>
      <c r="DU121" s="7">
        <f t="shared" si="125"/>
        <v>0</v>
      </c>
      <c r="DV121" s="7">
        <f t="shared" si="100"/>
        <v>0</v>
      </c>
      <c r="DW121" s="7">
        <f>LARGE((DR121:DS121,DU121:DV121),1)</f>
        <v>0</v>
      </c>
      <c r="DX121" s="7">
        <f>IF(DA121&lt;2,0,LARGE((DR121:DS121,DU121:DV121),2))</f>
        <v>0</v>
      </c>
      <c r="DY121" s="7">
        <f t="shared" si="126"/>
        <v>0</v>
      </c>
      <c r="DZ121" s="7">
        <f t="shared" si="127"/>
        <v>0</v>
      </c>
      <c r="EA121" s="7">
        <f t="shared" si="128"/>
        <v>0</v>
      </c>
      <c r="EF121" s="7">
        <f t="shared" si="104"/>
        <v>0</v>
      </c>
      <c r="EH121" s="7">
        <f t="shared" si="108"/>
        <v>0</v>
      </c>
      <c r="EI121" s="7">
        <f>IF(EH121=0,0,COUNTIF($EH$16:EH121,"&gt;"&amp;0))</f>
        <v>0</v>
      </c>
    </row>
    <row r="122" spans="1:142" x14ac:dyDescent="0.3">
      <c r="A122" s="165">
        <v>121</v>
      </c>
      <c r="C122" s="7" t="s">
        <v>228</v>
      </c>
      <c r="D122" s="7">
        <v>500</v>
      </c>
      <c r="E122" s="7">
        <v>0.3</v>
      </c>
      <c r="F122" s="7">
        <v>0.4</v>
      </c>
      <c r="G122" s="7">
        <v>0.15</v>
      </c>
      <c r="H122" s="7">
        <v>0.15</v>
      </c>
      <c r="M122" s="7">
        <v>1</v>
      </c>
      <c r="O122" s="7">
        <f t="shared" si="112"/>
        <v>1</v>
      </c>
      <c r="Q122" s="7">
        <f t="shared" si="81"/>
        <v>0.75</v>
      </c>
      <c r="R122" s="7">
        <f t="shared" si="82"/>
        <v>1</v>
      </c>
      <c r="S122" s="7">
        <f t="shared" si="113"/>
        <v>0.75</v>
      </c>
      <c r="T122" s="7" t="str">
        <f t="shared" si="80"/>
        <v>자동</v>
      </c>
      <c r="U122" s="7">
        <f t="shared" si="83"/>
        <v>0.75</v>
      </c>
      <c r="V122" s="7">
        <f t="shared" si="132"/>
        <v>0.75</v>
      </c>
      <c r="W122" s="7">
        <f t="shared" si="133"/>
        <v>1</v>
      </c>
      <c r="X122" s="7">
        <f t="shared" si="134"/>
        <v>0.75</v>
      </c>
      <c r="Y122" s="7">
        <f t="shared" si="129"/>
        <v>0.75</v>
      </c>
      <c r="AA122" s="7" t="str">
        <f t="shared" si="130"/>
        <v>자동</v>
      </c>
      <c r="AB122" s="7" t="str">
        <f t="shared" si="131"/>
        <v>자동</v>
      </c>
      <c r="AC122" s="7">
        <f>INDEX('변표 테이블'!$C$86:$C$165,MATCH(O122,'변표 테이블'!$B$86:$B$165,0))</f>
        <v>71.13</v>
      </c>
      <c r="AD122" s="7">
        <f>INDEX('변표 테이블'!$D$86:$D$165,MATCH(O122,'변표 테이블'!$B$86:$B$165,0))</f>
        <v>66</v>
      </c>
      <c r="AF122" s="7">
        <v>1</v>
      </c>
      <c r="AG122" s="7">
        <v>1</v>
      </c>
      <c r="AH122" s="7">
        <v>4</v>
      </c>
      <c r="AI122" s="7">
        <v>4</v>
      </c>
      <c r="AM122" s="7">
        <v>3</v>
      </c>
      <c r="AN122" s="7">
        <v>3</v>
      </c>
      <c r="AP122" s="7">
        <f t="shared" si="105"/>
        <v>4</v>
      </c>
      <c r="BH122" s="121">
        <v>30</v>
      </c>
      <c r="BI122" s="7">
        <v>27</v>
      </c>
      <c r="BJ122" s="7">
        <v>24</v>
      </c>
      <c r="BK122" s="7">
        <v>18</v>
      </c>
      <c r="BL122" s="7">
        <v>12</v>
      </c>
      <c r="BM122" s="7">
        <v>9</v>
      </c>
      <c r="BN122" s="7">
        <v>6</v>
      </c>
      <c r="BO122" s="7">
        <v>3</v>
      </c>
      <c r="BP122" s="7">
        <v>0</v>
      </c>
      <c r="BQ122" s="121">
        <v>5</v>
      </c>
      <c r="BR122" s="7">
        <v>5</v>
      </c>
      <c r="BS122" s="7">
        <v>5</v>
      </c>
      <c r="BT122" s="7">
        <v>5</v>
      </c>
      <c r="BU122" s="7">
        <v>5</v>
      </c>
      <c r="BV122" s="7">
        <v>4</v>
      </c>
      <c r="BW122" s="7">
        <v>3</v>
      </c>
      <c r="BX122" s="7">
        <v>2</v>
      </c>
      <c r="BY122" s="7">
        <v>1</v>
      </c>
      <c r="CI122" s="7">
        <f t="shared" si="84"/>
        <v>30</v>
      </c>
      <c r="CJ122" s="163">
        <f t="shared" si="85"/>
        <v>100</v>
      </c>
      <c r="CK122" s="7">
        <f t="shared" si="86"/>
        <v>5</v>
      </c>
      <c r="CL122" s="7">
        <v>2</v>
      </c>
      <c r="CP122" s="7">
        <v>1</v>
      </c>
      <c r="CR122" s="7">
        <v>1</v>
      </c>
      <c r="CZ122" s="7">
        <f t="shared" si="87"/>
        <v>1</v>
      </c>
      <c r="DA122" s="7">
        <f t="shared" si="106"/>
        <v>2</v>
      </c>
      <c r="DB122" s="7">
        <f t="shared" si="118"/>
        <v>0</v>
      </c>
      <c r="DC122" s="7">
        <f t="shared" si="107"/>
        <v>0</v>
      </c>
      <c r="DE122" s="7">
        <f t="shared" si="119"/>
        <v>0</v>
      </c>
      <c r="DF122" s="7">
        <f t="shared" si="120"/>
        <v>0</v>
      </c>
      <c r="DG122" s="7">
        <f>IFERROR(IF(LEFT($AP122,1)="4",INDEX('변표 테이블'!$H$86:$H$165,MATCH($O122,'변표 테이블'!$B$86:$B$165,0)),INDEX(DG$4:DG$8,MATCH(AH122,$DC$4:$DC$8,0))),0)</f>
        <v>0</v>
      </c>
      <c r="DH122" s="7">
        <f>IFERROR(IF(LEFT($AP122,1)="4",INDEX('변표 테이블'!$I$86:$I$165,MATCH($O122,'변표 테이블'!$B$86:$B$165,0)),INDEX(DH$4:DH$8,MATCH(AI122,$DC$4:$DC$8,0))),0)</f>
        <v>0</v>
      </c>
      <c r="DJ122" s="7">
        <f>IFERROR(IF(LEFT($AP122,1)="4",INDEX('변표 테이블'!$J$86:$J$165,MATCH($O122,'변표 테이블'!$B$86:$B$165,0)),INDEX(DI$4:DI$8,MATCH(AK122,$DC$4:$DC$8,0))),0)</f>
        <v>0</v>
      </c>
      <c r="DK122" s="7">
        <f>IFERROR(IF(LEFT($AP122,1)="4",INDEX('변표 테이블'!$K$86:$K$165,MATCH($O122,'변표 테이블'!$B$86:$B$165,0)),INDEX(DJ$4:DJ$8,MATCH(AL122,$DC$4:$DC$8,0))),0)</f>
        <v>0</v>
      </c>
      <c r="DL122" s="7" t="str">
        <f t="shared" si="91"/>
        <v/>
      </c>
      <c r="DM122" s="7" t="str">
        <f t="shared" si="92"/>
        <v/>
      </c>
      <c r="DN122" s="7">
        <f t="shared" si="93"/>
        <v>0</v>
      </c>
      <c r="DP122" s="7">
        <f t="shared" si="121"/>
        <v>0</v>
      </c>
      <c r="DQ122" s="7">
        <f t="shared" si="122"/>
        <v>0</v>
      </c>
      <c r="DR122" s="7">
        <f t="shared" si="123"/>
        <v>0</v>
      </c>
      <c r="DS122" s="7">
        <f t="shared" si="97"/>
        <v>0</v>
      </c>
      <c r="DT122" s="7">
        <f t="shared" si="124"/>
        <v>0</v>
      </c>
      <c r="DU122" s="7">
        <f t="shared" si="125"/>
        <v>0</v>
      </c>
      <c r="DV122" s="7">
        <f t="shared" si="100"/>
        <v>0</v>
      </c>
      <c r="DW122" s="7">
        <f>LARGE((DR122:DS122,DU122:DV122),1)</f>
        <v>0</v>
      </c>
      <c r="DX122" s="7">
        <f>IF(DA122&lt;2,0,LARGE((DR122:DS122,DU122:DV122),2))</f>
        <v>0</v>
      </c>
      <c r="DY122" s="7">
        <f t="shared" si="126"/>
        <v>0</v>
      </c>
      <c r="DZ122" s="7">
        <f t="shared" si="127"/>
        <v>0</v>
      </c>
      <c r="EA122" s="7">
        <f t="shared" si="128"/>
        <v>0</v>
      </c>
      <c r="EF122" s="7">
        <f t="shared" si="104"/>
        <v>0</v>
      </c>
      <c r="EH122" s="7">
        <f t="shared" si="108"/>
        <v>0</v>
      </c>
      <c r="EI122" s="7">
        <f>IF(EH122=0,0,COUNTIF($EH$16:EH122,"&gt;"&amp;0))</f>
        <v>0</v>
      </c>
    </row>
    <row r="123" spans="1:142" x14ac:dyDescent="0.3">
      <c r="A123" s="165">
        <v>122</v>
      </c>
      <c r="C123" s="7" t="s">
        <v>229</v>
      </c>
      <c r="D123" s="7">
        <v>1000</v>
      </c>
      <c r="E123" s="7">
        <v>0.2</v>
      </c>
      <c r="F123" s="7">
        <v>0.3</v>
      </c>
      <c r="G123" s="7">
        <v>0.15</v>
      </c>
      <c r="H123" s="7">
        <v>0.15</v>
      </c>
      <c r="O123" s="7">
        <f t="shared" si="112"/>
        <v>0</v>
      </c>
      <c r="Q123" s="7">
        <f t="shared" si="81"/>
        <v>2</v>
      </c>
      <c r="R123" s="7">
        <f t="shared" si="82"/>
        <v>3</v>
      </c>
      <c r="S123" s="7">
        <f t="shared" si="113"/>
        <v>1.5</v>
      </c>
      <c r="T123" s="7" t="str">
        <f t="shared" si="80"/>
        <v>자동</v>
      </c>
      <c r="U123" s="7">
        <f t="shared" si="83"/>
        <v>3</v>
      </c>
      <c r="V123" s="7">
        <f t="shared" si="132"/>
        <v>2</v>
      </c>
      <c r="W123" s="7">
        <f t="shared" si="133"/>
        <v>3</v>
      </c>
      <c r="X123" s="7">
        <f t="shared" si="134"/>
        <v>1.5</v>
      </c>
      <c r="Y123" s="7">
        <f t="shared" si="129"/>
        <v>1.5</v>
      </c>
      <c r="AA123" s="7" t="str">
        <f t="shared" si="130"/>
        <v>자동</v>
      </c>
      <c r="AB123" s="7" t="str">
        <f t="shared" si="131"/>
        <v>자동</v>
      </c>
      <c r="AC123" s="7" t="e">
        <f>INDEX('변표 테이블'!$C$86:$C$165,MATCH(O123,'변표 테이블'!$B$86:$B$165,0))</f>
        <v>#N/A</v>
      </c>
      <c r="AD123" s="7" t="e">
        <f>INDEX('변표 테이블'!$D$86:$D$165,MATCH(O123,'변표 테이블'!$B$86:$B$165,0))</f>
        <v>#N/A</v>
      </c>
      <c r="AF123" s="7">
        <v>2</v>
      </c>
      <c r="AG123" s="7">
        <v>2</v>
      </c>
      <c r="AH123" s="7">
        <v>2</v>
      </c>
      <c r="AI123" s="7">
        <v>2</v>
      </c>
      <c r="AM123" s="7">
        <v>3</v>
      </c>
      <c r="AN123" s="7">
        <v>3</v>
      </c>
      <c r="AP123" s="7">
        <f t="shared" si="105"/>
        <v>2</v>
      </c>
      <c r="AR123" s="7">
        <f>0.1*W123</f>
        <v>0.30000000000000004</v>
      </c>
      <c r="AS123" s="7">
        <f>0.1*W123</f>
        <v>0.30000000000000004</v>
      </c>
      <c r="AT123" s="7">
        <f>0.1*X123</f>
        <v>0.15000000000000002</v>
      </c>
      <c r="AU123" s="7">
        <f>0.1*Y123</f>
        <v>0.15000000000000002</v>
      </c>
      <c r="BA123" s="7">
        <f>IF(BA6+BB6&gt;0,BA6*AR123,0)</f>
        <v>0</v>
      </c>
      <c r="BB123" s="7">
        <f>IF(BB6+BA6&gt;0,BB6*AS123,0)</f>
        <v>0</v>
      </c>
      <c r="BC123" s="7">
        <f>IF(CL8&gt;1,AT123*AH6,0)</f>
        <v>0</v>
      </c>
      <c r="BD123" s="7">
        <f>IF(CL8&gt;1,AU123*AI6,0)</f>
        <v>0</v>
      </c>
      <c r="BH123" s="121">
        <v>200</v>
      </c>
      <c r="BI123" s="7">
        <v>190</v>
      </c>
      <c r="BJ123" s="7">
        <v>180</v>
      </c>
      <c r="BK123" s="7">
        <v>170</v>
      </c>
      <c r="BL123" s="7">
        <v>160</v>
      </c>
      <c r="BM123" s="7">
        <v>140</v>
      </c>
      <c r="BN123" s="7">
        <v>120</v>
      </c>
      <c r="BO123" s="7">
        <v>100</v>
      </c>
      <c r="BP123" s="7">
        <v>60</v>
      </c>
      <c r="BQ123" s="121">
        <v>10</v>
      </c>
      <c r="BR123" s="7">
        <v>10</v>
      </c>
      <c r="BS123" s="7">
        <v>10</v>
      </c>
      <c r="BT123" s="7">
        <v>10</v>
      </c>
      <c r="BU123" s="7">
        <v>9.8000000000000007</v>
      </c>
      <c r="BV123" s="7">
        <v>9.6</v>
      </c>
      <c r="BW123" s="7">
        <v>9.4</v>
      </c>
      <c r="BX123" s="7">
        <v>9.1999999999999993</v>
      </c>
      <c r="BY123" s="7">
        <v>9</v>
      </c>
      <c r="CI123" s="7">
        <f t="shared" si="84"/>
        <v>200</v>
      </c>
      <c r="CJ123" s="163">
        <f t="shared" si="85"/>
        <v>100</v>
      </c>
      <c r="CK123" s="7">
        <f t="shared" si="86"/>
        <v>10</v>
      </c>
      <c r="CL123" s="7">
        <v>2</v>
      </c>
      <c r="CP123" s="7">
        <v>1</v>
      </c>
      <c r="CR123" s="7">
        <v>1</v>
      </c>
      <c r="CZ123" s="7">
        <f t="shared" si="87"/>
        <v>1</v>
      </c>
      <c r="DA123" s="7">
        <f t="shared" si="106"/>
        <v>2</v>
      </c>
      <c r="DB123" s="7">
        <f t="shared" si="118"/>
        <v>0</v>
      </c>
      <c r="DC123" s="7">
        <f t="shared" si="107"/>
        <v>0</v>
      </c>
      <c r="DE123" s="7">
        <f t="shared" si="119"/>
        <v>0</v>
      </c>
      <c r="DF123" s="7">
        <f t="shared" si="120"/>
        <v>0</v>
      </c>
      <c r="DG123" s="7">
        <f>IFERROR(IF(LEFT($AP123,1)="4",INDEX('변표 테이블'!$H$86:$H$165,MATCH($O123,'변표 테이블'!$B$86:$B$165,0)),INDEX(DG$4:DG$8,MATCH(AH123,$DC$4:$DC$8,0))),0)</f>
        <v>0</v>
      </c>
      <c r="DH123" s="7">
        <f>IFERROR(IF(LEFT($AP123,1)="4",INDEX('변표 테이블'!$I$86:$I$165,MATCH($O123,'변표 테이블'!$B$86:$B$165,0)),INDEX(DH$4:DH$8,MATCH(AI123,$DC$4:$DC$8,0))),0)</f>
        <v>0</v>
      </c>
      <c r="DJ123" s="7">
        <f>IFERROR(IF(LEFT($AP123,1)="4",INDEX('변표 테이블'!$J$86:$J$165,MATCH($O123,'변표 테이블'!$B$86:$B$165,0)),INDEX(DI$4:DI$8,MATCH(AK123,$DC$4:$DC$8,0))),0)</f>
        <v>0</v>
      </c>
      <c r="DK123" s="7">
        <f>IFERROR(IF(LEFT($AP123,1)="4",INDEX('변표 테이블'!$K$86:$K$165,MATCH($O123,'변표 테이블'!$B$86:$B$165,0)),INDEX(DJ$4:DJ$8,MATCH(AL123,$DC$4:$DC$8,0))),0)</f>
        <v>0</v>
      </c>
      <c r="DL123" s="7" t="str">
        <f t="shared" si="91"/>
        <v/>
      </c>
      <c r="DM123" s="7" t="str">
        <f t="shared" si="92"/>
        <v/>
      </c>
      <c r="DN123" s="7">
        <f t="shared" si="93"/>
        <v>0</v>
      </c>
      <c r="DP123" s="7">
        <f t="shared" si="121"/>
        <v>0</v>
      </c>
      <c r="DQ123" s="7">
        <f t="shared" si="122"/>
        <v>0</v>
      </c>
      <c r="DR123" s="7">
        <f t="shared" si="123"/>
        <v>0</v>
      </c>
      <c r="DS123" s="7">
        <f t="shared" si="97"/>
        <v>0</v>
      </c>
      <c r="DT123" s="7">
        <f t="shared" si="124"/>
        <v>0</v>
      </c>
      <c r="DU123" s="7">
        <f t="shared" si="125"/>
        <v>0</v>
      </c>
      <c r="DV123" s="7">
        <f t="shared" si="100"/>
        <v>0</v>
      </c>
      <c r="DW123" s="7">
        <f>LARGE((DR123:DS123,DU123:DV123),1)</f>
        <v>0</v>
      </c>
      <c r="DX123" s="7">
        <f>IF(DA123&lt;2,0,LARGE((DR123:DS123,DU123:DV123),2))</f>
        <v>0</v>
      </c>
      <c r="DY123" s="7">
        <f t="shared" si="126"/>
        <v>0</v>
      </c>
      <c r="DZ123" s="7">
        <f t="shared" si="127"/>
        <v>0</v>
      </c>
      <c r="EA123" s="7">
        <f t="shared" si="128"/>
        <v>0</v>
      </c>
      <c r="EF123" s="7">
        <f t="shared" si="104"/>
        <v>0</v>
      </c>
      <c r="EH123" s="7">
        <f t="shared" si="108"/>
        <v>1</v>
      </c>
      <c r="EI123" s="7">
        <f>IF(EH123=0,0,COUNTIF($EH$16:EH123,"&gt;"&amp;0))</f>
        <v>19</v>
      </c>
    </row>
    <row r="124" spans="1:142" x14ac:dyDescent="0.3">
      <c r="A124" s="165">
        <v>123</v>
      </c>
      <c r="C124" s="7" t="s">
        <v>230</v>
      </c>
      <c r="D124" s="7">
        <v>800</v>
      </c>
      <c r="E124" s="7">
        <v>0.25</v>
      </c>
      <c r="F124" s="7">
        <v>0.35</v>
      </c>
      <c r="G124" s="7">
        <v>0.15</v>
      </c>
      <c r="O124" s="7">
        <f t="shared" si="112"/>
        <v>0</v>
      </c>
      <c r="Q124" s="7">
        <f t="shared" si="81"/>
        <v>2</v>
      </c>
      <c r="R124" s="7">
        <f t="shared" si="82"/>
        <v>2.8</v>
      </c>
      <c r="S124" s="7">
        <f t="shared" si="113"/>
        <v>1.2</v>
      </c>
      <c r="T124" s="7" t="str">
        <f t="shared" si="80"/>
        <v>자동</v>
      </c>
      <c r="U124" s="7">
        <f t="shared" si="83"/>
        <v>1.2</v>
      </c>
      <c r="V124" s="7">
        <f t="shared" si="132"/>
        <v>2</v>
      </c>
      <c r="W124" s="7">
        <f t="shared" si="133"/>
        <v>2.8</v>
      </c>
      <c r="X124" s="7">
        <f t="shared" si="134"/>
        <v>1.2</v>
      </c>
      <c r="Y124" s="7" t="str">
        <f t="shared" si="129"/>
        <v>자동</v>
      </c>
      <c r="AA124" s="7" t="str">
        <f t="shared" si="130"/>
        <v>자동</v>
      </c>
      <c r="AB124" s="7" t="str">
        <f t="shared" si="131"/>
        <v>자동</v>
      </c>
      <c r="AC124" s="7" t="e">
        <f>INDEX('변표 테이블'!$C$86:$C$165,MATCH(O124,'변표 테이블'!$B$86:$B$165,0))</f>
        <v>#N/A</v>
      </c>
      <c r="AD124" s="7" t="e">
        <f>INDEX('변표 테이블'!$D$86:$D$165,MATCH(O124,'변표 테이블'!$B$86:$B$165,0))</f>
        <v>#N/A</v>
      </c>
      <c r="AF124" s="7">
        <v>2</v>
      </c>
      <c r="AG124" s="7">
        <v>2</v>
      </c>
      <c r="AH124" s="7">
        <v>2</v>
      </c>
      <c r="AM124" s="7">
        <v>3</v>
      </c>
      <c r="AN124" s="7">
        <v>3</v>
      </c>
      <c r="AP124" s="7">
        <f t="shared" si="105"/>
        <v>2</v>
      </c>
      <c r="BH124" s="121">
        <v>200</v>
      </c>
      <c r="BI124" s="7">
        <v>190</v>
      </c>
      <c r="BJ124" s="7">
        <v>180</v>
      </c>
      <c r="BK124" s="7">
        <v>170</v>
      </c>
      <c r="BL124" s="7">
        <v>155</v>
      </c>
      <c r="BM124" s="7">
        <v>145</v>
      </c>
      <c r="BN124" s="7">
        <v>135</v>
      </c>
      <c r="BO124" s="7">
        <v>125</v>
      </c>
      <c r="BP124" s="7">
        <v>0</v>
      </c>
      <c r="BQ124" s="121">
        <v>10</v>
      </c>
      <c r="BR124" s="7">
        <v>10</v>
      </c>
      <c r="BS124" s="7">
        <v>10</v>
      </c>
      <c r="BT124" s="7">
        <v>9</v>
      </c>
      <c r="BU124" s="7">
        <v>9</v>
      </c>
      <c r="BV124" s="7">
        <v>9</v>
      </c>
      <c r="BW124" s="7">
        <v>8</v>
      </c>
      <c r="BX124" s="7">
        <v>8</v>
      </c>
      <c r="BY124" s="7">
        <v>8</v>
      </c>
      <c r="CI124" s="7">
        <f t="shared" si="84"/>
        <v>200</v>
      </c>
      <c r="CJ124" s="163">
        <f t="shared" si="85"/>
        <v>100</v>
      </c>
      <c r="CK124" s="7">
        <f t="shared" si="86"/>
        <v>10</v>
      </c>
      <c r="CL124" s="7">
        <v>1</v>
      </c>
      <c r="CP124" s="7">
        <v>1</v>
      </c>
      <c r="CR124" s="7">
        <v>1</v>
      </c>
      <c r="CZ124" s="7">
        <f t="shared" si="87"/>
        <v>1</v>
      </c>
      <c r="DA124" s="7">
        <f t="shared" si="106"/>
        <v>1</v>
      </c>
      <c r="DB124" s="7">
        <f t="shared" si="118"/>
        <v>0</v>
      </c>
      <c r="DC124" s="7">
        <f t="shared" si="107"/>
        <v>0</v>
      </c>
      <c r="DE124" s="7">
        <f t="shared" si="119"/>
        <v>0</v>
      </c>
      <c r="DF124" s="7">
        <f t="shared" si="120"/>
        <v>0</v>
      </c>
      <c r="DG124" s="7">
        <f>IFERROR(IF(LEFT($AP124,1)="4",INDEX('변표 테이블'!$H$86:$H$165,MATCH($O124,'변표 테이블'!$B$86:$B$165,0)),INDEX(DG$4:DG$8,MATCH(AH124,$DC$4:$DC$8,0))),0)</f>
        <v>0</v>
      </c>
      <c r="DH124" s="7">
        <f>IFERROR(IF(LEFT($AP124,1)="4",INDEX('변표 테이블'!$I$86:$I$165,MATCH($O124,'변표 테이블'!$B$86:$B$165,0)),INDEX(DH$4:DH$8,MATCH(AI124,$DC$4:$DC$8,0))),0)</f>
        <v>0</v>
      </c>
      <c r="DJ124" s="7">
        <f>IFERROR(IF(LEFT($AP124,1)="4",INDEX('변표 테이블'!$J$86:$J$165,MATCH($O124,'변표 테이블'!$B$86:$B$165,0)),INDEX(DI$4:DI$8,MATCH(AK124,$DC$4:$DC$8,0))),0)</f>
        <v>0</v>
      </c>
      <c r="DK124" s="7">
        <f>IFERROR(IF(LEFT($AP124,1)="4",INDEX('변표 테이블'!$K$86:$K$165,MATCH($O124,'변표 테이블'!$B$86:$B$165,0)),INDEX(DJ$4:DJ$8,MATCH(AL124,$DC$4:$DC$8,0))),0)</f>
        <v>0</v>
      </c>
      <c r="DL124" s="7" t="str">
        <f t="shared" si="91"/>
        <v/>
      </c>
      <c r="DM124" s="7" t="str">
        <f t="shared" si="92"/>
        <v/>
      </c>
      <c r="DN124" s="7">
        <f t="shared" si="93"/>
        <v>0</v>
      </c>
      <c r="DP124" s="7">
        <f t="shared" si="121"/>
        <v>0</v>
      </c>
      <c r="DQ124" s="7">
        <f t="shared" si="122"/>
        <v>0</v>
      </c>
      <c r="DR124" s="7">
        <f t="shared" si="123"/>
        <v>0</v>
      </c>
      <c r="DS124" s="7">
        <f t="shared" si="97"/>
        <v>0</v>
      </c>
      <c r="DT124" s="7">
        <f t="shared" si="124"/>
        <v>0</v>
      </c>
      <c r="DU124" s="7">
        <f t="shared" si="125"/>
        <v>0</v>
      </c>
      <c r="DV124" s="7">
        <f t="shared" si="100"/>
        <v>0</v>
      </c>
      <c r="DW124" s="7">
        <f>LARGE((DR124:DS124,DU124:DV124),1)</f>
        <v>0</v>
      </c>
      <c r="DX124" s="7">
        <f>IF(DA124&lt;2,0,LARGE((DR124:DS124,DU124:DV124),2))</f>
        <v>0</v>
      </c>
      <c r="DY124" s="7">
        <f t="shared" si="126"/>
        <v>0</v>
      </c>
      <c r="DZ124" s="7">
        <f t="shared" si="127"/>
        <v>0</v>
      </c>
      <c r="EA124" s="7">
        <f t="shared" si="128"/>
        <v>0</v>
      </c>
      <c r="EF124" s="7">
        <f t="shared" si="104"/>
        <v>0</v>
      </c>
      <c r="EH124" s="7">
        <f t="shared" si="108"/>
        <v>0</v>
      </c>
      <c r="EI124" s="7">
        <f>IF(EH124=0,0,COUNTIF($EH$16:EH124,"&gt;"&amp;0))</f>
        <v>0</v>
      </c>
    </row>
    <row r="125" spans="1:142" x14ac:dyDescent="0.3">
      <c r="A125" s="165">
        <v>124</v>
      </c>
      <c r="C125" s="7" t="s">
        <v>231</v>
      </c>
      <c r="D125" s="7">
        <v>100</v>
      </c>
      <c r="E125" s="7">
        <v>0.2</v>
      </c>
      <c r="F125" s="7">
        <v>0.3</v>
      </c>
      <c r="G125" s="7">
        <v>0.15</v>
      </c>
      <c r="H125" s="7">
        <v>0.15</v>
      </c>
      <c r="M125" s="7">
        <v>1</v>
      </c>
      <c r="O125" s="7">
        <f t="shared" si="112"/>
        <v>1</v>
      </c>
      <c r="Q125" s="7">
        <f t="shared" si="81"/>
        <v>0.13422818791946309</v>
      </c>
      <c r="R125" s="7">
        <f t="shared" si="82"/>
        <v>0.20408163265306123</v>
      </c>
      <c r="S125" s="7">
        <f t="shared" si="113"/>
        <v>0.21088148460565165</v>
      </c>
      <c r="T125" s="7" t="str">
        <f t="shared" si="80"/>
        <v>자동</v>
      </c>
      <c r="U125" s="7">
        <f t="shared" si="83"/>
        <v>0.21088148460565165</v>
      </c>
      <c r="V125" s="7">
        <f t="shared" si="132"/>
        <v>0.13422818791946309</v>
      </c>
      <c r="W125" s="7">
        <f t="shared" si="133"/>
        <v>0.20408163265306123</v>
      </c>
      <c r="X125" s="7">
        <f t="shared" si="134"/>
        <v>0.21088148460565165</v>
      </c>
      <c r="Y125" s="7">
        <f t="shared" si="129"/>
        <v>0.21088148460565165</v>
      </c>
      <c r="AA125" s="7" t="str">
        <f t="shared" si="130"/>
        <v>자동</v>
      </c>
      <c r="AB125" s="7" t="str">
        <f t="shared" si="131"/>
        <v>자동</v>
      </c>
      <c r="AC125" s="7">
        <f>INDEX('변표 테이블'!$C$86:$C$165,MATCH(O125,'변표 테이블'!$B$86:$B$165,0))</f>
        <v>71.13</v>
      </c>
      <c r="AD125" s="7">
        <f>INDEX('변표 테이블'!$D$86:$D$165,MATCH(O125,'변표 테이블'!$B$86:$B$165,0))</f>
        <v>66</v>
      </c>
      <c r="AF125" s="7">
        <v>12</v>
      </c>
      <c r="AG125" s="7">
        <v>12</v>
      </c>
      <c r="AH125" s="7">
        <v>42</v>
      </c>
      <c r="AI125" s="7">
        <v>42</v>
      </c>
      <c r="AM125" s="7">
        <v>3</v>
      </c>
      <c r="AN125" s="7">
        <v>3</v>
      </c>
      <c r="AP125" s="7">
        <f t="shared" si="105"/>
        <v>42</v>
      </c>
      <c r="BH125" s="121">
        <v>20</v>
      </c>
      <c r="BI125" s="7">
        <v>19.200000000000003</v>
      </c>
      <c r="BJ125" s="7">
        <v>17.8</v>
      </c>
      <c r="BK125" s="7">
        <v>15.4</v>
      </c>
      <c r="BL125" s="7">
        <v>12</v>
      </c>
      <c r="BM125" s="7">
        <v>8</v>
      </c>
      <c r="BN125" s="7">
        <v>4.6000000000000005</v>
      </c>
      <c r="BO125" s="7">
        <v>2.2000000000000002</v>
      </c>
      <c r="BP125" s="7">
        <v>0</v>
      </c>
      <c r="CI125" s="7">
        <f t="shared" si="84"/>
        <v>20</v>
      </c>
      <c r="CJ125" s="163">
        <f t="shared" si="85"/>
        <v>100</v>
      </c>
      <c r="CK125" s="7">
        <f t="shared" si="86"/>
        <v>0</v>
      </c>
      <c r="CL125" s="7">
        <v>2</v>
      </c>
      <c r="CP125" s="7">
        <v>1</v>
      </c>
      <c r="CR125" s="7">
        <v>1</v>
      </c>
      <c r="CZ125" s="7">
        <f t="shared" si="87"/>
        <v>1</v>
      </c>
      <c r="DA125" s="7">
        <f t="shared" si="106"/>
        <v>2</v>
      </c>
      <c r="DB125" s="7">
        <f t="shared" si="118"/>
        <v>0</v>
      </c>
      <c r="DC125" s="7">
        <f t="shared" si="107"/>
        <v>0</v>
      </c>
      <c r="DE125" s="7">
        <f t="shared" si="119"/>
        <v>0</v>
      </c>
      <c r="DF125" s="7">
        <f t="shared" si="120"/>
        <v>0</v>
      </c>
      <c r="DG125" s="7">
        <f>IFERROR(IF(LEFT($AP125,1)="4",INDEX('변표 테이블'!$H$86:$H$165,MATCH($O125,'변표 테이블'!$B$86:$B$165,0)),INDEX(DG$4:DG$8,MATCH(AH125,$DC$4:$DC$8,0))),0)</f>
        <v>0</v>
      </c>
      <c r="DH125" s="7">
        <f>IFERROR(IF(LEFT($AP125,1)="4",INDEX('변표 테이블'!$I$86:$I$165,MATCH($O125,'변표 테이블'!$B$86:$B$165,0)),INDEX(DH$4:DH$8,MATCH(AI125,$DC$4:$DC$8,0))),0)</f>
        <v>0</v>
      </c>
      <c r="DJ125" s="7">
        <f>IFERROR(IF(LEFT($AP125,1)="4",INDEX('변표 테이블'!$J$86:$J$165,MATCH($O125,'변표 테이블'!$B$86:$B$165,0)),INDEX(DI$4:DI$8,MATCH(AK125,$DC$4:$DC$8,0))),0)</f>
        <v>0</v>
      </c>
      <c r="DK125" s="7">
        <f>IFERROR(IF(LEFT($AP125,1)="4",INDEX('변표 테이블'!$K$86:$K$165,MATCH($O125,'변표 테이블'!$B$86:$B$165,0)),INDEX(DJ$4:DJ$8,MATCH(AL125,$DC$4:$DC$8,0))),0)</f>
        <v>0</v>
      </c>
      <c r="DL125" s="7" t="str">
        <f t="shared" si="91"/>
        <v/>
      </c>
      <c r="DM125" s="7" t="str">
        <f t="shared" si="92"/>
        <v/>
      </c>
      <c r="DN125" s="7">
        <f t="shared" si="93"/>
        <v>0</v>
      </c>
      <c r="DP125" s="7">
        <f t="shared" si="121"/>
        <v>0</v>
      </c>
      <c r="DQ125" s="7">
        <f t="shared" si="122"/>
        <v>0</v>
      </c>
      <c r="DR125" s="7">
        <f t="shared" si="123"/>
        <v>0</v>
      </c>
      <c r="DS125" s="7">
        <f t="shared" si="97"/>
        <v>0</v>
      </c>
      <c r="DT125" s="7">
        <f t="shared" si="124"/>
        <v>0</v>
      </c>
      <c r="DU125" s="7">
        <f t="shared" si="125"/>
        <v>0</v>
      </c>
      <c r="DV125" s="7">
        <f t="shared" si="100"/>
        <v>0</v>
      </c>
      <c r="DW125" s="7">
        <f>LARGE((DR125:DS125,DU125:DV125),1)</f>
        <v>0</v>
      </c>
      <c r="DX125" s="7">
        <f>IF(DA125&lt;2,0,LARGE((DR125:DS125,DU125:DV125),2))</f>
        <v>0</v>
      </c>
      <c r="DY125" s="7">
        <f t="shared" si="126"/>
        <v>0</v>
      </c>
      <c r="DZ125" s="7">
        <f t="shared" si="127"/>
        <v>0</v>
      </c>
      <c r="EA125" s="7">
        <f t="shared" si="128"/>
        <v>0</v>
      </c>
      <c r="EF125" s="7">
        <f t="shared" si="104"/>
        <v>0</v>
      </c>
      <c r="EH125" s="7">
        <f t="shared" si="108"/>
        <v>0</v>
      </c>
      <c r="EI125" s="7">
        <f>IF(EH125=0,0,COUNTIF($EH$16:EH125,"&gt;"&amp;0))</f>
        <v>0</v>
      </c>
    </row>
    <row r="126" spans="1:142" x14ac:dyDescent="0.3">
      <c r="A126" s="165">
        <v>125</v>
      </c>
      <c r="C126" s="7" t="s">
        <v>232</v>
      </c>
      <c r="D126" s="7">
        <v>300</v>
      </c>
      <c r="E126" s="7">
        <v>0.25</v>
      </c>
      <c r="F126" s="7">
        <v>0.45</v>
      </c>
      <c r="G126" s="7">
        <v>0.15</v>
      </c>
      <c r="H126" s="7">
        <v>0.15</v>
      </c>
      <c r="M126" s="7">
        <v>1</v>
      </c>
      <c r="O126" s="7">
        <f t="shared" si="112"/>
        <v>1</v>
      </c>
      <c r="Q126" s="7">
        <f t="shared" si="81"/>
        <v>0.375</v>
      </c>
      <c r="R126" s="7">
        <f t="shared" si="82"/>
        <v>0.67500000000000004</v>
      </c>
      <c r="S126" s="7">
        <f t="shared" si="113"/>
        <v>0.45</v>
      </c>
      <c r="T126" s="7" t="str">
        <f t="shared" si="80"/>
        <v>자동</v>
      </c>
      <c r="U126" s="7">
        <f t="shared" si="83"/>
        <v>0.45</v>
      </c>
      <c r="V126" s="7">
        <f t="shared" si="132"/>
        <v>0.375</v>
      </c>
      <c r="W126" s="7">
        <f t="shared" si="133"/>
        <v>0.67500000000000004</v>
      </c>
      <c r="X126" s="7">
        <f t="shared" si="134"/>
        <v>0.45</v>
      </c>
      <c r="Y126" s="7">
        <f t="shared" si="129"/>
        <v>0.45</v>
      </c>
      <c r="AA126" s="7" t="str">
        <f t="shared" si="130"/>
        <v>자동</v>
      </c>
      <c r="AB126" s="7" t="str">
        <f t="shared" si="131"/>
        <v>자동</v>
      </c>
      <c r="AC126" s="7">
        <f>INDEX('변표 테이블'!$C$86:$C$165,MATCH(O126,'변표 테이블'!$B$86:$B$165,0))</f>
        <v>71.13</v>
      </c>
      <c r="AD126" s="7">
        <f>INDEX('변표 테이블'!$D$86:$D$165,MATCH(O126,'변표 테이블'!$B$86:$B$165,0))</f>
        <v>66</v>
      </c>
      <c r="AF126" s="7">
        <v>1</v>
      </c>
      <c r="AG126" s="7">
        <v>1</v>
      </c>
      <c r="AH126" s="7">
        <v>4</v>
      </c>
      <c r="AI126" s="7">
        <v>4</v>
      </c>
      <c r="AM126" s="7">
        <v>3</v>
      </c>
      <c r="AN126" s="7">
        <v>3</v>
      </c>
      <c r="AP126" s="7">
        <f t="shared" si="105"/>
        <v>4</v>
      </c>
      <c r="BI126" s="7">
        <v>-2</v>
      </c>
      <c r="BJ126" s="7">
        <v>-5</v>
      </c>
      <c r="BK126" s="7">
        <v>-8</v>
      </c>
      <c r="BL126" s="7">
        <v>-11</v>
      </c>
      <c r="BM126" s="7">
        <v>-14</v>
      </c>
      <c r="BN126" s="7">
        <v>-18</v>
      </c>
      <c r="BO126" s="7">
        <v>-22</v>
      </c>
      <c r="BP126" s="7">
        <v>-26</v>
      </c>
      <c r="BT126" s="7">
        <v>-1</v>
      </c>
      <c r="BU126" s="7">
        <v>-1</v>
      </c>
      <c r="BV126" s="7">
        <v>-1</v>
      </c>
      <c r="BW126" s="7">
        <v>-2</v>
      </c>
      <c r="BX126" s="7">
        <v>-2</v>
      </c>
      <c r="BY126" s="7">
        <v>-2</v>
      </c>
      <c r="CI126" s="7">
        <f t="shared" si="84"/>
        <v>0</v>
      </c>
      <c r="CJ126" s="163" t="e">
        <f t="shared" si="85"/>
        <v>#DIV/0!</v>
      </c>
      <c r="CK126" s="7">
        <f t="shared" si="86"/>
        <v>0</v>
      </c>
      <c r="CL126" s="7">
        <v>2</v>
      </c>
      <c r="CP126" s="7">
        <v>1</v>
      </c>
      <c r="CR126" s="7">
        <v>1</v>
      </c>
      <c r="CZ126" s="7">
        <f t="shared" si="87"/>
        <v>1</v>
      </c>
      <c r="DA126" s="7">
        <f t="shared" si="106"/>
        <v>2</v>
      </c>
      <c r="DB126" s="7">
        <f t="shared" si="118"/>
        <v>0</v>
      </c>
      <c r="DC126" s="7">
        <f t="shared" si="107"/>
        <v>0</v>
      </c>
      <c r="DE126" s="7">
        <f t="shared" si="119"/>
        <v>0</v>
      </c>
      <c r="DF126" s="7">
        <f t="shared" si="120"/>
        <v>0</v>
      </c>
      <c r="DG126" s="7">
        <f>IFERROR(IF(LEFT($AP126,1)="4",INDEX('변표 테이블'!$H$86:$H$165,MATCH($O126,'변표 테이블'!$B$86:$B$165,0)),INDEX(DG$4:DG$8,MATCH(AH126,$DC$4:$DC$8,0))),0)</f>
        <v>0</v>
      </c>
      <c r="DH126" s="7">
        <f>IFERROR(IF(LEFT($AP126,1)="4",INDEX('변표 테이블'!$I$86:$I$165,MATCH($O126,'변표 테이블'!$B$86:$B$165,0)),INDEX(DH$4:DH$8,MATCH(AI126,$DC$4:$DC$8,0))),0)</f>
        <v>0</v>
      </c>
      <c r="DJ126" s="7">
        <f>IFERROR(IF(LEFT($AP126,1)="4",INDEX('변표 테이블'!$J$86:$J$165,MATCH($O126,'변표 테이블'!$B$86:$B$165,0)),INDEX(DI$4:DI$8,MATCH(AK126,$DC$4:$DC$8,0))),0)</f>
        <v>0</v>
      </c>
      <c r="DK126" s="7">
        <f>IFERROR(IF(LEFT($AP126,1)="4",INDEX('변표 테이블'!$K$86:$K$165,MATCH($O126,'변표 테이블'!$B$86:$B$165,0)),INDEX(DJ$4:DJ$8,MATCH(AL126,$DC$4:$DC$8,0))),0)</f>
        <v>0</v>
      </c>
      <c r="DL126" s="7" t="str">
        <f t="shared" si="91"/>
        <v/>
      </c>
      <c r="DM126" s="7" t="str">
        <f t="shared" si="92"/>
        <v/>
      </c>
      <c r="DN126" s="7">
        <f t="shared" si="93"/>
        <v>0</v>
      </c>
      <c r="DP126" s="7">
        <f t="shared" si="121"/>
        <v>0</v>
      </c>
      <c r="DQ126" s="7">
        <f t="shared" si="122"/>
        <v>0</v>
      </c>
      <c r="DR126" s="7">
        <f t="shared" si="123"/>
        <v>0</v>
      </c>
      <c r="DS126" s="7">
        <f t="shared" si="97"/>
        <v>0</v>
      </c>
      <c r="DT126" s="7">
        <f t="shared" si="124"/>
        <v>0</v>
      </c>
      <c r="DU126" s="7">
        <f t="shared" si="125"/>
        <v>0</v>
      </c>
      <c r="DV126" s="7">
        <f t="shared" si="100"/>
        <v>0</v>
      </c>
      <c r="DW126" s="7">
        <f>LARGE((DR126:DS126,DU126:DV126),1)</f>
        <v>0</v>
      </c>
      <c r="DX126" s="7">
        <f>IF(DA126&lt;2,0,LARGE((DR126:DS126,DU126:DV126),2))</f>
        <v>0</v>
      </c>
      <c r="DY126" s="7">
        <f t="shared" si="126"/>
        <v>0</v>
      </c>
      <c r="DZ126" s="7">
        <f t="shared" si="127"/>
        <v>0</v>
      </c>
      <c r="EA126" s="7">
        <f t="shared" si="128"/>
        <v>0</v>
      </c>
      <c r="EF126" s="7">
        <f t="shared" si="104"/>
        <v>0</v>
      </c>
      <c r="EH126" s="7">
        <f t="shared" si="108"/>
        <v>0</v>
      </c>
      <c r="EI126" s="7">
        <f>IF(EH126=0,0,COUNTIF($EH$16:EH126,"&gt;"&amp;0))</f>
        <v>0</v>
      </c>
    </row>
    <row r="127" spans="1:142" x14ac:dyDescent="0.3">
      <c r="A127" s="165">
        <v>126</v>
      </c>
      <c r="C127" s="7" t="s">
        <v>233</v>
      </c>
      <c r="D127" s="7">
        <v>200</v>
      </c>
      <c r="E127" s="7">
        <v>0.2</v>
      </c>
      <c r="F127" s="7">
        <v>0.3</v>
      </c>
      <c r="G127" s="7">
        <v>0.15</v>
      </c>
      <c r="H127" s="7">
        <v>0.15</v>
      </c>
      <c r="O127" s="7">
        <f t="shared" si="112"/>
        <v>0</v>
      </c>
      <c r="Q127" s="7">
        <f t="shared" si="81"/>
        <v>0.26845637583892618</v>
      </c>
      <c r="R127" s="7">
        <f t="shared" si="82"/>
        <v>0.40816326530612246</v>
      </c>
      <c r="S127" s="7">
        <f t="shared" si="113"/>
        <v>0.42253521126760563</v>
      </c>
      <c r="T127" s="7" t="str">
        <f t="shared" si="80"/>
        <v>자동</v>
      </c>
      <c r="U127" s="7">
        <f t="shared" si="83"/>
        <v>0.42253521126760563</v>
      </c>
      <c r="V127" s="7">
        <f t="shared" si="132"/>
        <v>0.26845637583892618</v>
      </c>
      <c r="W127" s="7">
        <f t="shared" si="133"/>
        <v>0.40816326530612246</v>
      </c>
      <c r="X127" s="7" t="e">
        <f t="shared" si="134"/>
        <v>#DIV/0!</v>
      </c>
      <c r="Y127" s="7" t="e">
        <f t="shared" si="129"/>
        <v>#DIV/0!</v>
      </c>
      <c r="AA127" s="7" t="str">
        <f t="shared" si="130"/>
        <v>자동</v>
      </c>
      <c r="AB127" s="7" t="str">
        <f t="shared" si="131"/>
        <v>자동</v>
      </c>
      <c r="AC127" s="7" t="e">
        <f>INDEX('변표 테이블'!$C$86:$C$165,MATCH(O127,'변표 테이블'!$B$86:$B$165,0))</f>
        <v>#N/A</v>
      </c>
      <c r="AD127" s="7" t="e">
        <f>INDEX('변표 테이블'!$D$86:$D$165,MATCH(O127,'변표 테이블'!$B$86:$B$165,0))</f>
        <v>#N/A</v>
      </c>
      <c r="AF127" s="7">
        <v>12</v>
      </c>
      <c r="AG127" s="7">
        <v>12</v>
      </c>
      <c r="AH127" s="7">
        <v>12</v>
      </c>
      <c r="AI127" s="7">
        <v>12</v>
      </c>
      <c r="AM127" s="7">
        <v>3</v>
      </c>
      <c r="AN127" s="7">
        <v>3</v>
      </c>
      <c r="AP127" s="7">
        <f t="shared" si="105"/>
        <v>12</v>
      </c>
      <c r="BH127" s="121">
        <v>40</v>
      </c>
      <c r="BI127" s="7">
        <v>38</v>
      </c>
      <c r="BJ127" s="7">
        <v>36</v>
      </c>
      <c r="BK127" s="7">
        <v>34</v>
      </c>
      <c r="BL127" s="7">
        <v>32</v>
      </c>
      <c r="BM127" s="7">
        <v>28</v>
      </c>
      <c r="BN127" s="7">
        <v>24</v>
      </c>
      <c r="BO127" s="7">
        <v>16</v>
      </c>
      <c r="BP127" s="7">
        <v>0</v>
      </c>
      <c r="CI127" s="7">
        <f t="shared" si="84"/>
        <v>40</v>
      </c>
      <c r="CJ127" s="163">
        <f t="shared" si="85"/>
        <v>100</v>
      </c>
      <c r="CK127" s="7">
        <f t="shared" si="86"/>
        <v>0</v>
      </c>
      <c r="CL127" s="7">
        <v>2</v>
      </c>
      <c r="CP127" s="7">
        <v>1</v>
      </c>
      <c r="CR127" s="7">
        <v>1</v>
      </c>
      <c r="CZ127" s="7">
        <f t="shared" si="87"/>
        <v>1</v>
      </c>
      <c r="DA127" s="7">
        <f t="shared" si="106"/>
        <v>2</v>
      </c>
      <c r="DB127" s="7">
        <f t="shared" si="118"/>
        <v>0</v>
      </c>
      <c r="DC127" s="7">
        <f t="shared" si="107"/>
        <v>0</v>
      </c>
      <c r="DE127" s="7">
        <f t="shared" si="119"/>
        <v>0</v>
      </c>
      <c r="DF127" s="7">
        <f t="shared" si="120"/>
        <v>0</v>
      </c>
      <c r="DG127" s="7">
        <f>IFERROR(IF(LEFT($AP127,1)="4",INDEX('변표 테이블'!$H$86:$H$165,MATCH($O127,'변표 테이블'!$B$86:$B$165,0)),INDEX(DG$4:DG$8,MATCH(AH127,$DC$4:$DC$8,0))),0)</f>
        <v>0</v>
      </c>
      <c r="DH127" s="7">
        <f>IFERROR(IF(LEFT($AP127,1)="4",INDEX('변표 테이블'!$I$86:$I$165,MATCH($O127,'변표 테이블'!$B$86:$B$165,0)),INDEX(DH$4:DH$8,MATCH(AI127,$DC$4:$DC$8,0))),0)</f>
        <v>0</v>
      </c>
      <c r="DJ127" s="7">
        <f>IFERROR(IF(LEFT($AP127,1)="4",INDEX('변표 테이블'!$J$86:$J$165,MATCH($O127,'변표 테이블'!$B$86:$B$165,0)),INDEX(DI$4:DI$8,MATCH(AK127,$DC$4:$DC$8,0))),0)</f>
        <v>0</v>
      </c>
      <c r="DK127" s="7">
        <f>IFERROR(IF(LEFT($AP127,1)="4",INDEX('변표 테이블'!$K$86:$K$165,MATCH($O127,'변표 테이블'!$B$86:$B$165,0)),INDEX(DJ$4:DJ$8,MATCH(AL127,$DC$4:$DC$8,0))),0)</f>
        <v>0</v>
      </c>
      <c r="DL127" s="7" t="str">
        <f t="shared" si="91"/>
        <v/>
      </c>
      <c r="DM127" s="7" t="str">
        <f t="shared" si="92"/>
        <v/>
      </c>
      <c r="DN127" s="7">
        <f t="shared" si="93"/>
        <v>0</v>
      </c>
      <c r="DP127" s="7">
        <f t="shared" si="121"/>
        <v>0</v>
      </c>
      <c r="DQ127" s="7">
        <f t="shared" si="122"/>
        <v>0</v>
      </c>
      <c r="DR127" s="7">
        <f t="shared" si="123"/>
        <v>0</v>
      </c>
      <c r="DS127" s="7">
        <f t="shared" si="97"/>
        <v>0</v>
      </c>
      <c r="DT127" s="7">
        <f t="shared" si="124"/>
        <v>0</v>
      </c>
      <c r="DU127" s="7">
        <f t="shared" si="125"/>
        <v>0</v>
      </c>
      <c r="DV127" s="7">
        <f t="shared" si="100"/>
        <v>0</v>
      </c>
      <c r="DW127" s="7">
        <f>LARGE((DR127:DS127,DU127:DV127),1)</f>
        <v>0</v>
      </c>
      <c r="DX127" s="7">
        <f>IF(DA127&lt;2,0,LARGE((DR127:DS127,DU127:DV127),2))</f>
        <v>0</v>
      </c>
      <c r="DY127" s="7">
        <f t="shared" si="126"/>
        <v>0</v>
      </c>
      <c r="DZ127" s="7">
        <f t="shared" si="127"/>
        <v>0</v>
      </c>
      <c r="EA127" s="7">
        <f t="shared" si="128"/>
        <v>0</v>
      </c>
      <c r="EB127" s="7">
        <v>800</v>
      </c>
      <c r="EE127" s="7">
        <f>DP127+DQ127+DW127+DX127+DY127+DZ127+800</f>
        <v>800</v>
      </c>
      <c r="EF127" s="7">
        <f t="shared" si="104"/>
        <v>800</v>
      </c>
      <c r="EH127" s="7">
        <f t="shared" si="108"/>
        <v>0</v>
      </c>
      <c r="EI127" s="7">
        <f>IF(EH127=0,0,COUNTIF($EH$16:EH127,"&gt;"&amp;0))</f>
        <v>0</v>
      </c>
    </row>
    <row r="128" spans="1:142" x14ac:dyDescent="0.3">
      <c r="A128" s="165">
        <v>127</v>
      </c>
      <c r="C128" s="7" t="s">
        <v>234</v>
      </c>
      <c r="D128" s="7">
        <v>1000</v>
      </c>
      <c r="E128" s="7">
        <v>0.2</v>
      </c>
      <c r="F128" s="7">
        <v>0.4</v>
      </c>
      <c r="G128" s="7">
        <v>0.15</v>
      </c>
      <c r="H128" s="7">
        <v>0.15</v>
      </c>
      <c r="O128" s="7">
        <f t="shared" si="112"/>
        <v>0</v>
      </c>
      <c r="Q128" s="7">
        <f t="shared" si="81"/>
        <v>1.3422818791946309</v>
      </c>
      <c r="R128" s="7">
        <f t="shared" si="82"/>
        <v>2.7210884353741496</v>
      </c>
      <c r="S128" s="7">
        <f t="shared" si="113"/>
        <v>2.112676056338028</v>
      </c>
      <c r="T128" s="7" t="str">
        <f t="shared" si="80"/>
        <v>자동</v>
      </c>
      <c r="U128" s="7">
        <f t="shared" si="83"/>
        <v>2.112676056338028</v>
      </c>
      <c r="V128" s="7">
        <f t="shared" si="132"/>
        <v>1.3422818791946309</v>
      </c>
      <c r="W128" s="7">
        <f t="shared" si="133"/>
        <v>2.7210884353741496</v>
      </c>
      <c r="X128" s="7" t="e">
        <f t="shared" si="134"/>
        <v>#DIV/0!</v>
      </c>
      <c r="Y128" s="7" t="e">
        <f t="shared" si="129"/>
        <v>#DIV/0!</v>
      </c>
      <c r="AA128" s="7" t="str">
        <f t="shared" si="130"/>
        <v>자동</v>
      </c>
      <c r="AB128" s="7" t="str">
        <f t="shared" si="131"/>
        <v>자동</v>
      </c>
      <c r="AC128" s="7" t="e">
        <f>INDEX('변표 테이블'!$C$86:$C$165,MATCH(O128,'변표 테이블'!$B$86:$B$165,0))</f>
        <v>#N/A</v>
      </c>
      <c r="AD128" s="7" t="e">
        <f>INDEX('변표 테이블'!$D$86:$D$165,MATCH(O128,'변표 테이블'!$B$86:$B$165,0))</f>
        <v>#N/A</v>
      </c>
      <c r="AF128" s="7">
        <v>12</v>
      </c>
      <c r="AG128" s="7">
        <v>12</v>
      </c>
      <c r="AH128" s="7">
        <v>12</v>
      </c>
      <c r="AI128" s="7">
        <v>12</v>
      </c>
      <c r="AM128" s="7">
        <v>3</v>
      </c>
      <c r="AN128" s="7">
        <v>3</v>
      </c>
      <c r="AP128" s="7">
        <f t="shared" si="105"/>
        <v>12</v>
      </c>
      <c r="BH128" s="121">
        <v>100</v>
      </c>
      <c r="BI128" s="7">
        <v>95</v>
      </c>
      <c r="BJ128" s="7">
        <v>88</v>
      </c>
      <c r="BK128" s="7">
        <v>76</v>
      </c>
      <c r="BL128" s="7">
        <v>59</v>
      </c>
      <c r="BM128" s="7">
        <v>39</v>
      </c>
      <c r="BN128" s="7">
        <v>22</v>
      </c>
      <c r="BO128" s="7">
        <v>10</v>
      </c>
      <c r="BP128" s="7">
        <v>0</v>
      </c>
      <c r="CI128" s="7">
        <f t="shared" si="84"/>
        <v>100</v>
      </c>
      <c r="CJ128" s="163">
        <f t="shared" si="85"/>
        <v>100</v>
      </c>
      <c r="CK128" s="7">
        <f t="shared" si="86"/>
        <v>0</v>
      </c>
      <c r="CL128" s="7">
        <v>2</v>
      </c>
      <c r="CP128" s="7">
        <v>1</v>
      </c>
      <c r="CR128" s="7">
        <v>1</v>
      </c>
      <c r="CZ128" s="7">
        <f t="shared" si="87"/>
        <v>1</v>
      </c>
      <c r="DA128" s="7">
        <f t="shared" si="106"/>
        <v>2</v>
      </c>
      <c r="DB128" s="7">
        <f t="shared" si="118"/>
        <v>0</v>
      </c>
      <c r="DC128" s="7">
        <f t="shared" si="107"/>
        <v>0</v>
      </c>
      <c r="DE128" s="7">
        <f t="shared" si="119"/>
        <v>0</v>
      </c>
      <c r="DF128" s="7">
        <f t="shared" si="120"/>
        <v>0</v>
      </c>
      <c r="DG128" s="7">
        <f>IFERROR(IF(LEFT($AP128,1)="4",INDEX('변표 테이블'!$H$86:$H$165,MATCH($O128,'변표 테이블'!$B$86:$B$165,0)),INDEX(DG$4:DG$8,MATCH(AH128,$DC$4:$DC$8,0))),0)</f>
        <v>0</v>
      </c>
      <c r="DH128" s="7">
        <f>IFERROR(IF(LEFT($AP128,1)="4",INDEX('변표 테이블'!$I$86:$I$165,MATCH($O128,'변표 테이블'!$B$86:$B$165,0)),INDEX(DH$4:DH$8,MATCH(AI128,$DC$4:$DC$8,0))),0)</f>
        <v>0</v>
      </c>
      <c r="DJ128" s="7">
        <f>IFERROR(IF(LEFT($AP128,1)="4",INDEX('변표 테이블'!$J$86:$J$165,MATCH($O128,'변표 테이블'!$B$86:$B$165,0)),INDEX(DI$4:DI$8,MATCH(AK128,$DC$4:$DC$8,0))),0)</f>
        <v>0</v>
      </c>
      <c r="DK128" s="7">
        <f>IFERROR(IF(LEFT($AP128,1)="4",INDEX('변표 테이블'!$K$86:$K$165,MATCH($O128,'변표 테이블'!$B$86:$B$165,0)),INDEX(DJ$4:DJ$8,MATCH(AL128,$DC$4:$DC$8,0))),0)</f>
        <v>0</v>
      </c>
      <c r="DL128" s="7" t="str">
        <f t="shared" si="91"/>
        <v/>
      </c>
      <c r="DM128" s="7" t="str">
        <f t="shared" si="92"/>
        <v/>
      </c>
      <c r="DN128" s="7">
        <f t="shared" si="93"/>
        <v>0</v>
      </c>
      <c r="DP128" s="7">
        <f t="shared" si="121"/>
        <v>0</v>
      </c>
      <c r="DQ128" s="7">
        <f t="shared" si="122"/>
        <v>0</v>
      </c>
      <c r="DR128" s="7">
        <f t="shared" si="123"/>
        <v>0</v>
      </c>
      <c r="DS128" s="7">
        <f t="shared" si="97"/>
        <v>0</v>
      </c>
      <c r="DT128" s="7">
        <f t="shared" si="124"/>
        <v>0</v>
      </c>
      <c r="DU128" s="7">
        <f t="shared" si="125"/>
        <v>0</v>
      </c>
      <c r="DV128" s="7">
        <f t="shared" si="100"/>
        <v>0</v>
      </c>
      <c r="DW128" s="7">
        <f>LARGE((DR128:DS128,DU128:DV128),1)</f>
        <v>0</v>
      </c>
      <c r="DX128" s="7">
        <f>IF(DA128&lt;2,0,LARGE((DR128:DS128,DU128:DV128),2))</f>
        <v>0</v>
      </c>
      <c r="DY128" s="7">
        <f t="shared" si="126"/>
        <v>0</v>
      </c>
      <c r="DZ128" s="7">
        <f t="shared" si="127"/>
        <v>0</v>
      </c>
      <c r="EA128" s="7">
        <f t="shared" si="128"/>
        <v>0</v>
      </c>
      <c r="EF128" s="7">
        <f t="shared" si="104"/>
        <v>0</v>
      </c>
      <c r="EH128" s="7">
        <f t="shared" si="108"/>
        <v>0</v>
      </c>
      <c r="EI128" s="7">
        <f>IF(EH128=0,0,COUNTIF($EH$16:EH128,"&gt;"&amp;0))</f>
        <v>0</v>
      </c>
    </row>
    <row r="129" spans="1:139" x14ac:dyDescent="0.3">
      <c r="A129" s="165">
        <v>128</v>
      </c>
      <c r="C129" s="7" t="s">
        <v>235</v>
      </c>
      <c r="D129" s="7">
        <v>1000</v>
      </c>
      <c r="E129" s="7">
        <v>0.25</v>
      </c>
      <c r="F129" s="7">
        <v>0.3</v>
      </c>
      <c r="G129" s="7">
        <v>0.125</v>
      </c>
      <c r="H129" s="7">
        <v>0.125</v>
      </c>
      <c r="M129" s="7">
        <v>1</v>
      </c>
      <c r="O129" s="7">
        <f t="shared" si="112"/>
        <v>1</v>
      </c>
      <c r="Q129" s="7">
        <f t="shared" si="81"/>
        <v>1.6778523489932886</v>
      </c>
      <c r="R129" s="7">
        <f t="shared" si="82"/>
        <v>2.0408163265306123</v>
      </c>
      <c r="S129" s="7">
        <f t="shared" si="113"/>
        <v>1.7573457050470971</v>
      </c>
      <c r="T129" s="7" t="str">
        <f t="shared" si="80"/>
        <v>자동</v>
      </c>
      <c r="U129" s="7">
        <f t="shared" si="83"/>
        <v>1.7573457050470971</v>
      </c>
      <c r="V129" s="7">
        <f t="shared" si="132"/>
        <v>1.6778523489932886</v>
      </c>
      <c r="W129" s="7">
        <f t="shared" si="133"/>
        <v>2.0408163265306123</v>
      </c>
      <c r="X129" s="7">
        <f t="shared" si="134"/>
        <v>1.7573457050470971</v>
      </c>
      <c r="Y129" s="7">
        <f t="shared" si="129"/>
        <v>1.7573457050470971</v>
      </c>
      <c r="AA129" s="7" t="str">
        <f t="shared" si="130"/>
        <v>자동</v>
      </c>
      <c r="AB129" s="7" t="str">
        <f t="shared" si="131"/>
        <v>자동</v>
      </c>
      <c r="AC129" s="7">
        <f>INDEX('변표 테이블'!$C$86:$C$165,MATCH(O129,'변표 테이블'!$B$86:$B$165,0))</f>
        <v>71.13</v>
      </c>
      <c r="AD129" s="7">
        <f>INDEX('변표 테이블'!$D$86:$D$165,MATCH(O129,'변표 테이블'!$B$86:$B$165,0))</f>
        <v>66</v>
      </c>
      <c r="AF129" s="7">
        <v>12</v>
      </c>
      <c r="AG129" s="7">
        <v>12</v>
      </c>
      <c r="AH129" s="7">
        <v>42</v>
      </c>
      <c r="AI129" s="7">
        <v>42</v>
      </c>
      <c r="AM129" s="7">
        <v>3</v>
      </c>
      <c r="AN129" s="7">
        <v>3</v>
      </c>
      <c r="AP129" s="7">
        <f t="shared" si="105"/>
        <v>42</v>
      </c>
      <c r="BH129" s="121">
        <v>200</v>
      </c>
      <c r="BI129" s="7">
        <v>199</v>
      </c>
      <c r="BJ129" s="7">
        <v>198</v>
      </c>
      <c r="BK129" s="7">
        <v>196</v>
      </c>
      <c r="BL129" s="7">
        <v>193</v>
      </c>
      <c r="BM129" s="7">
        <v>190</v>
      </c>
      <c r="BN129" s="7">
        <v>185</v>
      </c>
      <c r="BO129" s="7">
        <v>180</v>
      </c>
      <c r="BP129" s="7">
        <v>170</v>
      </c>
      <c r="BQ129" s="121">
        <v>10</v>
      </c>
      <c r="BR129" s="7">
        <v>10</v>
      </c>
      <c r="BS129" s="7">
        <v>10</v>
      </c>
      <c r="BT129" s="7">
        <v>10</v>
      </c>
      <c r="BU129" s="7">
        <v>9.9</v>
      </c>
      <c r="BV129" s="7">
        <v>9.8000000000000007</v>
      </c>
      <c r="BW129" s="7">
        <v>9.6999999999999993</v>
      </c>
      <c r="BX129" s="7">
        <v>9.6</v>
      </c>
      <c r="BY129" s="7">
        <v>9</v>
      </c>
      <c r="CI129" s="7">
        <f t="shared" si="84"/>
        <v>200</v>
      </c>
      <c r="CJ129" s="163">
        <f t="shared" si="85"/>
        <v>100</v>
      </c>
      <c r="CK129" s="7">
        <f t="shared" si="86"/>
        <v>10</v>
      </c>
      <c r="CL129" s="7">
        <v>2</v>
      </c>
      <c r="CP129" s="7">
        <v>1</v>
      </c>
      <c r="CR129" s="7">
        <v>1</v>
      </c>
      <c r="CZ129" s="7">
        <f t="shared" si="87"/>
        <v>1</v>
      </c>
      <c r="DA129" s="7">
        <f t="shared" si="106"/>
        <v>2</v>
      </c>
      <c r="DB129" s="7">
        <f t="shared" si="118"/>
        <v>0</v>
      </c>
      <c r="DC129" s="7">
        <f t="shared" si="107"/>
        <v>0</v>
      </c>
      <c r="DE129" s="7">
        <f t="shared" si="119"/>
        <v>0</v>
      </c>
      <c r="DF129" s="7">
        <f t="shared" si="120"/>
        <v>0</v>
      </c>
      <c r="DG129" s="7">
        <f>IFERROR(IF(LEFT($AP129,1)="4",INDEX('변표 테이블'!$H$86:$H$165,MATCH($O129,'변표 테이블'!$B$86:$B$165,0)),INDEX(DG$4:DG$8,MATCH(AH129,$DC$4:$DC$8,0))),0)</f>
        <v>0</v>
      </c>
      <c r="DH129" s="7">
        <f>IFERROR(IF(LEFT($AP129,1)="4",INDEX('변표 테이블'!$I$86:$I$165,MATCH($O129,'변표 테이블'!$B$86:$B$165,0)),INDEX(DH$4:DH$8,MATCH(AI129,$DC$4:$DC$8,0))),0)</f>
        <v>0</v>
      </c>
      <c r="DJ129" s="7">
        <f>IFERROR(IF(LEFT($AP129,1)="4",INDEX('변표 테이블'!$J$86:$J$165,MATCH($O129,'변표 테이블'!$B$86:$B$165,0)),INDEX(DI$4:DI$8,MATCH(AK129,$DC$4:$DC$8,0))),0)</f>
        <v>0</v>
      </c>
      <c r="DK129" s="7">
        <f>IFERROR(IF(LEFT($AP129,1)="4",INDEX('변표 테이블'!$K$86:$K$165,MATCH($O129,'변표 테이블'!$B$86:$B$165,0)),INDEX(DJ$4:DJ$8,MATCH(AL129,$DC$4:$DC$8,0))),0)</f>
        <v>0</v>
      </c>
      <c r="DL129" s="7" t="str">
        <f t="shared" si="91"/>
        <v/>
      </c>
      <c r="DM129" s="7" t="str">
        <f t="shared" si="92"/>
        <v/>
      </c>
      <c r="DN129" s="7">
        <f t="shared" si="93"/>
        <v>0</v>
      </c>
      <c r="DP129" s="7">
        <f t="shared" si="121"/>
        <v>0</v>
      </c>
      <c r="DQ129" s="7">
        <f t="shared" si="122"/>
        <v>0</v>
      </c>
      <c r="DR129" s="7">
        <f t="shared" si="123"/>
        <v>0</v>
      </c>
      <c r="DS129" s="7">
        <f t="shared" si="97"/>
        <v>0</v>
      </c>
      <c r="DT129" s="7">
        <f t="shared" si="124"/>
        <v>0</v>
      </c>
      <c r="DU129" s="7">
        <f t="shared" si="125"/>
        <v>0</v>
      </c>
      <c r="DV129" s="7">
        <f t="shared" si="100"/>
        <v>0</v>
      </c>
      <c r="DW129" s="7">
        <f>LARGE((DR129:DS129,DU129:DV129),1)</f>
        <v>0</v>
      </c>
      <c r="DX129" s="7">
        <f>IF(DA129&lt;2,0,LARGE((DR129:DS129,DU129:DV129),2))</f>
        <v>0</v>
      </c>
      <c r="DY129" s="7">
        <f t="shared" si="126"/>
        <v>0</v>
      </c>
      <c r="DZ129" s="7">
        <f t="shared" si="127"/>
        <v>0</v>
      </c>
      <c r="EA129" s="7">
        <f t="shared" si="128"/>
        <v>0</v>
      </c>
      <c r="EF129" s="7">
        <f t="shared" si="104"/>
        <v>0</v>
      </c>
      <c r="EH129" s="7">
        <f t="shared" si="108"/>
        <v>0</v>
      </c>
      <c r="EI129" s="7">
        <f>IF(EH129=0,0,COUNTIF($EH$16:EH129,"&gt;"&amp;0))</f>
        <v>0</v>
      </c>
    </row>
    <row r="130" spans="1:139" x14ac:dyDescent="0.3">
      <c r="Q130" s="7" t="str">
        <f t="shared" si="81"/>
        <v>자동</v>
      </c>
      <c r="R130" s="7" t="str">
        <f t="shared" si="82"/>
        <v>자동</v>
      </c>
      <c r="S130" s="7" t="str">
        <f t="shared" si="113"/>
        <v>자동</v>
      </c>
      <c r="T130" s="7" t="str">
        <f t="shared" si="80"/>
        <v>자동</v>
      </c>
      <c r="U130" s="7" t="e">
        <f t="shared" si="83"/>
        <v>#NUM!</v>
      </c>
      <c r="V130" s="7" t="str">
        <f t="shared" si="132"/>
        <v>자동</v>
      </c>
      <c r="W130" s="7" t="str">
        <f t="shared" si="133"/>
        <v>자동</v>
      </c>
      <c r="X130" s="7" t="str">
        <f t="shared" si="134"/>
        <v>자동</v>
      </c>
      <c r="Y130" s="7" t="str">
        <f t="shared" si="129"/>
        <v>자동</v>
      </c>
      <c r="AA130" s="7" t="str">
        <f t="shared" si="130"/>
        <v>자동</v>
      </c>
      <c r="AB130" s="7" t="str">
        <f t="shared" si="131"/>
        <v>자동</v>
      </c>
      <c r="AC130" s="7" t="e">
        <f>INDEX('변표 테이블'!$C$86:$C$165,MATCH(O130,'변표 테이블'!$B$86:$B$165,0))</f>
        <v>#N/A</v>
      </c>
      <c r="AD130" s="7" t="e">
        <f>INDEX('변표 테이블'!$D$86:$D$165,MATCH(O130,'변표 테이블'!$B$86:$B$165,0))</f>
        <v>#N/A</v>
      </c>
      <c r="AM130" s="7">
        <v>3</v>
      </c>
      <c r="AN130" s="7">
        <v>3</v>
      </c>
      <c r="AP130" s="7">
        <f t="shared" si="105"/>
        <v>0</v>
      </c>
      <c r="CZ130" s="7">
        <f t="shared" si="87"/>
        <v>2</v>
      </c>
      <c r="DA130" s="7">
        <f t="shared" si="106"/>
        <v>0</v>
      </c>
      <c r="DB130" s="7">
        <f t="shared" si="118"/>
        <v>0</v>
      </c>
      <c r="DC130" s="7">
        <f t="shared" si="107"/>
        <v>0</v>
      </c>
      <c r="DE130" s="7">
        <f t="shared" si="119"/>
        <v>0</v>
      </c>
      <c r="DF130" s="7">
        <f t="shared" si="120"/>
        <v>0</v>
      </c>
      <c r="DG130" s="7">
        <f>IFERROR(IF(LEFT($AP130,1)="4",INDEX('변표 테이블'!$H$86:$H$165,MATCH($O130,'변표 테이블'!$B$86:$B$165,0)),INDEX(DG$4:DG$8,MATCH(AH130,$DC$4:$DC$8,0))),0)</f>
        <v>0</v>
      </c>
      <c r="DH130" s="7">
        <f>IFERROR(IF(LEFT($AP130,1)="4",INDEX('변표 테이블'!$I$86:$I$165,MATCH($O130,'변표 테이블'!$B$86:$B$165,0)),INDEX(DH$4:DH$8,MATCH(AI130,$DC$4:$DC$8,0))),0)</f>
        <v>0</v>
      </c>
      <c r="DJ130" s="7">
        <f>IFERROR(IF(LEFT($AP130,1)="4",INDEX('변표 테이블'!$J$86:$J$165,MATCH($O130,'변표 테이블'!$B$86:$B$165,0)),INDEX(DI$4:DI$8,MATCH(AK130,$DC$4:$DC$8,0))),0)</f>
        <v>0</v>
      </c>
      <c r="DK130" s="7">
        <f>IFERROR(IF(LEFT($AP130,1)="4",INDEX('변표 테이블'!$K$86:$K$165,MATCH($O130,'변표 테이블'!$B$86:$B$165,0)),INDEX(DJ$4:DJ$8,MATCH(AL130,$DC$4:$DC$8,0))),0)</f>
        <v>0</v>
      </c>
      <c r="DL130" s="7" t="str">
        <f t="shared" si="91"/>
        <v/>
      </c>
      <c r="DM130" s="7" t="str">
        <f t="shared" si="92"/>
        <v/>
      </c>
      <c r="DN130" s="7">
        <f t="shared" si="93"/>
        <v>0</v>
      </c>
      <c r="DP130" s="7">
        <f t="shared" si="121"/>
        <v>0</v>
      </c>
      <c r="DQ130" s="7">
        <f t="shared" si="122"/>
        <v>0</v>
      </c>
      <c r="DR130" s="7">
        <f t="shared" si="123"/>
        <v>0</v>
      </c>
      <c r="DS130" s="7">
        <f t="shared" si="97"/>
        <v>0</v>
      </c>
      <c r="DT130" s="7">
        <f t="shared" si="124"/>
        <v>0</v>
      </c>
      <c r="DU130" s="7">
        <f t="shared" si="125"/>
        <v>0</v>
      </c>
      <c r="DV130" s="7">
        <f t="shared" si="100"/>
        <v>0</v>
      </c>
      <c r="DW130" s="7">
        <f>LARGE((DR130:DS130,DU130:DV130),1)</f>
        <v>0</v>
      </c>
      <c r="DX130" s="7">
        <f>IF(DA130&lt;2,0,LARGE((DR130:DS130,DU130:DV130),2))</f>
        <v>0</v>
      </c>
      <c r="DY130" s="7">
        <f t="shared" si="126"/>
        <v>0</v>
      </c>
      <c r="DZ130" s="7">
        <f t="shared" si="127"/>
        <v>0</v>
      </c>
      <c r="EA130" s="7">
        <f t="shared" si="128"/>
        <v>0</v>
      </c>
      <c r="EF130" s="7">
        <f t="shared" si="104"/>
        <v>0</v>
      </c>
      <c r="EH130" s="7">
        <f t="shared" si="108"/>
        <v>0</v>
      </c>
      <c r="EI130" s="7">
        <f>IF(EH130=0,0,COUNTIF($EH$16:EH130,"&gt;"&amp;0))</f>
        <v>0</v>
      </c>
    </row>
    <row r="131" spans="1:139" x14ac:dyDescent="0.3">
      <c r="Q131" s="7" t="str">
        <f t="shared" si="81"/>
        <v>자동</v>
      </c>
      <c r="R131" s="7" t="str">
        <f t="shared" si="82"/>
        <v>자동</v>
      </c>
      <c r="S131" s="7" t="str">
        <f t="shared" si="113"/>
        <v>자동</v>
      </c>
      <c r="T131" s="7" t="str">
        <f t="shared" si="80"/>
        <v>자동</v>
      </c>
      <c r="U131" s="7" t="e">
        <f t="shared" si="83"/>
        <v>#NUM!</v>
      </c>
      <c r="V131" s="7" t="str">
        <f t="shared" si="132"/>
        <v>자동</v>
      </c>
      <c r="W131" s="7" t="str">
        <f t="shared" si="133"/>
        <v>자동</v>
      </c>
      <c r="X131" s="7" t="str">
        <f t="shared" si="134"/>
        <v>자동</v>
      </c>
      <c r="Y131" s="7" t="str">
        <f t="shared" si="129"/>
        <v>자동</v>
      </c>
      <c r="AA131" s="7" t="str">
        <f t="shared" si="130"/>
        <v>자동</v>
      </c>
      <c r="AB131" s="7" t="str">
        <f t="shared" si="131"/>
        <v>자동</v>
      </c>
      <c r="AC131" s="7" t="e">
        <f>INDEX('변표 테이블'!$C$86:$C$165,MATCH(O131,'변표 테이블'!$B$86:$B$165,0))</f>
        <v>#N/A</v>
      </c>
      <c r="AD131" s="7" t="e">
        <f>INDEX('변표 테이블'!$D$86:$D$165,MATCH(O131,'변표 테이블'!$B$86:$B$165,0))</f>
        <v>#N/A</v>
      </c>
      <c r="AM131" s="7">
        <v>3</v>
      </c>
      <c r="AN131" s="7">
        <v>3</v>
      </c>
      <c r="AP131" s="7">
        <f t="shared" si="105"/>
        <v>0</v>
      </c>
      <c r="CZ131" s="7">
        <f t="shared" si="87"/>
        <v>2</v>
      </c>
      <c r="DA131" s="7">
        <f t="shared" si="106"/>
        <v>0</v>
      </c>
      <c r="DB131" s="7">
        <f t="shared" si="118"/>
        <v>0</v>
      </c>
      <c r="DC131" s="7">
        <f t="shared" si="107"/>
        <v>0</v>
      </c>
      <c r="DE131" s="7">
        <f t="shared" si="119"/>
        <v>0</v>
      </c>
      <c r="DF131" s="7">
        <f t="shared" si="120"/>
        <v>0</v>
      </c>
      <c r="DG131" s="7">
        <f>IFERROR(IF(LEFT($AP131,1)="4",INDEX('변표 테이블'!$H$86:$H$165,MATCH($O131,'변표 테이블'!$B$86:$B$165,0)),INDEX(DG$4:DG$8,MATCH(AH131,$DC$4:$DC$8,0))),0)</f>
        <v>0</v>
      </c>
      <c r="DH131" s="7">
        <f>IFERROR(IF(LEFT($AP131,1)="4",INDEX('변표 테이블'!$I$86:$I$165,MATCH($O131,'변표 테이블'!$B$86:$B$165,0)),INDEX(DH$4:DH$8,MATCH(AI131,$DC$4:$DC$8,0))),0)</f>
        <v>0</v>
      </c>
      <c r="DJ131" s="7">
        <f>IFERROR(IF(LEFT($AP131,1)="4",INDEX('변표 테이블'!$J$86:$J$165,MATCH($O131,'변표 테이블'!$B$86:$B$165,0)),INDEX(DI$4:DI$8,MATCH(AK131,$DC$4:$DC$8,0))),0)</f>
        <v>0</v>
      </c>
      <c r="DK131" s="7">
        <f>IFERROR(IF(LEFT($AP131,1)="4",INDEX('변표 테이블'!$K$86:$K$165,MATCH($O131,'변표 테이블'!$B$86:$B$165,0)),INDEX(DJ$4:DJ$8,MATCH(AL131,$DC$4:$DC$8,0))),0)</f>
        <v>0</v>
      </c>
      <c r="DL131" s="7" t="str">
        <f t="shared" si="91"/>
        <v/>
      </c>
      <c r="DM131" s="7" t="str">
        <f t="shared" si="92"/>
        <v/>
      </c>
      <c r="DN131" s="7">
        <f t="shared" si="93"/>
        <v>0</v>
      </c>
      <c r="DP131" s="7">
        <f t="shared" si="121"/>
        <v>0</v>
      </c>
      <c r="DQ131" s="7">
        <f t="shared" si="122"/>
        <v>0</v>
      </c>
      <c r="DR131" s="7">
        <f t="shared" si="123"/>
        <v>0</v>
      </c>
      <c r="DS131" s="7">
        <f t="shared" si="97"/>
        <v>0</v>
      </c>
      <c r="DT131" s="7">
        <f t="shared" si="124"/>
        <v>0</v>
      </c>
      <c r="DU131" s="7">
        <f t="shared" si="125"/>
        <v>0</v>
      </c>
      <c r="DV131" s="7">
        <f t="shared" si="100"/>
        <v>0</v>
      </c>
      <c r="DW131" s="7">
        <f>LARGE((DR131:DS131,DU131:DV131),1)</f>
        <v>0</v>
      </c>
      <c r="DX131" s="7">
        <f>IF(DA131&lt;2,0,LARGE((DR131:DS131,DU131:DV131),2))</f>
        <v>0</v>
      </c>
      <c r="DY131" s="7">
        <f t="shared" si="126"/>
        <v>0</v>
      </c>
      <c r="DZ131" s="7">
        <f t="shared" si="127"/>
        <v>0</v>
      </c>
      <c r="EA131" s="7">
        <f t="shared" si="128"/>
        <v>0</v>
      </c>
      <c r="EF131" s="7">
        <f t="shared" si="104"/>
        <v>0</v>
      </c>
      <c r="EH131" s="7">
        <f t="shared" si="108"/>
        <v>0</v>
      </c>
      <c r="EI131" s="7">
        <f>IF(EH131=0,0,COUNTIF($EH$16:EH131,"&gt;"&amp;0))</f>
        <v>0</v>
      </c>
    </row>
    <row r="132" spans="1:139" x14ac:dyDescent="0.3">
      <c r="Q132" s="7" t="str">
        <f t="shared" si="81"/>
        <v>자동</v>
      </c>
      <c r="R132" s="7" t="str">
        <f t="shared" si="82"/>
        <v>자동</v>
      </c>
      <c r="S132" s="7" t="str">
        <f t="shared" si="113"/>
        <v>자동</v>
      </c>
      <c r="T132" s="7" t="str">
        <f t="shared" si="80"/>
        <v>자동</v>
      </c>
      <c r="U132" s="7" t="e">
        <f t="shared" si="83"/>
        <v>#NUM!</v>
      </c>
      <c r="V132" s="7" t="str">
        <f t="shared" si="132"/>
        <v>자동</v>
      </c>
      <c r="W132" s="7" t="str">
        <f t="shared" si="133"/>
        <v>자동</v>
      </c>
      <c r="X132" s="7" t="str">
        <f t="shared" si="134"/>
        <v>자동</v>
      </c>
      <c r="Y132" s="7" t="str">
        <f t="shared" si="129"/>
        <v>자동</v>
      </c>
      <c r="AA132" s="7" t="str">
        <f t="shared" si="130"/>
        <v>자동</v>
      </c>
      <c r="AB132" s="7" t="str">
        <f t="shared" si="131"/>
        <v>자동</v>
      </c>
      <c r="AC132" s="7" t="e">
        <f>INDEX('변표 테이블'!$C$86:$C$165,MATCH(O132,'변표 테이블'!$B$86:$B$165,0))</f>
        <v>#N/A</v>
      </c>
      <c r="AD132" s="7" t="e">
        <f>INDEX('변표 테이블'!$D$86:$D$165,MATCH(O132,'변표 테이블'!$B$86:$B$165,0))</f>
        <v>#N/A</v>
      </c>
      <c r="AM132" s="7">
        <v>3</v>
      </c>
      <c r="AN132" s="7">
        <v>3</v>
      </c>
      <c r="AP132" s="7">
        <f t="shared" si="105"/>
        <v>0</v>
      </c>
      <c r="CZ132" s="7">
        <f t="shared" si="87"/>
        <v>2</v>
      </c>
      <c r="DA132" s="7">
        <f t="shared" si="106"/>
        <v>0</v>
      </c>
      <c r="DB132" s="7">
        <f t="shared" si="118"/>
        <v>0</v>
      </c>
      <c r="DC132" s="7">
        <f t="shared" si="107"/>
        <v>0</v>
      </c>
      <c r="DE132" s="7">
        <f t="shared" si="119"/>
        <v>0</v>
      </c>
      <c r="DF132" s="7">
        <f t="shared" si="120"/>
        <v>0</v>
      </c>
      <c r="DG132" s="7">
        <f>IFERROR(IF(LEFT($AP132,1)="4",INDEX('변표 테이블'!$H$86:$H$165,MATCH($O132,'변표 테이블'!$B$86:$B$165,0)),INDEX(DG$4:DG$8,MATCH(AH132,$DC$4:$DC$8,0))),0)</f>
        <v>0</v>
      </c>
      <c r="DH132" s="7">
        <f>IFERROR(IF(LEFT($AP132,1)="4",INDEX('변표 테이블'!$I$86:$I$165,MATCH($O132,'변표 테이블'!$B$86:$B$165,0)),INDEX(DH$4:DH$8,MATCH(AI132,$DC$4:$DC$8,0))),0)</f>
        <v>0</v>
      </c>
      <c r="DJ132" s="7">
        <f>IFERROR(IF(LEFT($AP132,1)="4",INDEX('변표 테이블'!$J$86:$J$165,MATCH($O132,'변표 테이블'!$B$86:$B$165,0)),INDEX(DI$4:DI$8,MATCH(AK132,$DC$4:$DC$8,0))),0)</f>
        <v>0</v>
      </c>
      <c r="DK132" s="7">
        <f>IFERROR(IF(LEFT($AP132,1)="4",INDEX('변표 테이블'!$K$86:$K$165,MATCH($O132,'변표 테이블'!$B$86:$B$165,0)),INDEX(DJ$4:DJ$8,MATCH(AL132,$DC$4:$DC$8,0))),0)</f>
        <v>0</v>
      </c>
      <c r="DL132" s="7" t="str">
        <f t="shared" si="91"/>
        <v/>
      </c>
      <c r="DM132" s="7" t="str">
        <f t="shared" si="92"/>
        <v/>
      </c>
      <c r="DN132" s="7">
        <f t="shared" si="93"/>
        <v>0</v>
      </c>
      <c r="DP132" s="7">
        <f t="shared" si="121"/>
        <v>0</v>
      </c>
      <c r="DQ132" s="7">
        <f t="shared" si="122"/>
        <v>0</v>
      </c>
      <c r="DR132" s="7">
        <f t="shared" si="123"/>
        <v>0</v>
      </c>
      <c r="DS132" s="7">
        <f t="shared" si="97"/>
        <v>0</v>
      </c>
      <c r="DT132" s="7">
        <f t="shared" si="124"/>
        <v>0</v>
      </c>
      <c r="DU132" s="7">
        <f t="shared" si="125"/>
        <v>0</v>
      </c>
      <c r="DV132" s="7">
        <f t="shared" si="100"/>
        <v>0</v>
      </c>
      <c r="DW132" s="7">
        <f>LARGE((DR132:DS132,DU132:DV132),1)</f>
        <v>0</v>
      </c>
      <c r="DX132" s="7">
        <f>IF(DA132&lt;2,0,LARGE((DR132:DS132,DU132:DV132),2))</f>
        <v>0</v>
      </c>
      <c r="DY132" s="7">
        <f t="shared" si="126"/>
        <v>0</v>
      </c>
      <c r="DZ132" s="7">
        <f t="shared" si="127"/>
        <v>0</v>
      </c>
      <c r="EA132" s="7">
        <f t="shared" si="128"/>
        <v>0</v>
      </c>
      <c r="EF132" s="7">
        <f t="shared" si="104"/>
        <v>0</v>
      </c>
      <c r="EH132" s="7">
        <f t="shared" si="108"/>
        <v>0</v>
      </c>
      <c r="EI132" s="7">
        <f>IF(EH132=0,0,COUNTIF($EH$16:EH132,"&gt;"&amp;0))</f>
        <v>0</v>
      </c>
    </row>
    <row r="133" spans="1:139" x14ac:dyDescent="0.3">
      <c r="Q133" s="7" t="str">
        <f t="shared" si="81"/>
        <v>자동</v>
      </c>
      <c r="R133" s="7" t="str">
        <f t="shared" si="82"/>
        <v>자동</v>
      </c>
      <c r="S133" s="7" t="str">
        <f t="shared" si="113"/>
        <v>자동</v>
      </c>
      <c r="T133" s="7" t="str">
        <f t="shared" si="80"/>
        <v>자동</v>
      </c>
      <c r="U133" s="7" t="e">
        <f t="shared" si="83"/>
        <v>#NUM!</v>
      </c>
      <c r="V133" s="7" t="str">
        <f t="shared" si="132"/>
        <v>자동</v>
      </c>
      <c r="W133" s="7" t="str">
        <f t="shared" si="133"/>
        <v>자동</v>
      </c>
      <c r="X133" s="7" t="str">
        <f t="shared" si="134"/>
        <v>자동</v>
      </c>
      <c r="Y133" s="7" t="str">
        <f t="shared" si="129"/>
        <v>자동</v>
      </c>
      <c r="AA133" s="7" t="str">
        <f t="shared" si="130"/>
        <v>자동</v>
      </c>
      <c r="AB133" s="7" t="str">
        <f t="shared" si="131"/>
        <v>자동</v>
      </c>
      <c r="AC133" s="7" t="e">
        <f>INDEX('변표 테이블'!$C$86:$C$165,MATCH(O133,'변표 테이블'!$B$86:$B$165,0))</f>
        <v>#N/A</v>
      </c>
      <c r="AD133" s="7" t="e">
        <f>INDEX('변표 테이블'!$D$86:$D$165,MATCH(O133,'변표 테이블'!$B$86:$B$165,0))</f>
        <v>#N/A</v>
      </c>
      <c r="AM133" s="7">
        <v>3</v>
      </c>
      <c r="AN133" s="7">
        <v>3</v>
      </c>
      <c r="AP133" s="7">
        <f t="shared" si="105"/>
        <v>0</v>
      </c>
      <c r="CZ133" s="7">
        <f t="shared" si="87"/>
        <v>2</v>
      </c>
      <c r="DA133" s="7">
        <f t="shared" si="106"/>
        <v>0</v>
      </c>
      <c r="DB133" s="7">
        <f t="shared" si="118"/>
        <v>0</v>
      </c>
      <c r="DC133" s="7">
        <f t="shared" si="107"/>
        <v>0</v>
      </c>
      <c r="DE133" s="7">
        <f t="shared" si="119"/>
        <v>0</v>
      </c>
      <c r="DF133" s="7">
        <f t="shared" si="120"/>
        <v>0</v>
      </c>
      <c r="DG133" s="7">
        <f>IFERROR(IF(LEFT($AP133,1)="4",INDEX('변표 테이블'!$H$86:$H$165,MATCH($O133,'변표 테이블'!$B$86:$B$165,0)),INDEX(DG$4:DG$8,MATCH(AH133,$DC$4:$DC$8,0))),0)</f>
        <v>0</v>
      </c>
      <c r="DH133" s="7">
        <f>IFERROR(IF(LEFT($AP133,1)="4",INDEX('변표 테이블'!$I$86:$I$165,MATCH($O133,'변표 테이블'!$B$86:$B$165,0)),INDEX(DH$4:DH$8,MATCH(AI133,$DC$4:$DC$8,0))),0)</f>
        <v>0</v>
      </c>
      <c r="DJ133" s="7">
        <f>IFERROR(IF(LEFT($AP133,1)="4",INDEX('변표 테이블'!$J$86:$J$165,MATCH($O133,'변표 테이블'!$B$86:$B$165,0)),INDEX(DI$4:DI$8,MATCH(AK133,$DC$4:$DC$8,0))),0)</f>
        <v>0</v>
      </c>
      <c r="DK133" s="7">
        <f>IFERROR(IF(LEFT($AP133,1)="4",INDEX('변표 테이블'!$K$86:$K$165,MATCH($O133,'변표 테이블'!$B$86:$B$165,0)),INDEX(DJ$4:DJ$8,MATCH(AL133,$DC$4:$DC$8,0))),0)</f>
        <v>0</v>
      </c>
      <c r="DL133" s="7" t="str">
        <f t="shared" si="91"/>
        <v/>
      </c>
      <c r="DM133" s="7" t="str">
        <f t="shared" si="92"/>
        <v/>
      </c>
      <c r="DN133" s="7">
        <f t="shared" si="93"/>
        <v>0</v>
      </c>
      <c r="DP133" s="7">
        <f t="shared" si="121"/>
        <v>0</v>
      </c>
      <c r="DQ133" s="7">
        <f t="shared" si="122"/>
        <v>0</v>
      </c>
      <c r="DR133" s="7">
        <f t="shared" si="123"/>
        <v>0</v>
      </c>
      <c r="DS133" s="7">
        <f t="shared" si="97"/>
        <v>0</v>
      </c>
      <c r="DT133" s="7">
        <f t="shared" si="124"/>
        <v>0</v>
      </c>
      <c r="DU133" s="7">
        <f t="shared" si="125"/>
        <v>0</v>
      </c>
      <c r="DV133" s="7">
        <f t="shared" si="100"/>
        <v>0</v>
      </c>
      <c r="DW133" s="7">
        <f>LARGE((DR133:DS133,DU133:DV133),1)</f>
        <v>0</v>
      </c>
      <c r="DX133" s="7">
        <f>IF(DA133&lt;2,0,LARGE((DR133:DS133,DU133:DV133),2))</f>
        <v>0</v>
      </c>
      <c r="DY133" s="7">
        <f t="shared" si="126"/>
        <v>0</v>
      </c>
      <c r="DZ133" s="7">
        <f t="shared" si="127"/>
        <v>0</v>
      </c>
      <c r="EA133" s="7">
        <f t="shared" si="128"/>
        <v>0</v>
      </c>
      <c r="EF133" s="7">
        <f t="shared" si="104"/>
        <v>0</v>
      </c>
      <c r="EH133" s="7">
        <f t="shared" si="108"/>
        <v>0</v>
      </c>
      <c r="EI133" s="7">
        <f>IF(EH133=0,0,COUNTIF($EH$16:EH133,"&gt;"&amp;0))</f>
        <v>0</v>
      </c>
    </row>
  </sheetData>
  <sheetProtection algorithmName="SHA-512" hashValue="p5DJxwGGDUSdHH2WnEx/VgPSgtnjdRX8f1qh6w+I0l4+QJS4iWEg+mkwuBjZWUYC9bj1LbBBSOh9pjyTfjnVnQ==" saltValue="GQ4psc13HzqFVOtk6mKG1g==" spinCount="100000" sheet="1"/>
  <phoneticPr fontId="2" type="noConversion"/>
  <conditionalFormatting sqref="M23:M129">
    <cfRule type="cellIs" dxfId="4" priority="1" stopIfTrue="1" operator="greaterThan">
      <formula>0</formula>
    </cfRule>
    <cfRule type="expression" dxfId="3" priority="2">
      <formula>LEFT($AP23,1)+0=4</formula>
    </cfRule>
  </conditionalFormatting>
  <conditionalFormatting sqref="M17:M501">
    <cfRule type="cellIs" dxfId="2" priority="3" stopIfTrue="1" operator="greaterThan">
      <formula>0</formula>
    </cfRule>
    <cfRule type="expression" dxfId="1" priority="4">
      <formula>LEFT($AP17,1)+0=4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8FB2-2949-4321-BADF-EED899528298}">
  <dimension ref="A1:FF165"/>
  <sheetViews>
    <sheetView workbookViewId="0">
      <selection activeCell="A2" sqref="A2"/>
    </sheetView>
  </sheetViews>
  <sheetFormatPr defaultRowHeight="16.5" x14ac:dyDescent="0.3"/>
  <sheetData>
    <row r="1" spans="1:162" x14ac:dyDescent="0.3">
      <c r="A1" t="s">
        <v>499</v>
      </c>
      <c r="C1" s="6" t="s">
        <v>660</v>
      </c>
    </row>
    <row r="2" spans="1:162" x14ac:dyDescent="0.3">
      <c r="C2" t="s">
        <v>480</v>
      </c>
    </row>
    <row r="3" spans="1:162" x14ac:dyDescent="0.3">
      <c r="B3" t="s">
        <v>33</v>
      </c>
      <c r="C3" s="1" t="s">
        <v>500</v>
      </c>
      <c r="D3" s="1" t="s">
        <v>501</v>
      </c>
      <c r="E3" s="1" t="s">
        <v>502</v>
      </c>
      <c r="F3" s="1" t="s">
        <v>503</v>
      </c>
      <c r="G3" s="1" t="s">
        <v>504</v>
      </c>
      <c r="H3" s="1" t="s">
        <v>505</v>
      </c>
      <c r="I3" s="1" t="s">
        <v>506</v>
      </c>
      <c r="J3" s="1" t="s">
        <v>507</v>
      </c>
      <c r="K3" s="1" t="s">
        <v>508</v>
      </c>
      <c r="L3" s="1" t="s">
        <v>509</v>
      </c>
      <c r="M3" s="1" t="s">
        <v>510</v>
      </c>
      <c r="N3" s="1" t="s">
        <v>511</v>
      </c>
      <c r="O3" s="1" t="s">
        <v>512</v>
      </c>
      <c r="P3" s="1" t="s">
        <v>513</v>
      </c>
      <c r="Q3" s="1" t="s">
        <v>514</v>
      </c>
      <c r="R3" s="1" t="s">
        <v>515</v>
      </c>
      <c r="S3" s="1" t="s">
        <v>516</v>
      </c>
      <c r="T3" s="1" t="s">
        <v>517</v>
      </c>
      <c r="U3" s="1" t="s">
        <v>518</v>
      </c>
      <c r="V3" s="1" t="s">
        <v>519</v>
      </c>
      <c r="W3" s="1" t="s">
        <v>520</v>
      </c>
      <c r="X3" s="1" t="s">
        <v>521</v>
      </c>
      <c r="Y3" s="1" t="s">
        <v>522</v>
      </c>
      <c r="Z3" s="1" t="s">
        <v>523</v>
      </c>
      <c r="AA3" s="1" t="s">
        <v>524</v>
      </c>
      <c r="AB3" s="1" t="s">
        <v>525</v>
      </c>
      <c r="AC3" s="1" t="s">
        <v>526</v>
      </c>
      <c r="AD3" s="1" t="s">
        <v>527</v>
      </c>
      <c r="AE3" s="1" t="s">
        <v>528</v>
      </c>
      <c r="AF3" s="1" t="s">
        <v>529</v>
      </c>
      <c r="AG3" s="1" t="s">
        <v>530</v>
      </c>
      <c r="AH3" s="1" t="s">
        <v>531</v>
      </c>
      <c r="AI3" s="1" t="s">
        <v>532</v>
      </c>
      <c r="AJ3" s="1" t="s">
        <v>533</v>
      </c>
      <c r="AK3" s="1" t="s">
        <v>534</v>
      </c>
      <c r="AL3" s="1" t="s">
        <v>535</v>
      </c>
      <c r="AM3" s="1" t="s">
        <v>536</v>
      </c>
      <c r="AN3" s="1" t="s">
        <v>537</v>
      </c>
      <c r="AO3" s="1" t="s">
        <v>538</v>
      </c>
      <c r="AP3" s="1" t="s">
        <v>539</v>
      </c>
      <c r="AQ3" s="1" t="s">
        <v>540</v>
      </c>
      <c r="AR3" s="1" t="s">
        <v>541</v>
      </c>
      <c r="AS3" s="1" t="s">
        <v>542</v>
      </c>
      <c r="AT3" s="1" t="s">
        <v>543</v>
      </c>
      <c r="AU3" s="1" t="s">
        <v>544</v>
      </c>
      <c r="AV3" s="1" t="s">
        <v>545</v>
      </c>
      <c r="AW3" s="1" t="s">
        <v>546</v>
      </c>
      <c r="AX3" s="1" t="s">
        <v>547</v>
      </c>
      <c r="AY3" s="1" t="s">
        <v>548</v>
      </c>
      <c r="AZ3" s="1" t="s">
        <v>549</v>
      </c>
      <c r="BA3" s="1" t="s">
        <v>550</v>
      </c>
      <c r="BB3" s="1" t="s">
        <v>551</v>
      </c>
      <c r="BC3" s="1" t="s">
        <v>552</v>
      </c>
      <c r="BD3" s="1" t="s">
        <v>553</v>
      </c>
      <c r="BE3" s="1" t="s">
        <v>554</v>
      </c>
      <c r="BF3" s="1" t="s">
        <v>555</v>
      </c>
      <c r="BG3" s="1" t="s">
        <v>556</v>
      </c>
      <c r="BH3" s="1" t="s">
        <v>557</v>
      </c>
      <c r="BI3" s="1" t="s">
        <v>558</v>
      </c>
      <c r="BJ3" s="1" t="s">
        <v>559</v>
      </c>
      <c r="BK3" s="1" t="s">
        <v>560</v>
      </c>
      <c r="BL3" s="1" t="s">
        <v>561</v>
      </c>
      <c r="BM3" s="1" t="s">
        <v>562</v>
      </c>
      <c r="BN3" s="1" t="s">
        <v>563</v>
      </c>
      <c r="BO3" s="1" t="s">
        <v>564</v>
      </c>
      <c r="BP3" s="1" t="s">
        <v>565</v>
      </c>
      <c r="BQ3" s="1" t="s">
        <v>566</v>
      </c>
      <c r="BR3" s="1" t="s">
        <v>567</v>
      </c>
      <c r="BS3" s="1" t="s">
        <v>568</v>
      </c>
      <c r="BT3" s="1" t="s">
        <v>569</v>
      </c>
      <c r="BU3" s="1" t="s">
        <v>570</v>
      </c>
      <c r="BV3" s="1" t="s">
        <v>571</v>
      </c>
      <c r="BW3" s="1" t="s">
        <v>572</v>
      </c>
      <c r="BX3" s="1" t="s">
        <v>573</v>
      </c>
      <c r="BY3" s="1" t="s">
        <v>574</v>
      </c>
      <c r="BZ3" s="1" t="s">
        <v>575</v>
      </c>
      <c r="CA3" s="1" t="s">
        <v>576</v>
      </c>
      <c r="CB3" s="1" t="s">
        <v>577</v>
      </c>
      <c r="CC3" s="1" t="s">
        <v>578</v>
      </c>
      <c r="CD3" s="1" t="s">
        <v>579</v>
      </c>
      <c r="CE3" s="1" t="s">
        <v>580</v>
      </c>
      <c r="CF3" s="1" t="s">
        <v>581</v>
      </c>
      <c r="CG3" s="1" t="s">
        <v>582</v>
      </c>
      <c r="CH3" s="1" t="s">
        <v>583</v>
      </c>
      <c r="CI3" s="1" t="s">
        <v>584</v>
      </c>
      <c r="CJ3" s="1" t="s">
        <v>585</v>
      </c>
      <c r="CK3" s="1" t="s">
        <v>586</v>
      </c>
      <c r="CL3" s="1" t="s">
        <v>587</v>
      </c>
      <c r="CM3" s="1" t="s">
        <v>588</v>
      </c>
      <c r="CN3" s="1" t="s">
        <v>589</v>
      </c>
      <c r="CO3" s="1" t="s">
        <v>590</v>
      </c>
      <c r="CP3" s="1" t="s">
        <v>591</v>
      </c>
      <c r="CQ3" s="1" t="s">
        <v>592</v>
      </c>
      <c r="CR3" s="1" t="s">
        <v>593</v>
      </c>
      <c r="CS3" s="1" t="s">
        <v>594</v>
      </c>
      <c r="CT3" s="1" t="s">
        <v>595</v>
      </c>
      <c r="CU3" s="1" t="s">
        <v>596</v>
      </c>
      <c r="CV3" s="1" t="s">
        <v>597</v>
      </c>
      <c r="CW3" s="1" t="s">
        <v>598</v>
      </c>
      <c r="CX3" s="1" t="s">
        <v>599</v>
      </c>
      <c r="CY3" s="1" t="s">
        <v>600</v>
      </c>
      <c r="CZ3" s="1" t="s">
        <v>601</v>
      </c>
      <c r="DA3" s="1" t="s">
        <v>602</v>
      </c>
      <c r="DB3" s="1" t="s">
        <v>603</v>
      </c>
      <c r="DC3" s="1" t="s">
        <v>604</v>
      </c>
      <c r="DD3" s="1" t="s">
        <v>605</v>
      </c>
      <c r="DE3" s="1" t="s">
        <v>606</v>
      </c>
      <c r="DF3" s="1" t="s">
        <v>607</v>
      </c>
      <c r="DG3" s="1" t="s">
        <v>608</v>
      </c>
      <c r="DH3" s="1" t="s">
        <v>609</v>
      </c>
      <c r="DI3" s="1" t="s">
        <v>610</v>
      </c>
      <c r="DJ3" s="1" t="s">
        <v>611</v>
      </c>
      <c r="DK3" s="1" t="s">
        <v>612</v>
      </c>
      <c r="DL3" s="1" t="s">
        <v>613</v>
      </c>
      <c r="DM3" s="1" t="s">
        <v>614</v>
      </c>
      <c r="DN3" s="1" t="s">
        <v>615</v>
      </c>
      <c r="DO3" s="1" t="s">
        <v>616</v>
      </c>
      <c r="DP3" s="1" t="s">
        <v>617</v>
      </c>
      <c r="DQ3" s="1" t="s">
        <v>618</v>
      </c>
      <c r="DR3" s="1" t="s">
        <v>619</v>
      </c>
      <c r="DS3" s="1" t="s">
        <v>620</v>
      </c>
      <c r="DT3" s="1" t="s">
        <v>621</v>
      </c>
      <c r="DU3" s="1" t="s">
        <v>622</v>
      </c>
      <c r="DV3" s="1" t="s">
        <v>623</v>
      </c>
      <c r="DW3" s="1" t="s">
        <v>624</v>
      </c>
      <c r="DX3" s="1" t="s">
        <v>625</v>
      </c>
      <c r="DY3" s="1" t="s">
        <v>626</v>
      </c>
      <c r="DZ3" s="1" t="s">
        <v>627</v>
      </c>
      <c r="EA3" s="1" t="s">
        <v>628</v>
      </c>
      <c r="EB3" s="1" t="s">
        <v>629</v>
      </c>
      <c r="EC3" s="1" t="s">
        <v>630</v>
      </c>
      <c r="ED3" s="1" t="s">
        <v>631</v>
      </c>
      <c r="EE3" s="1" t="s">
        <v>632</v>
      </c>
      <c r="EF3" s="1" t="s">
        <v>633</v>
      </c>
      <c r="EG3" s="1" t="s">
        <v>634</v>
      </c>
      <c r="EH3" s="1" t="s">
        <v>635</v>
      </c>
      <c r="EI3" s="1" t="s">
        <v>636</v>
      </c>
      <c r="EJ3" s="1" t="s">
        <v>637</v>
      </c>
      <c r="EK3" s="1" t="s">
        <v>638</v>
      </c>
      <c r="EL3" s="1" t="s">
        <v>639</v>
      </c>
      <c r="EM3" s="1" t="s">
        <v>640</v>
      </c>
      <c r="EN3" s="1" t="s">
        <v>641</v>
      </c>
      <c r="EO3" s="1" t="s">
        <v>642</v>
      </c>
      <c r="EP3" s="1" t="s">
        <v>643</v>
      </c>
      <c r="EQ3" s="1" t="s">
        <v>644</v>
      </c>
      <c r="ER3" s="1" t="s">
        <v>645</v>
      </c>
      <c r="ES3" s="1" t="s">
        <v>646</v>
      </c>
      <c r="ET3" s="1" t="s">
        <v>647</v>
      </c>
      <c r="EU3" s="1" t="s">
        <v>648</v>
      </c>
      <c r="EV3" s="1" t="s">
        <v>649</v>
      </c>
      <c r="EW3" s="1" t="s">
        <v>650</v>
      </c>
      <c r="EX3" s="1" t="s">
        <v>651</v>
      </c>
      <c r="EY3" s="1" t="s">
        <v>652</v>
      </c>
      <c r="EZ3" s="1" t="s">
        <v>653</v>
      </c>
      <c r="FA3" s="1" t="s">
        <v>654</v>
      </c>
      <c r="FB3" s="1" t="s">
        <v>655</v>
      </c>
      <c r="FC3" s="1" t="s">
        <v>656</v>
      </c>
      <c r="FD3" s="1" t="s">
        <v>657</v>
      </c>
      <c r="FE3" s="1" t="s">
        <v>658</v>
      </c>
      <c r="FF3" s="1" t="s">
        <v>659</v>
      </c>
    </row>
    <row r="4" spans="1:162" x14ac:dyDescent="0.3">
      <c r="B4">
        <v>100</v>
      </c>
      <c r="C4">
        <v>71.13</v>
      </c>
      <c r="D4">
        <v>66</v>
      </c>
    </row>
    <row r="5" spans="1:162" x14ac:dyDescent="0.3">
      <c r="B5">
        <v>99</v>
      </c>
      <c r="C5">
        <v>69.81</v>
      </c>
      <c r="D5">
        <v>65.78</v>
      </c>
    </row>
    <row r="6" spans="1:162" x14ac:dyDescent="0.3">
      <c r="B6">
        <v>98</v>
      </c>
      <c r="C6">
        <v>68.5</v>
      </c>
      <c r="D6">
        <v>65.56</v>
      </c>
    </row>
    <row r="7" spans="1:162" x14ac:dyDescent="0.3">
      <c r="B7">
        <v>97</v>
      </c>
      <c r="C7">
        <v>67.19</v>
      </c>
      <c r="D7">
        <v>65.33</v>
      </c>
    </row>
    <row r="8" spans="1:162" x14ac:dyDescent="0.3">
      <c r="B8">
        <v>96</v>
      </c>
      <c r="C8">
        <v>65.88</v>
      </c>
      <c r="D8">
        <v>65.11</v>
      </c>
    </row>
    <row r="9" spans="1:162" x14ac:dyDescent="0.3">
      <c r="B9">
        <v>95</v>
      </c>
      <c r="C9">
        <v>65.430000000000007</v>
      </c>
      <c r="D9">
        <v>64.84</v>
      </c>
    </row>
    <row r="10" spans="1:162" x14ac:dyDescent="0.3">
      <c r="B10">
        <v>94</v>
      </c>
      <c r="C10">
        <v>64.98</v>
      </c>
      <c r="D10">
        <v>64.569999999999993</v>
      </c>
    </row>
    <row r="11" spans="1:162" x14ac:dyDescent="0.3">
      <c r="B11">
        <v>93</v>
      </c>
      <c r="C11">
        <v>64.540000000000006</v>
      </c>
      <c r="D11">
        <v>64.3</v>
      </c>
    </row>
    <row r="12" spans="1:162" x14ac:dyDescent="0.3">
      <c r="B12">
        <v>92</v>
      </c>
      <c r="C12">
        <v>64.09</v>
      </c>
      <c r="D12">
        <v>64.03</v>
      </c>
    </row>
    <row r="13" spans="1:162" x14ac:dyDescent="0.3">
      <c r="B13">
        <v>91</v>
      </c>
      <c r="C13">
        <v>63.64</v>
      </c>
      <c r="D13">
        <v>63.76</v>
      </c>
    </row>
    <row r="14" spans="1:162" x14ac:dyDescent="0.3">
      <c r="B14">
        <v>90</v>
      </c>
      <c r="C14">
        <v>63.2</v>
      </c>
      <c r="D14">
        <v>63.49</v>
      </c>
    </row>
    <row r="15" spans="1:162" x14ac:dyDescent="0.3">
      <c r="B15">
        <v>89</v>
      </c>
      <c r="C15">
        <v>62.75</v>
      </c>
      <c r="D15">
        <v>63.22</v>
      </c>
    </row>
    <row r="16" spans="1:162" x14ac:dyDescent="0.3">
      <c r="B16">
        <v>88</v>
      </c>
      <c r="C16">
        <v>62.46</v>
      </c>
      <c r="D16">
        <v>62.96</v>
      </c>
    </row>
    <row r="17" spans="2:4" x14ac:dyDescent="0.3">
      <c r="B17">
        <v>87</v>
      </c>
      <c r="C17">
        <v>62.17</v>
      </c>
      <c r="D17">
        <v>62.7</v>
      </c>
    </row>
    <row r="18" spans="2:4" x14ac:dyDescent="0.3">
      <c r="B18">
        <v>86</v>
      </c>
      <c r="C18">
        <v>61.88</v>
      </c>
      <c r="D18">
        <v>62.44</v>
      </c>
    </row>
    <row r="19" spans="2:4" x14ac:dyDescent="0.3">
      <c r="B19">
        <v>85</v>
      </c>
      <c r="C19">
        <v>61.58</v>
      </c>
      <c r="D19">
        <v>62.19</v>
      </c>
    </row>
    <row r="20" spans="2:4" x14ac:dyDescent="0.3">
      <c r="B20">
        <v>84</v>
      </c>
      <c r="C20">
        <v>61.29</v>
      </c>
      <c r="D20">
        <v>61.93</v>
      </c>
    </row>
    <row r="21" spans="2:4" x14ac:dyDescent="0.3">
      <c r="B21">
        <v>83</v>
      </c>
      <c r="C21">
        <v>61</v>
      </c>
      <c r="D21">
        <v>61.67</v>
      </c>
    </row>
    <row r="22" spans="2:4" x14ac:dyDescent="0.3">
      <c r="B22">
        <v>82</v>
      </c>
      <c r="C22">
        <v>60.71</v>
      </c>
      <c r="D22">
        <v>61.41</v>
      </c>
    </row>
    <row r="23" spans="2:4" x14ac:dyDescent="0.3">
      <c r="B23">
        <v>81</v>
      </c>
      <c r="C23">
        <v>60.42</v>
      </c>
      <c r="D23">
        <v>61.15</v>
      </c>
    </row>
    <row r="24" spans="2:4" x14ac:dyDescent="0.3">
      <c r="B24">
        <v>80</v>
      </c>
      <c r="C24">
        <v>60.13</v>
      </c>
      <c r="D24">
        <v>60.89</v>
      </c>
    </row>
    <row r="25" spans="2:4" x14ac:dyDescent="0.3">
      <c r="B25">
        <v>79</v>
      </c>
      <c r="C25">
        <v>59.83</v>
      </c>
      <c r="D25">
        <v>60.63</v>
      </c>
    </row>
    <row r="26" spans="2:4" x14ac:dyDescent="0.3">
      <c r="B26">
        <v>78</v>
      </c>
      <c r="C26">
        <v>59.54</v>
      </c>
      <c r="D26">
        <v>60.37</v>
      </c>
    </row>
    <row r="27" spans="2:4" x14ac:dyDescent="0.3">
      <c r="B27">
        <v>77</v>
      </c>
      <c r="C27">
        <v>59.25</v>
      </c>
      <c r="D27">
        <v>60.11</v>
      </c>
    </row>
    <row r="28" spans="2:4" x14ac:dyDescent="0.3">
      <c r="B28">
        <v>76</v>
      </c>
      <c r="C28">
        <v>58.93</v>
      </c>
      <c r="D28">
        <v>59.76</v>
      </c>
    </row>
    <row r="29" spans="2:4" x14ac:dyDescent="0.3">
      <c r="B29">
        <v>75</v>
      </c>
      <c r="C29">
        <v>58.62</v>
      </c>
      <c r="D29">
        <v>59.42</v>
      </c>
    </row>
    <row r="30" spans="2:4" x14ac:dyDescent="0.3">
      <c r="B30">
        <v>74</v>
      </c>
      <c r="C30">
        <v>58.3</v>
      </c>
      <c r="D30">
        <v>59.07</v>
      </c>
    </row>
    <row r="31" spans="2:4" x14ac:dyDescent="0.3">
      <c r="B31">
        <v>73</v>
      </c>
      <c r="C31">
        <v>57.99</v>
      </c>
      <c r="D31">
        <v>58.73</v>
      </c>
    </row>
    <row r="32" spans="2:4" x14ac:dyDescent="0.3">
      <c r="B32">
        <v>72</v>
      </c>
      <c r="C32">
        <v>57.67</v>
      </c>
      <c r="D32">
        <v>58.38</v>
      </c>
    </row>
    <row r="33" spans="2:4" x14ac:dyDescent="0.3">
      <c r="B33">
        <v>71</v>
      </c>
      <c r="C33">
        <v>57.35</v>
      </c>
      <c r="D33">
        <v>58.03</v>
      </c>
    </row>
    <row r="34" spans="2:4" x14ac:dyDescent="0.3">
      <c r="B34">
        <v>70</v>
      </c>
      <c r="C34">
        <v>57.04</v>
      </c>
      <c r="D34">
        <v>57.69</v>
      </c>
    </row>
    <row r="35" spans="2:4" x14ac:dyDescent="0.3">
      <c r="B35">
        <v>69</v>
      </c>
      <c r="C35">
        <v>56.72</v>
      </c>
      <c r="D35">
        <v>57.34</v>
      </c>
    </row>
    <row r="36" spans="2:4" x14ac:dyDescent="0.3">
      <c r="B36">
        <v>68</v>
      </c>
      <c r="C36">
        <v>56.4</v>
      </c>
      <c r="D36">
        <v>56.99</v>
      </c>
    </row>
    <row r="37" spans="2:4" x14ac:dyDescent="0.3">
      <c r="B37">
        <v>67</v>
      </c>
      <c r="C37">
        <v>56.09</v>
      </c>
      <c r="D37">
        <v>56.65</v>
      </c>
    </row>
    <row r="38" spans="2:4" x14ac:dyDescent="0.3">
      <c r="B38">
        <v>66</v>
      </c>
      <c r="C38">
        <v>55.77</v>
      </c>
      <c r="D38">
        <v>56.3</v>
      </c>
    </row>
    <row r="39" spans="2:4" x14ac:dyDescent="0.3">
      <c r="B39">
        <v>65</v>
      </c>
      <c r="C39">
        <v>55.46</v>
      </c>
      <c r="D39">
        <v>55.95</v>
      </c>
    </row>
    <row r="40" spans="2:4" x14ac:dyDescent="0.3">
      <c r="B40">
        <v>64</v>
      </c>
      <c r="C40">
        <v>55.14</v>
      </c>
      <c r="D40">
        <v>55.61</v>
      </c>
    </row>
    <row r="41" spans="2:4" x14ac:dyDescent="0.3">
      <c r="B41">
        <v>63</v>
      </c>
      <c r="C41">
        <v>54.82</v>
      </c>
      <c r="D41">
        <v>55.26</v>
      </c>
    </row>
    <row r="42" spans="2:4" x14ac:dyDescent="0.3">
      <c r="B42">
        <v>62</v>
      </c>
      <c r="C42">
        <v>54.51</v>
      </c>
      <c r="D42">
        <v>54.92</v>
      </c>
    </row>
    <row r="43" spans="2:4" x14ac:dyDescent="0.3">
      <c r="B43">
        <v>61</v>
      </c>
      <c r="C43">
        <v>54.19</v>
      </c>
      <c r="D43">
        <v>54.57</v>
      </c>
    </row>
    <row r="44" spans="2:4" x14ac:dyDescent="0.3">
      <c r="B44">
        <v>60</v>
      </c>
      <c r="C44">
        <v>53.88</v>
      </c>
      <c r="D44">
        <v>54.22</v>
      </c>
    </row>
    <row r="45" spans="2:4" x14ac:dyDescent="0.3">
      <c r="B45">
        <v>59</v>
      </c>
      <c r="C45">
        <v>53.5</v>
      </c>
      <c r="D45">
        <v>53.82</v>
      </c>
    </row>
    <row r="46" spans="2:4" x14ac:dyDescent="0.3">
      <c r="B46">
        <v>58</v>
      </c>
      <c r="C46">
        <v>53.13</v>
      </c>
      <c r="D46">
        <v>53.41</v>
      </c>
    </row>
    <row r="47" spans="2:4" x14ac:dyDescent="0.3">
      <c r="B47">
        <v>57</v>
      </c>
      <c r="C47">
        <v>52.75</v>
      </c>
      <c r="D47">
        <v>53.01</v>
      </c>
    </row>
    <row r="48" spans="2:4" x14ac:dyDescent="0.3">
      <c r="B48">
        <v>56</v>
      </c>
      <c r="C48">
        <v>52.38</v>
      </c>
      <c r="D48">
        <v>52.6</v>
      </c>
    </row>
    <row r="49" spans="2:4" x14ac:dyDescent="0.3">
      <c r="B49">
        <v>55</v>
      </c>
      <c r="C49">
        <v>52</v>
      </c>
      <c r="D49">
        <v>52.19</v>
      </c>
    </row>
    <row r="50" spans="2:4" x14ac:dyDescent="0.3">
      <c r="B50">
        <v>54</v>
      </c>
      <c r="C50">
        <v>51.63</v>
      </c>
      <c r="D50">
        <v>51.79</v>
      </c>
    </row>
    <row r="51" spans="2:4" x14ac:dyDescent="0.3">
      <c r="B51">
        <v>53</v>
      </c>
      <c r="C51">
        <v>51.25</v>
      </c>
      <c r="D51">
        <v>51.38</v>
      </c>
    </row>
    <row r="52" spans="2:4" x14ac:dyDescent="0.3">
      <c r="B52">
        <v>52</v>
      </c>
      <c r="C52">
        <v>50.88</v>
      </c>
      <c r="D52">
        <v>50.98</v>
      </c>
    </row>
    <row r="53" spans="2:4" x14ac:dyDescent="0.3">
      <c r="B53">
        <v>51</v>
      </c>
      <c r="C53">
        <v>50.5</v>
      </c>
      <c r="D53">
        <v>50.57</v>
      </c>
    </row>
    <row r="54" spans="2:4" x14ac:dyDescent="0.3">
      <c r="B54">
        <v>50</v>
      </c>
      <c r="C54">
        <v>50.13</v>
      </c>
      <c r="D54">
        <v>50.17</v>
      </c>
    </row>
    <row r="55" spans="2:4" x14ac:dyDescent="0.3">
      <c r="B55">
        <v>49</v>
      </c>
      <c r="C55">
        <v>49.75</v>
      </c>
      <c r="D55">
        <v>49.76</v>
      </c>
    </row>
    <row r="56" spans="2:4" x14ac:dyDescent="0.3">
      <c r="B56">
        <v>48</v>
      </c>
      <c r="C56">
        <v>49.38</v>
      </c>
      <c r="D56">
        <v>49.36</v>
      </c>
    </row>
    <row r="57" spans="2:4" x14ac:dyDescent="0.3">
      <c r="B57">
        <v>47</v>
      </c>
      <c r="C57">
        <v>49</v>
      </c>
      <c r="D57">
        <v>48.95</v>
      </c>
    </row>
    <row r="58" spans="2:4" x14ac:dyDescent="0.3">
      <c r="B58">
        <v>46</v>
      </c>
      <c r="C58">
        <v>48.63</v>
      </c>
      <c r="D58">
        <v>48.54</v>
      </c>
    </row>
    <row r="59" spans="2:4" x14ac:dyDescent="0.3">
      <c r="B59">
        <v>45</v>
      </c>
      <c r="C59">
        <v>48.25</v>
      </c>
      <c r="D59">
        <v>48.14</v>
      </c>
    </row>
    <row r="60" spans="2:4" x14ac:dyDescent="0.3">
      <c r="B60">
        <v>44</v>
      </c>
      <c r="C60">
        <v>47.88</v>
      </c>
      <c r="D60">
        <v>47.73</v>
      </c>
    </row>
    <row r="61" spans="2:4" x14ac:dyDescent="0.3">
      <c r="B61">
        <v>43</v>
      </c>
      <c r="C61">
        <v>47.5</v>
      </c>
      <c r="D61">
        <v>47.33</v>
      </c>
    </row>
    <row r="62" spans="2:4" x14ac:dyDescent="0.3">
      <c r="B62">
        <v>42</v>
      </c>
      <c r="C62">
        <v>47.13</v>
      </c>
      <c r="D62">
        <v>46.92</v>
      </c>
    </row>
    <row r="63" spans="2:4" x14ac:dyDescent="0.3">
      <c r="B63">
        <v>41</v>
      </c>
      <c r="C63">
        <v>46.75</v>
      </c>
      <c r="D63">
        <v>46.52</v>
      </c>
    </row>
    <row r="64" spans="2:4" x14ac:dyDescent="0.3">
      <c r="B64">
        <v>40</v>
      </c>
      <c r="C64">
        <v>46.38</v>
      </c>
      <c r="D64">
        <v>46.11</v>
      </c>
    </row>
    <row r="65" spans="2:4" x14ac:dyDescent="0.3">
      <c r="B65">
        <v>39</v>
      </c>
      <c r="C65">
        <v>46.04</v>
      </c>
      <c r="D65">
        <v>45.77</v>
      </c>
    </row>
    <row r="66" spans="2:4" x14ac:dyDescent="0.3">
      <c r="B66">
        <v>38</v>
      </c>
      <c r="C66">
        <v>45.7</v>
      </c>
      <c r="D66">
        <v>45.43</v>
      </c>
    </row>
    <row r="67" spans="2:4" x14ac:dyDescent="0.3">
      <c r="B67">
        <v>37</v>
      </c>
      <c r="C67">
        <v>45.36</v>
      </c>
      <c r="D67">
        <v>45.09</v>
      </c>
    </row>
    <row r="68" spans="2:4" x14ac:dyDescent="0.3">
      <c r="B68">
        <v>36</v>
      </c>
      <c r="C68">
        <v>45.02</v>
      </c>
      <c r="D68">
        <v>44.75</v>
      </c>
    </row>
    <row r="69" spans="2:4" x14ac:dyDescent="0.3">
      <c r="B69">
        <v>35</v>
      </c>
      <c r="C69">
        <v>44.68</v>
      </c>
      <c r="D69">
        <v>44.41</v>
      </c>
    </row>
    <row r="70" spans="2:4" x14ac:dyDescent="0.3">
      <c r="B70">
        <v>34</v>
      </c>
      <c r="C70">
        <v>44.35</v>
      </c>
      <c r="D70">
        <v>44.07</v>
      </c>
    </row>
    <row r="71" spans="2:4" x14ac:dyDescent="0.3">
      <c r="B71">
        <v>33</v>
      </c>
      <c r="C71">
        <v>44.01</v>
      </c>
      <c r="D71">
        <v>43.73</v>
      </c>
    </row>
    <row r="72" spans="2:4" x14ac:dyDescent="0.3">
      <c r="B72">
        <v>32</v>
      </c>
      <c r="C72">
        <v>43.67</v>
      </c>
      <c r="D72">
        <v>43.39</v>
      </c>
    </row>
    <row r="73" spans="2:4" x14ac:dyDescent="0.3">
      <c r="B73">
        <v>31</v>
      </c>
      <c r="C73">
        <v>43.33</v>
      </c>
      <c r="D73">
        <v>43.05</v>
      </c>
    </row>
    <row r="74" spans="2:4" x14ac:dyDescent="0.3">
      <c r="B74">
        <v>30</v>
      </c>
      <c r="C74">
        <v>42.99</v>
      </c>
      <c r="D74">
        <v>42.71</v>
      </c>
    </row>
    <row r="81" spans="2:13" x14ac:dyDescent="0.3">
      <c r="H81" s="14" t="s">
        <v>661</v>
      </c>
      <c r="I81" s="15"/>
      <c r="J81" s="15"/>
      <c r="K81" s="16"/>
    </row>
    <row r="82" spans="2:13" x14ac:dyDescent="0.3">
      <c r="C82" s="2"/>
      <c r="H82" s="17" t="s">
        <v>490</v>
      </c>
      <c r="I82" s="8" t="s">
        <v>491</v>
      </c>
      <c r="J82" s="8" t="s">
        <v>492</v>
      </c>
      <c r="K82" s="18" t="s">
        <v>493</v>
      </c>
    </row>
    <row r="83" spans="2:13" ht="17.25" thickBot="1" x14ac:dyDescent="0.35">
      <c r="H83" s="3">
        <f>환산공식!DG6</f>
        <v>0</v>
      </c>
      <c r="I83" s="4">
        <f>환산공식!DH6</f>
        <v>0</v>
      </c>
      <c r="J83" s="4">
        <f>환산공식!DI6</f>
        <v>0</v>
      </c>
      <c r="K83" s="22">
        <f>환산공식!DJ6</f>
        <v>0</v>
      </c>
      <c r="L83" s="37"/>
      <c r="M83" s="12"/>
    </row>
    <row r="84" spans="2:13" ht="17.25" thickBot="1" x14ac:dyDescent="0.35">
      <c r="B84" s="19" t="s">
        <v>662</v>
      </c>
      <c r="C84" s="20"/>
      <c r="D84" s="21"/>
      <c r="E84" s="21"/>
      <c r="F84" s="24"/>
      <c r="G84" s="20"/>
      <c r="H84" s="20" t="s">
        <v>244</v>
      </c>
      <c r="I84" s="20" t="s">
        <v>244</v>
      </c>
      <c r="J84" s="20" t="s">
        <v>245</v>
      </c>
      <c r="K84" s="25" t="s">
        <v>245</v>
      </c>
      <c r="L84" t="s">
        <v>498</v>
      </c>
      <c r="M84" s="11"/>
    </row>
    <row r="85" spans="2:13" x14ac:dyDescent="0.3">
      <c r="B85" s="26" t="s">
        <v>480</v>
      </c>
      <c r="C85" s="27" t="s">
        <v>486</v>
      </c>
      <c r="D85" s="28" t="s">
        <v>487</v>
      </c>
      <c r="E85" s="35" t="s">
        <v>485</v>
      </c>
      <c r="F85" s="36" t="s">
        <v>488</v>
      </c>
      <c r="G85" s="29" t="s">
        <v>489</v>
      </c>
      <c r="H85" s="30" t="s">
        <v>494</v>
      </c>
      <c r="I85" s="31" t="s">
        <v>495</v>
      </c>
      <c r="J85" s="31" t="s">
        <v>496</v>
      </c>
      <c r="K85" s="32" t="s">
        <v>497</v>
      </c>
      <c r="L85" s="8"/>
      <c r="M85" s="5"/>
    </row>
    <row r="86" spans="2:13" x14ac:dyDescent="0.3">
      <c r="B86" s="33">
        <v>1</v>
      </c>
      <c r="C86" s="4">
        <f>INDEX('변표 테이블'!$C$4:$FF$4,MATCH(L86,'변표 테이블'!$C$3:$FF$3,0))</f>
        <v>71.13</v>
      </c>
      <c r="D86" s="4">
        <f>INDEX('변표 테이블'!$C$4:$FF$4,MATCH(M86,'변표 테이블'!$C$3:$FF$3,0))</f>
        <v>66</v>
      </c>
      <c r="E86" s="4" t="s">
        <v>665</v>
      </c>
      <c r="F86" s="33">
        <f>LARGE(H86:K86,1)</f>
        <v>0</v>
      </c>
      <c r="G86" s="23">
        <f>LARGE(H86:K86,2)</f>
        <v>0</v>
      </c>
      <c r="H86" s="4">
        <f>IFERROR(INDEX('변표 테이블'!$C$4:$FF$74,MATCH(H$83,'변표 테이블'!$B$4:$B$74,0),MATCH(L86,'변표 테이블'!$C$3:$FF$3,0)),0)</f>
        <v>0</v>
      </c>
      <c r="I86" s="4">
        <f>IFERROR(INDEX('변표 테이블'!$C$4:$FF$74,MATCH(I$83,'변표 테이블'!$B$4:$B$74,0),MATCH(L86,'변표 테이블'!$C$3:$FF$3,0)),0)</f>
        <v>0</v>
      </c>
      <c r="J86" s="4">
        <f>IFERROR(INDEX('변표 테이블'!$C$4:$FF$74,MATCH(J$83,'변표 테이블'!$B$4:$B$74,0),MATCH(M86,'변표 테이블'!$C$3:$FF$3,0)),0)</f>
        <v>0</v>
      </c>
      <c r="K86" s="23">
        <f>IFERROR(INDEX('변표 테이블'!$C$4:$FF$74,MATCH(K$83,'변표 테이블'!$B$4:$B$74,0),MATCH(M86,'변표 테이블'!$C$3:$FF$3,0)),0)</f>
        <v>0</v>
      </c>
      <c r="L86" t="str">
        <f>CONCATENATE(B86,$H$84)</f>
        <v>1과</v>
      </c>
      <c r="M86" s="5" t="str">
        <f>CONCATENATE(B86,$J$84)</f>
        <v>1사</v>
      </c>
    </row>
    <row r="87" spans="2:13" x14ac:dyDescent="0.3">
      <c r="B87" s="33">
        <v>2</v>
      </c>
      <c r="C87" s="4">
        <f>INDEX('변표 테이블'!$C$4:$FF$4,MATCH(L87,'변표 테이블'!$C$3:$FF$3,0))</f>
        <v>0</v>
      </c>
      <c r="D87" s="4">
        <f>INDEX('변표 테이블'!$C$4:$FF$4,MATCH(M87,'변표 테이블'!$C$3:$FF$3,0))</f>
        <v>0</v>
      </c>
      <c r="E87" s="4"/>
      <c r="F87" s="33">
        <f t="shared" ref="F87:F150" si="0">LARGE(H87:K87,1)</f>
        <v>0</v>
      </c>
      <c r="G87" s="23">
        <f t="shared" ref="G87:G150" si="1">LARGE(H87:K87,2)</f>
        <v>0</v>
      </c>
      <c r="H87" s="4">
        <f>IFERROR(INDEX('변표 테이블'!$C$4:$FF$74,MATCH(H$83,'변표 테이블'!$B$4:$B$74,0),MATCH(L87,'변표 테이블'!$C$3:$FF$3,0)),0)</f>
        <v>0</v>
      </c>
      <c r="I87" s="4">
        <f>IFERROR(INDEX('변표 테이블'!$C$4:$FF$74,MATCH(I$83,'변표 테이블'!$B$4:$B$74,0),MATCH(L87,'변표 테이블'!$C$3:$FF$3,0)),0)</f>
        <v>0</v>
      </c>
      <c r="J87" s="4">
        <f>IFERROR(INDEX('변표 테이블'!$C$4:$FF$74,MATCH(J$83,'변표 테이블'!$B$4:$B$74,0),MATCH(M87,'변표 테이블'!$C$3:$FF$3,0)),0)</f>
        <v>0</v>
      </c>
      <c r="K87" s="23">
        <f>IFERROR(INDEX('변표 테이블'!$C$4:$FF$74,MATCH(K$83,'변표 테이블'!$B$4:$B$74,0),MATCH(M87,'변표 테이블'!$C$3:$FF$3,0)),0)</f>
        <v>0</v>
      </c>
      <c r="L87" t="str">
        <f t="shared" ref="L87:L96" si="2">CONCATENATE(B87,$H$84)</f>
        <v>2과</v>
      </c>
      <c r="M87" s="5" t="str">
        <f t="shared" ref="M87:M96" si="3">CONCATENATE(B87,$J$84)</f>
        <v>2사</v>
      </c>
    </row>
    <row r="88" spans="2:13" x14ac:dyDescent="0.3">
      <c r="B88" s="33">
        <v>3</v>
      </c>
      <c r="C88" s="4">
        <f>INDEX('변표 테이블'!$C$4:$FF$4,MATCH(L88,'변표 테이블'!$C$3:$FF$3,0))</f>
        <v>0</v>
      </c>
      <c r="D88" s="4">
        <f>INDEX('변표 테이블'!$C$4:$FF$4,MATCH(M88,'변표 테이블'!$C$3:$FF$3,0))</f>
        <v>0</v>
      </c>
      <c r="E88" s="4"/>
      <c r="F88" s="33">
        <f t="shared" si="0"/>
        <v>0</v>
      </c>
      <c r="G88" s="23">
        <f t="shared" si="1"/>
        <v>0</v>
      </c>
      <c r="H88" s="4">
        <f>IFERROR(INDEX('변표 테이블'!$C$4:$FF$74,MATCH(H$83,'변표 테이블'!$B$4:$B$74,0),MATCH(L88,'변표 테이블'!$C$3:$FF$3,0)),0)</f>
        <v>0</v>
      </c>
      <c r="I88" s="4">
        <f>IFERROR(INDEX('변표 테이블'!$C$4:$FF$74,MATCH(I$83,'변표 테이블'!$B$4:$B$74,0),MATCH(L88,'변표 테이블'!$C$3:$FF$3,0)),0)</f>
        <v>0</v>
      </c>
      <c r="J88" s="4">
        <f>IFERROR(INDEX('변표 테이블'!$C$4:$FF$74,MATCH(J$83,'변표 테이블'!$B$4:$B$74,0),MATCH(M88,'변표 테이블'!$C$3:$FF$3,0)),0)</f>
        <v>0</v>
      </c>
      <c r="K88" s="23">
        <f>IFERROR(INDEX('변표 테이블'!$C$4:$FF$74,MATCH(K$83,'변표 테이블'!$B$4:$B$74,0),MATCH(M88,'변표 테이블'!$C$3:$FF$3,0)),0)</f>
        <v>0</v>
      </c>
      <c r="L88" t="str">
        <f t="shared" si="2"/>
        <v>3과</v>
      </c>
      <c r="M88" s="5" t="str">
        <f t="shared" si="3"/>
        <v>3사</v>
      </c>
    </row>
    <row r="89" spans="2:13" x14ac:dyDescent="0.3">
      <c r="B89" s="33">
        <v>4</v>
      </c>
      <c r="C89" s="4">
        <f>INDEX('변표 테이블'!$C$4:$FF$4,MATCH(L89,'변표 테이블'!$C$3:$FF$3,0))</f>
        <v>0</v>
      </c>
      <c r="D89" s="4">
        <f>INDEX('변표 테이블'!$C$4:$FF$4,MATCH(M89,'변표 테이블'!$C$3:$FF$3,0))</f>
        <v>0</v>
      </c>
      <c r="E89" s="4"/>
      <c r="F89" s="33">
        <f t="shared" si="0"/>
        <v>0</v>
      </c>
      <c r="G89" s="23">
        <f t="shared" si="1"/>
        <v>0</v>
      </c>
      <c r="H89" s="4">
        <f>IFERROR(INDEX('변표 테이블'!$C$4:$FF$74,MATCH(H$83,'변표 테이블'!$B$4:$B$74,0),MATCH(L89,'변표 테이블'!$C$3:$FF$3,0)),0)</f>
        <v>0</v>
      </c>
      <c r="I89" s="4">
        <f>IFERROR(INDEX('변표 테이블'!$C$4:$FF$74,MATCH(I$83,'변표 테이블'!$B$4:$B$74,0),MATCH(L89,'변표 테이블'!$C$3:$FF$3,0)),0)</f>
        <v>0</v>
      </c>
      <c r="J89" s="4">
        <f>IFERROR(INDEX('변표 테이블'!$C$4:$FF$74,MATCH(J$83,'변표 테이블'!$B$4:$B$74,0),MATCH(M89,'변표 테이블'!$C$3:$FF$3,0)),0)</f>
        <v>0</v>
      </c>
      <c r="K89" s="23">
        <f>IFERROR(INDEX('변표 테이블'!$C$4:$FF$74,MATCH(K$83,'변표 테이블'!$B$4:$B$74,0),MATCH(M89,'변표 테이블'!$C$3:$FF$3,0)),0)</f>
        <v>0</v>
      </c>
      <c r="L89" t="str">
        <f t="shared" si="2"/>
        <v>4과</v>
      </c>
      <c r="M89" s="5" t="str">
        <f t="shared" si="3"/>
        <v>4사</v>
      </c>
    </row>
    <row r="90" spans="2:13" x14ac:dyDescent="0.3">
      <c r="B90" s="33">
        <v>5</v>
      </c>
      <c r="C90" s="4">
        <f>INDEX('변표 테이블'!$C$4:$FF$4,MATCH(L90,'변표 테이블'!$C$3:$FF$3,0))</f>
        <v>0</v>
      </c>
      <c r="D90" s="4">
        <f>INDEX('변표 테이블'!$C$4:$FF$4,MATCH(M90,'변표 테이블'!$C$3:$FF$3,0))</f>
        <v>0</v>
      </c>
      <c r="E90" s="4"/>
      <c r="F90" s="33">
        <f t="shared" si="0"/>
        <v>0</v>
      </c>
      <c r="G90" s="23">
        <f t="shared" si="1"/>
        <v>0</v>
      </c>
      <c r="H90" s="4">
        <f>IFERROR(INDEX('변표 테이블'!$C$4:$FF$74,MATCH(H$83,'변표 테이블'!$B$4:$B$74,0),MATCH(L90,'변표 테이블'!$C$3:$FF$3,0)),0)</f>
        <v>0</v>
      </c>
      <c r="I90" s="4">
        <f>IFERROR(INDEX('변표 테이블'!$C$4:$FF$74,MATCH(I$83,'변표 테이블'!$B$4:$B$74,0),MATCH(L90,'변표 테이블'!$C$3:$FF$3,0)),0)</f>
        <v>0</v>
      </c>
      <c r="J90" s="4">
        <f>IFERROR(INDEX('변표 테이블'!$C$4:$FF$74,MATCH(J$83,'변표 테이블'!$B$4:$B$74,0),MATCH(M90,'변표 테이블'!$C$3:$FF$3,0)),0)</f>
        <v>0</v>
      </c>
      <c r="K90" s="23">
        <f>IFERROR(INDEX('변표 테이블'!$C$4:$FF$74,MATCH(K$83,'변표 테이블'!$B$4:$B$74,0),MATCH(M90,'변표 테이블'!$C$3:$FF$3,0)),0)</f>
        <v>0</v>
      </c>
      <c r="L90" t="str">
        <f t="shared" si="2"/>
        <v>5과</v>
      </c>
      <c r="M90" s="5" t="str">
        <f t="shared" si="3"/>
        <v>5사</v>
      </c>
    </row>
    <row r="91" spans="2:13" x14ac:dyDescent="0.3">
      <c r="B91" s="33">
        <v>6</v>
      </c>
      <c r="C91" s="4">
        <f>INDEX('변표 테이블'!$C$4:$FF$4,MATCH(L91,'변표 테이블'!$C$3:$FF$3,0))</f>
        <v>0</v>
      </c>
      <c r="D91" s="4">
        <f>INDEX('변표 테이블'!$C$4:$FF$4,MATCH(M91,'변표 테이블'!$C$3:$FF$3,0))</f>
        <v>0</v>
      </c>
      <c r="E91" s="4"/>
      <c r="F91" s="33">
        <f t="shared" si="0"/>
        <v>0</v>
      </c>
      <c r="G91" s="23">
        <f t="shared" si="1"/>
        <v>0</v>
      </c>
      <c r="H91" s="4">
        <f>IFERROR(INDEX('변표 테이블'!$C$4:$FF$74,MATCH(H$83,'변표 테이블'!$B$4:$B$74,0),MATCH(L91,'변표 테이블'!$C$3:$FF$3,0)),0)</f>
        <v>0</v>
      </c>
      <c r="I91" s="4">
        <f>IFERROR(INDEX('변표 테이블'!$C$4:$FF$74,MATCH(I$83,'변표 테이블'!$B$4:$B$74,0),MATCH(L91,'변표 테이블'!$C$3:$FF$3,0)),0)</f>
        <v>0</v>
      </c>
      <c r="J91" s="4">
        <f>IFERROR(INDEX('변표 테이블'!$C$4:$FF$74,MATCH(J$83,'변표 테이블'!$B$4:$B$74,0),MATCH(M91,'변표 테이블'!$C$3:$FF$3,0)),0)</f>
        <v>0</v>
      </c>
      <c r="K91" s="23">
        <f>IFERROR(INDEX('변표 테이블'!$C$4:$FF$74,MATCH(K$83,'변표 테이블'!$B$4:$B$74,0),MATCH(M91,'변표 테이블'!$C$3:$FF$3,0)),0)</f>
        <v>0</v>
      </c>
      <c r="L91" t="str">
        <f t="shared" si="2"/>
        <v>6과</v>
      </c>
      <c r="M91" s="5" t="str">
        <f t="shared" si="3"/>
        <v>6사</v>
      </c>
    </row>
    <row r="92" spans="2:13" x14ac:dyDescent="0.3">
      <c r="B92" s="33">
        <v>7</v>
      </c>
      <c r="C92" s="4">
        <f>INDEX('변표 테이블'!$C$4:$FF$4,MATCH(L92,'변표 테이블'!$C$3:$FF$3,0))</f>
        <v>0</v>
      </c>
      <c r="D92" s="4">
        <f>INDEX('변표 테이블'!$C$4:$FF$4,MATCH(M92,'변표 테이블'!$C$3:$FF$3,0))</f>
        <v>0</v>
      </c>
      <c r="E92" s="4"/>
      <c r="F92" s="33">
        <f t="shared" si="0"/>
        <v>0</v>
      </c>
      <c r="G92" s="23">
        <f t="shared" si="1"/>
        <v>0</v>
      </c>
      <c r="H92" s="4">
        <f>IFERROR(INDEX('변표 테이블'!$C$4:$FF$74,MATCH(H$83,'변표 테이블'!$B$4:$B$74,0),MATCH(L92,'변표 테이블'!$C$3:$FF$3,0)),0)</f>
        <v>0</v>
      </c>
      <c r="I92" s="4">
        <f>IFERROR(INDEX('변표 테이블'!$C$4:$FF$74,MATCH(I$83,'변표 테이블'!$B$4:$B$74,0),MATCH(L92,'변표 테이블'!$C$3:$FF$3,0)),0)</f>
        <v>0</v>
      </c>
      <c r="J92" s="4">
        <f>IFERROR(INDEX('변표 테이블'!$C$4:$FF$74,MATCH(J$83,'변표 테이블'!$B$4:$B$74,0),MATCH(M92,'변표 테이블'!$C$3:$FF$3,0)),0)</f>
        <v>0</v>
      </c>
      <c r="K92" s="23">
        <f>IFERROR(INDEX('변표 테이블'!$C$4:$FF$74,MATCH(K$83,'변표 테이블'!$B$4:$B$74,0),MATCH(M92,'변표 테이블'!$C$3:$FF$3,0)),0)</f>
        <v>0</v>
      </c>
      <c r="L92" t="str">
        <f t="shared" si="2"/>
        <v>7과</v>
      </c>
      <c r="M92" s="5" t="str">
        <f t="shared" si="3"/>
        <v>7사</v>
      </c>
    </row>
    <row r="93" spans="2:13" x14ac:dyDescent="0.3">
      <c r="B93" s="33">
        <v>8</v>
      </c>
      <c r="C93" s="4">
        <f>INDEX('변표 테이블'!$C$4:$FF$4,MATCH(L93,'변표 테이블'!$C$3:$FF$3,0))</f>
        <v>0</v>
      </c>
      <c r="D93" s="4">
        <f>INDEX('변표 테이블'!$C$4:$FF$4,MATCH(M93,'변표 테이블'!$C$3:$FF$3,0))</f>
        <v>0</v>
      </c>
      <c r="E93" s="4"/>
      <c r="F93" s="33">
        <f t="shared" si="0"/>
        <v>0</v>
      </c>
      <c r="G93" s="23">
        <f t="shared" si="1"/>
        <v>0</v>
      </c>
      <c r="H93" s="4">
        <f>IFERROR(INDEX('변표 테이블'!$C$4:$FF$74,MATCH(H$83,'변표 테이블'!$B$4:$B$74,0),MATCH(L93,'변표 테이블'!$C$3:$FF$3,0)),0)</f>
        <v>0</v>
      </c>
      <c r="I93" s="4">
        <f>IFERROR(INDEX('변표 테이블'!$C$4:$FF$74,MATCH(I$83,'변표 테이블'!$B$4:$B$74,0),MATCH(L93,'변표 테이블'!$C$3:$FF$3,0)),0)</f>
        <v>0</v>
      </c>
      <c r="J93" s="4">
        <f>IFERROR(INDEX('변표 테이블'!$C$4:$FF$74,MATCH(J$83,'변표 테이블'!$B$4:$B$74,0),MATCH(M93,'변표 테이블'!$C$3:$FF$3,0)),0)</f>
        <v>0</v>
      </c>
      <c r="K93" s="23">
        <f>IFERROR(INDEX('변표 테이블'!$C$4:$FF$74,MATCH(K$83,'변표 테이블'!$B$4:$B$74,0),MATCH(M93,'변표 테이블'!$C$3:$FF$3,0)),0)</f>
        <v>0</v>
      </c>
      <c r="L93" t="str">
        <f t="shared" si="2"/>
        <v>8과</v>
      </c>
      <c r="M93" s="5" t="str">
        <f t="shared" si="3"/>
        <v>8사</v>
      </c>
    </row>
    <row r="94" spans="2:13" x14ac:dyDescent="0.3">
      <c r="B94" s="33">
        <v>9</v>
      </c>
      <c r="C94" s="4">
        <f>INDEX('변표 테이블'!$C$4:$FF$4,MATCH(L94,'변표 테이블'!$C$3:$FF$3,0))</f>
        <v>0</v>
      </c>
      <c r="D94" s="4">
        <f>INDEX('변표 테이블'!$C$4:$FF$4,MATCH(M94,'변표 테이블'!$C$3:$FF$3,0))</f>
        <v>0</v>
      </c>
      <c r="E94" s="4"/>
      <c r="F94" s="33">
        <f t="shared" si="0"/>
        <v>0</v>
      </c>
      <c r="G94" s="23">
        <f t="shared" si="1"/>
        <v>0</v>
      </c>
      <c r="H94" s="4">
        <f>IFERROR(INDEX('변표 테이블'!$C$4:$FF$74,MATCH(H$83,'변표 테이블'!$B$4:$B$74,0),MATCH(L94,'변표 테이블'!$C$3:$FF$3,0)),0)</f>
        <v>0</v>
      </c>
      <c r="I94" s="4">
        <f>IFERROR(INDEX('변표 테이블'!$C$4:$FF$74,MATCH(I$83,'변표 테이블'!$B$4:$B$74,0),MATCH(L94,'변표 테이블'!$C$3:$FF$3,0)),0)</f>
        <v>0</v>
      </c>
      <c r="J94" s="4">
        <f>IFERROR(INDEX('변표 테이블'!$C$4:$FF$74,MATCH(J$83,'변표 테이블'!$B$4:$B$74,0),MATCH(M94,'변표 테이블'!$C$3:$FF$3,0)),0)</f>
        <v>0</v>
      </c>
      <c r="K94" s="23">
        <f>IFERROR(INDEX('변표 테이블'!$C$4:$FF$74,MATCH(K$83,'변표 테이블'!$B$4:$B$74,0),MATCH(M94,'변표 테이블'!$C$3:$FF$3,0)),0)</f>
        <v>0</v>
      </c>
      <c r="L94" t="str">
        <f t="shared" si="2"/>
        <v>9과</v>
      </c>
      <c r="M94" s="5" t="str">
        <f t="shared" si="3"/>
        <v>9사</v>
      </c>
    </row>
    <row r="95" spans="2:13" x14ac:dyDescent="0.3">
      <c r="B95" s="33">
        <v>10</v>
      </c>
      <c r="C95" s="4">
        <f>INDEX('변표 테이블'!$C$4:$FF$4,MATCH(L95,'변표 테이블'!$C$3:$FF$3,0))</f>
        <v>0</v>
      </c>
      <c r="D95" s="4">
        <f>INDEX('변표 테이블'!$C$4:$FF$4,MATCH(M95,'변표 테이블'!$C$3:$FF$3,0))</f>
        <v>0</v>
      </c>
      <c r="E95" s="4"/>
      <c r="F95" s="33">
        <f t="shared" si="0"/>
        <v>0</v>
      </c>
      <c r="G95" s="23">
        <f t="shared" si="1"/>
        <v>0</v>
      </c>
      <c r="H95" s="4">
        <f>IFERROR(INDEX('변표 테이블'!$C$4:$FF$74,MATCH(H$83,'변표 테이블'!$B$4:$B$74,0),MATCH(L95,'변표 테이블'!$C$3:$FF$3,0)),0)</f>
        <v>0</v>
      </c>
      <c r="I95" s="4">
        <f>IFERROR(INDEX('변표 테이블'!$C$4:$FF$74,MATCH(I$83,'변표 테이블'!$B$4:$B$74,0),MATCH(L95,'변표 테이블'!$C$3:$FF$3,0)),0)</f>
        <v>0</v>
      </c>
      <c r="J95" s="4">
        <f>IFERROR(INDEX('변표 테이블'!$C$4:$FF$74,MATCH(J$83,'변표 테이블'!$B$4:$B$74,0),MATCH(M95,'변표 테이블'!$C$3:$FF$3,0)),0)</f>
        <v>0</v>
      </c>
      <c r="K95" s="23">
        <f>IFERROR(INDEX('변표 테이블'!$C$4:$FF$74,MATCH(K$83,'변표 테이블'!$B$4:$B$74,0),MATCH(M95,'변표 테이블'!$C$3:$FF$3,0)),0)</f>
        <v>0</v>
      </c>
      <c r="L95" t="str">
        <f t="shared" si="2"/>
        <v>10과</v>
      </c>
      <c r="M95" s="5" t="str">
        <f t="shared" si="3"/>
        <v>10사</v>
      </c>
    </row>
    <row r="96" spans="2:13" x14ac:dyDescent="0.3">
      <c r="B96" s="33">
        <v>11</v>
      </c>
      <c r="C96" s="4">
        <f>INDEX('변표 테이블'!$C$4:$FF$4,MATCH(L96,'변표 테이블'!$C$3:$FF$3,0))</f>
        <v>0</v>
      </c>
      <c r="D96" s="4">
        <f>INDEX('변표 테이블'!$C$4:$FF$4,MATCH(M96,'변표 테이블'!$C$3:$FF$3,0))</f>
        <v>0</v>
      </c>
      <c r="E96" s="4"/>
      <c r="F96" s="33">
        <f t="shared" si="0"/>
        <v>0</v>
      </c>
      <c r="G96" s="23">
        <f t="shared" si="1"/>
        <v>0</v>
      </c>
      <c r="H96" s="4">
        <f>IFERROR(INDEX('변표 테이블'!$C$4:$FF$74,MATCH(H$83,'변표 테이블'!$B$4:$B$74,0),MATCH(L96,'변표 테이블'!$C$3:$FF$3,0)),0)</f>
        <v>0</v>
      </c>
      <c r="I96" s="4">
        <f>IFERROR(INDEX('변표 테이블'!$C$4:$FF$74,MATCH(I$83,'변표 테이블'!$B$4:$B$74,0),MATCH(L96,'변표 테이블'!$C$3:$FF$3,0)),0)</f>
        <v>0</v>
      </c>
      <c r="J96" s="4">
        <f>IFERROR(INDEX('변표 테이블'!$C$4:$FF$74,MATCH(J$83,'변표 테이블'!$B$4:$B$74,0),MATCH(M96,'변표 테이블'!$C$3:$FF$3,0)),0)</f>
        <v>0</v>
      </c>
      <c r="K96" s="23">
        <f>IFERROR(INDEX('변표 테이블'!$C$4:$FF$74,MATCH(K$83,'변표 테이블'!$B$4:$B$74,0),MATCH(M96,'변표 테이블'!$C$3:$FF$3,0)),0)</f>
        <v>0</v>
      </c>
      <c r="L96" t="str">
        <f t="shared" si="2"/>
        <v>11과</v>
      </c>
      <c r="M96" s="5" t="str">
        <f t="shared" si="3"/>
        <v>11사</v>
      </c>
    </row>
    <row r="97" spans="2:13" x14ac:dyDescent="0.3">
      <c r="B97" s="33">
        <v>12</v>
      </c>
      <c r="C97" s="4">
        <f>INDEX('변표 테이블'!$C$4:$FF$4,MATCH(L97,'변표 테이블'!$C$3:$FF$3,0))</f>
        <v>0</v>
      </c>
      <c r="D97" s="4">
        <f>INDEX('변표 테이블'!$C$4:$FF$4,MATCH(M97,'변표 테이블'!$C$3:$FF$3,0))</f>
        <v>0</v>
      </c>
      <c r="E97" s="4"/>
      <c r="F97" s="33">
        <f t="shared" si="0"/>
        <v>0</v>
      </c>
      <c r="G97" s="23">
        <f t="shared" si="1"/>
        <v>0</v>
      </c>
      <c r="H97" s="4">
        <f>IFERROR(INDEX('변표 테이블'!$C$4:$FF$74,MATCH(H$83,'변표 테이블'!$B$4:$B$74,0),MATCH(L97,'변표 테이블'!$C$3:$FF$3,0)),0)</f>
        <v>0</v>
      </c>
      <c r="I97" s="4">
        <f>IFERROR(INDEX('변표 테이블'!$C$4:$FF$74,MATCH(I$83,'변표 테이블'!$B$4:$B$74,0),MATCH(L97,'변표 테이블'!$C$3:$FF$3,0)),0)</f>
        <v>0</v>
      </c>
      <c r="J97" s="4">
        <f>IFERROR(INDEX('변표 테이블'!$C$4:$FF$74,MATCH(J$83,'변표 테이블'!$B$4:$B$74,0),MATCH(M97,'변표 테이블'!$C$3:$FF$3,0)),0)</f>
        <v>0</v>
      </c>
      <c r="K97" s="23">
        <f>IFERROR(INDEX('변표 테이블'!$C$4:$FF$74,MATCH(K$83,'변표 테이블'!$B$4:$B$74,0),MATCH(M97,'변표 테이블'!$C$3:$FF$3,0)),0)</f>
        <v>0</v>
      </c>
      <c r="L97" t="str">
        <f t="shared" ref="L97:L160" si="4">CONCATENATE(B97,$H$84)</f>
        <v>12과</v>
      </c>
      <c r="M97" s="5" t="str">
        <f t="shared" ref="M97:M160" si="5">CONCATENATE(B97,$J$84)</f>
        <v>12사</v>
      </c>
    </row>
    <row r="98" spans="2:13" x14ac:dyDescent="0.3">
      <c r="B98" s="33">
        <v>13</v>
      </c>
      <c r="C98" s="4">
        <f>INDEX('변표 테이블'!$C$4:$FF$4,MATCH(L98,'변표 테이블'!$C$3:$FF$3,0))</f>
        <v>0</v>
      </c>
      <c r="D98" s="4">
        <f>INDEX('변표 테이블'!$C$4:$FF$4,MATCH(M98,'변표 테이블'!$C$3:$FF$3,0))</f>
        <v>0</v>
      </c>
      <c r="E98" s="4"/>
      <c r="F98" s="33">
        <f t="shared" si="0"/>
        <v>0</v>
      </c>
      <c r="G98" s="23">
        <f t="shared" si="1"/>
        <v>0</v>
      </c>
      <c r="H98" s="4">
        <f>IFERROR(INDEX('변표 테이블'!$C$4:$FF$74,MATCH(H$83,'변표 테이블'!$B$4:$B$74,0),MATCH(L98,'변표 테이블'!$C$3:$FF$3,0)),0)</f>
        <v>0</v>
      </c>
      <c r="I98" s="4">
        <f>IFERROR(INDEX('변표 테이블'!$C$4:$FF$74,MATCH(I$83,'변표 테이블'!$B$4:$B$74,0),MATCH(L98,'변표 테이블'!$C$3:$FF$3,0)),0)</f>
        <v>0</v>
      </c>
      <c r="J98" s="4">
        <f>IFERROR(INDEX('변표 테이블'!$C$4:$FF$74,MATCH(J$83,'변표 테이블'!$B$4:$B$74,0),MATCH(M98,'변표 테이블'!$C$3:$FF$3,0)),0)</f>
        <v>0</v>
      </c>
      <c r="K98" s="23">
        <f>IFERROR(INDEX('변표 테이블'!$C$4:$FF$74,MATCH(K$83,'변표 테이블'!$B$4:$B$74,0),MATCH(M98,'변표 테이블'!$C$3:$FF$3,0)),0)</f>
        <v>0</v>
      </c>
      <c r="L98" t="str">
        <f t="shared" si="4"/>
        <v>13과</v>
      </c>
      <c r="M98" s="5" t="str">
        <f t="shared" si="5"/>
        <v>13사</v>
      </c>
    </row>
    <row r="99" spans="2:13" x14ac:dyDescent="0.3">
      <c r="B99" s="33">
        <v>14</v>
      </c>
      <c r="C99" s="4">
        <f>INDEX('변표 테이블'!$C$4:$FF$4,MATCH(L99,'변표 테이블'!$C$3:$FF$3,0))</f>
        <v>0</v>
      </c>
      <c r="D99" s="4">
        <f>INDEX('변표 테이블'!$C$4:$FF$4,MATCH(M99,'변표 테이블'!$C$3:$FF$3,0))</f>
        <v>0</v>
      </c>
      <c r="E99" s="4"/>
      <c r="F99" s="33">
        <f t="shared" si="0"/>
        <v>0</v>
      </c>
      <c r="G99" s="23">
        <f t="shared" si="1"/>
        <v>0</v>
      </c>
      <c r="H99" s="4">
        <f>IFERROR(INDEX('변표 테이블'!$C$4:$FF$74,MATCH(H$83,'변표 테이블'!$B$4:$B$74,0),MATCH(L99,'변표 테이블'!$C$3:$FF$3,0)),0)</f>
        <v>0</v>
      </c>
      <c r="I99" s="4">
        <f>IFERROR(INDEX('변표 테이블'!$C$4:$FF$74,MATCH(I$83,'변표 테이블'!$B$4:$B$74,0),MATCH(L99,'변표 테이블'!$C$3:$FF$3,0)),0)</f>
        <v>0</v>
      </c>
      <c r="J99" s="4">
        <f>IFERROR(INDEX('변표 테이블'!$C$4:$FF$74,MATCH(J$83,'변표 테이블'!$B$4:$B$74,0),MATCH(M99,'변표 테이블'!$C$3:$FF$3,0)),0)</f>
        <v>0</v>
      </c>
      <c r="K99" s="23">
        <f>IFERROR(INDEX('변표 테이블'!$C$4:$FF$74,MATCH(K$83,'변표 테이블'!$B$4:$B$74,0),MATCH(M99,'변표 테이블'!$C$3:$FF$3,0)),0)</f>
        <v>0</v>
      </c>
      <c r="L99" t="str">
        <f t="shared" si="4"/>
        <v>14과</v>
      </c>
      <c r="M99" s="5" t="str">
        <f t="shared" si="5"/>
        <v>14사</v>
      </c>
    </row>
    <row r="100" spans="2:13" x14ac:dyDescent="0.3">
      <c r="B100" s="33">
        <v>15</v>
      </c>
      <c r="C100" s="4">
        <f>INDEX('변표 테이블'!$C$4:$FF$4,MATCH(L100,'변표 테이블'!$C$3:$FF$3,0))</f>
        <v>0</v>
      </c>
      <c r="D100" s="4">
        <f>INDEX('변표 테이블'!$C$4:$FF$4,MATCH(M100,'변표 테이블'!$C$3:$FF$3,0))</f>
        <v>0</v>
      </c>
      <c r="E100" s="4"/>
      <c r="F100" s="33">
        <f t="shared" si="0"/>
        <v>0</v>
      </c>
      <c r="G100" s="23">
        <f t="shared" si="1"/>
        <v>0</v>
      </c>
      <c r="H100" s="4">
        <f>IFERROR(INDEX('변표 테이블'!$C$4:$FF$74,MATCH(H$83,'변표 테이블'!$B$4:$B$74,0),MATCH(L100,'변표 테이블'!$C$3:$FF$3,0)),0)</f>
        <v>0</v>
      </c>
      <c r="I100" s="4">
        <f>IFERROR(INDEX('변표 테이블'!$C$4:$FF$74,MATCH(I$83,'변표 테이블'!$B$4:$B$74,0),MATCH(L100,'변표 테이블'!$C$3:$FF$3,0)),0)</f>
        <v>0</v>
      </c>
      <c r="J100" s="4">
        <f>IFERROR(INDEX('변표 테이블'!$C$4:$FF$74,MATCH(J$83,'변표 테이블'!$B$4:$B$74,0),MATCH(M100,'변표 테이블'!$C$3:$FF$3,0)),0)</f>
        <v>0</v>
      </c>
      <c r="K100" s="23">
        <f>IFERROR(INDEX('변표 테이블'!$C$4:$FF$74,MATCH(K$83,'변표 테이블'!$B$4:$B$74,0),MATCH(M100,'변표 테이블'!$C$3:$FF$3,0)),0)</f>
        <v>0</v>
      </c>
      <c r="L100" t="str">
        <f t="shared" si="4"/>
        <v>15과</v>
      </c>
      <c r="M100" s="5" t="str">
        <f t="shared" si="5"/>
        <v>15사</v>
      </c>
    </row>
    <row r="101" spans="2:13" x14ac:dyDescent="0.3">
      <c r="B101" s="33">
        <v>16</v>
      </c>
      <c r="C101" s="4">
        <f>INDEX('변표 테이블'!$C$4:$FF$4,MATCH(L101,'변표 테이블'!$C$3:$FF$3,0))</f>
        <v>0</v>
      </c>
      <c r="D101" s="4">
        <f>INDEX('변표 테이블'!$C$4:$FF$4,MATCH(M101,'변표 테이블'!$C$3:$FF$3,0))</f>
        <v>0</v>
      </c>
      <c r="E101" s="4"/>
      <c r="F101" s="33">
        <f t="shared" si="0"/>
        <v>0</v>
      </c>
      <c r="G101" s="23">
        <f t="shared" si="1"/>
        <v>0</v>
      </c>
      <c r="H101" s="4">
        <f>IFERROR(INDEX('변표 테이블'!$C$4:$FF$74,MATCH(H$83,'변표 테이블'!$B$4:$B$74,0),MATCH(L101,'변표 테이블'!$C$3:$FF$3,0)),0)</f>
        <v>0</v>
      </c>
      <c r="I101" s="4">
        <f>IFERROR(INDEX('변표 테이블'!$C$4:$FF$74,MATCH(I$83,'변표 테이블'!$B$4:$B$74,0),MATCH(L101,'변표 테이블'!$C$3:$FF$3,0)),0)</f>
        <v>0</v>
      </c>
      <c r="J101" s="4">
        <f>IFERROR(INDEX('변표 테이블'!$C$4:$FF$74,MATCH(J$83,'변표 테이블'!$B$4:$B$74,0),MATCH(M101,'변표 테이블'!$C$3:$FF$3,0)),0)</f>
        <v>0</v>
      </c>
      <c r="K101" s="23">
        <f>IFERROR(INDEX('변표 테이블'!$C$4:$FF$74,MATCH(K$83,'변표 테이블'!$B$4:$B$74,0),MATCH(M101,'변표 테이블'!$C$3:$FF$3,0)),0)</f>
        <v>0</v>
      </c>
      <c r="L101" t="str">
        <f t="shared" si="4"/>
        <v>16과</v>
      </c>
      <c r="M101" s="5" t="str">
        <f t="shared" si="5"/>
        <v>16사</v>
      </c>
    </row>
    <row r="102" spans="2:13" x14ac:dyDescent="0.3">
      <c r="B102" s="33">
        <v>17</v>
      </c>
      <c r="C102" s="4">
        <f>INDEX('변표 테이블'!$C$4:$FF$4,MATCH(L102,'변표 테이블'!$C$3:$FF$3,0))</f>
        <v>0</v>
      </c>
      <c r="D102" s="4">
        <f>INDEX('변표 테이블'!$C$4:$FF$4,MATCH(M102,'변표 테이블'!$C$3:$FF$3,0))</f>
        <v>0</v>
      </c>
      <c r="E102" s="4"/>
      <c r="F102" s="33">
        <f t="shared" si="0"/>
        <v>0</v>
      </c>
      <c r="G102" s="23">
        <f t="shared" si="1"/>
        <v>0</v>
      </c>
      <c r="H102" s="4">
        <f>IFERROR(INDEX('변표 테이블'!$C$4:$FF$74,MATCH(H$83,'변표 테이블'!$B$4:$B$74,0),MATCH(L102,'변표 테이블'!$C$3:$FF$3,0)),0)</f>
        <v>0</v>
      </c>
      <c r="I102" s="4">
        <f>IFERROR(INDEX('변표 테이블'!$C$4:$FF$74,MATCH(I$83,'변표 테이블'!$B$4:$B$74,0),MATCH(L102,'변표 테이블'!$C$3:$FF$3,0)),0)</f>
        <v>0</v>
      </c>
      <c r="J102" s="4">
        <f>IFERROR(INDEX('변표 테이블'!$C$4:$FF$74,MATCH(J$83,'변표 테이블'!$B$4:$B$74,0),MATCH(M102,'변표 테이블'!$C$3:$FF$3,0)),0)</f>
        <v>0</v>
      </c>
      <c r="K102" s="23">
        <f>IFERROR(INDEX('변표 테이블'!$C$4:$FF$74,MATCH(K$83,'변표 테이블'!$B$4:$B$74,0),MATCH(M102,'변표 테이블'!$C$3:$FF$3,0)),0)</f>
        <v>0</v>
      </c>
      <c r="L102" t="str">
        <f t="shared" si="4"/>
        <v>17과</v>
      </c>
      <c r="M102" s="5" t="str">
        <f t="shared" si="5"/>
        <v>17사</v>
      </c>
    </row>
    <row r="103" spans="2:13" x14ac:dyDescent="0.3">
      <c r="B103" s="33">
        <v>18</v>
      </c>
      <c r="C103" s="4">
        <f>INDEX('변표 테이블'!$C$4:$FF$4,MATCH(L103,'변표 테이블'!$C$3:$FF$3,0))</f>
        <v>0</v>
      </c>
      <c r="D103" s="4">
        <f>INDEX('변표 테이블'!$C$4:$FF$4,MATCH(M103,'변표 테이블'!$C$3:$FF$3,0))</f>
        <v>0</v>
      </c>
      <c r="E103" s="4"/>
      <c r="F103" s="33">
        <f t="shared" si="0"/>
        <v>0</v>
      </c>
      <c r="G103" s="23">
        <f t="shared" si="1"/>
        <v>0</v>
      </c>
      <c r="H103" s="4">
        <f>IFERROR(INDEX('변표 테이블'!$C$4:$FF$74,MATCH(H$83,'변표 테이블'!$B$4:$B$74,0),MATCH(L103,'변표 테이블'!$C$3:$FF$3,0)),0)</f>
        <v>0</v>
      </c>
      <c r="I103" s="4">
        <f>IFERROR(INDEX('변표 테이블'!$C$4:$FF$74,MATCH(I$83,'변표 테이블'!$B$4:$B$74,0),MATCH(L103,'변표 테이블'!$C$3:$FF$3,0)),0)</f>
        <v>0</v>
      </c>
      <c r="J103" s="4">
        <f>IFERROR(INDEX('변표 테이블'!$C$4:$FF$74,MATCH(J$83,'변표 테이블'!$B$4:$B$74,0),MATCH(M103,'변표 테이블'!$C$3:$FF$3,0)),0)</f>
        <v>0</v>
      </c>
      <c r="K103" s="23">
        <f>IFERROR(INDEX('변표 테이블'!$C$4:$FF$74,MATCH(K$83,'변표 테이블'!$B$4:$B$74,0),MATCH(M103,'변표 테이블'!$C$3:$FF$3,0)),0)</f>
        <v>0</v>
      </c>
      <c r="L103" t="str">
        <f t="shared" si="4"/>
        <v>18과</v>
      </c>
      <c r="M103" s="5" t="str">
        <f t="shared" si="5"/>
        <v>18사</v>
      </c>
    </row>
    <row r="104" spans="2:13" x14ac:dyDescent="0.3">
      <c r="B104" s="33">
        <v>19</v>
      </c>
      <c r="C104" s="4">
        <f>INDEX('변표 테이블'!$C$4:$FF$4,MATCH(L104,'변표 테이블'!$C$3:$FF$3,0))</f>
        <v>0</v>
      </c>
      <c r="D104" s="4">
        <f>INDEX('변표 테이블'!$C$4:$FF$4,MATCH(M104,'변표 테이블'!$C$3:$FF$3,0))</f>
        <v>0</v>
      </c>
      <c r="E104" s="4"/>
      <c r="F104" s="33">
        <f t="shared" si="0"/>
        <v>0</v>
      </c>
      <c r="G104" s="23">
        <f t="shared" si="1"/>
        <v>0</v>
      </c>
      <c r="H104" s="4">
        <f>IFERROR(INDEX('변표 테이블'!$C$4:$FF$74,MATCH(H$83,'변표 테이블'!$B$4:$B$74,0),MATCH(L104,'변표 테이블'!$C$3:$FF$3,0)),0)</f>
        <v>0</v>
      </c>
      <c r="I104" s="4">
        <f>IFERROR(INDEX('변표 테이블'!$C$4:$FF$74,MATCH(I$83,'변표 테이블'!$B$4:$B$74,0),MATCH(L104,'변표 테이블'!$C$3:$FF$3,0)),0)</f>
        <v>0</v>
      </c>
      <c r="J104" s="4">
        <f>IFERROR(INDEX('변표 테이블'!$C$4:$FF$74,MATCH(J$83,'변표 테이블'!$B$4:$B$74,0),MATCH(M104,'변표 테이블'!$C$3:$FF$3,0)),0)</f>
        <v>0</v>
      </c>
      <c r="K104" s="23">
        <f>IFERROR(INDEX('변표 테이블'!$C$4:$FF$74,MATCH(K$83,'변표 테이블'!$B$4:$B$74,0),MATCH(M104,'변표 테이블'!$C$3:$FF$3,0)),0)</f>
        <v>0</v>
      </c>
      <c r="L104" t="str">
        <f t="shared" si="4"/>
        <v>19과</v>
      </c>
      <c r="M104" s="5" t="str">
        <f t="shared" si="5"/>
        <v>19사</v>
      </c>
    </row>
    <row r="105" spans="2:13" x14ac:dyDescent="0.3">
      <c r="B105" s="33">
        <v>20</v>
      </c>
      <c r="C105" s="4">
        <f>INDEX('변표 테이블'!$C$4:$FF$4,MATCH(L105,'변표 테이블'!$C$3:$FF$3,0))</f>
        <v>0</v>
      </c>
      <c r="D105" s="4">
        <f>INDEX('변표 테이블'!$C$4:$FF$4,MATCH(M105,'변표 테이블'!$C$3:$FF$3,0))</f>
        <v>0</v>
      </c>
      <c r="E105" s="4"/>
      <c r="F105" s="33">
        <f t="shared" si="0"/>
        <v>0</v>
      </c>
      <c r="G105" s="23">
        <f t="shared" si="1"/>
        <v>0</v>
      </c>
      <c r="H105" s="4">
        <f>IFERROR(INDEX('변표 테이블'!$C$4:$FF$74,MATCH(H$83,'변표 테이블'!$B$4:$B$74,0),MATCH(L105,'변표 테이블'!$C$3:$FF$3,0)),0)</f>
        <v>0</v>
      </c>
      <c r="I105" s="4">
        <f>IFERROR(INDEX('변표 테이블'!$C$4:$FF$74,MATCH(I$83,'변표 테이블'!$B$4:$B$74,0),MATCH(L105,'변표 테이블'!$C$3:$FF$3,0)),0)</f>
        <v>0</v>
      </c>
      <c r="J105" s="4">
        <f>IFERROR(INDEX('변표 테이블'!$C$4:$FF$74,MATCH(J$83,'변표 테이블'!$B$4:$B$74,0),MATCH(M105,'변표 테이블'!$C$3:$FF$3,0)),0)</f>
        <v>0</v>
      </c>
      <c r="K105" s="23">
        <f>IFERROR(INDEX('변표 테이블'!$C$4:$FF$74,MATCH(K$83,'변표 테이블'!$B$4:$B$74,0),MATCH(M105,'변표 테이블'!$C$3:$FF$3,0)),0)</f>
        <v>0</v>
      </c>
      <c r="L105" t="str">
        <f t="shared" si="4"/>
        <v>20과</v>
      </c>
      <c r="M105" s="5" t="str">
        <f t="shared" si="5"/>
        <v>20사</v>
      </c>
    </row>
    <row r="106" spans="2:13" x14ac:dyDescent="0.3">
      <c r="B106" s="33">
        <v>21</v>
      </c>
      <c r="C106" s="4">
        <f>INDEX('변표 테이블'!$C$4:$FF$4,MATCH(L106,'변표 테이블'!$C$3:$FF$3,0))</f>
        <v>0</v>
      </c>
      <c r="D106" s="4">
        <f>INDEX('변표 테이블'!$C$4:$FF$4,MATCH(M106,'변표 테이블'!$C$3:$FF$3,0))</f>
        <v>0</v>
      </c>
      <c r="E106" s="4"/>
      <c r="F106" s="33">
        <f t="shared" si="0"/>
        <v>0</v>
      </c>
      <c r="G106" s="23">
        <f t="shared" si="1"/>
        <v>0</v>
      </c>
      <c r="H106" s="4">
        <f>IFERROR(INDEX('변표 테이블'!$C$4:$FF$74,MATCH(H$83,'변표 테이블'!$B$4:$B$74,0),MATCH(L106,'변표 테이블'!$C$3:$FF$3,0)),0)</f>
        <v>0</v>
      </c>
      <c r="I106" s="4">
        <f>IFERROR(INDEX('변표 테이블'!$C$4:$FF$74,MATCH(I$83,'변표 테이블'!$B$4:$B$74,0),MATCH(L106,'변표 테이블'!$C$3:$FF$3,0)),0)</f>
        <v>0</v>
      </c>
      <c r="J106" s="4">
        <f>IFERROR(INDEX('변표 테이블'!$C$4:$FF$74,MATCH(J$83,'변표 테이블'!$B$4:$B$74,0),MATCH(M106,'변표 테이블'!$C$3:$FF$3,0)),0)</f>
        <v>0</v>
      </c>
      <c r="K106" s="23">
        <f>IFERROR(INDEX('변표 테이블'!$C$4:$FF$74,MATCH(K$83,'변표 테이블'!$B$4:$B$74,0),MATCH(M106,'변표 테이블'!$C$3:$FF$3,0)),0)</f>
        <v>0</v>
      </c>
      <c r="L106" t="str">
        <f t="shared" si="4"/>
        <v>21과</v>
      </c>
      <c r="M106" s="5" t="str">
        <f t="shared" si="5"/>
        <v>21사</v>
      </c>
    </row>
    <row r="107" spans="2:13" x14ac:dyDescent="0.3">
      <c r="B107" s="33">
        <v>22</v>
      </c>
      <c r="C107" s="4">
        <f>INDEX('변표 테이블'!$C$4:$FF$4,MATCH(L107,'변표 테이블'!$C$3:$FF$3,0))</f>
        <v>0</v>
      </c>
      <c r="D107" s="4">
        <f>INDEX('변표 테이블'!$C$4:$FF$4,MATCH(M107,'변표 테이블'!$C$3:$FF$3,0))</f>
        <v>0</v>
      </c>
      <c r="E107" s="4"/>
      <c r="F107" s="33">
        <f t="shared" si="0"/>
        <v>0</v>
      </c>
      <c r="G107" s="23">
        <f t="shared" si="1"/>
        <v>0</v>
      </c>
      <c r="H107" s="4">
        <f>IFERROR(INDEX('변표 테이블'!$C$4:$FF$74,MATCH(H$83,'변표 테이블'!$B$4:$B$74,0),MATCH(L107,'변표 테이블'!$C$3:$FF$3,0)),0)</f>
        <v>0</v>
      </c>
      <c r="I107" s="4">
        <f>IFERROR(INDEX('변표 테이블'!$C$4:$FF$74,MATCH(I$83,'변표 테이블'!$B$4:$B$74,0),MATCH(L107,'변표 테이블'!$C$3:$FF$3,0)),0)</f>
        <v>0</v>
      </c>
      <c r="J107" s="4">
        <f>IFERROR(INDEX('변표 테이블'!$C$4:$FF$74,MATCH(J$83,'변표 테이블'!$B$4:$B$74,0),MATCH(M107,'변표 테이블'!$C$3:$FF$3,0)),0)</f>
        <v>0</v>
      </c>
      <c r="K107" s="23">
        <f>IFERROR(INDEX('변표 테이블'!$C$4:$FF$74,MATCH(K$83,'변표 테이블'!$B$4:$B$74,0),MATCH(M107,'변표 테이블'!$C$3:$FF$3,0)),0)</f>
        <v>0</v>
      </c>
      <c r="L107" t="str">
        <f t="shared" si="4"/>
        <v>22과</v>
      </c>
      <c r="M107" s="5" t="str">
        <f t="shared" si="5"/>
        <v>22사</v>
      </c>
    </row>
    <row r="108" spans="2:13" x14ac:dyDescent="0.3">
      <c r="B108" s="33">
        <v>23</v>
      </c>
      <c r="C108" s="4">
        <f>INDEX('변표 테이블'!$C$4:$FF$4,MATCH(L108,'변표 테이블'!$C$3:$FF$3,0))</f>
        <v>0</v>
      </c>
      <c r="D108" s="4">
        <f>INDEX('변표 테이블'!$C$4:$FF$4,MATCH(M108,'변표 테이블'!$C$3:$FF$3,0))</f>
        <v>0</v>
      </c>
      <c r="E108" s="4"/>
      <c r="F108" s="33">
        <f t="shared" si="0"/>
        <v>0</v>
      </c>
      <c r="G108" s="23">
        <f t="shared" si="1"/>
        <v>0</v>
      </c>
      <c r="H108" s="4">
        <f>IFERROR(INDEX('변표 테이블'!$C$4:$FF$74,MATCH(H$83,'변표 테이블'!$B$4:$B$74,0),MATCH(L108,'변표 테이블'!$C$3:$FF$3,0)),0)</f>
        <v>0</v>
      </c>
      <c r="I108" s="4">
        <f>IFERROR(INDEX('변표 테이블'!$C$4:$FF$74,MATCH(I$83,'변표 테이블'!$B$4:$B$74,0),MATCH(L108,'변표 테이블'!$C$3:$FF$3,0)),0)</f>
        <v>0</v>
      </c>
      <c r="J108" s="4">
        <f>IFERROR(INDEX('변표 테이블'!$C$4:$FF$74,MATCH(J$83,'변표 테이블'!$B$4:$B$74,0),MATCH(M108,'변표 테이블'!$C$3:$FF$3,0)),0)</f>
        <v>0</v>
      </c>
      <c r="K108" s="23">
        <f>IFERROR(INDEX('변표 테이블'!$C$4:$FF$74,MATCH(K$83,'변표 테이블'!$B$4:$B$74,0),MATCH(M108,'변표 테이블'!$C$3:$FF$3,0)),0)</f>
        <v>0</v>
      </c>
      <c r="L108" t="str">
        <f t="shared" si="4"/>
        <v>23과</v>
      </c>
      <c r="M108" s="5" t="str">
        <f t="shared" si="5"/>
        <v>23사</v>
      </c>
    </row>
    <row r="109" spans="2:13" x14ac:dyDescent="0.3">
      <c r="B109" s="33">
        <v>24</v>
      </c>
      <c r="C109" s="4">
        <f>INDEX('변표 테이블'!$C$4:$FF$4,MATCH(L109,'변표 테이블'!$C$3:$FF$3,0))</f>
        <v>0</v>
      </c>
      <c r="D109" s="4">
        <f>INDEX('변표 테이블'!$C$4:$FF$4,MATCH(M109,'변표 테이블'!$C$3:$FF$3,0))</f>
        <v>0</v>
      </c>
      <c r="E109" s="4"/>
      <c r="F109" s="33">
        <f t="shared" si="0"/>
        <v>0</v>
      </c>
      <c r="G109" s="23">
        <f t="shared" si="1"/>
        <v>0</v>
      </c>
      <c r="H109" s="4">
        <f>IFERROR(INDEX('변표 테이블'!$C$4:$FF$74,MATCH(H$83,'변표 테이블'!$B$4:$B$74,0),MATCH(L109,'변표 테이블'!$C$3:$FF$3,0)),0)</f>
        <v>0</v>
      </c>
      <c r="I109" s="4">
        <f>IFERROR(INDEX('변표 테이블'!$C$4:$FF$74,MATCH(I$83,'변표 테이블'!$B$4:$B$74,0),MATCH(L109,'변표 테이블'!$C$3:$FF$3,0)),0)</f>
        <v>0</v>
      </c>
      <c r="J109" s="4">
        <f>IFERROR(INDEX('변표 테이블'!$C$4:$FF$74,MATCH(J$83,'변표 테이블'!$B$4:$B$74,0),MATCH(M109,'변표 테이블'!$C$3:$FF$3,0)),0)</f>
        <v>0</v>
      </c>
      <c r="K109" s="23">
        <f>IFERROR(INDEX('변표 테이블'!$C$4:$FF$74,MATCH(K$83,'변표 테이블'!$B$4:$B$74,0),MATCH(M109,'변표 테이블'!$C$3:$FF$3,0)),0)</f>
        <v>0</v>
      </c>
      <c r="L109" t="str">
        <f t="shared" si="4"/>
        <v>24과</v>
      </c>
      <c r="M109" s="5" t="str">
        <f t="shared" si="5"/>
        <v>24사</v>
      </c>
    </row>
    <row r="110" spans="2:13" x14ac:dyDescent="0.3">
      <c r="B110" s="33">
        <v>25</v>
      </c>
      <c r="C110" s="4">
        <f>INDEX('변표 테이블'!$C$4:$FF$4,MATCH(L110,'변표 테이블'!$C$3:$FF$3,0))</f>
        <v>0</v>
      </c>
      <c r="D110" s="4">
        <f>INDEX('변표 테이블'!$C$4:$FF$4,MATCH(M110,'변표 테이블'!$C$3:$FF$3,0))</f>
        <v>0</v>
      </c>
      <c r="E110" s="4"/>
      <c r="F110" s="33">
        <f t="shared" si="0"/>
        <v>0</v>
      </c>
      <c r="G110" s="23">
        <f t="shared" si="1"/>
        <v>0</v>
      </c>
      <c r="H110" s="4">
        <f>IFERROR(INDEX('변표 테이블'!$C$4:$FF$74,MATCH(H$83,'변표 테이블'!$B$4:$B$74,0),MATCH(L110,'변표 테이블'!$C$3:$FF$3,0)),0)</f>
        <v>0</v>
      </c>
      <c r="I110" s="4">
        <f>IFERROR(INDEX('변표 테이블'!$C$4:$FF$74,MATCH(I$83,'변표 테이블'!$B$4:$B$74,0),MATCH(L110,'변표 테이블'!$C$3:$FF$3,0)),0)</f>
        <v>0</v>
      </c>
      <c r="J110" s="4">
        <f>IFERROR(INDEX('변표 테이블'!$C$4:$FF$74,MATCH(J$83,'변표 테이블'!$B$4:$B$74,0),MATCH(M110,'변표 테이블'!$C$3:$FF$3,0)),0)</f>
        <v>0</v>
      </c>
      <c r="K110" s="23">
        <f>IFERROR(INDEX('변표 테이블'!$C$4:$FF$74,MATCH(K$83,'변표 테이블'!$B$4:$B$74,0),MATCH(M110,'변표 테이블'!$C$3:$FF$3,0)),0)</f>
        <v>0</v>
      </c>
      <c r="L110" t="str">
        <f t="shared" si="4"/>
        <v>25과</v>
      </c>
      <c r="M110" s="5" t="str">
        <f t="shared" si="5"/>
        <v>25사</v>
      </c>
    </row>
    <row r="111" spans="2:13" x14ac:dyDescent="0.3">
      <c r="B111" s="33">
        <v>26</v>
      </c>
      <c r="C111" s="4">
        <f>INDEX('변표 테이블'!$C$4:$FF$4,MATCH(L111,'변표 테이블'!$C$3:$FF$3,0))</f>
        <v>0</v>
      </c>
      <c r="D111" s="4">
        <f>INDEX('변표 테이블'!$C$4:$FF$4,MATCH(M111,'변표 테이블'!$C$3:$FF$3,0))</f>
        <v>0</v>
      </c>
      <c r="E111" s="4"/>
      <c r="F111" s="33">
        <f t="shared" si="0"/>
        <v>0</v>
      </c>
      <c r="G111" s="23">
        <f t="shared" si="1"/>
        <v>0</v>
      </c>
      <c r="H111" s="4">
        <f>IFERROR(INDEX('변표 테이블'!$C$4:$FF$74,MATCH(H$83,'변표 테이블'!$B$4:$B$74,0),MATCH(L111,'변표 테이블'!$C$3:$FF$3,0)),0)</f>
        <v>0</v>
      </c>
      <c r="I111" s="4">
        <f>IFERROR(INDEX('변표 테이블'!$C$4:$FF$74,MATCH(I$83,'변표 테이블'!$B$4:$B$74,0),MATCH(L111,'변표 테이블'!$C$3:$FF$3,0)),0)</f>
        <v>0</v>
      </c>
      <c r="J111" s="4">
        <f>IFERROR(INDEX('변표 테이블'!$C$4:$FF$74,MATCH(J$83,'변표 테이블'!$B$4:$B$74,0),MATCH(M111,'변표 테이블'!$C$3:$FF$3,0)),0)</f>
        <v>0</v>
      </c>
      <c r="K111" s="23">
        <f>IFERROR(INDEX('변표 테이블'!$C$4:$FF$74,MATCH(K$83,'변표 테이블'!$B$4:$B$74,0),MATCH(M111,'변표 테이블'!$C$3:$FF$3,0)),0)</f>
        <v>0</v>
      </c>
      <c r="L111" t="str">
        <f t="shared" si="4"/>
        <v>26과</v>
      </c>
      <c r="M111" s="5" t="str">
        <f t="shared" si="5"/>
        <v>26사</v>
      </c>
    </row>
    <row r="112" spans="2:13" x14ac:dyDescent="0.3">
      <c r="B112" s="33">
        <v>27</v>
      </c>
      <c r="C112" s="4">
        <f>INDEX('변표 테이블'!$C$4:$FF$4,MATCH(L112,'변표 테이블'!$C$3:$FF$3,0))</f>
        <v>0</v>
      </c>
      <c r="D112" s="4">
        <f>INDEX('변표 테이블'!$C$4:$FF$4,MATCH(M112,'변표 테이블'!$C$3:$FF$3,0))</f>
        <v>0</v>
      </c>
      <c r="E112" s="4"/>
      <c r="F112" s="33">
        <f t="shared" si="0"/>
        <v>0</v>
      </c>
      <c r="G112" s="23">
        <f t="shared" si="1"/>
        <v>0</v>
      </c>
      <c r="H112" s="4">
        <f>IFERROR(INDEX('변표 테이블'!$C$4:$FF$74,MATCH(H$83,'변표 테이블'!$B$4:$B$74,0),MATCH(L112,'변표 테이블'!$C$3:$FF$3,0)),0)</f>
        <v>0</v>
      </c>
      <c r="I112" s="4">
        <f>IFERROR(INDEX('변표 테이블'!$C$4:$FF$74,MATCH(I$83,'변표 테이블'!$B$4:$B$74,0),MATCH(L112,'변표 테이블'!$C$3:$FF$3,0)),0)</f>
        <v>0</v>
      </c>
      <c r="J112" s="4">
        <f>IFERROR(INDEX('변표 테이블'!$C$4:$FF$74,MATCH(J$83,'변표 테이블'!$B$4:$B$74,0),MATCH(M112,'변표 테이블'!$C$3:$FF$3,0)),0)</f>
        <v>0</v>
      </c>
      <c r="K112" s="23">
        <f>IFERROR(INDEX('변표 테이블'!$C$4:$FF$74,MATCH(K$83,'변표 테이블'!$B$4:$B$74,0),MATCH(M112,'변표 테이블'!$C$3:$FF$3,0)),0)</f>
        <v>0</v>
      </c>
      <c r="L112" t="str">
        <f t="shared" si="4"/>
        <v>27과</v>
      </c>
      <c r="M112" s="5" t="str">
        <f t="shared" si="5"/>
        <v>27사</v>
      </c>
    </row>
    <row r="113" spans="2:13" x14ac:dyDescent="0.3">
      <c r="B113" s="33">
        <v>28</v>
      </c>
      <c r="C113" s="4">
        <f>INDEX('변표 테이블'!$C$4:$FF$4,MATCH(L113,'변표 테이블'!$C$3:$FF$3,0))</f>
        <v>0</v>
      </c>
      <c r="D113" s="4">
        <f>INDEX('변표 테이블'!$C$4:$FF$4,MATCH(M113,'변표 테이블'!$C$3:$FF$3,0))</f>
        <v>0</v>
      </c>
      <c r="E113" s="4"/>
      <c r="F113" s="33">
        <f t="shared" si="0"/>
        <v>0</v>
      </c>
      <c r="G113" s="23">
        <f t="shared" si="1"/>
        <v>0</v>
      </c>
      <c r="H113" s="4">
        <f>IFERROR(INDEX('변표 테이블'!$C$4:$FF$74,MATCH(H$83,'변표 테이블'!$B$4:$B$74,0),MATCH(L113,'변표 테이블'!$C$3:$FF$3,0)),0)</f>
        <v>0</v>
      </c>
      <c r="I113" s="4">
        <f>IFERROR(INDEX('변표 테이블'!$C$4:$FF$74,MATCH(I$83,'변표 테이블'!$B$4:$B$74,0),MATCH(L113,'변표 테이블'!$C$3:$FF$3,0)),0)</f>
        <v>0</v>
      </c>
      <c r="J113" s="4">
        <f>IFERROR(INDEX('변표 테이블'!$C$4:$FF$74,MATCH(J$83,'변표 테이블'!$B$4:$B$74,0),MATCH(M113,'변표 테이블'!$C$3:$FF$3,0)),0)</f>
        <v>0</v>
      </c>
      <c r="K113" s="23">
        <f>IFERROR(INDEX('변표 테이블'!$C$4:$FF$74,MATCH(K$83,'변표 테이블'!$B$4:$B$74,0),MATCH(M113,'변표 테이블'!$C$3:$FF$3,0)),0)</f>
        <v>0</v>
      </c>
      <c r="L113" t="str">
        <f t="shared" si="4"/>
        <v>28과</v>
      </c>
      <c r="M113" s="5" t="str">
        <f t="shared" si="5"/>
        <v>28사</v>
      </c>
    </row>
    <row r="114" spans="2:13" x14ac:dyDescent="0.3">
      <c r="B114" s="33">
        <v>29</v>
      </c>
      <c r="C114" s="4">
        <f>INDEX('변표 테이블'!$C$4:$FF$4,MATCH(L114,'변표 테이블'!$C$3:$FF$3,0))</f>
        <v>0</v>
      </c>
      <c r="D114" s="4">
        <f>INDEX('변표 테이블'!$C$4:$FF$4,MATCH(M114,'변표 테이블'!$C$3:$FF$3,0))</f>
        <v>0</v>
      </c>
      <c r="E114" s="4"/>
      <c r="F114" s="33">
        <f t="shared" si="0"/>
        <v>0</v>
      </c>
      <c r="G114" s="23">
        <f t="shared" si="1"/>
        <v>0</v>
      </c>
      <c r="H114" s="4">
        <f>IFERROR(INDEX('변표 테이블'!$C$4:$FF$74,MATCH(H$83,'변표 테이블'!$B$4:$B$74,0),MATCH(L114,'변표 테이블'!$C$3:$FF$3,0)),0)</f>
        <v>0</v>
      </c>
      <c r="I114" s="4">
        <f>IFERROR(INDEX('변표 테이블'!$C$4:$FF$74,MATCH(I$83,'변표 테이블'!$B$4:$B$74,0),MATCH(L114,'변표 테이블'!$C$3:$FF$3,0)),0)</f>
        <v>0</v>
      </c>
      <c r="J114" s="4">
        <f>IFERROR(INDEX('변표 테이블'!$C$4:$FF$74,MATCH(J$83,'변표 테이블'!$B$4:$B$74,0),MATCH(M114,'변표 테이블'!$C$3:$FF$3,0)),0)</f>
        <v>0</v>
      </c>
      <c r="K114" s="23">
        <f>IFERROR(INDEX('변표 테이블'!$C$4:$FF$74,MATCH(K$83,'변표 테이블'!$B$4:$B$74,0),MATCH(M114,'변표 테이블'!$C$3:$FF$3,0)),0)</f>
        <v>0</v>
      </c>
      <c r="L114" t="str">
        <f t="shared" si="4"/>
        <v>29과</v>
      </c>
      <c r="M114" s="5" t="str">
        <f t="shared" si="5"/>
        <v>29사</v>
      </c>
    </row>
    <row r="115" spans="2:13" x14ac:dyDescent="0.3">
      <c r="B115" s="33">
        <v>30</v>
      </c>
      <c r="C115" s="4">
        <f>INDEX('변표 테이블'!$C$4:$FF$4,MATCH(L115,'변표 테이블'!$C$3:$FF$3,0))</f>
        <v>0</v>
      </c>
      <c r="D115" s="4">
        <f>INDEX('변표 테이블'!$C$4:$FF$4,MATCH(M115,'변표 테이블'!$C$3:$FF$3,0))</f>
        <v>0</v>
      </c>
      <c r="E115" s="4"/>
      <c r="F115" s="33">
        <f t="shared" si="0"/>
        <v>0</v>
      </c>
      <c r="G115" s="23">
        <f t="shared" si="1"/>
        <v>0</v>
      </c>
      <c r="H115" s="4">
        <f>IFERROR(INDEX('변표 테이블'!$C$4:$FF$74,MATCH(H$83,'변표 테이블'!$B$4:$B$74,0),MATCH(L115,'변표 테이블'!$C$3:$FF$3,0)),0)</f>
        <v>0</v>
      </c>
      <c r="I115" s="4">
        <f>IFERROR(INDEX('변표 테이블'!$C$4:$FF$74,MATCH(I$83,'변표 테이블'!$B$4:$B$74,0),MATCH(L115,'변표 테이블'!$C$3:$FF$3,0)),0)</f>
        <v>0</v>
      </c>
      <c r="J115" s="4">
        <f>IFERROR(INDEX('변표 테이블'!$C$4:$FF$74,MATCH(J$83,'변표 테이블'!$B$4:$B$74,0),MATCH(M115,'변표 테이블'!$C$3:$FF$3,0)),0)</f>
        <v>0</v>
      </c>
      <c r="K115" s="23">
        <f>IFERROR(INDEX('변표 테이블'!$C$4:$FF$74,MATCH(K$83,'변표 테이블'!$B$4:$B$74,0),MATCH(M115,'변표 테이블'!$C$3:$FF$3,0)),0)</f>
        <v>0</v>
      </c>
      <c r="L115" t="str">
        <f t="shared" si="4"/>
        <v>30과</v>
      </c>
      <c r="M115" s="5" t="str">
        <f t="shared" si="5"/>
        <v>30사</v>
      </c>
    </row>
    <row r="116" spans="2:13" x14ac:dyDescent="0.3">
      <c r="B116" s="33">
        <v>31</v>
      </c>
      <c r="C116" s="4">
        <f>INDEX('변표 테이블'!$C$4:$FF$4,MATCH(L116,'변표 테이블'!$C$3:$FF$3,0))</f>
        <v>0</v>
      </c>
      <c r="D116" s="4">
        <f>INDEX('변표 테이블'!$C$4:$FF$4,MATCH(M116,'변표 테이블'!$C$3:$FF$3,0))</f>
        <v>0</v>
      </c>
      <c r="E116" s="4"/>
      <c r="F116" s="33">
        <f t="shared" si="0"/>
        <v>0</v>
      </c>
      <c r="G116" s="23">
        <f t="shared" si="1"/>
        <v>0</v>
      </c>
      <c r="H116" s="4">
        <f>IFERROR(INDEX('변표 테이블'!$C$4:$FF$74,MATCH(H$83,'변표 테이블'!$B$4:$B$74,0),MATCH(L116,'변표 테이블'!$C$3:$FF$3,0)),0)</f>
        <v>0</v>
      </c>
      <c r="I116" s="4">
        <f>IFERROR(INDEX('변표 테이블'!$C$4:$FF$74,MATCH(I$83,'변표 테이블'!$B$4:$B$74,0),MATCH(L116,'변표 테이블'!$C$3:$FF$3,0)),0)</f>
        <v>0</v>
      </c>
      <c r="J116" s="4">
        <f>IFERROR(INDEX('변표 테이블'!$C$4:$FF$74,MATCH(J$83,'변표 테이블'!$B$4:$B$74,0),MATCH(M116,'변표 테이블'!$C$3:$FF$3,0)),0)</f>
        <v>0</v>
      </c>
      <c r="K116" s="23">
        <f>IFERROR(INDEX('변표 테이블'!$C$4:$FF$74,MATCH(K$83,'변표 테이블'!$B$4:$B$74,0),MATCH(M116,'변표 테이블'!$C$3:$FF$3,0)),0)</f>
        <v>0</v>
      </c>
      <c r="L116" t="str">
        <f t="shared" si="4"/>
        <v>31과</v>
      </c>
      <c r="M116" s="5" t="str">
        <f t="shared" si="5"/>
        <v>31사</v>
      </c>
    </row>
    <row r="117" spans="2:13" x14ac:dyDescent="0.3">
      <c r="B117" s="33">
        <v>32</v>
      </c>
      <c r="C117" s="4">
        <f>INDEX('변표 테이블'!$C$4:$FF$4,MATCH(L117,'변표 테이블'!$C$3:$FF$3,0))</f>
        <v>0</v>
      </c>
      <c r="D117" s="4">
        <f>INDEX('변표 테이블'!$C$4:$FF$4,MATCH(M117,'변표 테이블'!$C$3:$FF$3,0))</f>
        <v>0</v>
      </c>
      <c r="E117" s="4"/>
      <c r="F117" s="33">
        <f t="shared" si="0"/>
        <v>0</v>
      </c>
      <c r="G117" s="23">
        <f t="shared" si="1"/>
        <v>0</v>
      </c>
      <c r="H117" s="4">
        <f>IFERROR(INDEX('변표 테이블'!$C$4:$FF$74,MATCH(H$83,'변표 테이블'!$B$4:$B$74,0),MATCH(L117,'변표 테이블'!$C$3:$FF$3,0)),0)</f>
        <v>0</v>
      </c>
      <c r="I117" s="4">
        <f>IFERROR(INDEX('변표 테이블'!$C$4:$FF$74,MATCH(I$83,'변표 테이블'!$B$4:$B$74,0),MATCH(L117,'변표 테이블'!$C$3:$FF$3,0)),0)</f>
        <v>0</v>
      </c>
      <c r="J117" s="4">
        <f>IFERROR(INDEX('변표 테이블'!$C$4:$FF$74,MATCH(J$83,'변표 테이블'!$B$4:$B$74,0),MATCH(M117,'변표 테이블'!$C$3:$FF$3,0)),0)</f>
        <v>0</v>
      </c>
      <c r="K117" s="23">
        <f>IFERROR(INDEX('변표 테이블'!$C$4:$FF$74,MATCH(K$83,'변표 테이블'!$B$4:$B$74,0),MATCH(M117,'변표 테이블'!$C$3:$FF$3,0)),0)</f>
        <v>0</v>
      </c>
      <c r="L117" t="str">
        <f t="shared" si="4"/>
        <v>32과</v>
      </c>
      <c r="M117" s="5" t="str">
        <f t="shared" si="5"/>
        <v>32사</v>
      </c>
    </row>
    <row r="118" spans="2:13" x14ac:dyDescent="0.3">
      <c r="B118" s="33">
        <v>33</v>
      </c>
      <c r="C118" s="4">
        <f>INDEX('변표 테이블'!$C$4:$FF$4,MATCH(L118,'변표 테이블'!$C$3:$FF$3,0))</f>
        <v>0</v>
      </c>
      <c r="D118" s="4">
        <f>INDEX('변표 테이블'!$C$4:$FF$4,MATCH(M118,'변표 테이블'!$C$3:$FF$3,0))</f>
        <v>0</v>
      </c>
      <c r="E118" s="4"/>
      <c r="F118" s="33">
        <f t="shared" si="0"/>
        <v>0</v>
      </c>
      <c r="G118" s="23">
        <f t="shared" si="1"/>
        <v>0</v>
      </c>
      <c r="H118" s="4">
        <f>IFERROR(INDEX('변표 테이블'!$C$4:$FF$74,MATCH(H$83,'변표 테이블'!$B$4:$B$74,0),MATCH(L118,'변표 테이블'!$C$3:$FF$3,0)),0)</f>
        <v>0</v>
      </c>
      <c r="I118" s="4">
        <f>IFERROR(INDEX('변표 테이블'!$C$4:$FF$74,MATCH(I$83,'변표 테이블'!$B$4:$B$74,0),MATCH(L118,'변표 테이블'!$C$3:$FF$3,0)),0)</f>
        <v>0</v>
      </c>
      <c r="J118" s="4">
        <f>IFERROR(INDEX('변표 테이블'!$C$4:$FF$74,MATCH(J$83,'변표 테이블'!$B$4:$B$74,0),MATCH(M118,'변표 테이블'!$C$3:$FF$3,0)),0)</f>
        <v>0</v>
      </c>
      <c r="K118" s="23">
        <f>IFERROR(INDEX('변표 테이블'!$C$4:$FF$74,MATCH(K$83,'변표 테이블'!$B$4:$B$74,0),MATCH(M118,'변표 테이블'!$C$3:$FF$3,0)),0)</f>
        <v>0</v>
      </c>
      <c r="L118" t="str">
        <f t="shared" si="4"/>
        <v>33과</v>
      </c>
      <c r="M118" s="5" t="str">
        <f t="shared" si="5"/>
        <v>33사</v>
      </c>
    </row>
    <row r="119" spans="2:13" x14ac:dyDescent="0.3">
      <c r="B119" s="33">
        <v>34</v>
      </c>
      <c r="C119" s="4">
        <f>INDEX('변표 테이블'!$C$4:$FF$4,MATCH(L119,'변표 테이블'!$C$3:$FF$3,0))</f>
        <v>0</v>
      </c>
      <c r="D119" s="4">
        <f>INDEX('변표 테이블'!$C$4:$FF$4,MATCH(M119,'변표 테이블'!$C$3:$FF$3,0))</f>
        <v>0</v>
      </c>
      <c r="E119" s="4"/>
      <c r="F119" s="33">
        <f t="shared" si="0"/>
        <v>0</v>
      </c>
      <c r="G119" s="23">
        <f t="shared" si="1"/>
        <v>0</v>
      </c>
      <c r="H119" s="4">
        <f>IFERROR(INDEX('변표 테이블'!$C$4:$FF$74,MATCH(H$83,'변표 테이블'!$B$4:$B$74,0),MATCH(L119,'변표 테이블'!$C$3:$FF$3,0)),0)</f>
        <v>0</v>
      </c>
      <c r="I119" s="4">
        <f>IFERROR(INDEX('변표 테이블'!$C$4:$FF$74,MATCH(I$83,'변표 테이블'!$B$4:$B$74,0),MATCH(L119,'변표 테이블'!$C$3:$FF$3,0)),0)</f>
        <v>0</v>
      </c>
      <c r="J119" s="4">
        <f>IFERROR(INDEX('변표 테이블'!$C$4:$FF$74,MATCH(J$83,'변표 테이블'!$B$4:$B$74,0),MATCH(M119,'변표 테이블'!$C$3:$FF$3,0)),0)</f>
        <v>0</v>
      </c>
      <c r="K119" s="23">
        <f>IFERROR(INDEX('변표 테이블'!$C$4:$FF$74,MATCH(K$83,'변표 테이블'!$B$4:$B$74,0),MATCH(M119,'변표 테이블'!$C$3:$FF$3,0)),0)</f>
        <v>0</v>
      </c>
      <c r="L119" t="str">
        <f t="shared" si="4"/>
        <v>34과</v>
      </c>
      <c r="M119" s="5" t="str">
        <f t="shared" si="5"/>
        <v>34사</v>
      </c>
    </row>
    <row r="120" spans="2:13" x14ac:dyDescent="0.3">
      <c r="B120" s="33">
        <v>35</v>
      </c>
      <c r="C120" s="4">
        <f>INDEX('변표 테이블'!$C$4:$FF$4,MATCH(L120,'변표 테이블'!$C$3:$FF$3,0))</f>
        <v>0</v>
      </c>
      <c r="D120" s="4">
        <f>INDEX('변표 테이블'!$C$4:$FF$4,MATCH(M120,'변표 테이블'!$C$3:$FF$3,0))</f>
        <v>0</v>
      </c>
      <c r="E120" s="4"/>
      <c r="F120" s="33">
        <f t="shared" si="0"/>
        <v>0</v>
      </c>
      <c r="G120" s="23">
        <f t="shared" si="1"/>
        <v>0</v>
      </c>
      <c r="H120" s="4">
        <f>IFERROR(INDEX('변표 테이블'!$C$4:$FF$74,MATCH(H$83,'변표 테이블'!$B$4:$B$74,0),MATCH(L120,'변표 테이블'!$C$3:$FF$3,0)),0)</f>
        <v>0</v>
      </c>
      <c r="I120" s="4">
        <f>IFERROR(INDEX('변표 테이블'!$C$4:$FF$74,MATCH(I$83,'변표 테이블'!$B$4:$B$74,0),MATCH(L120,'변표 테이블'!$C$3:$FF$3,0)),0)</f>
        <v>0</v>
      </c>
      <c r="J120" s="4">
        <f>IFERROR(INDEX('변표 테이블'!$C$4:$FF$74,MATCH(J$83,'변표 테이블'!$B$4:$B$74,0),MATCH(M120,'변표 테이블'!$C$3:$FF$3,0)),0)</f>
        <v>0</v>
      </c>
      <c r="K120" s="23">
        <f>IFERROR(INDEX('변표 테이블'!$C$4:$FF$74,MATCH(K$83,'변표 테이블'!$B$4:$B$74,0),MATCH(M120,'변표 테이블'!$C$3:$FF$3,0)),0)</f>
        <v>0</v>
      </c>
      <c r="L120" t="str">
        <f t="shared" si="4"/>
        <v>35과</v>
      </c>
      <c r="M120" s="5" t="str">
        <f t="shared" si="5"/>
        <v>35사</v>
      </c>
    </row>
    <row r="121" spans="2:13" x14ac:dyDescent="0.3">
      <c r="B121" s="33">
        <v>36</v>
      </c>
      <c r="C121" s="4">
        <f>INDEX('변표 테이블'!$C$4:$FF$4,MATCH(L121,'변표 테이블'!$C$3:$FF$3,0))</f>
        <v>0</v>
      </c>
      <c r="D121" s="4">
        <f>INDEX('변표 테이블'!$C$4:$FF$4,MATCH(M121,'변표 테이블'!$C$3:$FF$3,0))</f>
        <v>0</v>
      </c>
      <c r="E121" s="4"/>
      <c r="F121" s="33">
        <f t="shared" si="0"/>
        <v>0</v>
      </c>
      <c r="G121" s="23">
        <f t="shared" si="1"/>
        <v>0</v>
      </c>
      <c r="H121" s="4">
        <f>IFERROR(INDEX('변표 테이블'!$C$4:$FF$74,MATCH(H$83,'변표 테이블'!$B$4:$B$74,0),MATCH(L121,'변표 테이블'!$C$3:$FF$3,0)),0)</f>
        <v>0</v>
      </c>
      <c r="I121" s="4">
        <f>IFERROR(INDEX('변표 테이블'!$C$4:$FF$74,MATCH(I$83,'변표 테이블'!$B$4:$B$74,0),MATCH(L121,'변표 테이블'!$C$3:$FF$3,0)),0)</f>
        <v>0</v>
      </c>
      <c r="J121" s="4">
        <f>IFERROR(INDEX('변표 테이블'!$C$4:$FF$74,MATCH(J$83,'변표 테이블'!$B$4:$B$74,0),MATCH(M121,'변표 테이블'!$C$3:$FF$3,0)),0)</f>
        <v>0</v>
      </c>
      <c r="K121" s="23">
        <f>IFERROR(INDEX('변표 테이블'!$C$4:$FF$74,MATCH(K$83,'변표 테이블'!$B$4:$B$74,0),MATCH(M121,'변표 테이블'!$C$3:$FF$3,0)),0)</f>
        <v>0</v>
      </c>
      <c r="L121" t="str">
        <f t="shared" si="4"/>
        <v>36과</v>
      </c>
      <c r="M121" s="5" t="str">
        <f t="shared" si="5"/>
        <v>36사</v>
      </c>
    </row>
    <row r="122" spans="2:13" x14ac:dyDescent="0.3">
      <c r="B122" s="33">
        <v>37</v>
      </c>
      <c r="C122" s="4">
        <f>INDEX('변표 테이블'!$C$4:$FF$4,MATCH(L122,'변표 테이블'!$C$3:$FF$3,0))</f>
        <v>0</v>
      </c>
      <c r="D122" s="4">
        <f>INDEX('변표 테이블'!$C$4:$FF$4,MATCH(M122,'변표 테이블'!$C$3:$FF$3,0))</f>
        <v>0</v>
      </c>
      <c r="E122" s="4"/>
      <c r="F122" s="33">
        <f t="shared" si="0"/>
        <v>0</v>
      </c>
      <c r="G122" s="23">
        <f t="shared" si="1"/>
        <v>0</v>
      </c>
      <c r="H122" s="4">
        <f>IFERROR(INDEX('변표 테이블'!$C$4:$FF$74,MATCH(H$83,'변표 테이블'!$B$4:$B$74,0),MATCH(L122,'변표 테이블'!$C$3:$FF$3,0)),0)</f>
        <v>0</v>
      </c>
      <c r="I122" s="4">
        <f>IFERROR(INDEX('변표 테이블'!$C$4:$FF$74,MATCH(I$83,'변표 테이블'!$B$4:$B$74,0),MATCH(L122,'변표 테이블'!$C$3:$FF$3,0)),0)</f>
        <v>0</v>
      </c>
      <c r="J122" s="4">
        <f>IFERROR(INDEX('변표 테이블'!$C$4:$FF$74,MATCH(J$83,'변표 테이블'!$B$4:$B$74,0),MATCH(M122,'변표 테이블'!$C$3:$FF$3,0)),0)</f>
        <v>0</v>
      </c>
      <c r="K122" s="23">
        <f>IFERROR(INDEX('변표 테이블'!$C$4:$FF$74,MATCH(K$83,'변표 테이블'!$B$4:$B$74,0),MATCH(M122,'변표 테이블'!$C$3:$FF$3,0)),0)</f>
        <v>0</v>
      </c>
      <c r="L122" t="str">
        <f t="shared" si="4"/>
        <v>37과</v>
      </c>
      <c r="M122" s="5" t="str">
        <f t="shared" si="5"/>
        <v>37사</v>
      </c>
    </row>
    <row r="123" spans="2:13" x14ac:dyDescent="0.3">
      <c r="B123" s="33">
        <v>38</v>
      </c>
      <c r="C123" s="4">
        <f>INDEX('변표 테이블'!$C$4:$FF$4,MATCH(L123,'변표 테이블'!$C$3:$FF$3,0))</f>
        <v>0</v>
      </c>
      <c r="D123" s="4">
        <f>INDEX('변표 테이블'!$C$4:$FF$4,MATCH(M123,'변표 테이블'!$C$3:$FF$3,0))</f>
        <v>0</v>
      </c>
      <c r="E123" s="4"/>
      <c r="F123" s="33">
        <f t="shared" si="0"/>
        <v>0</v>
      </c>
      <c r="G123" s="23">
        <f t="shared" si="1"/>
        <v>0</v>
      </c>
      <c r="H123" s="4">
        <f>IFERROR(INDEX('변표 테이블'!$C$4:$FF$74,MATCH(H$83,'변표 테이블'!$B$4:$B$74,0),MATCH(L123,'변표 테이블'!$C$3:$FF$3,0)),0)</f>
        <v>0</v>
      </c>
      <c r="I123" s="4">
        <f>IFERROR(INDEX('변표 테이블'!$C$4:$FF$74,MATCH(I$83,'변표 테이블'!$B$4:$B$74,0),MATCH(L123,'변표 테이블'!$C$3:$FF$3,0)),0)</f>
        <v>0</v>
      </c>
      <c r="J123" s="4">
        <f>IFERROR(INDEX('변표 테이블'!$C$4:$FF$74,MATCH(J$83,'변표 테이블'!$B$4:$B$74,0),MATCH(M123,'변표 테이블'!$C$3:$FF$3,0)),0)</f>
        <v>0</v>
      </c>
      <c r="K123" s="23">
        <f>IFERROR(INDEX('변표 테이블'!$C$4:$FF$74,MATCH(K$83,'변표 테이블'!$B$4:$B$74,0),MATCH(M123,'변표 테이블'!$C$3:$FF$3,0)),0)</f>
        <v>0</v>
      </c>
      <c r="L123" t="str">
        <f t="shared" si="4"/>
        <v>38과</v>
      </c>
      <c r="M123" s="5" t="str">
        <f t="shared" si="5"/>
        <v>38사</v>
      </c>
    </row>
    <row r="124" spans="2:13" x14ac:dyDescent="0.3">
      <c r="B124" s="33">
        <v>39</v>
      </c>
      <c r="C124" s="4">
        <f>INDEX('변표 테이블'!$C$4:$FF$4,MATCH(L124,'변표 테이블'!$C$3:$FF$3,0))</f>
        <v>0</v>
      </c>
      <c r="D124" s="4">
        <f>INDEX('변표 테이블'!$C$4:$FF$4,MATCH(M124,'변표 테이블'!$C$3:$FF$3,0))</f>
        <v>0</v>
      </c>
      <c r="E124" s="4"/>
      <c r="F124" s="33">
        <f t="shared" si="0"/>
        <v>0</v>
      </c>
      <c r="G124" s="23">
        <f t="shared" si="1"/>
        <v>0</v>
      </c>
      <c r="H124" s="4">
        <f>IFERROR(INDEX('변표 테이블'!$C$4:$FF$74,MATCH(H$83,'변표 테이블'!$B$4:$B$74,0),MATCH(L124,'변표 테이블'!$C$3:$FF$3,0)),0)</f>
        <v>0</v>
      </c>
      <c r="I124" s="4">
        <f>IFERROR(INDEX('변표 테이블'!$C$4:$FF$74,MATCH(I$83,'변표 테이블'!$B$4:$B$74,0),MATCH(L124,'변표 테이블'!$C$3:$FF$3,0)),0)</f>
        <v>0</v>
      </c>
      <c r="J124" s="4">
        <f>IFERROR(INDEX('변표 테이블'!$C$4:$FF$74,MATCH(J$83,'변표 테이블'!$B$4:$B$74,0),MATCH(M124,'변표 테이블'!$C$3:$FF$3,0)),0)</f>
        <v>0</v>
      </c>
      <c r="K124" s="23">
        <f>IFERROR(INDEX('변표 테이블'!$C$4:$FF$74,MATCH(K$83,'변표 테이블'!$B$4:$B$74,0),MATCH(M124,'변표 테이블'!$C$3:$FF$3,0)),0)</f>
        <v>0</v>
      </c>
      <c r="L124" t="str">
        <f t="shared" si="4"/>
        <v>39과</v>
      </c>
      <c r="M124" s="5" t="str">
        <f t="shared" si="5"/>
        <v>39사</v>
      </c>
    </row>
    <row r="125" spans="2:13" x14ac:dyDescent="0.3">
      <c r="B125" s="33">
        <v>40</v>
      </c>
      <c r="C125" s="4">
        <f>INDEX('변표 테이블'!$C$4:$FF$4,MATCH(L125,'변표 테이블'!$C$3:$FF$3,0))</f>
        <v>0</v>
      </c>
      <c r="D125" s="4">
        <f>INDEX('변표 테이블'!$C$4:$FF$4,MATCH(M125,'변표 테이블'!$C$3:$FF$3,0))</f>
        <v>0</v>
      </c>
      <c r="E125" s="4"/>
      <c r="F125" s="33">
        <f t="shared" si="0"/>
        <v>0</v>
      </c>
      <c r="G125" s="23">
        <f t="shared" si="1"/>
        <v>0</v>
      </c>
      <c r="H125" s="4">
        <f>IFERROR(INDEX('변표 테이블'!$C$4:$FF$74,MATCH(H$83,'변표 테이블'!$B$4:$B$74,0),MATCH(L125,'변표 테이블'!$C$3:$FF$3,0)),0)</f>
        <v>0</v>
      </c>
      <c r="I125" s="4">
        <f>IFERROR(INDEX('변표 테이블'!$C$4:$FF$74,MATCH(I$83,'변표 테이블'!$B$4:$B$74,0),MATCH(L125,'변표 테이블'!$C$3:$FF$3,0)),0)</f>
        <v>0</v>
      </c>
      <c r="J125" s="4">
        <f>IFERROR(INDEX('변표 테이블'!$C$4:$FF$74,MATCH(J$83,'변표 테이블'!$B$4:$B$74,0),MATCH(M125,'변표 테이블'!$C$3:$FF$3,0)),0)</f>
        <v>0</v>
      </c>
      <c r="K125" s="23">
        <f>IFERROR(INDEX('변표 테이블'!$C$4:$FF$74,MATCH(K$83,'변표 테이블'!$B$4:$B$74,0),MATCH(M125,'변표 테이블'!$C$3:$FF$3,0)),0)</f>
        <v>0</v>
      </c>
      <c r="L125" t="str">
        <f t="shared" si="4"/>
        <v>40과</v>
      </c>
      <c r="M125" s="5" t="str">
        <f t="shared" si="5"/>
        <v>40사</v>
      </c>
    </row>
    <row r="126" spans="2:13" x14ac:dyDescent="0.3">
      <c r="B126" s="33">
        <v>41</v>
      </c>
      <c r="C126" s="4">
        <f>INDEX('변표 테이블'!$C$4:$FF$4,MATCH(L126,'변표 테이블'!$C$3:$FF$3,0))</f>
        <v>0</v>
      </c>
      <c r="D126" s="4">
        <f>INDEX('변표 테이블'!$C$4:$FF$4,MATCH(M126,'변표 테이블'!$C$3:$FF$3,0))</f>
        <v>0</v>
      </c>
      <c r="E126" s="4"/>
      <c r="F126" s="33">
        <f t="shared" si="0"/>
        <v>0</v>
      </c>
      <c r="G126" s="23">
        <f t="shared" si="1"/>
        <v>0</v>
      </c>
      <c r="H126" s="4">
        <f>IFERROR(INDEX('변표 테이블'!$C$4:$FF$74,MATCH(H$83,'변표 테이블'!$B$4:$B$74,0),MATCH(L126,'변표 테이블'!$C$3:$FF$3,0)),0)</f>
        <v>0</v>
      </c>
      <c r="I126" s="4">
        <f>IFERROR(INDEX('변표 테이블'!$C$4:$FF$74,MATCH(I$83,'변표 테이블'!$B$4:$B$74,0),MATCH(L126,'변표 테이블'!$C$3:$FF$3,0)),0)</f>
        <v>0</v>
      </c>
      <c r="J126" s="4">
        <f>IFERROR(INDEX('변표 테이블'!$C$4:$FF$74,MATCH(J$83,'변표 테이블'!$B$4:$B$74,0),MATCH(M126,'변표 테이블'!$C$3:$FF$3,0)),0)</f>
        <v>0</v>
      </c>
      <c r="K126" s="23">
        <f>IFERROR(INDEX('변표 테이블'!$C$4:$FF$74,MATCH(K$83,'변표 테이블'!$B$4:$B$74,0),MATCH(M126,'변표 테이블'!$C$3:$FF$3,0)),0)</f>
        <v>0</v>
      </c>
      <c r="L126" t="str">
        <f t="shared" si="4"/>
        <v>41과</v>
      </c>
      <c r="M126" s="5" t="str">
        <f t="shared" si="5"/>
        <v>41사</v>
      </c>
    </row>
    <row r="127" spans="2:13" x14ac:dyDescent="0.3">
      <c r="B127" s="33">
        <v>42</v>
      </c>
      <c r="C127" s="4">
        <f>INDEX('변표 테이블'!$C$4:$FF$4,MATCH(L127,'변표 테이블'!$C$3:$FF$3,0))</f>
        <v>0</v>
      </c>
      <c r="D127" s="4">
        <f>INDEX('변표 테이블'!$C$4:$FF$4,MATCH(M127,'변표 테이블'!$C$3:$FF$3,0))</f>
        <v>0</v>
      </c>
      <c r="E127" s="4"/>
      <c r="F127" s="33">
        <f t="shared" si="0"/>
        <v>0</v>
      </c>
      <c r="G127" s="23">
        <f t="shared" si="1"/>
        <v>0</v>
      </c>
      <c r="H127" s="4">
        <f>IFERROR(INDEX('변표 테이블'!$C$4:$FF$74,MATCH(H$83,'변표 테이블'!$B$4:$B$74,0),MATCH(L127,'변표 테이블'!$C$3:$FF$3,0)),0)</f>
        <v>0</v>
      </c>
      <c r="I127" s="4">
        <f>IFERROR(INDEX('변표 테이블'!$C$4:$FF$74,MATCH(I$83,'변표 테이블'!$B$4:$B$74,0),MATCH(L127,'변표 테이블'!$C$3:$FF$3,0)),0)</f>
        <v>0</v>
      </c>
      <c r="J127" s="4">
        <f>IFERROR(INDEX('변표 테이블'!$C$4:$FF$74,MATCH(J$83,'변표 테이블'!$B$4:$B$74,0),MATCH(M127,'변표 테이블'!$C$3:$FF$3,0)),0)</f>
        <v>0</v>
      </c>
      <c r="K127" s="23">
        <f>IFERROR(INDEX('변표 테이블'!$C$4:$FF$74,MATCH(K$83,'변표 테이블'!$B$4:$B$74,0),MATCH(M127,'변표 테이블'!$C$3:$FF$3,0)),0)</f>
        <v>0</v>
      </c>
      <c r="L127" t="str">
        <f t="shared" si="4"/>
        <v>42과</v>
      </c>
      <c r="M127" s="5" t="str">
        <f t="shared" si="5"/>
        <v>42사</v>
      </c>
    </row>
    <row r="128" spans="2:13" x14ac:dyDescent="0.3">
      <c r="B128" s="33">
        <v>43</v>
      </c>
      <c r="C128" s="4">
        <f>INDEX('변표 테이블'!$C$4:$FF$4,MATCH(L128,'변표 테이블'!$C$3:$FF$3,0))</f>
        <v>0</v>
      </c>
      <c r="D128" s="4">
        <f>INDEX('변표 테이블'!$C$4:$FF$4,MATCH(M128,'변표 테이블'!$C$3:$FF$3,0))</f>
        <v>0</v>
      </c>
      <c r="E128" s="4"/>
      <c r="F128" s="33">
        <f t="shared" si="0"/>
        <v>0</v>
      </c>
      <c r="G128" s="23">
        <f t="shared" si="1"/>
        <v>0</v>
      </c>
      <c r="H128" s="4">
        <f>IFERROR(INDEX('변표 테이블'!$C$4:$FF$74,MATCH(H$83,'변표 테이블'!$B$4:$B$74,0),MATCH(L128,'변표 테이블'!$C$3:$FF$3,0)),0)</f>
        <v>0</v>
      </c>
      <c r="I128" s="4">
        <f>IFERROR(INDEX('변표 테이블'!$C$4:$FF$74,MATCH(I$83,'변표 테이블'!$B$4:$B$74,0),MATCH(L128,'변표 테이블'!$C$3:$FF$3,0)),0)</f>
        <v>0</v>
      </c>
      <c r="J128" s="4">
        <f>IFERROR(INDEX('변표 테이블'!$C$4:$FF$74,MATCH(J$83,'변표 테이블'!$B$4:$B$74,0),MATCH(M128,'변표 테이블'!$C$3:$FF$3,0)),0)</f>
        <v>0</v>
      </c>
      <c r="K128" s="23">
        <f>IFERROR(INDEX('변표 테이블'!$C$4:$FF$74,MATCH(K$83,'변표 테이블'!$B$4:$B$74,0),MATCH(M128,'변표 테이블'!$C$3:$FF$3,0)),0)</f>
        <v>0</v>
      </c>
      <c r="L128" t="str">
        <f t="shared" si="4"/>
        <v>43과</v>
      </c>
      <c r="M128" s="5" t="str">
        <f t="shared" si="5"/>
        <v>43사</v>
      </c>
    </row>
    <row r="129" spans="2:13" x14ac:dyDescent="0.3">
      <c r="B129" s="33">
        <v>44</v>
      </c>
      <c r="C129" s="4">
        <f>INDEX('변표 테이블'!$C$4:$FF$4,MATCH(L129,'변표 테이블'!$C$3:$FF$3,0))</f>
        <v>0</v>
      </c>
      <c r="D129" s="4">
        <f>INDEX('변표 테이블'!$C$4:$FF$4,MATCH(M129,'변표 테이블'!$C$3:$FF$3,0))</f>
        <v>0</v>
      </c>
      <c r="E129" s="4"/>
      <c r="F129" s="33">
        <f t="shared" si="0"/>
        <v>0</v>
      </c>
      <c r="G129" s="23">
        <f t="shared" si="1"/>
        <v>0</v>
      </c>
      <c r="H129" s="4">
        <f>IFERROR(INDEX('변표 테이블'!$C$4:$FF$74,MATCH(H$83,'변표 테이블'!$B$4:$B$74,0),MATCH(L129,'변표 테이블'!$C$3:$FF$3,0)),0)</f>
        <v>0</v>
      </c>
      <c r="I129" s="4">
        <f>IFERROR(INDEX('변표 테이블'!$C$4:$FF$74,MATCH(I$83,'변표 테이블'!$B$4:$B$74,0),MATCH(L129,'변표 테이블'!$C$3:$FF$3,0)),0)</f>
        <v>0</v>
      </c>
      <c r="J129" s="4">
        <f>IFERROR(INDEX('변표 테이블'!$C$4:$FF$74,MATCH(J$83,'변표 테이블'!$B$4:$B$74,0),MATCH(M129,'변표 테이블'!$C$3:$FF$3,0)),0)</f>
        <v>0</v>
      </c>
      <c r="K129" s="23">
        <f>IFERROR(INDEX('변표 테이블'!$C$4:$FF$74,MATCH(K$83,'변표 테이블'!$B$4:$B$74,0),MATCH(M129,'변표 테이블'!$C$3:$FF$3,0)),0)</f>
        <v>0</v>
      </c>
      <c r="L129" t="str">
        <f t="shared" si="4"/>
        <v>44과</v>
      </c>
      <c r="M129" s="5" t="str">
        <f t="shared" si="5"/>
        <v>44사</v>
      </c>
    </row>
    <row r="130" spans="2:13" x14ac:dyDescent="0.3">
      <c r="B130" s="33">
        <v>45</v>
      </c>
      <c r="C130" s="4">
        <f>INDEX('변표 테이블'!$C$4:$FF$4,MATCH(L130,'변표 테이블'!$C$3:$FF$3,0))</f>
        <v>0</v>
      </c>
      <c r="D130" s="4">
        <f>INDEX('변표 테이블'!$C$4:$FF$4,MATCH(M130,'변표 테이블'!$C$3:$FF$3,0))</f>
        <v>0</v>
      </c>
      <c r="E130" s="4"/>
      <c r="F130" s="33">
        <f t="shared" si="0"/>
        <v>0</v>
      </c>
      <c r="G130" s="23">
        <f t="shared" si="1"/>
        <v>0</v>
      </c>
      <c r="H130" s="4">
        <f>IFERROR(INDEX('변표 테이블'!$C$4:$FF$74,MATCH(H$83,'변표 테이블'!$B$4:$B$74,0),MATCH(L130,'변표 테이블'!$C$3:$FF$3,0)),0)</f>
        <v>0</v>
      </c>
      <c r="I130" s="4">
        <f>IFERROR(INDEX('변표 테이블'!$C$4:$FF$74,MATCH(I$83,'변표 테이블'!$B$4:$B$74,0),MATCH(L130,'변표 테이블'!$C$3:$FF$3,0)),0)</f>
        <v>0</v>
      </c>
      <c r="J130" s="4">
        <f>IFERROR(INDEX('변표 테이블'!$C$4:$FF$74,MATCH(J$83,'변표 테이블'!$B$4:$B$74,0),MATCH(M130,'변표 테이블'!$C$3:$FF$3,0)),0)</f>
        <v>0</v>
      </c>
      <c r="K130" s="23">
        <f>IFERROR(INDEX('변표 테이블'!$C$4:$FF$74,MATCH(K$83,'변표 테이블'!$B$4:$B$74,0),MATCH(M130,'변표 테이블'!$C$3:$FF$3,0)),0)</f>
        <v>0</v>
      </c>
      <c r="L130" t="str">
        <f t="shared" si="4"/>
        <v>45과</v>
      </c>
      <c r="M130" s="5" t="str">
        <f t="shared" si="5"/>
        <v>45사</v>
      </c>
    </row>
    <row r="131" spans="2:13" x14ac:dyDescent="0.3">
      <c r="B131" s="33">
        <v>46</v>
      </c>
      <c r="C131" s="4">
        <f>INDEX('변표 테이블'!$C$4:$FF$4,MATCH(L131,'변표 테이블'!$C$3:$FF$3,0))</f>
        <v>0</v>
      </c>
      <c r="D131" s="4">
        <f>INDEX('변표 테이블'!$C$4:$FF$4,MATCH(M131,'변표 테이블'!$C$3:$FF$3,0))</f>
        <v>0</v>
      </c>
      <c r="E131" s="4"/>
      <c r="F131" s="33">
        <f t="shared" si="0"/>
        <v>0</v>
      </c>
      <c r="G131" s="23">
        <f t="shared" si="1"/>
        <v>0</v>
      </c>
      <c r="H131" s="4">
        <f>IFERROR(INDEX('변표 테이블'!$C$4:$FF$74,MATCH(H$83,'변표 테이블'!$B$4:$B$74,0),MATCH(L131,'변표 테이블'!$C$3:$FF$3,0)),0)</f>
        <v>0</v>
      </c>
      <c r="I131" s="4">
        <f>IFERROR(INDEX('변표 테이블'!$C$4:$FF$74,MATCH(I$83,'변표 테이블'!$B$4:$B$74,0),MATCH(L131,'변표 테이블'!$C$3:$FF$3,0)),0)</f>
        <v>0</v>
      </c>
      <c r="J131" s="4">
        <f>IFERROR(INDEX('변표 테이블'!$C$4:$FF$74,MATCH(J$83,'변표 테이블'!$B$4:$B$74,0),MATCH(M131,'변표 테이블'!$C$3:$FF$3,0)),0)</f>
        <v>0</v>
      </c>
      <c r="K131" s="23">
        <f>IFERROR(INDEX('변표 테이블'!$C$4:$FF$74,MATCH(K$83,'변표 테이블'!$B$4:$B$74,0),MATCH(M131,'변표 테이블'!$C$3:$FF$3,0)),0)</f>
        <v>0</v>
      </c>
      <c r="L131" t="str">
        <f t="shared" si="4"/>
        <v>46과</v>
      </c>
      <c r="M131" s="5" t="str">
        <f t="shared" si="5"/>
        <v>46사</v>
      </c>
    </row>
    <row r="132" spans="2:13" x14ac:dyDescent="0.3">
      <c r="B132" s="33">
        <v>47</v>
      </c>
      <c r="C132" s="4">
        <f>INDEX('변표 테이블'!$C$4:$FF$4,MATCH(L132,'변표 테이블'!$C$3:$FF$3,0))</f>
        <v>0</v>
      </c>
      <c r="D132" s="4">
        <f>INDEX('변표 테이블'!$C$4:$FF$4,MATCH(M132,'변표 테이블'!$C$3:$FF$3,0))</f>
        <v>0</v>
      </c>
      <c r="E132" s="4"/>
      <c r="F132" s="33">
        <f t="shared" si="0"/>
        <v>0</v>
      </c>
      <c r="G132" s="23">
        <f t="shared" si="1"/>
        <v>0</v>
      </c>
      <c r="H132" s="4">
        <f>IFERROR(INDEX('변표 테이블'!$C$4:$FF$74,MATCH(H$83,'변표 테이블'!$B$4:$B$74,0),MATCH(L132,'변표 테이블'!$C$3:$FF$3,0)),0)</f>
        <v>0</v>
      </c>
      <c r="I132" s="4">
        <f>IFERROR(INDEX('변표 테이블'!$C$4:$FF$74,MATCH(I$83,'변표 테이블'!$B$4:$B$74,0),MATCH(L132,'변표 테이블'!$C$3:$FF$3,0)),0)</f>
        <v>0</v>
      </c>
      <c r="J132" s="4">
        <f>IFERROR(INDEX('변표 테이블'!$C$4:$FF$74,MATCH(J$83,'변표 테이블'!$B$4:$B$74,0),MATCH(M132,'변표 테이블'!$C$3:$FF$3,0)),0)</f>
        <v>0</v>
      </c>
      <c r="K132" s="23">
        <f>IFERROR(INDEX('변표 테이블'!$C$4:$FF$74,MATCH(K$83,'변표 테이블'!$B$4:$B$74,0),MATCH(M132,'변표 테이블'!$C$3:$FF$3,0)),0)</f>
        <v>0</v>
      </c>
      <c r="L132" t="str">
        <f t="shared" si="4"/>
        <v>47과</v>
      </c>
      <c r="M132" s="5" t="str">
        <f t="shared" si="5"/>
        <v>47사</v>
      </c>
    </row>
    <row r="133" spans="2:13" x14ac:dyDescent="0.3">
      <c r="B133" s="33">
        <v>48</v>
      </c>
      <c r="C133" s="4">
        <f>INDEX('변표 테이블'!$C$4:$FF$4,MATCH(L133,'변표 테이블'!$C$3:$FF$3,0))</f>
        <v>0</v>
      </c>
      <c r="D133" s="4">
        <f>INDEX('변표 테이블'!$C$4:$FF$4,MATCH(M133,'변표 테이블'!$C$3:$FF$3,0))</f>
        <v>0</v>
      </c>
      <c r="E133" s="4"/>
      <c r="F133" s="33">
        <f t="shared" si="0"/>
        <v>0</v>
      </c>
      <c r="G133" s="23">
        <f t="shared" si="1"/>
        <v>0</v>
      </c>
      <c r="H133" s="4">
        <f>IFERROR(INDEX('변표 테이블'!$C$4:$FF$74,MATCH(H$83,'변표 테이블'!$B$4:$B$74,0),MATCH(L133,'변표 테이블'!$C$3:$FF$3,0)),0)</f>
        <v>0</v>
      </c>
      <c r="I133" s="4">
        <f>IFERROR(INDEX('변표 테이블'!$C$4:$FF$74,MATCH(I$83,'변표 테이블'!$B$4:$B$74,0),MATCH(L133,'변표 테이블'!$C$3:$FF$3,0)),0)</f>
        <v>0</v>
      </c>
      <c r="J133" s="4">
        <f>IFERROR(INDEX('변표 테이블'!$C$4:$FF$74,MATCH(J$83,'변표 테이블'!$B$4:$B$74,0),MATCH(M133,'변표 테이블'!$C$3:$FF$3,0)),0)</f>
        <v>0</v>
      </c>
      <c r="K133" s="23">
        <f>IFERROR(INDEX('변표 테이블'!$C$4:$FF$74,MATCH(K$83,'변표 테이블'!$B$4:$B$74,0),MATCH(M133,'변표 테이블'!$C$3:$FF$3,0)),0)</f>
        <v>0</v>
      </c>
      <c r="L133" t="str">
        <f t="shared" si="4"/>
        <v>48과</v>
      </c>
      <c r="M133" s="5" t="str">
        <f t="shared" si="5"/>
        <v>48사</v>
      </c>
    </row>
    <row r="134" spans="2:13" x14ac:dyDescent="0.3">
      <c r="B134" s="33">
        <v>49</v>
      </c>
      <c r="C134" s="4">
        <f>INDEX('변표 테이블'!$C$4:$FF$4,MATCH(L134,'변표 테이블'!$C$3:$FF$3,0))</f>
        <v>0</v>
      </c>
      <c r="D134" s="4">
        <f>INDEX('변표 테이블'!$C$4:$FF$4,MATCH(M134,'변표 테이블'!$C$3:$FF$3,0))</f>
        <v>0</v>
      </c>
      <c r="E134" s="4"/>
      <c r="F134" s="33">
        <f t="shared" si="0"/>
        <v>0</v>
      </c>
      <c r="G134" s="23">
        <f t="shared" si="1"/>
        <v>0</v>
      </c>
      <c r="H134" s="4">
        <f>IFERROR(INDEX('변표 테이블'!$C$4:$FF$74,MATCH(H$83,'변표 테이블'!$B$4:$B$74,0),MATCH(L134,'변표 테이블'!$C$3:$FF$3,0)),0)</f>
        <v>0</v>
      </c>
      <c r="I134" s="4">
        <f>IFERROR(INDEX('변표 테이블'!$C$4:$FF$74,MATCH(I$83,'변표 테이블'!$B$4:$B$74,0),MATCH(L134,'변표 테이블'!$C$3:$FF$3,0)),0)</f>
        <v>0</v>
      </c>
      <c r="J134" s="4">
        <f>IFERROR(INDEX('변표 테이블'!$C$4:$FF$74,MATCH(J$83,'변표 테이블'!$B$4:$B$74,0),MATCH(M134,'변표 테이블'!$C$3:$FF$3,0)),0)</f>
        <v>0</v>
      </c>
      <c r="K134" s="23">
        <f>IFERROR(INDEX('변표 테이블'!$C$4:$FF$74,MATCH(K$83,'변표 테이블'!$B$4:$B$74,0),MATCH(M134,'변표 테이블'!$C$3:$FF$3,0)),0)</f>
        <v>0</v>
      </c>
      <c r="L134" t="str">
        <f t="shared" si="4"/>
        <v>49과</v>
      </c>
      <c r="M134" s="5" t="str">
        <f t="shared" si="5"/>
        <v>49사</v>
      </c>
    </row>
    <row r="135" spans="2:13" x14ac:dyDescent="0.3">
      <c r="B135" s="33">
        <v>50</v>
      </c>
      <c r="C135" s="4">
        <f>INDEX('변표 테이블'!$C$4:$FF$4,MATCH(L135,'변표 테이블'!$C$3:$FF$3,0))</f>
        <v>0</v>
      </c>
      <c r="D135" s="4">
        <f>INDEX('변표 테이블'!$C$4:$FF$4,MATCH(M135,'변표 테이블'!$C$3:$FF$3,0))</f>
        <v>0</v>
      </c>
      <c r="E135" s="4"/>
      <c r="F135" s="33">
        <f t="shared" si="0"/>
        <v>0</v>
      </c>
      <c r="G135" s="23">
        <f t="shared" si="1"/>
        <v>0</v>
      </c>
      <c r="H135" s="4">
        <f>IFERROR(INDEX('변표 테이블'!$C$4:$FF$74,MATCH(H$83,'변표 테이블'!$B$4:$B$74,0),MATCH(L135,'변표 테이블'!$C$3:$FF$3,0)),0)</f>
        <v>0</v>
      </c>
      <c r="I135" s="4">
        <f>IFERROR(INDEX('변표 테이블'!$C$4:$FF$74,MATCH(I$83,'변표 테이블'!$B$4:$B$74,0),MATCH(L135,'변표 테이블'!$C$3:$FF$3,0)),0)</f>
        <v>0</v>
      </c>
      <c r="J135" s="4">
        <f>IFERROR(INDEX('변표 테이블'!$C$4:$FF$74,MATCH(J$83,'변표 테이블'!$B$4:$B$74,0),MATCH(M135,'변표 테이블'!$C$3:$FF$3,0)),0)</f>
        <v>0</v>
      </c>
      <c r="K135" s="23">
        <f>IFERROR(INDEX('변표 테이블'!$C$4:$FF$74,MATCH(K$83,'변표 테이블'!$B$4:$B$74,0),MATCH(M135,'변표 테이블'!$C$3:$FF$3,0)),0)</f>
        <v>0</v>
      </c>
      <c r="L135" t="str">
        <f t="shared" si="4"/>
        <v>50과</v>
      </c>
      <c r="M135" s="5" t="str">
        <f t="shared" si="5"/>
        <v>50사</v>
      </c>
    </row>
    <row r="136" spans="2:13" x14ac:dyDescent="0.3">
      <c r="B136" s="33">
        <v>51</v>
      </c>
      <c r="C136" s="4">
        <f>INDEX('변표 테이블'!$C$4:$FF$4,MATCH(L136,'변표 테이블'!$C$3:$FF$3,0))</f>
        <v>0</v>
      </c>
      <c r="D136" s="4">
        <f>INDEX('변표 테이블'!$C$4:$FF$4,MATCH(M136,'변표 테이블'!$C$3:$FF$3,0))</f>
        <v>0</v>
      </c>
      <c r="E136" s="4"/>
      <c r="F136" s="33">
        <f t="shared" si="0"/>
        <v>0</v>
      </c>
      <c r="G136" s="23">
        <f t="shared" si="1"/>
        <v>0</v>
      </c>
      <c r="H136" s="4">
        <f>IFERROR(INDEX('변표 테이블'!$C$4:$FF$74,MATCH(H$83,'변표 테이블'!$B$4:$B$74,0),MATCH(L136,'변표 테이블'!$C$3:$FF$3,0)),0)</f>
        <v>0</v>
      </c>
      <c r="I136" s="4">
        <f>IFERROR(INDEX('변표 테이블'!$C$4:$FF$74,MATCH(I$83,'변표 테이블'!$B$4:$B$74,0),MATCH(L136,'변표 테이블'!$C$3:$FF$3,0)),0)</f>
        <v>0</v>
      </c>
      <c r="J136" s="4">
        <f>IFERROR(INDEX('변표 테이블'!$C$4:$FF$74,MATCH(J$83,'변표 테이블'!$B$4:$B$74,0),MATCH(M136,'변표 테이블'!$C$3:$FF$3,0)),0)</f>
        <v>0</v>
      </c>
      <c r="K136" s="23">
        <f>IFERROR(INDEX('변표 테이블'!$C$4:$FF$74,MATCH(K$83,'변표 테이블'!$B$4:$B$74,0),MATCH(M136,'변표 테이블'!$C$3:$FF$3,0)),0)</f>
        <v>0</v>
      </c>
      <c r="L136" t="str">
        <f t="shared" si="4"/>
        <v>51과</v>
      </c>
      <c r="M136" s="5" t="str">
        <f t="shared" si="5"/>
        <v>51사</v>
      </c>
    </row>
    <row r="137" spans="2:13" x14ac:dyDescent="0.3">
      <c r="B137" s="33">
        <v>52</v>
      </c>
      <c r="C137" s="4">
        <f>INDEX('변표 테이블'!$C$4:$FF$4,MATCH(L137,'변표 테이블'!$C$3:$FF$3,0))</f>
        <v>0</v>
      </c>
      <c r="D137" s="4">
        <f>INDEX('변표 테이블'!$C$4:$FF$4,MATCH(M137,'변표 테이블'!$C$3:$FF$3,0))</f>
        <v>0</v>
      </c>
      <c r="E137" s="4"/>
      <c r="F137" s="33">
        <f t="shared" si="0"/>
        <v>0</v>
      </c>
      <c r="G137" s="23">
        <f t="shared" si="1"/>
        <v>0</v>
      </c>
      <c r="H137" s="4">
        <f>IFERROR(INDEX('변표 테이블'!$C$4:$FF$74,MATCH(H$83,'변표 테이블'!$B$4:$B$74,0),MATCH(L137,'변표 테이블'!$C$3:$FF$3,0)),0)</f>
        <v>0</v>
      </c>
      <c r="I137" s="4">
        <f>IFERROR(INDEX('변표 테이블'!$C$4:$FF$74,MATCH(I$83,'변표 테이블'!$B$4:$B$74,0),MATCH(L137,'변표 테이블'!$C$3:$FF$3,0)),0)</f>
        <v>0</v>
      </c>
      <c r="J137" s="4">
        <f>IFERROR(INDEX('변표 테이블'!$C$4:$FF$74,MATCH(J$83,'변표 테이블'!$B$4:$B$74,0),MATCH(M137,'변표 테이블'!$C$3:$FF$3,0)),0)</f>
        <v>0</v>
      </c>
      <c r="K137" s="23">
        <f>IFERROR(INDEX('변표 테이블'!$C$4:$FF$74,MATCH(K$83,'변표 테이블'!$B$4:$B$74,0),MATCH(M137,'변표 테이블'!$C$3:$FF$3,0)),0)</f>
        <v>0</v>
      </c>
      <c r="L137" t="str">
        <f t="shared" si="4"/>
        <v>52과</v>
      </c>
      <c r="M137" s="5" t="str">
        <f t="shared" si="5"/>
        <v>52사</v>
      </c>
    </row>
    <row r="138" spans="2:13" x14ac:dyDescent="0.3">
      <c r="B138" s="33">
        <v>53</v>
      </c>
      <c r="C138" s="4">
        <f>INDEX('변표 테이블'!$C$4:$FF$4,MATCH(L138,'변표 테이블'!$C$3:$FF$3,0))</f>
        <v>0</v>
      </c>
      <c r="D138" s="4">
        <f>INDEX('변표 테이블'!$C$4:$FF$4,MATCH(M138,'변표 테이블'!$C$3:$FF$3,0))</f>
        <v>0</v>
      </c>
      <c r="E138" s="4"/>
      <c r="F138" s="33">
        <f t="shared" si="0"/>
        <v>0</v>
      </c>
      <c r="G138" s="23">
        <f t="shared" si="1"/>
        <v>0</v>
      </c>
      <c r="H138" s="4">
        <f>IFERROR(INDEX('변표 테이블'!$C$4:$FF$74,MATCH(H$83,'변표 테이블'!$B$4:$B$74,0),MATCH(L138,'변표 테이블'!$C$3:$FF$3,0)),0)</f>
        <v>0</v>
      </c>
      <c r="I138" s="4">
        <f>IFERROR(INDEX('변표 테이블'!$C$4:$FF$74,MATCH(I$83,'변표 테이블'!$B$4:$B$74,0),MATCH(L138,'변표 테이블'!$C$3:$FF$3,0)),0)</f>
        <v>0</v>
      </c>
      <c r="J138" s="4">
        <f>IFERROR(INDEX('변표 테이블'!$C$4:$FF$74,MATCH(J$83,'변표 테이블'!$B$4:$B$74,0),MATCH(M138,'변표 테이블'!$C$3:$FF$3,0)),0)</f>
        <v>0</v>
      </c>
      <c r="K138" s="23">
        <f>IFERROR(INDEX('변표 테이블'!$C$4:$FF$74,MATCH(K$83,'변표 테이블'!$B$4:$B$74,0),MATCH(M138,'변표 테이블'!$C$3:$FF$3,0)),0)</f>
        <v>0</v>
      </c>
      <c r="L138" t="str">
        <f t="shared" si="4"/>
        <v>53과</v>
      </c>
      <c r="M138" s="5" t="str">
        <f t="shared" si="5"/>
        <v>53사</v>
      </c>
    </row>
    <row r="139" spans="2:13" x14ac:dyDescent="0.3">
      <c r="B139" s="33">
        <v>54</v>
      </c>
      <c r="C139" s="4">
        <f>INDEX('변표 테이블'!$C$4:$FF$4,MATCH(L139,'변표 테이블'!$C$3:$FF$3,0))</f>
        <v>0</v>
      </c>
      <c r="D139" s="4">
        <f>INDEX('변표 테이블'!$C$4:$FF$4,MATCH(M139,'변표 테이블'!$C$3:$FF$3,0))</f>
        <v>0</v>
      </c>
      <c r="E139" s="4"/>
      <c r="F139" s="33">
        <f t="shared" si="0"/>
        <v>0</v>
      </c>
      <c r="G139" s="23">
        <f t="shared" si="1"/>
        <v>0</v>
      </c>
      <c r="H139" s="4">
        <f>IFERROR(INDEX('변표 테이블'!$C$4:$FF$74,MATCH(H$83,'변표 테이블'!$B$4:$B$74,0),MATCH(L139,'변표 테이블'!$C$3:$FF$3,0)),0)</f>
        <v>0</v>
      </c>
      <c r="I139" s="4">
        <f>IFERROR(INDEX('변표 테이블'!$C$4:$FF$74,MATCH(I$83,'변표 테이블'!$B$4:$B$74,0),MATCH(L139,'변표 테이블'!$C$3:$FF$3,0)),0)</f>
        <v>0</v>
      </c>
      <c r="J139" s="4">
        <f>IFERROR(INDEX('변표 테이블'!$C$4:$FF$74,MATCH(J$83,'변표 테이블'!$B$4:$B$74,0),MATCH(M139,'변표 테이블'!$C$3:$FF$3,0)),0)</f>
        <v>0</v>
      </c>
      <c r="K139" s="23">
        <f>IFERROR(INDEX('변표 테이블'!$C$4:$FF$74,MATCH(K$83,'변표 테이블'!$B$4:$B$74,0),MATCH(M139,'변표 테이블'!$C$3:$FF$3,0)),0)</f>
        <v>0</v>
      </c>
      <c r="L139" t="str">
        <f t="shared" si="4"/>
        <v>54과</v>
      </c>
      <c r="M139" s="5" t="str">
        <f t="shared" si="5"/>
        <v>54사</v>
      </c>
    </row>
    <row r="140" spans="2:13" x14ac:dyDescent="0.3">
      <c r="B140" s="33">
        <v>55</v>
      </c>
      <c r="C140" s="4">
        <f>INDEX('변표 테이블'!$C$4:$FF$4,MATCH(L140,'변표 테이블'!$C$3:$FF$3,0))</f>
        <v>0</v>
      </c>
      <c r="D140" s="4">
        <f>INDEX('변표 테이블'!$C$4:$FF$4,MATCH(M140,'변표 테이블'!$C$3:$FF$3,0))</f>
        <v>0</v>
      </c>
      <c r="E140" s="4"/>
      <c r="F140" s="33">
        <f t="shared" si="0"/>
        <v>0</v>
      </c>
      <c r="G140" s="23">
        <f t="shared" si="1"/>
        <v>0</v>
      </c>
      <c r="H140" s="4">
        <f>IFERROR(INDEX('변표 테이블'!$C$4:$FF$74,MATCH(H$83,'변표 테이블'!$B$4:$B$74,0),MATCH(L140,'변표 테이블'!$C$3:$FF$3,0)),0)</f>
        <v>0</v>
      </c>
      <c r="I140" s="4">
        <f>IFERROR(INDEX('변표 테이블'!$C$4:$FF$74,MATCH(I$83,'변표 테이블'!$B$4:$B$74,0),MATCH(L140,'변표 테이블'!$C$3:$FF$3,0)),0)</f>
        <v>0</v>
      </c>
      <c r="J140" s="4">
        <f>IFERROR(INDEX('변표 테이블'!$C$4:$FF$74,MATCH(J$83,'변표 테이블'!$B$4:$B$74,0),MATCH(M140,'변표 테이블'!$C$3:$FF$3,0)),0)</f>
        <v>0</v>
      </c>
      <c r="K140" s="23">
        <f>IFERROR(INDEX('변표 테이블'!$C$4:$FF$74,MATCH(K$83,'변표 테이블'!$B$4:$B$74,0),MATCH(M140,'변표 테이블'!$C$3:$FF$3,0)),0)</f>
        <v>0</v>
      </c>
      <c r="L140" t="str">
        <f t="shared" si="4"/>
        <v>55과</v>
      </c>
      <c r="M140" s="5" t="str">
        <f t="shared" si="5"/>
        <v>55사</v>
      </c>
    </row>
    <row r="141" spans="2:13" x14ac:dyDescent="0.3">
      <c r="B141" s="33">
        <v>56</v>
      </c>
      <c r="C141" s="4">
        <f>INDEX('변표 테이블'!$C$4:$FF$4,MATCH(L141,'변표 테이블'!$C$3:$FF$3,0))</f>
        <v>0</v>
      </c>
      <c r="D141" s="4">
        <f>INDEX('변표 테이블'!$C$4:$FF$4,MATCH(M141,'변표 테이블'!$C$3:$FF$3,0))</f>
        <v>0</v>
      </c>
      <c r="E141" s="4"/>
      <c r="F141" s="33">
        <f t="shared" si="0"/>
        <v>0</v>
      </c>
      <c r="G141" s="23">
        <f t="shared" si="1"/>
        <v>0</v>
      </c>
      <c r="H141" s="4">
        <f>IFERROR(INDEX('변표 테이블'!$C$4:$FF$74,MATCH(H$83,'변표 테이블'!$B$4:$B$74,0),MATCH(L141,'변표 테이블'!$C$3:$FF$3,0)),0)</f>
        <v>0</v>
      </c>
      <c r="I141" s="4">
        <f>IFERROR(INDEX('변표 테이블'!$C$4:$FF$74,MATCH(I$83,'변표 테이블'!$B$4:$B$74,0),MATCH(L141,'변표 테이블'!$C$3:$FF$3,0)),0)</f>
        <v>0</v>
      </c>
      <c r="J141" s="4">
        <f>IFERROR(INDEX('변표 테이블'!$C$4:$FF$74,MATCH(J$83,'변표 테이블'!$B$4:$B$74,0),MATCH(M141,'변표 테이블'!$C$3:$FF$3,0)),0)</f>
        <v>0</v>
      </c>
      <c r="K141" s="23">
        <f>IFERROR(INDEX('변표 테이블'!$C$4:$FF$74,MATCH(K$83,'변표 테이블'!$B$4:$B$74,0),MATCH(M141,'변표 테이블'!$C$3:$FF$3,0)),0)</f>
        <v>0</v>
      </c>
      <c r="L141" t="str">
        <f t="shared" si="4"/>
        <v>56과</v>
      </c>
      <c r="M141" s="5" t="str">
        <f t="shared" si="5"/>
        <v>56사</v>
      </c>
    </row>
    <row r="142" spans="2:13" x14ac:dyDescent="0.3">
      <c r="B142" s="33">
        <v>57</v>
      </c>
      <c r="C142" s="4">
        <f>INDEX('변표 테이블'!$C$4:$FF$4,MATCH(L142,'변표 테이블'!$C$3:$FF$3,0))</f>
        <v>0</v>
      </c>
      <c r="D142" s="4">
        <f>INDEX('변표 테이블'!$C$4:$FF$4,MATCH(M142,'변표 테이블'!$C$3:$FF$3,0))</f>
        <v>0</v>
      </c>
      <c r="E142" s="4"/>
      <c r="F142" s="33">
        <f t="shared" si="0"/>
        <v>0</v>
      </c>
      <c r="G142" s="23">
        <f t="shared" si="1"/>
        <v>0</v>
      </c>
      <c r="H142" s="4">
        <f>IFERROR(INDEX('변표 테이블'!$C$4:$FF$74,MATCH(H$83,'변표 테이블'!$B$4:$B$74,0),MATCH(L142,'변표 테이블'!$C$3:$FF$3,0)),0)</f>
        <v>0</v>
      </c>
      <c r="I142" s="4">
        <f>IFERROR(INDEX('변표 테이블'!$C$4:$FF$74,MATCH(I$83,'변표 테이블'!$B$4:$B$74,0),MATCH(L142,'변표 테이블'!$C$3:$FF$3,0)),0)</f>
        <v>0</v>
      </c>
      <c r="J142" s="4">
        <f>IFERROR(INDEX('변표 테이블'!$C$4:$FF$74,MATCH(J$83,'변표 테이블'!$B$4:$B$74,0),MATCH(M142,'변표 테이블'!$C$3:$FF$3,0)),0)</f>
        <v>0</v>
      </c>
      <c r="K142" s="23">
        <f>IFERROR(INDEX('변표 테이블'!$C$4:$FF$74,MATCH(K$83,'변표 테이블'!$B$4:$B$74,0),MATCH(M142,'변표 테이블'!$C$3:$FF$3,0)),0)</f>
        <v>0</v>
      </c>
      <c r="L142" t="str">
        <f t="shared" si="4"/>
        <v>57과</v>
      </c>
      <c r="M142" s="5" t="str">
        <f t="shared" si="5"/>
        <v>57사</v>
      </c>
    </row>
    <row r="143" spans="2:13" x14ac:dyDescent="0.3">
      <c r="B143" s="33">
        <v>58</v>
      </c>
      <c r="C143" s="4">
        <f>INDEX('변표 테이블'!$C$4:$FF$4,MATCH(L143,'변표 테이블'!$C$3:$FF$3,0))</f>
        <v>0</v>
      </c>
      <c r="D143" s="4">
        <f>INDEX('변표 테이블'!$C$4:$FF$4,MATCH(M143,'변표 테이블'!$C$3:$FF$3,0))</f>
        <v>0</v>
      </c>
      <c r="E143" s="4"/>
      <c r="F143" s="33">
        <f t="shared" si="0"/>
        <v>0</v>
      </c>
      <c r="G143" s="23">
        <f t="shared" si="1"/>
        <v>0</v>
      </c>
      <c r="H143" s="4">
        <f>IFERROR(INDEX('변표 테이블'!$C$4:$FF$74,MATCH(H$83,'변표 테이블'!$B$4:$B$74,0),MATCH(L143,'변표 테이블'!$C$3:$FF$3,0)),0)</f>
        <v>0</v>
      </c>
      <c r="I143" s="4">
        <f>IFERROR(INDEX('변표 테이블'!$C$4:$FF$74,MATCH(I$83,'변표 테이블'!$B$4:$B$74,0),MATCH(L143,'변표 테이블'!$C$3:$FF$3,0)),0)</f>
        <v>0</v>
      </c>
      <c r="J143" s="4">
        <f>IFERROR(INDEX('변표 테이블'!$C$4:$FF$74,MATCH(J$83,'변표 테이블'!$B$4:$B$74,0),MATCH(M143,'변표 테이블'!$C$3:$FF$3,0)),0)</f>
        <v>0</v>
      </c>
      <c r="K143" s="23">
        <f>IFERROR(INDEX('변표 테이블'!$C$4:$FF$74,MATCH(K$83,'변표 테이블'!$B$4:$B$74,0),MATCH(M143,'변표 테이블'!$C$3:$FF$3,0)),0)</f>
        <v>0</v>
      </c>
      <c r="L143" t="str">
        <f t="shared" si="4"/>
        <v>58과</v>
      </c>
      <c r="M143" s="5" t="str">
        <f t="shared" si="5"/>
        <v>58사</v>
      </c>
    </row>
    <row r="144" spans="2:13" x14ac:dyDescent="0.3">
      <c r="B144" s="33">
        <v>59</v>
      </c>
      <c r="C144" s="4">
        <f>INDEX('변표 테이블'!$C$4:$FF$4,MATCH(L144,'변표 테이블'!$C$3:$FF$3,0))</f>
        <v>0</v>
      </c>
      <c r="D144" s="4">
        <f>INDEX('변표 테이블'!$C$4:$FF$4,MATCH(M144,'변표 테이블'!$C$3:$FF$3,0))</f>
        <v>0</v>
      </c>
      <c r="E144" s="4"/>
      <c r="F144" s="33">
        <f t="shared" si="0"/>
        <v>0</v>
      </c>
      <c r="G144" s="23">
        <f t="shared" si="1"/>
        <v>0</v>
      </c>
      <c r="H144" s="4">
        <f>IFERROR(INDEX('변표 테이블'!$C$4:$FF$74,MATCH(H$83,'변표 테이블'!$B$4:$B$74,0),MATCH(L144,'변표 테이블'!$C$3:$FF$3,0)),0)</f>
        <v>0</v>
      </c>
      <c r="I144" s="4">
        <f>IFERROR(INDEX('변표 테이블'!$C$4:$FF$74,MATCH(I$83,'변표 테이블'!$B$4:$B$74,0),MATCH(L144,'변표 테이블'!$C$3:$FF$3,0)),0)</f>
        <v>0</v>
      </c>
      <c r="J144" s="4">
        <f>IFERROR(INDEX('변표 테이블'!$C$4:$FF$74,MATCH(J$83,'변표 테이블'!$B$4:$B$74,0),MATCH(M144,'변표 테이블'!$C$3:$FF$3,0)),0)</f>
        <v>0</v>
      </c>
      <c r="K144" s="23">
        <f>IFERROR(INDEX('변표 테이블'!$C$4:$FF$74,MATCH(K$83,'변표 테이블'!$B$4:$B$74,0),MATCH(M144,'변표 테이블'!$C$3:$FF$3,0)),0)</f>
        <v>0</v>
      </c>
      <c r="L144" t="str">
        <f t="shared" si="4"/>
        <v>59과</v>
      </c>
      <c r="M144" s="5" t="str">
        <f t="shared" si="5"/>
        <v>59사</v>
      </c>
    </row>
    <row r="145" spans="2:13" x14ac:dyDescent="0.3">
      <c r="B145" s="33">
        <v>60</v>
      </c>
      <c r="C145" s="4">
        <f>INDEX('변표 테이블'!$C$4:$FF$4,MATCH(L145,'변표 테이블'!$C$3:$FF$3,0))</f>
        <v>0</v>
      </c>
      <c r="D145" s="4">
        <f>INDEX('변표 테이블'!$C$4:$FF$4,MATCH(M145,'변표 테이블'!$C$3:$FF$3,0))</f>
        <v>0</v>
      </c>
      <c r="E145" s="4"/>
      <c r="F145" s="33">
        <f t="shared" si="0"/>
        <v>0</v>
      </c>
      <c r="G145" s="23">
        <f t="shared" si="1"/>
        <v>0</v>
      </c>
      <c r="H145" s="4">
        <f>IFERROR(INDEX('변표 테이블'!$C$4:$FF$74,MATCH(H$83,'변표 테이블'!$B$4:$B$74,0),MATCH(L145,'변표 테이블'!$C$3:$FF$3,0)),0)</f>
        <v>0</v>
      </c>
      <c r="I145" s="4">
        <f>IFERROR(INDEX('변표 테이블'!$C$4:$FF$74,MATCH(I$83,'변표 테이블'!$B$4:$B$74,0),MATCH(L145,'변표 테이블'!$C$3:$FF$3,0)),0)</f>
        <v>0</v>
      </c>
      <c r="J145" s="4">
        <f>IFERROR(INDEX('변표 테이블'!$C$4:$FF$74,MATCH(J$83,'변표 테이블'!$B$4:$B$74,0),MATCH(M145,'변표 테이블'!$C$3:$FF$3,0)),0)</f>
        <v>0</v>
      </c>
      <c r="K145" s="23">
        <f>IFERROR(INDEX('변표 테이블'!$C$4:$FF$74,MATCH(K$83,'변표 테이블'!$B$4:$B$74,0),MATCH(M145,'변표 테이블'!$C$3:$FF$3,0)),0)</f>
        <v>0</v>
      </c>
      <c r="L145" t="str">
        <f t="shared" si="4"/>
        <v>60과</v>
      </c>
      <c r="M145" s="5" t="str">
        <f t="shared" si="5"/>
        <v>60사</v>
      </c>
    </row>
    <row r="146" spans="2:13" x14ac:dyDescent="0.3">
      <c r="B146" s="33">
        <v>61</v>
      </c>
      <c r="C146" s="4">
        <f>INDEX('변표 테이블'!$C$4:$FF$4,MATCH(L146,'변표 테이블'!$C$3:$FF$3,0))</f>
        <v>0</v>
      </c>
      <c r="D146" s="4">
        <f>INDEX('변표 테이블'!$C$4:$FF$4,MATCH(M146,'변표 테이블'!$C$3:$FF$3,0))</f>
        <v>0</v>
      </c>
      <c r="E146" s="4"/>
      <c r="F146" s="33">
        <f t="shared" si="0"/>
        <v>0</v>
      </c>
      <c r="G146" s="23">
        <f t="shared" si="1"/>
        <v>0</v>
      </c>
      <c r="H146" s="4">
        <f>IFERROR(INDEX('변표 테이블'!$C$4:$FF$74,MATCH(H$83,'변표 테이블'!$B$4:$B$74,0),MATCH(L146,'변표 테이블'!$C$3:$FF$3,0)),0)</f>
        <v>0</v>
      </c>
      <c r="I146" s="4">
        <f>IFERROR(INDEX('변표 테이블'!$C$4:$FF$74,MATCH(I$83,'변표 테이블'!$B$4:$B$74,0),MATCH(L146,'변표 테이블'!$C$3:$FF$3,0)),0)</f>
        <v>0</v>
      </c>
      <c r="J146" s="4">
        <f>IFERROR(INDEX('변표 테이블'!$C$4:$FF$74,MATCH(J$83,'변표 테이블'!$B$4:$B$74,0),MATCH(M146,'변표 테이블'!$C$3:$FF$3,0)),0)</f>
        <v>0</v>
      </c>
      <c r="K146" s="23">
        <f>IFERROR(INDEX('변표 테이블'!$C$4:$FF$74,MATCH(K$83,'변표 테이블'!$B$4:$B$74,0),MATCH(M146,'변표 테이블'!$C$3:$FF$3,0)),0)</f>
        <v>0</v>
      </c>
      <c r="L146" t="str">
        <f t="shared" si="4"/>
        <v>61과</v>
      </c>
      <c r="M146" s="5" t="str">
        <f t="shared" si="5"/>
        <v>61사</v>
      </c>
    </row>
    <row r="147" spans="2:13" x14ac:dyDescent="0.3">
      <c r="B147" s="33">
        <v>62</v>
      </c>
      <c r="C147" s="4">
        <f>INDEX('변표 테이블'!$C$4:$FF$4,MATCH(L147,'변표 테이블'!$C$3:$FF$3,0))</f>
        <v>0</v>
      </c>
      <c r="D147" s="4">
        <f>INDEX('변표 테이블'!$C$4:$FF$4,MATCH(M147,'변표 테이블'!$C$3:$FF$3,0))</f>
        <v>0</v>
      </c>
      <c r="E147" s="4"/>
      <c r="F147" s="33">
        <f t="shared" si="0"/>
        <v>0</v>
      </c>
      <c r="G147" s="23">
        <f t="shared" si="1"/>
        <v>0</v>
      </c>
      <c r="H147" s="4">
        <f>IFERROR(INDEX('변표 테이블'!$C$4:$FF$74,MATCH(H$83,'변표 테이블'!$B$4:$B$74,0),MATCH(L147,'변표 테이블'!$C$3:$FF$3,0)),0)</f>
        <v>0</v>
      </c>
      <c r="I147" s="4">
        <f>IFERROR(INDEX('변표 테이블'!$C$4:$FF$74,MATCH(I$83,'변표 테이블'!$B$4:$B$74,0),MATCH(L147,'변표 테이블'!$C$3:$FF$3,0)),0)</f>
        <v>0</v>
      </c>
      <c r="J147" s="4">
        <f>IFERROR(INDEX('변표 테이블'!$C$4:$FF$74,MATCH(J$83,'변표 테이블'!$B$4:$B$74,0),MATCH(M147,'변표 테이블'!$C$3:$FF$3,0)),0)</f>
        <v>0</v>
      </c>
      <c r="K147" s="23">
        <f>IFERROR(INDEX('변표 테이블'!$C$4:$FF$74,MATCH(K$83,'변표 테이블'!$B$4:$B$74,0),MATCH(M147,'변표 테이블'!$C$3:$FF$3,0)),0)</f>
        <v>0</v>
      </c>
      <c r="L147" t="str">
        <f t="shared" si="4"/>
        <v>62과</v>
      </c>
      <c r="M147" s="5" t="str">
        <f t="shared" si="5"/>
        <v>62사</v>
      </c>
    </row>
    <row r="148" spans="2:13" x14ac:dyDescent="0.3">
      <c r="B148" s="33">
        <v>63</v>
      </c>
      <c r="C148" s="4">
        <f>INDEX('변표 테이블'!$C$4:$FF$4,MATCH(L148,'변표 테이블'!$C$3:$FF$3,0))</f>
        <v>0</v>
      </c>
      <c r="D148" s="4">
        <f>INDEX('변표 테이블'!$C$4:$FF$4,MATCH(M148,'변표 테이블'!$C$3:$FF$3,0))</f>
        <v>0</v>
      </c>
      <c r="E148" s="4"/>
      <c r="F148" s="33">
        <f t="shared" si="0"/>
        <v>0</v>
      </c>
      <c r="G148" s="23">
        <f t="shared" si="1"/>
        <v>0</v>
      </c>
      <c r="H148" s="4">
        <f>IFERROR(INDEX('변표 테이블'!$C$4:$FF$74,MATCH(H$83,'변표 테이블'!$B$4:$B$74,0),MATCH(L148,'변표 테이블'!$C$3:$FF$3,0)),0)</f>
        <v>0</v>
      </c>
      <c r="I148" s="4">
        <f>IFERROR(INDEX('변표 테이블'!$C$4:$FF$74,MATCH(I$83,'변표 테이블'!$B$4:$B$74,0),MATCH(L148,'변표 테이블'!$C$3:$FF$3,0)),0)</f>
        <v>0</v>
      </c>
      <c r="J148" s="4">
        <f>IFERROR(INDEX('변표 테이블'!$C$4:$FF$74,MATCH(J$83,'변표 테이블'!$B$4:$B$74,0),MATCH(M148,'변표 테이블'!$C$3:$FF$3,0)),0)</f>
        <v>0</v>
      </c>
      <c r="K148" s="23">
        <f>IFERROR(INDEX('변표 테이블'!$C$4:$FF$74,MATCH(K$83,'변표 테이블'!$B$4:$B$74,0),MATCH(M148,'변표 테이블'!$C$3:$FF$3,0)),0)</f>
        <v>0</v>
      </c>
      <c r="L148" t="str">
        <f t="shared" si="4"/>
        <v>63과</v>
      </c>
      <c r="M148" s="5" t="str">
        <f t="shared" si="5"/>
        <v>63사</v>
      </c>
    </row>
    <row r="149" spans="2:13" x14ac:dyDescent="0.3">
      <c r="B149" s="33">
        <v>64</v>
      </c>
      <c r="C149" s="4">
        <f>INDEX('변표 테이블'!$C$4:$FF$4,MATCH(L149,'변표 테이블'!$C$3:$FF$3,0))</f>
        <v>0</v>
      </c>
      <c r="D149" s="4">
        <f>INDEX('변표 테이블'!$C$4:$FF$4,MATCH(M149,'변표 테이블'!$C$3:$FF$3,0))</f>
        <v>0</v>
      </c>
      <c r="E149" s="4"/>
      <c r="F149" s="33">
        <f t="shared" si="0"/>
        <v>0</v>
      </c>
      <c r="G149" s="23">
        <f t="shared" si="1"/>
        <v>0</v>
      </c>
      <c r="H149" s="4">
        <f>IFERROR(INDEX('변표 테이블'!$C$4:$FF$74,MATCH(H$83,'변표 테이블'!$B$4:$B$74,0),MATCH(L149,'변표 테이블'!$C$3:$FF$3,0)),0)</f>
        <v>0</v>
      </c>
      <c r="I149" s="4">
        <f>IFERROR(INDEX('변표 테이블'!$C$4:$FF$74,MATCH(I$83,'변표 테이블'!$B$4:$B$74,0),MATCH(L149,'변표 테이블'!$C$3:$FF$3,0)),0)</f>
        <v>0</v>
      </c>
      <c r="J149" s="4">
        <f>IFERROR(INDEX('변표 테이블'!$C$4:$FF$74,MATCH(J$83,'변표 테이블'!$B$4:$B$74,0),MATCH(M149,'변표 테이블'!$C$3:$FF$3,0)),0)</f>
        <v>0</v>
      </c>
      <c r="K149" s="23">
        <f>IFERROR(INDEX('변표 테이블'!$C$4:$FF$74,MATCH(K$83,'변표 테이블'!$B$4:$B$74,0),MATCH(M149,'변표 테이블'!$C$3:$FF$3,0)),0)</f>
        <v>0</v>
      </c>
      <c r="L149" t="str">
        <f t="shared" si="4"/>
        <v>64과</v>
      </c>
      <c r="M149" s="5" t="str">
        <f t="shared" si="5"/>
        <v>64사</v>
      </c>
    </row>
    <row r="150" spans="2:13" x14ac:dyDescent="0.3">
      <c r="B150" s="33">
        <v>65</v>
      </c>
      <c r="C150" s="4">
        <f>INDEX('변표 테이블'!$C$4:$FF$4,MATCH(L150,'변표 테이블'!$C$3:$FF$3,0))</f>
        <v>0</v>
      </c>
      <c r="D150" s="4">
        <f>INDEX('변표 테이블'!$C$4:$FF$4,MATCH(M150,'변표 테이블'!$C$3:$FF$3,0))</f>
        <v>0</v>
      </c>
      <c r="E150" s="4"/>
      <c r="F150" s="33">
        <f t="shared" si="0"/>
        <v>0</v>
      </c>
      <c r="G150" s="23">
        <f t="shared" si="1"/>
        <v>0</v>
      </c>
      <c r="H150" s="4">
        <f>IFERROR(INDEX('변표 테이블'!$C$4:$FF$74,MATCH(H$83,'변표 테이블'!$B$4:$B$74,0),MATCH(L150,'변표 테이블'!$C$3:$FF$3,0)),0)</f>
        <v>0</v>
      </c>
      <c r="I150" s="4">
        <f>IFERROR(INDEX('변표 테이블'!$C$4:$FF$74,MATCH(I$83,'변표 테이블'!$B$4:$B$74,0),MATCH(L150,'변표 테이블'!$C$3:$FF$3,0)),0)</f>
        <v>0</v>
      </c>
      <c r="J150" s="4">
        <f>IFERROR(INDEX('변표 테이블'!$C$4:$FF$74,MATCH(J$83,'변표 테이블'!$B$4:$B$74,0),MATCH(M150,'변표 테이블'!$C$3:$FF$3,0)),0)</f>
        <v>0</v>
      </c>
      <c r="K150" s="23">
        <f>IFERROR(INDEX('변표 테이블'!$C$4:$FF$74,MATCH(K$83,'변표 테이블'!$B$4:$B$74,0),MATCH(M150,'변표 테이블'!$C$3:$FF$3,0)),0)</f>
        <v>0</v>
      </c>
      <c r="L150" t="str">
        <f t="shared" si="4"/>
        <v>65과</v>
      </c>
      <c r="M150" s="5" t="str">
        <f t="shared" si="5"/>
        <v>65사</v>
      </c>
    </row>
    <row r="151" spans="2:13" x14ac:dyDescent="0.3">
      <c r="B151" s="33">
        <v>66</v>
      </c>
      <c r="C151" s="4">
        <f>INDEX('변표 테이블'!$C$4:$FF$4,MATCH(L151,'변표 테이블'!$C$3:$FF$3,0))</f>
        <v>0</v>
      </c>
      <c r="D151" s="4">
        <f>INDEX('변표 테이블'!$C$4:$FF$4,MATCH(M151,'변표 테이블'!$C$3:$FF$3,0))</f>
        <v>0</v>
      </c>
      <c r="E151" s="4"/>
      <c r="F151" s="33">
        <f t="shared" ref="F151:F165" si="6">LARGE(H151:K151,1)</f>
        <v>0</v>
      </c>
      <c r="G151" s="23">
        <f t="shared" ref="G151:G165" si="7">LARGE(H151:K151,2)</f>
        <v>0</v>
      </c>
      <c r="H151" s="4">
        <f>IFERROR(INDEX('변표 테이블'!$C$4:$FF$74,MATCH(H$83,'변표 테이블'!$B$4:$B$74,0),MATCH(L151,'변표 테이블'!$C$3:$FF$3,0)),0)</f>
        <v>0</v>
      </c>
      <c r="I151" s="4">
        <f>IFERROR(INDEX('변표 테이블'!$C$4:$FF$74,MATCH(I$83,'변표 테이블'!$B$4:$B$74,0),MATCH(L151,'변표 테이블'!$C$3:$FF$3,0)),0)</f>
        <v>0</v>
      </c>
      <c r="J151" s="4">
        <f>IFERROR(INDEX('변표 테이블'!$C$4:$FF$74,MATCH(J$83,'변표 테이블'!$B$4:$B$74,0),MATCH(M151,'변표 테이블'!$C$3:$FF$3,0)),0)</f>
        <v>0</v>
      </c>
      <c r="K151" s="23">
        <f>IFERROR(INDEX('변표 테이블'!$C$4:$FF$74,MATCH(K$83,'변표 테이블'!$B$4:$B$74,0),MATCH(M151,'변표 테이블'!$C$3:$FF$3,0)),0)</f>
        <v>0</v>
      </c>
      <c r="L151" t="str">
        <f t="shared" si="4"/>
        <v>66과</v>
      </c>
      <c r="M151" s="5" t="str">
        <f t="shared" si="5"/>
        <v>66사</v>
      </c>
    </row>
    <row r="152" spans="2:13" x14ac:dyDescent="0.3">
      <c r="B152" s="33">
        <v>67</v>
      </c>
      <c r="C152" s="4">
        <f>INDEX('변표 테이블'!$C$4:$FF$4,MATCH(L152,'변표 테이블'!$C$3:$FF$3,0))</f>
        <v>0</v>
      </c>
      <c r="D152" s="4">
        <f>INDEX('변표 테이블'!$C$4:$FF$4,MATCH(M152,'변표 테이블'!$C$3:$FF$3,0))</f>
        <v>0</v>
      </c>
      <c r="E152" s="4"/>
      <c r="F152" s="33">
        <f t="shared" si="6"/>
        <v>0</v>
      </c>
      <c r="G152" s="23">
        <f t="shared" si="7"/>
        <v>0</v>
      </c>
      <c r="H152" s="4">
        <f>IFERROR(INDEX('변표 테이블'!$C$4:$FF$74,MATCH(H$83,'변표 테이블'!$B$4:$B$74,0),MATCH(L152,'변표 테이블'!$C$3:$FF$3,0)),0)</f>
        <v>0</v>
      </c>
      <c r="I152" s="4">
        <f>IFERROR(INDEX('변표 테이블'!$C$4:$FF$74,MATCH(I$83,'변표 테이블'!$B$4:$B$74,0),MATCH(L152,'변표 테이블'!$C$3:$FF$3,0)),0)</f>
        <v>0</v>
      </c>
      <c r="J152" s="4">
        <f>IFERROR(INDEX('변표 테이블'!$C$4:$FF$74,MATCH(J$83,'변표 테이블'!$B$4:$B$74,0),MATCH(M152,'변표 테이블'!$C$3:$FF$3,0)),0)</f>
        <v>0</v>
      </c>
      <c r="K152" s="23">
        <f>IFERROR(INDEX('변표 테이블'!$C$4:$FF$74,MATCH(K$83,'변표 테이블'!$B$4:$B$74,0),MATCH(M152,'변표 테이블'!$C$3:$FF$3,0)),0)</f>
        <v>0</v>
      </c>
      <c r="L152" t="str">
        <f t="shared" si="4"/>
        <v>67과</v>
      </c>
      <c r="M152" s="5" t="str">
        <f t="shared" si="5"/>
        <v>67사</v>
      </c>
    </row>
    <row r="153" spans="2:13" x14ac:dyDescent="0.3">
      <c r="B153" s="33">
        <v>68</v>
      </c>
      <c r="C153" s="4">
        <f>INDEX('변표 테이블'!$C$4:$FF$4,MATCH(L153,'변표 테이블'!$C$3:$FF$3,0))</f>
        <v>0</v>
      </c>
      <c r="D153" s="4">
        <f>INDEX('변표 테이블'!$C$4:$FF$4,MATCH(M153,'변표 테이블'!$C$3:$FF$3,0))</f>
        <v>0</v>
      </c>
      <c r="E153" s="4"/>
      <c r="F153" s="33">
        <f t="shared" si="6"/>
        <v>0</v>
      </c>
      <c r="G153" s="23">
        <f t="shared" si="7"/>
        <v>0</v>
      </c>
      <c r="H153" s="4">
        <f>IFERROR(INDEX('변표 테이블'!$C$4:$FF$74,MATCH(H$83,'변표 테이블'!$B$4:$B$74,0),MATCH(L153,'변표 테이블'!$C$3:$FF$3,0)),0)</f>
        <v>0</v>
      </c>
      <c r="I153" s="4">
        <f>IFERROR(INDEX('변표 테이블'!$C$4:$FF$74,MATCH(I$83,'변표 테이블'!$B$4:$B$74,0),MATCH(L153,'변표 테이블'!$C$3:$FF$3,0)),0)</f>
        <v>0</v>
      </c>
      <c r="J153" s="4">
        <f>IFERROR(INDEX('변표 테이블'!$C$4:$FF$74,MATCH(J$83,'변표 테이블'!$B$4:$B$74,0),MATCH(M153,'변표 테이블'!$C$3:$FF$3,0)),0)</f>
        <v>0</v>
      </c>
      <c r="K153" s="23">
        <f>IFERROR(INDEX('변표 테이블'!$C$4:$FF$74,MATCH(K$83,'변표 테이블'!$B$4:$B$74,0),MATCH(M153,'변표 테이블'!$C$3:$FF$3,0)),0)</f>
        <v>0</v>
      </c>
      <c r="L153" t="str">
        <f t="shared" si="4"/>
        <v>68과</v>
      </c>
      <c r="M153" s="5" t="str">
        <f t="shared" si="5"/>
        <v>68사</v>
      </c>
    </row>
    <row r="154" spans="2:13" x14ac:dyDescent="0.3">
      <c r="B154" s="33">
        <v>69</v>
      </c>
      <c r="C154" s="4">
        <f>INDEX('변표 테이블'!$C$4:$FF$4,MATCH(L154,'변표 테이블'!$C$3:$FF$3,0))</f>
        <v>0</v>
      </c>
      <c r="D154" s="4">
        <f>INDEX('변표 테이블'!$C$4:$FF$4,MATCH(M154,'변표 테이블'!$C$3:$FF$3,0))</f>
        <v>0</v>
      </c>
      <c r="E154" s="4"/>
      <c r="F154" s="33">
        <f t="shared" si="6"/>
        <v>0</v>
      </c>
      <c r="G154" s="23">
        <f t="shared" si="7"/>
        <v>0</v>
      </c>
      <c r="H154" s="4">
        <f>IFERROR(INDEX('변표 테이블'!$C$4:$FF$74,MATCH(H$83,'변표 테이블'!$B$4:$B$74,0),MATCH(L154,'변표 테이블'!$C$3:$FF$3,0)),0)</f>
        <v>0</v>
      </c>
      <c r="I154" s="4">
        <f>IFERROR(INDEX('변표 테이블'!$C$4:$FF$74,MATCH(I$83,'변표 테이블'!$B$4:$B$74,0),MATCH(L154,'변표 테이블'!$C$3:$FF$3,0)),0)</f>
        <v>0</v>
      </c>
      <c r="J154" s="4">
        <f>IFERROR(INDEX('변표 테이블'!$C$4:$FF$74,MATCH(J$83,'변표 테이블'!$B$4:$B$74,0),MATCH(M154,'변표 테이블'!$C$3:$FF$3,0)),0)</f>
        <v>0</v>
      </c>
      <c r="K154" s="23">
        <f>IFERROR(INDEX('변표 테이블'!$C$4:$FF$74,MATCH(K$83,'변표 테이블'!$B$4:$B$74,0),MATCH(M154,'변표 테이블'!$C$3:$FF$3,0)),0)</f>
        <v>0</v>
      </c>
      <c r="L154" t="str">
        <f t="shared" si="4"/>
        <v>69과</v>
      </c>
      <c r="M154" s="5" t="str">
        <f t="shared" si="5"/>
        <v>69사</v>
      </c>
    </row>
    <row r="155" spans="2:13" x14ac:dyDescent="0.3">
      <c r="B155" s="33">
        <v>70</v>
      </c>
      <c r="C155" s="4">
        <f>INDEX('변표 테이블'!$C$4:$FF$4,MATCH(L155,'변표 테이블'!$C$3:$FF$3,0))</f>
        <v>0</v>
      </c>
      <c r="D155" s="4">
        <f>INDEX('변표 테이블'!$C$4:$FF$4,MATCH(M155,'변표 테이블'!$C$3:$FF$3,0))</f>
        <v>0</v>
      </c>
      <c r="E155" s="4"/>
      <c r="F155" s="33">
        <f t="shared" si="6"/>
        <v>0</v>
      </c>
      <c r="G155" s="23">
        <f t="shared" si="7"/>
        <v>0</v>
      </c>
      <c r="H155" s="4">
        <f>IFERROR(INDEX('변표 테이블'!$C$4:$FF$74,MATCH(H$83,'변표 테이블'!$B$4:$B$74,0),MATCH(L155,'변표 테이블'!$C$3:$FF$3,0)),0)</f>
        <v>0</v>
      </c>
      <c r="I155" s="4">
        <f>IFERROR(INDEX('변표 테이블'!$C$4:$FF$74,MATCH(I$83,'변표 테이블'!$B$4:$B$74,0),MATCH(L155,'변표 테이블'!$C$3:$FF$3,0)),0)</f>
        <v>0</v>
      </c>
      <c r="J155" s="4">
        <f>IFERROR(INDEX('변표 테이블'!$C$4:$FF$74,MATCH(J$83,'변표 테이블'!$B$4:$B$74,0),MATCH(M155,'변표 테이블'!$C$3:$FF$3,0)),0)</f>
        <v>0</v>
      </c>
      <c r="K155" s="23">
        <f>IFERROR(INDEX('변표 테이블'!$C$4:$FF$74,MATCH(K$83,'변표 테이블'!$B$4:$B$74,0),MATCH(M155,'변표 테이블'!$C$3:$FF$3,0)),0)</f>
        <v>0</v>
      </c>
      <c r="L155" t="str">
        <f t="shared" si="4"/>
        <v>70과</v>
      </c>
      <c r="M155" s="5" t="str">
        <f t="shared" si="5"/>
        <v>70사</v>
      </c>
    </row>
    <row r="156" spans="2:13" x14ac:dyDescent="0.3">
      <c r="B156" s="33">
        <v>71</v>
      </c>
      <c r="C156" s="4">
        <f>INDEX('변표 테이블'!$C$4:$FF$4,MATCH(L156,'변표 테이블'!$C$3:$FF$3,0))</f>
        <v>0</v>
      </c>
      <c r="D156" s="4">
        <f>INDEX('변표 테이블'!$C$4:$FF$4,MATCH(M156,'변표 테이블'!$C$3:$FF$3,0))</f>
        <v>0</v>
      </c>
      <c r="E156" s="4"/>
      <c r="F156" s="33">
        <f t="shared" si="6"/>
        <v>0</v>
      </c>
      <c r="G156" s="23">
        <f t="shared" si="7"/>
        <v>0</v>
      </c>
      <c r="H156" s="4">
        <f>IFERROR(INDEX('변표 테이블'!$C$4:$FF$74,MATCH(H$83,'변표 테이블'!$B$4:$B$74,0),MATCH(L156,'변표 테이블'!$C$3:$FF$3,0)),0)</f>
        <v>0</v>
      </c>
      <c r="I156" s="4">
        <f>IFERROR(INDEX('변표 테이블'!$C$4:$FF$74,MATCH(I$83,'변표 테이블'!$B$4:$B$74,0),MATCH(L156,'변표 테이블'!$C$3:$FF$3,0)),0)</f>
        <v>0</v>
      </c>
      <c r="J156" s="4">
        <f>IFERROR(INDEX('변표 테이블'!$C$4:$FF$74,MATCH(J$83,'변표 테이블'!$B$4:$B$74,0),MATCH(M156,'변표 테이블'!$C$3:$FF$3,0)),0)</f>
        <v>0</v>
      </c>
      <c r="K156" s="23">
        <f>IFERROR(INDEX('변표 테이블'!$C$4:$FF$74,MATCH(K$83,'변표 테이블'!$B$4:$B$74,0),MATCH(M156,'변표 테이블'!$C$3:$FF$3,0)),0)</f>
        <v>0</v>
      </c>
      <c r="L156" t="str">
        <f t="shared" si="4"/>
        <v>71과</v>
      </c>
      <c r="M156" s="5" t="str">
        <f t="shared" si="5"/>
        <v>71사</v>
      </c>
    </row>
    <row r="157" spans="2:13" x14ac:dyDescent="0.3">
      <c r="B157" s="33">
        <v>72</v>
      </c>
      <c r="C157" s="4">
        <f>INDEX('변표 테이블'!$C$4:$FF$4,MATCH(L157,'변표 테이블'!$C$3:$FF$3,0))</f>
        <v>0</v>
      </c>
      <c r="D157" s="4">
        <f>INDEX('변표 테이블'!$C$4:$FF$4,MATCH(M157,'변표 테이블'!$C$3:$FF$3,0))</f>
        <v>0</v>
      </c>
      <c r="E157" s="4"/>
      <c r="F157" s="33">
        <f t="shared" si="6"/>
        <v>0</v>
      </c>
      <c r="G157" s="23">
        <f t="shared" si="7"/>
        <v>0</v>
      </c>
      <c r="H157" s="4">
        <f>IFERROR(INDEX('변표 테이블'!$C$4:$FF$74,MATCH(H$83,'변표 테이블'!$B$4:$B$74,0),MATCH(L157,'변표 테이블'!$C$3:$FF$3,0)),0)</f>
        <v>0</v>
      </c>
      <c r="I157" s="4">
        <f>IFERROR(INDEX('변표 테이블'!$C$4:$FF$74,MATCH(I$83,'변표 테이블'!$B$4:$B$74,0),MATCH(L157,'변표 테이블'!$C$3:$FF$3,0)),0)</f>
        <v>0</v>
      </c>
      <c r="J157" s="4">
        <f>IFERROR(INDEX('변표 테이블'!$C$4:$FF$74,MATCH(J$83,'변표 테이블'!$B$4:$B$74,0),MATCH(M157,'변표 테이블'!$C$3:$FF$3,0)),0)</f>
        <v>0</v>
      </c>
      <c r="K157" s="23">
        <f>IFERROR(INDEX('변표 테이블'!$C$4:$FF$74,MATCH(K$83,'변표 테이블'!$B$4:$B$74,0),MATCH(M157,'변표 테이블'!$C$3:$FF$3,0)),0)</f>
        <v>0</v>
      </c>
      <c r="L157" t="str">
        <f t="shared" si="4"/>
        <v>72과</v>
      </c>
      <c r="M157" s="5" t="str">
        <f t="shared" si="5"/>
        <v>72사</v>
      </c>
    </row>
    <row r="158" spans="2:13" x14ac:dyDescent="0.3">
      <c r="B158" s="33">
        <v>73</v>
      </c>
      <c r="C158" s="4">
        <f>INDEX('변표 테이블'!$C$4:$FF$4,MATCH(L158,'변표 테이블'!$C$3:$FF$3,0))</f>
        <v>0</v>
      </c>
      <c r="D158" s="4">
        <f>INDEX('변표 테이블'!$C$4:$FF$4,MATCH(M158,'변표 테이블'!$C$3:$FF$3,0))</f>
        <v>0</v>
      </c>
      <c r="E158" s="4"/>
      <c r="F158" s="33">
        <f t="shared" si="6"/>
        <v>0</v>
      </c>
      <c r="G158" s="23">
        <f t="shared" si="7"/>
        <v>0</v>
      </c>
      <c r="H158" s="4">
        <f>IFERROR(INDEX('변표 테이블'!$C$4:$FF$74,MATCH(H$83,'변표 테이블'!$B$4:$B$74,0),MATCH(L158,'변표 테이블'!$C$3:$FF$3,0)),0)</f>
        <v>0</v>
      </c>
      <c r="I158" s="4">
        <f>IFERROR(INDEX('변표 테이블'!$C$4:$FF$74,MATCH(I$83,'변표 테이블'!$B$4:$B$74,0),MATCH(L158,'변표 테이블'!$C$3:$FF$3,0)),0)</f>
        <v>0</v>
      </c>
      <c r="J158" s="4">
        <f>IFERROR(INDEX('변표 테이블'!$C$4:$FF$74,MATCH(J$83,'변표 테이블'!$B$4:$B$74,0),MATCH(M158,'변표 테이블'!$C$3:$FF$3,0)),0)</f>
        <v>0</v>
      </c>
      <c r="K158" s="23">
        <f>IFERROR(INDEX('변표 테이블'!$C$4:$FF$74,MATCH(K$83,'변표 테이블'!$B$4:$B$74,0),MATCH(M158,'변표 테이블'!$C$3:$FF$3,0)),0)</f>
        <v>0</v>
      </c>
      <c r="L158" t="str">
        <f t="shared" si="4"/>
        <v>73과</v>
      </c>
      <c r="M158" s="5" t="str">
        <f t="shared" si="5"/>
        <v>73사</v>
      </c>
    </row>
    <row r="159" spans="2:13" x14ac:dyDescent="0.3">
      <c r="B159" s="33">
        <v>74</v>
      </c>
      <c r="C159" s="4">
        <f>INDEX('변표 테이블'!$C$4:$FF$4,MATCH(L159,'변표 테이블'!$C$3:$FF$3,0))</f>
        <v>0</v>
      </c>
      <c r="D159" s="4">
        <f>INDEX('변표 테이블'!$C$4:$FF$4,MATCH(M159,'변표 테이블'!$C$3:$FF$3,0))</f>
        <v>0</v>
      </c>
      <c r="E159" s="4"/>
      <c r="F159" s="33">
        <f t="shared" si="6"/>
        <v>0</v>
      </c>
      <c r="G159" s="23">
        <f t="shared" si="7"/>
        <v>0</v>
      </c>
      <c r="H159" s="4">
        <f>IFERROR(INDEX('변표 테이블'!$C$4:$FF$74,MATCH(H$83,'변표 테이블'!$B$4:$B$74,0),MATCH(L159,'변표 테이블'!$C$3:$FF$3,0)),0)</f>
        <v>0</v>
      </c>
      <c r="I159" s="4">
        <f>IFERROR(INDEX('변표 테이블'!$C$4:$FF$74,MATCH(I$83,'변표 테이블'!$B$4:$B$74,0),MATCH(L159,'변표 테이블'!$C$3:$FF$3,0)),0)</f>
        <v>0</v>
      </c>
      <c r="J159" s="4">
        <f>IFERROR(INDEX('변표 테이블'!$C$4:$FF$74,MATCH(J$83,'변표 테이블'!$B$4:$B$74,0),MATCH(M159,'변표 테이블'!$C$3:$FF$3,0)),0)</f>
        <v>0</v>
      </c>
      <c r="K159" s="23">
        <f>IFERROR(INDEX('변표 테이블'!$C$4:$FF$74,MATCH(K$83,'변표 테이블'!$B$4:$B$74,0),MATCH(M159,'변표 테이블'!$C$3:$FF$3,0)),0)</f>
        <v>0</v>
      </c>
      <c r="L159" t="str">
        <f t="shared" si="4"/>
        <v>74과</v>
      </c>
      <c r="M159" s="5" t="str">
        <f t="shared" si="5"/>
        <v>74사</v>
      </c>
    </row>
    <row r="160" spans="2:13" x14ac:dyDescent="0.3">
      <c r="B160" s="33">
        <v>75</v>
      </c>
      <c r="C160" s="4">
        <f>INDEX('변표 테이블'!$C$4:$FF$4,MATCH(L160,'변표 테이블'!$C$3:$FF$3,0))</f>
        <v>0</v>
      </c>
      <c r="D160" s="4">
        <f>INDEX('변표 테이블'!$C$4:$FF$4,MATCH(M160,'변표 테이블'!$C$3:$FF$3,0))</f>
        <v>0</v>
      </c>
      <c r="E160" s="4"/>
      <c r="F160" s="33">
        <f t="shared" si="6"/>
        <v>0</v>
      </c>
      <c r="G160" s="23">
        <f t="shared" si="7"/>
        <v>0</v>
      </c>
      <c r="H160" s="4">
        <f>IFERROR(INDEX('변표 테이블'!$C$4:$FF$74,MATCH(H$83,'변표 테이블'!$B$4:$B$74,0),MATCH(L160,'변표 테이블'!$C$3:$FF$3,0)),0)</f>
        <v>0</v>
      </c>
      <c r="I160" s="4">
        <f>IFERROR(INDEX('변표 테이블'!$C$4:$FF$74,MATCH(I$83,'변표 테이블'!$B$4:$B$74,0),MATCH(L160,'변표 테이블'!$C$3:$FF$3,0)),0)</f>
        <v>0</v>
      </c>
      <c r="J160" s="4">
        <f>IFERROR(INDEX('변표 테이블'!$C$4:$FF$74,MATCH(J$83,'변표 테이블'!$B$4:$B$74,0),MATCH(M160,'변표 테이블'!$C$3:$FF$3,0)),0)</f>
        <v>0</v>
      </c>
      <c r="K160" s="23">
        <f>IFERROR(INDEX('변표 테이블'!$C$4:$FF$74,MATCH(K$83,'변표 테이블'!$B$4:$B$74,0),MATCH(M160,'변표 테이블'!$C$3:$FF$3,0)),0)</f>
        <v>0</v>
      </c>
      <c r="L160" t="str">
        <f t="shared" si="4"/>
        <v>75과</v>
      </c>
      <c r="M160" s="5" t="str">
        <f t="shared" si="5"/>
        <v>75사</v>
      </c>
    </row>
    <row r="161" spans="2:13" x14ac:dyDescent="0.3">
      <c r="B161" s="33">
        <v>76</v>
      </c>
      <c r="C161" s="4">
        <f>INDEX('변표 테이블'!$C$4:$FF$4,MATCH(L161,'변표 테이블'!$C$3:$FF$3,0))</f>
        <v>0</v>
      </c>
      <c r="D161" s="4">
        <f>INDEX('변표 테이블'!$C$4:$FF$4,MATCH(M161,'변표 테이블'!$C$3:$FF$3,0))</f>
        <v>0</v>
      </c>
      <c r="E161" s="4"/>
      <c r="F161" s="33">
        <f t="shared" si="6"/>
        <v>0</v>
      </c>
      <c r="G161" s="23">
        <f t="shared" si="7"/>
        <v>0</v>
      </c>
      <c r="H161" s="4">
        <f>IFERROR(INDEX('변표 테이블'!$C$4:$FF$74,MATCH(H$83,'변표 테이블'!$B$4:$B$74,0),MATCH(L161,'변표 테이블'!$C$3:$FF$3,0)),0)</f>
        <v>0</v>
      </c>
      <c r="I161" s="4">
        <f>IFERROR(INDEX('변표 테이블'!$C$4:$FF$74,MATCH(I$83,'변표 테이블'!$B$4:$B$74,0),MATCH(L161,'변표 테이블'!$C$3:$FF$3,0)),0)</f>
        <v>0</v>
      </c>
      <c r="J161" s="4">
        <f>IFERROR(INDEX('변표 테이블'!$C$4:$FF$74,MATCH(J$83,'변표 테이블'!$B$4:$B$74,0),MATCH(M161,'변표 테이블'!$C$3:$FF$3,0)),0)</f>
        <v>0</v>
      </c>
      <c r="K161" s="23">
        <f>IFERROR(INDEX('변표 테이블'!$C$4:$FF$74,MATCH(K$83,'변표 테이블'!$B$4:$B$74,0),MATCH(M161,'변표 테이블'!$C$3:$FF$3,0)),0)</f>
        <v>0</v>
      </c>
      <c r="L161" t="str">
        <f t="shared" ref="L161:L165" si="8">CONCATENATE(B161,$H$84)</f>
        <v>76과</v>
      </c>
      <c r="M161" s="5" t="str">
        <f t="shared" ref="M161:M165" si="9">CONCATENATE(B161,$J$84)</f>
        <v>76사</v>
      </c>
    </row>
    <row r="162" spans="2:13" x14ac:dyDescent="0.3">
      <c r="B162" s="33">
        <v>77</v>
      </c>
      <c r="C162" s="4">
        <f>INDEX('변표 테이블'!$C$4:$FF$4,MATCH(L162,'변표 테이블'!$C$3:$FF$3,0))</f>
        <v>0</v>
      </c>
      <c r="D162" s="4">
        <f>INDEX('변표 테이블'!$C$4:$FF$4,MATCH(M162,'변표 테이블'!$C$3:$FF$3,0))</f>
        <v>0</v>
      </c>
      <c r="E162" s="4"/>
      <c r="F162" s="33">
        <f t="shared" si="6"/>
        <v>0</v>
      </c>
      <c r="G162" s="23">
        <f t="shared" si="7"/>
        <v>0</v>
      </c>
      <c r="H162" s="4">
        <f>IFERROR(INDEX('변표 테이블'!$C$4:$FF$74,MATCH(H$83,'변표 테이블'!$B$4:$B$74,0),MATCH(L162,'변표 테이블'!$C$3:$FF$3,0)),0)</f>
        <v>0</v>
      </c>
      <c r="I162" s="4">
        <f>IFERROR(INDEX('변표 테이블'!$C$4:$FF$74,MATCH(I$83,'변표 테이블'!$B$4:$B$74,0),MATCH(L162,'변표 테이블'!$C$3:$FF$3,0)),0)</f>
        <v>0</v>
      </c>
      <c r="J162" s="4">
        <f>IFERROR(INDEX('변표 테이블'!$C$4:$FF$74,MATCH(J$83,'변표 테이블'!$B$4:$B$74,0),MATCH(M162,'변표 테이블'!$C$3:$FF$3,0)),0)</f>
        <v>0</v>
      </c>
      <c r="K162" s="23">
        <f>IFERROR(INDEX('변표 테이블'!$C$4:$FF$74,MATCH(K$83,'변표 테이블'!$B$4:$B$74,0),MATCH(M162,'변표 테이블'!$C$3:$FF$3,0)),0)</f>
        <v>0</v>
      </c>
      <c r="L162" t="str">
        <f t="shared" si="8"/>
        <v>77과</v>
      </c>
      <c r="M162" s="5" t="str">
        <f t="shared" si="9"/>
        <v>77사</v>
      </c>
    </row>
    <row r="163" spans="2:13" x14ac:dyDescent="0.3">
      <c r="B163" s="33">
        <v>78</v>
      </c>
      <c r="C163" s="4">
        <f>INDEX('변표 테이블'!$C$4:$FF$4,MATCH(L163,'변표 테이블'!$C$3:$FF$3,0))</f>
        <v>0</v>
      </c>
      <c r="D163" s="4">
        <f>INDEX('변표 테이블'!$C$4:$FF$4,MATCH(M163,'변표 테이블'!$C$3:$FF$3,0))</f>
        <v>0</v>
      </c>
      <c r="E163" s="4"/>
      <c r="F163" s="33">
        <f t="shared" si="6"/>
        <v>0</v>
      </c>
      <c r="G163" s="23">
        <f t="shared" si="7"/>
        <v>0</v>
      </c>
      <c r="H163" s="4">
        <f>IFERROR(INDEX('변표 테이블'!$C$4:$FF$74,MATCH(H$83,'변표 테이블'!$B$4:$B$74,0),MATCH(L163,'변표 테이블'!$C$3:$FF$3,0)),0)</f>
        <v>0</v>
      </c>
      <c r="I163" s="4">
        <f>IFERROR(INDEX('변표 테이블'!$C$4:$FF$74,MATCH(I$83,'변표 테이블'!$B$4:$B$74,0),MATCH(L163,'변표 테이블'!$C$3:$FF$3,0)),0)</f>
        <v>0</v>
      </c>
      <c r="J163" s="4">
        <f>IFERROR(INDEX('변표 테이블'!$C$4:$FF$74,MATCH(J$83,'변표 테이블'!$B$4:$B$74,0),MATCH(M163,'변표 테이블'!$C$3:$FF$3,0)),0)</f>
        <v>0</v>
      </c>
      <c r="K163" s="23">
        <f>IFERROR(INDEX('변표 테이블'!$C$4:$FF$74,MATCH(K$83,'변표 테이블'!$B$4:$B$74,0),MATCH(M163,'변표 테이블'!$C$3:$FF$3,0)),0)</f>
        <v>0</v>
      </c>
      <c r="L163" t="str">
        <f t="shared" si="8"/>
        <v>78과</v>
      </c>
      <c r="M163" s="5" t="str">
        <f t="shared" si="9"/>
        <v>78사</v>
      </c>
    </row>
    <row r="164" spans="2:13" x14ac:dyDescent="0.3">
      <c r="B164" s="33">
        <v>79</v>
      </c>
      <c r="C164" s="4">
        <f>INDEX('변표 테이블'!$C$4:$FF$4,MATCH(L164,'변표 테이블'!$C$3:$FF$3,0))</f>
        <v>0</v>
      </c>
      <c r="D164" s="4">
        <f>INDEX('변표 테이블'!$C$4:$FF$4,MATCH(M164,'변표 테이블'!$C$3:$FF$3,0))</f>
        <v>0</v>
      </c>
      <c r="E164" s="4"/>
      <c r="F164" s="33">
        <f t="shared" si="6"/>
        <v>0</v>
      </c>
      <c r="G164" s="23">
        <f t="shared" si="7"/>
        <v>0</v>
      </c>
      <c r="H164" s="4">
        <f>IFERROR(INDEX('변표 테이블'!$C$4:$FF$74,MATCH(H$83,'변표 테이블'!$B$4:$B$74,0),MATCH(L164,'변표 테이블'!$C$3:$FF$3,0)),0)</f>
        <v>0</v>
      </c>
      <c r="I164" s="4">
        <f>IFERROR(INDEX('변표 테이블'!$C$4:$FF$74,MATCH(I$83,'변표 테이블'!$B$4:$B$74,0),MATCH(L164,'변표 테이블'!$C$3:$FF$3,0)),0)</f>
        <v>0</v>
      </c>
      <c r="J164" s="4">
        <f>IFERROR(INDEX('변표 테이블'!$C$4:$FF$74,MATCH(J$83,'변표 테이블'!$B$4:$B$74,0),MATCH(M164,'변표 테이블'!$C$3:$FF$3,0)),0)</f>
        <v>0</v>
      </c>
      <c r="K164" s="23">
        <f>IFERROR(INDEX('변표 테이블'!$C$4:$FF$74,MATCH(K$83,'변표 테이블'!$B$4:$B$74,0),MATCH(M164,'변표 테이블'!$C$3:$FF$3,0)),0)</f>
        <v>0</v>
      </c>
      <c r="L164" t="str">
        <f t="shared" si="8"/>
        <v>79과</v>
      </c>
      <c r="M164" s="5" t="str">
        <f t="shared" si="9"/>
        <v>79사</v>
      </c>
    </row>
    <row r="165" spans="2:13" ht="17.25" thickBot="1" x14ac:dyDescent="0.35">
      <c r="B165" s="10">
        <v>80</v>
      </c>
      <c r="C165" s="9">
        <f>INDEX('변표 테이블'!$C$4:$FF$4,MATCH(L165,'변표 테이블'!$C$3:$FF$3,0))</f>
        <v>0</v>
      </c>
      <c r="D165" s="9">
        <f>INDEX('변표 테이블'!$C$4:$FF$4,MATCH(M165,'변표 테이블'!$C$3:$FF$3,0))</f>
        <v>0</v>
      </c>
      <c r="E165" s="9"/>
      <c r="F165" s="10">
        <f t="shared" si="6"/>
        <v>0</v>
      </c>
      <c r="G165" s="34">
        <f t="shared" si="7"/>
        <v>0</v>
      </c>
      <c r="H165" s="9">
        <f>IFERROR(INDEX('변표 테이블'!$C$4:$FF$74,MATCH(H$83,'변표 테이블'!$B$4:$B$74,0),MATCH(L165,'변표 테이블'!$C$3:$FF$3,0)),0)</f>
        <v>0</v>
      </c>
      <c r="I165" s="9">
        <f>IFERROR(INDEX('변표 테이블'!$C$4:$FF$74,MATCH(I$83,'변표 테이블'!$B$4:$B$74,0),MATCH(L165,'변표 테이블'!$C$3:$FF$3,0)),0)</f>
        <v>0</v>
      </c>
      <c r="J165" s="9">
        <f>IFERROR(INDEX('변표 테이블'!$C$4:$FF$74,MATCH(J$83,'변표 테이블'!$B$4:$B$74,0),MATCH(M165,'변표 테이블'!$C$3:$FF$3,0)),0)</f>
        <v>0</v>
      </c>
      <c r="K165" s="34">
        <f>IFERROR(INDEX('변표 테이블'!$C$4:$FF$74,MATCH(K$83,'변표 테이블'!$B$4:$B$74,0),MATCH(M165,'변표 테이블'!$C$3:$FF$3,0)),0)</f>
        <v>0</v>
      </c>
      <c r="L165" s="38" t="str">
        <f t="shared" si="8"/>
        <v>80과</v>
      </c>
      <c r="M165" s="13" t="str">
        <f t="shared" si="9"/>
        <v>80사</v>
      </c>
    </row>
  </sheetData>
  <sheetProtection algorithmName="SHA-512" hashValue="IKB92HEOdsx5GvUm8NexnChq0d1NLQ7GgrPb1C89M50bk5g2H0HSxrr993GAd4Ic6oG1c92bILYvvMNBflJngg==" saltValue="USTh/y6ym//57l3TLLrgNQ==" spinCount="100000" sheet="1"/>
  <phoneticPr fontId="2" type="noConversion"/>
  <conditionalFormatting sqref="C4:FF74">
    <cfRule type="expression" dxfId="0" priority="1">
      <formula>C4&lt;C5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   본인점수 입력   </vt:lpstr>
      <vt:lpstr>       가 군       </vt:lpstr>
      <vt:lpstr>       나 군       </vt:lpstr>
      <vt:lpstr>       다 군       </vt:lpstr>
      <vt:lpstr>  숭실.국민.인하  </vt:lpstr>
      <vt:lpstr>배치점수 계산기</vt:lpstr>
      <vt:lpstr>환산공식</vt:lpstr>
      <vt:lpstr>변표 테이블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베텔기우스</dc:creator>
  <cp:lastModifiedBy>k2</cp:lastModifiedBy>
  <dcterms:created xsi:type="dcterms:W3CDTF">2021-10-09T07:19:12Z</dcterms:created>
  <dcterms:modified xsi:type="dcterms:W3CDTF">2021-12-18T09:48:58Z</dcterms:modified>
</cp:coreProperties>
</file>